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5.xml" ContentType="application/vnd.openxmlformats-officedocument.spreadsheetml.table+xml"/>
  <Override PartName="/xl/slicers/slicer2.xml" ContentType="application/vnd.ms-excel.slicer+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bookViews>
    <workbookView xWindow="0" yWindow="60" windowWidth="28800" windowHeight="12375" tabRatio="944" activeTab="4"/>
  </bookViews>
  <sheets>
    <sheet name="LoadMaster" sheetId="1" r:id="rId1"/>
    <sheet name="BrokerTBL" sheetId="9" r:id="rId2"/>
    <sheet name="Broker_Driver_Payments" sheetId="10" r:id="rId3"/>
    <sheet name="FuelExpenseTBL" sheetId="16" r:id="rId4"/>
    <sheet name="MasterExpenseRepairTBL" sheetId="21" r:id="rId5"/>
    <sheet name="CarrierDriverTBL" sheetId="8" r:id="rId6"/>
    <sheet name="EquipmentTBL" sheetId="30" r:id="rId7"/>
    <sheet name="InsuranceTBL" sheetId="29" r:id="rId8"/>
    <sheet name="UBEarningWeeklyTBL" sheetId="32" r:id="rId9"/>
    <sheet name="UBMoneyIN" sheetId="15" r:id="rId10"/>
    <sheet name="YTD_SnapShot" sheetId="18" r:id="rId11"/>
    <sheet name="DriverPay1" sheetId="20" r:id="rId12"/>
    <sheet name="DriverPay2" sheetId="27" r:id="rId13"/>
    <sheet name="DriverPay3" sheetId="19" r:id="rId14"/>
    <sheet name="DipatchPay" sheetId="34" r:id="rId15"/>
    <sheet name="ReferenceTBL" sheetId="36" r:id="rId16"/>
  </sheets>
  <definedNames>
    <definedName name="_xlnm._FilterDatabase" localSheetId="2" hidden="1">Broker_Driver_Payments!$A$1:$W$574</definedName>
    <definedName name="_xlnm._FilterDatabase" localSheetId="1" hidden="1">BrokerTBL!$A$1:$H$1</definedName>
    <definedName name="_xlnm._FilterDatabase" localSheetId="3" hidden="1">FuelExpenseTBL!$A$1:$O$156</definedName>
    <definedName name="_xlnm._FilterDatabase" localSheetId="0" hidden="1">LoadMaster!$A$1:$DG$566</definedName>
    <definedName name="_xlnm._FilterDatabase" localSheetId="4" hidden="1">MasterExpenseRepairTBL!$A$1:$U$138</definedName>
    <definedName name="_xlnm.Print_Area" localSheetId="14">DipatchPay!$A$1:$H$9</definedName>
    <definedName name="Slicer_Action_Year">#N/A</definedName>
    <definedName name="Slicer_ActionMonth">#N/A</definedName>
    <definedName name="Slicer_ActionYear">#N/A</definedName>
    <definedName name="Slicer_Category">#N/A</definedName>
    <definedName name="Slicer_DispatachPayDay">#N/A</definedName>
    <definedName name="Slicer_DispatchAgent">#N/A</definedName>
    <definedName name="Slicer_Month3">#N/A</definedName>
    <definedName name="Slicer_Payee">#N/A</definedName>
    <definedName name="Slicer_RepairType">#N/A</definedName>
    <definedName name="Slicer_State">#N/A</definedName>
    <definedName name="Slicer_Unit">#N/A</definedName>
    <definedName name="Slicer_Unit4">#N/A</definedName>
  </definedNames>
  <calcPr calcId="145621"/>
  <pivotCaches>
    <pivotCache cacheId="17" r:id="rId17"/>
    <pivotCache cacheId="28" r:id="rId18"/>
    <pivotCache cacheId="32" r:id="rId19"/>
    <pivotCache cacheId="42" r:id="rId20"/>
  </pivotCaches>
  <extLst>
    <ext xmlns:x14="http://schemas.microsoft.com/office/spreadsheetml/2009/9/main" uri="{BBE1A952-AA13-448e-AADC-164F8A28A991}">
      <x14:slicerCaches>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15" i="21" l="1"/>
  <c r="O315" i="21"/>
  <c r="P315" i="21"/>
  <c r="Q315" i="21"/>
  <c r="R315" i="21"/>
  <c r="U315" i="21" s="1"/>
  <c r="S315" i="21"/>
  <c r="T315" i="21"/>
  <c r="T314" i="21"/>
  <c r="S314" i="21"/>
  <c r="R314" i="21"/>
  <c r="U314" i="21" s="1"/>
  <c r="Q314" i="21"/>
  <c r="P314" i="21"/>
  <c r="O314" i="21"/>
  <c r="N314" i="21"/>
  <c r="N313" i="21"/>
  <c r="O313" i="21"/>
  <c r="P313" i="21"/>
  <c r="Q313" i="21"/>
  <c r="R313" i="21"/>
  <c r="U313" i="21" s="1"/>
  <c r="S313" i="21"/>
  <c r="T313" i="21"/>
  <c r="N90" i="21"/>
  <c r="O90" i="21"/>
  <c r="P90" i="21"/>
  <c r="Q90" i="21"/>
  <c r="R90" i="21"/>
  <c r="U90" i="21" s="1"/>
  <c r="S90" i="21"/>
  <c r="T90" i="21"/>
  <c r="N291" i="21"/>
  <c r="O291" i="21"/>
  <c r="P291" i="21"/>
  <c r="Q291" i="21"/>
  <c r="R291" i="21"/>
  <c r="U291" i="21" s="1"/>
  <c r="S291" i="21"/>
  <c r="T291" i="21"/>
  <c r="N292" i="21"/>
  <c r="O292" i="21"/>
  <c r="P292" i="21"/>
  <c r="Q292" i="21"/>
  <c r="R292" i="21"/>
  <c r="U292" i="21" s="1"/>
  <c r="S292" i="21"/>
  <c r="T292" i="21"/>
  <c r="N304" i="21"/>
  <c r="O304" i="21"/>
  <c r="P304" i="21"/>
  <c r="Q304" i="21"/>
  <c r="R304" i="21"/>
  <c r="U304" i="21" s="1"/>
  <c r="S304" i="21"/>
  <c r="T304" i="21"/>
  <c r="N306" i="21"/>
  <c r="O306" i="21"/>
  <c r="P306" i="21"/>
  <c r="Q306" i="21"/>
  <c r="R306" i="21"/>
  <c r="U306" i="21" s="1"/>
  <c r="S306" i="21"/>
  <c r="T306" i="21"/>
  <c r="N305" i="21"/>
  <c r="O305" i="21"/>
  <c r="P305" i="21"/>
  <c r="Q305" i="21"/>
  <c r="R305" i="21"/>
  <c r="U305" i="21" s="1"/>
  <c r="S305" i="21"/>
  <c r="T305" i="21"/>
  <c r="N311" i="21"/>
  <c r="O311" i="21"/>
  <c r="P311" i="21"/>
  <c r="Q311" i="21"/>
  <c r="R311" i="21"/>
  <c r="U311" i="21" s="1"/>
  <c r="S311" i="21"/>
  <c r="T311" i="21"/>
  <c r="N310" i="21"/>
  <c r="O310" i="21"/>
  <c r="P310" i="21"/>
  <c r="Q310" i="21"/>
  <c r="R310" i="21"/>
  <c r="U310" i="21" s="1"/>
  <c r="S310" i="21"/>
  <c r="T310" i="21"/>
  <c r="N308" i="21"/>
  <c r="O308" i="21"/>
  <c r="P308" i="21"/>
  <c r="Q308" i="21"/>
  <c r="R308" i="21"/>
  <c r="U308" i="21" s="1"/>
  <c r="S308" i="21"/>
  <c r="T308" i="21"/>
  <c r="N307" i="21"/>
  <c r="O307" i="21"/>
  <c r="P307" i="21"/>
  <c r="Q307" i="21"/>
  <c r="R307" i="21"/>
  <c r="U307" i="21" s="1"/>
  <c r="S307" i="21"/>
  <c r="T307" i="21"/>
  <c r="N303" i="21"/>
  <c r="O303" i="21"/>
  <c r="P303" i="21"/>
  <c r="Q303" i="21"/>
  <c r="R303" i="21"/>
  <c r="U303" i="21" s="1"/>
  <c r="S303" i="21"/>
  <c r="T303" i="21"/>
  <c r="N299" i="21"/>
  <c r="O299" i="21"/>
  <c r="P299" i="21"/>
  <c r="Q299" i="21"/>
  <c r="R299" i="21"/>
  <c r="U299" i="21" s="1"/>
  <c r="S299" i="21"/>
  <c r="T299" i="21"/>
  <c r="N298" i="21"/>
  <c r="O298" i="21"/>
  <c r="P298" i="21"/>
  <c r="Q298" i="21"/>
  <c r="R298" i="21"/>
  <c r="U298" i="21" s="1"/>
  <c r="S298" i="21"/>
  <c r="T298" i="21"/>
  <c r="N312" i="21"/>
  <c r="O312" i="21"/>
  <c r="P312" i="21"/>
  <c r="Q312" i="21"/>
  <c r="R312" i="21"/>
  <c r="U312" i="21" s="1"/>
  <c r="S312" i="21"/>
  <c r="T312" i="21"/>
  <c r="N309" i="21"/>
  <c r="O309" i="21"/>
  <c r="P309" i="21"/>
  <c r="Q309" i="21"/>
  <c r="R309" i="21"/>
  <c r="U309" i="21" s="1"/>
  <c r="S309" i="21"/>
  <c r="T309" i="21"/>
  <c r="N302" i="21"/>
  <c r="O302" i="21"/>
  <c r="P302" i="21"/>
  <c r="Q302" i="21"/>
  <c r="R302" i="21"/>
  <c r="U302" i="21" s="1"/>
  <c r="S302" i="21"/>
  <c r="T302" i="21"/>
  <c r="N301" i="21"/>
  <c r="O301" i="21"/>
  <c r="P301" i="21"/>
  <c r="Q301" i="21"/>
  <c r="R301" i="21"/>
  <c r="U301" i="21" s="1"/>
  <c r="S301" i="21"/>
  <c r="T301" i="21"/>
  <c r="N281" i="21"/>
  <c r="O281" i="21"/>
  <c r="P281" i="21"/>
  <c r="Q281" i="21"/>
  <c r="R281" i="21"/>
  <c r="U281" i="21" s="1"/>
  <c r="S281" i="21"/>
  <c r="T281" i="21"/>
  <c r="N274" i="21"/>
  <c r="O274" i="21"/>
  <c r="P274" i="21"/>
  <c r="Q274" i="21"/>
  <c r="R274" i="21"/>
  <c r="U274" i="21" s="1"/>
  <c r="S274" i="21"/>
  <c r="T274" i="21"/>
  <c r="N273" i="21"/>
  <c r="O273" i="21"/>
  <c r="P273" i="21"/>
  <c r="Q273" i="21"/>
  <c r="R273" i="21"/>
  <c r="U273" i="21" s="1"/>
  <c r="S273" i="21"/>
  <c r="T273" i="21"/>
  <c r="N272" i="21"/>
  <c r="O272" i="21"/>
  <c r="P272" i="21"/>
  <c r="Q272" i="21"/>
  <c r="R272" i="21"/>
  <c r="U272" i="21" s="1"/>
  <c r="S272" i="21"/>
  <c r="T272" i="21"/>
  <c r="N271" i="21"/>
  <c r="O271" i="21"/>
  <c r="P271" i="21"/>
  <c r="Q271" i="21"/>
  <c r="R271" i="21"/>
  <c r="U271" i="21" s="1"/>
  <c r="S271" i="21"/>
  <c r="T271" i="21"/>
  <c r="N270" i="21"/>
  <c r="O270" i="21"/>
  <c r="P270" i="21"/>
  <c r="Q270" i="21"/>
  <c r="R270" i="21"/>
  <c r="U270" i="21" s="1"/>
  <c r="S270" i="21"/>
  <c r="T270" i="21"/>
  <c r="N267" i="21"/>
  <c r="O267" i="21"/>
  <c r="P267" i="21"/>
  <c r="Q267" i="21"/>
  <c r="R267" i="21"/>
  <c r="U267" i="21" s="1"/>
  <c r="S267" i="21"/>
  <c r="T267" i="21"/>
  <c r="N268" i="21"/>
  <c r="O268" i="21"/>
  <c r="P268" i="21"/>
  <c r="Q268" i="21"/>
  <c r="R268" i="21"/>
  <c r="U268" i="21" s="1"/>
  <c r="S268" i="21"/>
  <c r="T268" i="21"/>
  <c r="N229" i="21"/>
  <c r="O229" i="21"/>
  <c r="P229" i="21"/>
  <c r="Q229" i="21"/>
  <c r="R229" i="21"/>
  <c r="U229" i="21" s="1"/>
  <c r="S229" i="21"/>
  <c r="T229" i="21"/>
  <c r="N269" i="21"/>
  <c r="O269" i="21"/>
  <c r="P269" i="21"/>
  <c r="Q269" i="21"/>
  <c r="R269" i="21"/>
  <c r="U269" i="21" s="1"/>
  <c r="S269" i="21"/>
  <c r="T269" i="21"/>
  <c r="N252" i="21"/>
  <c r="O252" i="21"/>
  <c r="P252" i="21"/>
  <c r="Q252" i="21"/>
  <c r="R252" i="21"/>
  <c r="U252" i="21" s="1"/>
  <c r="S252" i="21"/>
  <c r="T252" i="21"/>
  <c r="N249" i="21"/>
  <c r="O249" i="21"/>
  <c r="P249" i="21"/>
  <c r="Q249" i="21"/>
  <c r="R249" i="21"/>
  <c r="U249" i="21" s="1"/>
  <c r="S249" i="21"/>
  <c r="T249" i="21"/>
  <c r="N277" i="21"/>
  <c r="O277" i="21"/>
  <c r="P277" i="21"/>
  <c r="Q277" i="21"/>
  <c r="R277" i="21"/>
  <c r="U277" i="21" s="1"/>
  <c r="S277" i="21"/>
  <c r="T277" i="21"/>
  <c r="N265" i="21"/>
  <c r="O265" i="21"/>
  <c r="P265" i="21"/>
  <c r="Q265" i="21"/>
  <c r="R265" i="21"/>
  <c r="U265" i="21" s="1"/>
  <c r="S265" i="21"/>
  <c r="T265" i="21"/>
  <c r="N264" i="21"/>
  <c r="O264" i="21"/>
  <c r="P264" i="21"/>
  <c r="Q264" i="21"/>
  <c r="R264" i="21"/>
  <c r="U264" i="21" s="1"/>
  <c r="S264" i="21"/>
  <c r="T264" i="21"/>
  <c r="N263" i="21"/>
  <c r="O263" i="21"/>
  <c r="P263" i="21"/>
  <c r="Q263" i="21"/>
  <c r="R263" i="21"/>
  <c r="U263" i="21" s="1"/>
  <c r="S263" i="21"/>
  <c r="T263" i="21"/>
  <c r="N262" i="21"/>
  <c r="O262" i="21"/>
  <c r="P262" i="21"/>
  <c r="Q262" i="21"/>
  <c r="R262" i="21"/>
  <c r="U262" i="21" s="1"/>
  <c r="S262" i="21"/>
  <c r="T262" i="21"/>
  <c r="N261" i="21"/>
  <c r="O261" i="21"/>
  <c r="P261" i="21"/>
  <c r="Q261" i="21"/>
  <c r="R261" i="21"/>
  <c r="U261" i="21" s="1"/>
  <c r="S261" i="21"/>
  <c r="T261" i="21"/>
  <c r="K13" i="30"/>
  <c r="K12" i="30"/>
  <c r="AK14" i="8"/>
  <c r="L156" i="16" l="1"/>
  <c r="M156" i="16"/>
  <c r="N156" i="16"/>
  <c r="O156" i="16"/>
  <c r="L155" i="16"/>
  <c r="M155" i="16"/>
  <c r="N155" i="16"/>
  <c r="O155" i="16"/>
  <c r="L154" i="16"/>
  <c r="M154" i="16"/>
  <c r="N154" i="16"/>
  <c r="O154" i="16"/>
  <c r="L153" i="16"/>
  <c r="M153" i="16"/>
  <c r="N153" i="16"/>
  <c r="O153" i="16"/>
  <c r="L152" i="16"/>
  <c r="M152" i="16"/>
  <c r="N152" i="16"/>
  <c r="O152" i="16"/>
  <c r="C562" i="10"/>
  <c r="C563" i="10"/>
  <c r="C564" i="10"/>
  <c r="C565" i="10"/>
  <c r="C566" i="10"/>
  <c r="C567" i="10"/>
  <c r="C568" i="10"/>
  <c r="C569" i="10"/>
  <c r="C570" i="10"/>
  <c r="C571" i="10"/>
  <c r="C572" i="10"/>
  <c r="C573" i="10"/>
  <c r="C574" i="10"/>
  <c r="E562" i="10"/>
  <c r="E563" i="10"/>
  <c r="E564" i="10"/>
  <c r="E565" i="10"/>
  <c r="E566" i="10"/>
  <c r="E567" i="10"/>
  <c r="E568" i="10"/>
  <c r="E569" i="10"/>
  <c r="E570" i="10"/>
  <c r="E571" i="10"/>
  <c r="E572" i="10"/>
  <c r="E573" i="10"/>
  <c r="E574" i="10"/>
  <c r="P568" i="10"/>
  <c r="N568" i="10" s="1"/>
  <c r="U568" i="10" s="1"/>
  <c r="P569" i="10"/>
  <c r="N569" i="10"/>
  <c r="U569" i="10" s="1"/>
  <c r="P562" i="10"/>
  <c r="N562" i="10" s="1"/>
  <c r="U562" i="10" s="1"/>
  <c r="P563" i="10"/>
  <c r="V563" i="10" s="1"/>
  <c r="P564" i="10"/>
  <c r="N564" i="10"/>
  <c r="U564" i="10" s="1"/>
  <c r="P565" i="10"/>
  <c r="N565" i="10"/>
  <c r="U565" i="10"/>
  <c r="P566" i="10"/>
  <c r="N566" i="10" s="1"/>
  <c r="U566" i="10" s="1"/>
  <c r="P567" i="10"/>
  <c r="V567" i="10" s="1"/>
  <c r="P570" i="10"/>
  <c r="N570" i="10"/>
  <c r="U570" i="10" s="1"/>
  <c r="P571" i="10"/>
  <c r="N571" i="10"/>
  <c r="U571" i="10"/>
  <c r="P572" i="10"/>
  <c r="N572" i="10" s="1"/>
  <c r="U572" i="10" s="1"/>
  <c r="P573" i="10"/>
  <c r="P574" i="10"/>
  <c r="N574" i="10"/>
  <c r="U574" i="10" s="1"/>
  <c r="Q562" i="10"/>
  <c r="Q563" i="10"/>
  <c r="Q564" i="10"/>
  <c r="Q565" i="10"/>
  <c r="Q566" i="10"/>
  <c r="Q567" i="10"/>
  <c r="Q568" i="10"/>
  <c r="Q569" i="10"/>
  <c r="Q570" i="10"/>
  <c r="Q571" i="10"/>
  <c r="Q572" i="10"/>
  <c r="Q573" i="10"/>
  <c r="Q574" i="10"/>
  <c r="R562" i="10"/>
  <c r="R563" i="10"/>
  <c r="R564" i="10"/>
  <c r="R565" i="10"/>
  <c r="R566" i="10"/>
  <c r="R567" i="10"/>
  <c r="R568" i="10"/>
  <c r="R569" i="10"/>
  <c r="R570" i="10"/>
  <c r="R571" i="10"/>
  <c r="R572" i="10"/>
  <c r="R573" i="10"/>
  <c r="R574" i="10"/>
  <c r="S562" i="10"/>
  <c r="S563" i="10"/>
  <c r="S564" i="10"/>
  <c r="S565" i="10"/>
  <c r="S566" i="10"/>
  <c r="S567" i="10"/>
  <c r="S568" i="10"/>
  <c r="S569" i="10"/>
  <c r="S570" i="10"/>
  <c r="S571" i="10"/>
  <c r="S572" i="10"/>
  <c r="S573" i="10"/>
  <c r="S574" i="10"/>
  <c r="V562" i="10"/>
  <c r="V564" i="10"/>
  <c r="V565" i="10"/>
  <c r="V566" i="10"/>
  <c r="V568" i="10"/>
  <c r="V569" i="10"/>
  <c r="V570" i="10"/>
  <c r="V571" i="10"/>
  <c r="V572" i="10"/>
  <c r="V574" i="10"/>
  <c r="W562" i="10"/>
  <c r="W564" i="10"/>
  <c r="W565" i="10"/>
  <c r="W566" i="10"/>
  <c r="W568" i="10"/>
  <c r="W569" i="10"/>
  <c r="W570" i="10"/>
  <c r="W571" i="10"/>
  <c r="W572" i="10"/>
  <c r="W574" i="10"/>
  <c r="CS566" i="1"/>
  <c r="CO566" i="1"/>
  <c r="CK566" i="1"/>
  <c r="CG566" i="1"/>
  <c r="BO566" i="1"/>
  <c r="BP566" i="1" s="1"/>
  <c r="BS566" i="1" s="1"/>
  <c r="F566" i="1"/>
  <c r="G566" i="1"/>
  <c r="BX566" i="1" s="1"/>
  <c r="H566" i="1"/>
  <c r="BY566" i="1" s="1"/>
  <c r="I566" i="1"/>
  <c r="CA566" i="1"/>
  <c r="J566" i="1"/>
  <c r="BZ566" i="1" s="1"/>
  <c r="AM566" i="1"/>
  <c r="AO566" i="1"/>
  <c r="M574" i="10"/>
  <c r="O574" i="10" s="1"/>
  <c r="AP566" i="1"/>
  <c r="AQ566" i="1"/>
  <c r="A566" i="1"/>
  <c r="A574" i="10" s="1"/>
  <c r="AR566" i="1"/>
  <c r="AS566" i="1"/>
  <c r="AT566" i="1"/>
  <c r="AV566" i="1"/>
  <c r="AW566" i="1"/>
  <c r="AX566" i="1"/>
  <c r="AY566" i="1"/>
  <c r="AZ566" i="1"/>
  <c r="BA566" i="1"/>
  <c r="BB566" i="1"/>
  <c r="BC566" i="1"/>
  <c r="BE566" i="1"/>
  <c r="BF566" i="1"/>
  <c r="BG566" i="1"/>
  <c r="BH566" i="1"/>
  <c r="BI566" i="1"/>
  <c r="BJ566" i="1"/>
  <c r="BK566" i="1"/>
  <c r="BN566" i="1"/>
  <c r="BR566" i="1"/>
  <c r="BT566" i="1" s="1"/>
  <c r="BU566" i="1"/>
  <c r="BW566" i="1"/>
  <c r="DD566" i="1"/>
  <c r="DF566" i="1"/>
  <c r="CS565" i="1"/>
  <c r="CO565" i="1"/>
  <c r="CK565" i="1"/>
  <c r="CG565" i="1"/>
  <c r="BO565" i="1"/>
  <c r="F565" i="1"/>
  <c r="G565" i="1"/>
  <c r="H565" i="1"/>
  <c r="BY565" i="1" s="1"/>
  <c r="I565" i="1"/>
  <c r="CA565" i="1" s="1"/>
  <c r="J565" i="1"/>
  <c r="BZ565" i="1" s="1"/>
  <c r="AM565" i="1"/>
  <c r="AO565" i="1"/>
  <c r="M573" i="10" s="1"/>
  <c r="O573" i="10" s="1"/>
  <c r="AP565" i="1"/>
  <c r="AQ565" i="1"/>
  <c r="A565" i="1" s="1"/>
  <c r="A573" i="10" s="1"/>
  <c r="AR565" i="1"/>
  <c r="AS565" i="1" s="1"/>
  <c r="AT565" i="1"/>
  <c r="AV565" i="1"/>
  <c r="AW565" i="1"/>
  <c r="AX565" i="1"/>
  <c r="AY565" i="1"/>
  <c r="AZ565" i="1"/>
  <c r="BA565" i="1"/>
  <c r="BB565" i="1"/>
  <c r="BC565" i="1"/>
  <c r="BE565" i="1"/>
  <c r="BF565" i="1"/>
  <c r="BG565" i="1"/>
  <c r="BH565" i="1"/>
  <c r="BI565" i="1"/>
  <c r="BJ565" i="1"/>
  <c r="BK565" i="1" s="1"/>
  <c r="BN565" i="1"/>
  <c r="BP565" i="1"/>
  <c r="BR565" i="1"/>
  <c r="BT565" i="1" s="1"/>
  <c r="BU565" i="1"/>
  <c r="BW565" i="1"/>
  <c r="BX565" i="1"/>
  <c r="DD565" i="1"/>
  <c r="DF565" i="1"/>
  <c r="CS564" i="1"/>
  <c r="CO564" i="1"/>
  <c r="CK564" i="1"/>
  <c r="CG564" i="1"/>
  <c r="CT564" i="1" s="1"/>
  <c r="BO564" i="1"/>
  <c r="BP564" i="1" s="1"/>
  <c r="F564" i="1"/>
  <c r="BW564" i="1"/>
  <c r="G564" i="1"/>
  <c r="BX564" i="1" s="1"/>
  <c r="H564" i="1"/>
  <c r="BY564" i="1"/>
  <c r="I564" i="1"/>
  <c r="CA564" i="1" s="1"/>
  <c r="J564" i="1"/>
  <c r="BZ564" i="1" s="1"/>
  <c r="AM564" i="1"/>
  <c r="AO564" i="1"/>
  <c r="M572" i="10"/>
  <c r="O572" i="10" s="1"/>
  <c r="AP564" i="1"/>
  <c r="AQ564" i="1"/>
  <c r="A564" i="1"/>
  <c r="A572" i="10" s="1"/>
  <c r="AR564" i="1"/>
  <c r="AS564" i="1" s="1"/>
  <c r="AT564" i="1"/>
  <c r="AV564" i="1"/>
  <c r="AW564" i="1"/>
  <c r="AX564" i="1"/>
  <c r="AY564" i="1"/>
  <c r="AZ564" i="1"/>
  <c r="BA564" i="1"/>
  <c r="BB564" i="1"/>
  <c r="BC564" i="1"/>
  <c r="BE564" i="1"/>
  <c r="BF564" i="1"/>
  <c r="BG564" i="1"/>
  <c r="BH564" i="1"/>
  <c r="BI564" i="1"/>
  <c r="BJ564" i="1"/>
  <c r="BK564" i="1" s="1"/>
  <c r="BN564" i="1"/>
  <c r="BR564" i="1"/>
  <c r="BT564" i="1"/>
  <c r="BU564" i="1"/>
  <c r="DD564" i="1"/>
  <c r="DF564" i="1" s="1"/>
  <c r="CS563" i="1"/>
  <c r="CO563" i="1"/>
  <c r="CK563" i="1"/>
  <c r="CG563" i="1"/>
  <c r="CT563" i="1" s="1"/>
  <c r="BO563" i="1"/>
  <c r="BP563" i="1" s="1"/>
  <c r="F563" i="1"/>
  <c r="G563" i="1"/>
  <c r="BX563" i="1" s="1"/>
  <c r="H563" i="1"/>
  <c r="BY563" i="1" s="1"/>
  <c r="I563" i="1"/>
  <c r="CA563" i="1" s="1"/>
  <c r="J563" i="1"/>
  <c r="BZ563" i="1" s="1"/>
  <c r="AM563" i="1"/>
  <c r="AO563" i="1"/>
  <c r="M571" i="10" s="1"/>
  <c r="O571" i="10" s="1"/>
  <c r="AP563" i="1"/>
  <c r="AQ563" i="1"/>
  <c r="A563" i="1" s="1"/>
  <c r="A571" i="10" s="1"/>
  <c r="AR563" i="1"/>
  <c r="AS563" i="1"/>
  <c r="AT563" i="1"/>
  <c r="AV563" i="1"/>
  <c r="AW563" i="1"/>
  <c r="AX563" i="1"/>
  <c r="AY563" i="1"/>
  <c r="AZ563" i="1"/>
  <c r="BA563" i="1"/>
  <c r="BB563" i="1"/>
  <c r="BC563" i="1"/>
  <c r="BE563" i="1"/>
  <c r="BF563" i="1"/>
  <c r="BG563" i="1"/>
  <c r="BH563" i="1"/>
  <c r="BI563" i="1"/>
  <c r="BJ563" i="1"/>
  <c r="BK563" i="1"/>
  <c r="BN563" i="1"/>
  <c r="BR563" i="1"/>
  <c r="BT563" i="1" s="1"/>
  <c r="BU563" i="1"/>
  <c r="BW563" i="1"/>
  <c r="DD563" i="1"/>
  <c r="DE563" i="1" s="1"/>
  <c r="CS562" i="1"/>
  <c r="CO562" i="1"/>
  <c r="CK562" i="1"/>
  <c r="CG562" i="1"/>
  <c r="CT562" i="1"/>
  <c r="CU562" i="1" s="1"/>
  <c r="F570" i="10" s="1"/>
  <c r="BO562" i="1"/>
  <c r="BP562" i="1" s="1"/>
  <c r="BS562" i="1" s="1"/>
  <c r="F562" i="1"/>
  <c r="BW562" i="1"/>
  <c r="G562" i="1"/>
  <c r="BX562" i="1" s="1"/>
  <c r="H562" i="1"/>
  <c r="I562" i="1"/>
  <c r="CA562" i="1"/>
  <c r="J562" i="1"/>
  <c r="BZ562" i="1" s="1"/>
  <c r="AM562" i="1"/>
  <c r="AO562" i="1"/>
  <c r="M570" i="10"/>
  <c r="O570" i="10" s="1"/>
  <c r="AP562" i="1"/>
  <c r="AQ562" i="1"/>
  <c r="A562" i="1" s="1"/>
  <c r="A570" i="10" s="1"/>
  <c r="AR562" i="1"/>
  <c r="AS562" i="1" s="1"/>
  <c r="AT562" i="1"/>
  <c r="AV562" i="1"/>
  <c r="AW562" i="1"/>
  <c r="AX562" i="1"/>
  <c r="AY562" i="1"/>
  <c r="AZ562" i="1"/>
  <c r="BA562" i="1"/>
  <c r="BB562" i="1"/>
  <c r="BC562" i="1"/>
  <c r="BE562" i="1"/>
  <c r="BF562" i="1"/>
  <c r="BG562" i="1"/>
  <c r="BH562" i="1"/>
  <c r="BI562" i="1"/>
  <c r="BJ562" i="1"/>
  <c r="BK562" i="1" s="1"/>
  <c r="BN562" i="1"/>
  <c r="BR562" i="1"/>
  <c r="BT562" i="1"/>
  <c r="BU562" i="1"/>
  <c r="BY562" i="1"/>
  <c r="DD562" i="1"/>
  <c r="DE562" i="1"/>
  <c r="CS561" i="1"/>
  <c r="CO561" i="1"/>
  <c r="CK561" i="1"/>
  <c r="CG561" i="1"/>
  <c r="BO561" i="1"/>
  <c r="BP561" i="1"/>
  <c r="F561" i="1"/>
  <c r="BW561" i="1"/>
  <c r="G561" i="1"/>
  <c r="BX561" i="1"/>
  <c r="H561" i="1"/>
  <c r="BY561" i="1"/>
  <c r="I561" i="1"/>
  <c r="CA561" i="1"/>
  <c r="J561" i="1"/>
  <c r="BZ561" i="1"/>
  <c r="AM561" i="1"/>
  <c r="AO561" i="1"/>
  <c r="M569" i="10" s="1"/>
  <c r="O569" i="10" s="1"/>
  <c r="AP561" i="1"/>
  <c r="AQ561" i="1"/>
  <c r="A561" i="1" s="1"/>
  <c r="A569" i="10" s="1"/>
  <c r="AR561" i="1"/>
  <c r="AS561" i="1"/>
  <c r="AT561" i="1"/>
  <c r="AV561" i="1"/>
  <c r="AW561" i="1"/>
  <c r="AX561" i="1"/>
  <c r="AY561" i="1"/>
  <c r="AZ561" i="1"/>
  <c r="BA561" i="1"/>
  <c r="BB561" i="1"/>
  <c r="BC561" i="1"/>
  <c r="BE561" i="1"/>
  <c r="BF561" i="1"/>
  <c r="BG561" i="1"/>
  <c r="BH561" i="1"/>
  <c r="BI561" i="1"/>
  <c r="BJ561" i="1"/>
  <c r="BK561" i="1"/>
  <c r="BN561" i="1"/>
  <c r="BR561" i="1"/>
  <c r="BT561" i="1" s="1"/>
  <c r="BU561" i="1"/>
  <c r="DD561" i="1"/>
  <c r="DE561" i="1"/>
  <c r="CS560" i="1"/>
  <c r="CO560" i="1"/>
  <c r="CK560" i="1"/>
  <c r="CG560" i="1"/>
  <c r="CT560" i="1" s="1"/>
  <c r="CU560" i="1" s="1"/>
  <c r="BO560" i="1"/>
  <c r="BP560" i="1"/>
  <c r="BN560" i="1"/>
  <c r="F560" i="1"/>
  <c r="BW560" i="1" s="1"/>
  <c r="G560" i="1"/>
  <c r="BX560" i="1" s="1"/>
  <c r="H560" i="1"/>
  <c r="BY560" i="1" s="1"/>
  <c r="I560" i="1"/>
  <c r="CA560" i="1" s="1"/>
  <c r="J560" i="1"/>
  <c r="BZ560" i="1"/>
  <c r="AM560" i="1"/>
  <c r="AO560" i="1"/>
  <c r="M568" i="10"/>
  <c r="O568" i="10"/>
  <c r="AP560" i="1"/>
  <c r="AQ560" i="1"/>
  <c r="A560" i="1"/>
  <c r="A568" i="10"/>
  <c r="AR560" i="1"/>
  <c r="AS560" i="1" s="1"/>
  <c r="AT560" i="1"/>
  <c r="AV560" i="1"/>
  <c r="AW560" i="1"/>
  <c r="AX560" i="1"/>
  <c r="AY560" i="1"/>
  <c r="AZ560" i="1"/>
  <c r="BA560" i="1"/>
  <c r="BB560" i="1"/>
  <c r="BC560" i="1"/>
  <c r="BE560" i="1"/>
  <c r="BF560" i="1"/>
  <c r="BG560" i="1"/>
  <c r="BH560" i="1"/>
  <c r="BI560" i="1"/>
  <c r="BJ560" i="1"/>
  <c r="BK560" i="1" s="1"/>
  <c r="BR560" i="1"/>
  <c r="BT560" i="1" s="1"/>
  <c r="BU560" i="1"/>
  <c r="DD560" i="1"/>
  <c r="DE560" i="1"/>
  <c r="CS559" i="1"/>
  <c r="CO559" i="1"/>
  <c r="CK559" i="1"/>
  <c r="CG559" i="1"/>
  <c r="BO559" i="1"/>
  <c r="BP559" i="1" s="1"/>
  <c r="F559" i="1"/>
  <c r="BW559" i="1" s="1"/>
  <c r="G559" i="1"/>
  <c r="BX559" i="1" s="1"/>
  <c r="H559" i="1"/>
  <c r="BY559" i="1" s="1"/>
  <c r="I559" i="1"/>
  <c r="CA559" i="1"/>
  <c r="J559" i="1"/>
  <c r="BZ559" i="1" s="1"/>
  <c r="AM559" i="1"/>
  <c r="AO559" i="1"/>
  <c r="M567" i="10"/>
  <c r="O567" i="10" s="1"/>
  <c r="AP559" i="1"/>
  <c r="AQ559" i="1"/>
  <c r="A559" i="1"/>
  <c r="A567" i="10" s="1"/>
  <c r="AR559" i="1"/>
  <c r="AS559" i="1" s="1"/>
  <c r="AT559" i="1"/>
  <c r="AV559" i="1"/>
  <c r="AW559" i="1"/>
  <c r="AX559" i="1"/>
  <c r="AY559" i="1"/>
  <c r="AZ559" i="1"/>
  <c r="BA559" i="1"/>
  <c r="BB559" i="1"/>
  <c r="BC559" i="1"/>
  <c r="BE559" i="1"/>
  <c r="BF559" i="1"/>
  <c r="BG559" i="1"/>
  <c r="BH559" i="1"/>
  <c r="BI559" i="1"/>
  <c r="BJ559" i="1"/>
  <c r="BK559" i="1" s="1"/>
  <c r="BN559" i="1"/>
  <c r="BR559" i="1"/>
  <c r="BT559" i="1" s="1"/>
  <c r="BU559" i="1"/>
  <c r="DD559" i="1"/>
  <c r="DF559" i="1" s="1"/>
  <c r="CS558" i="1"/>
  <c r="CO558" i="1"/>
  <c r="CK558" i="1"/>
  <c r="CT558" i="1" s="1"/>
  <c r="CG558" i="1"/>
  <c r="BO558" i="1"/>
  <c r="BP558" i="1"/>
  <c r="F558" i="1"/>
  <c r="BW558" i="1"/>
  <c r="G558" i="1"/>
  <c r="BX558" i="1"/>
  <c r="H558" i="1"/>
  <c r="BY558" i="1"/>
  <c r="I558" i="1"/>
  <c r="CA558" i="1"/>
  <c r="J558" i="1"/>
  <c r="BZ558" i="1"/>
  <c r="AM558" i="1"/>
  <c r="AO558" i="1"/>
  <c r="M566" i="10"/>
  <c r="O566" i="10"/>
  <c r="AP558" i="1"/>
  <c r="AQ558" i="1"/>
  <c r="A558" i="1"/>
  <c r="A566" i="10"/>
  <c r="AR558" i="1"/>
  <c r="AS558" i="1"/>
  <c r="AT558" i="1"/>
  <c r="AV558" i="1"/>
  <c r="AW558" i="1"/>
  <c r="AX558" i="1"/>
  <c r="AY558" i="1"/>
  <c r="AZ558" i="1"/>
  <c r="BA558" i="1"/>
  <c r="BB558" i="1"/>
  <c r="BC558" i="1"/>
  <c r="BE558" i="1"/>
  <c r="BF558" i="1"/>
  <c r="BG558" i="1"/>
  <c r="BH558" i="1"/>
  <c r="BI558" i="1"/>
  <c r="BJ558" i="1"/>
  <c r="BK558" i="1"/>
  <c r="BN558" i="1"/>
  <c r="BR558" i="1"/>
  <c r="BT558" i="1" s="1"/>
  <c r="BU558" i="1"/>
  <c r="DD558" i="1"/>
  <c r="DF558" i="1" s="1"/>
  <c r="DE558" i="1"/>
  <c r="CS557" i="1"/>
  <c r="CT557" i="1" s="1"/>
  <c r="CU557" i="1" s="1"/>
  <c r="CO557" i="1"/>
  <c r="CK557" i="1"/>
  <c r="CG557" i="1"/>
  <c r="BO557" i="1"/>
  <c r="F557" i="1"/>
  <c r="BW557" i="1" s="1"/>
  <c r="G557" i="1"/>
  <c r="BX557" i="1"/>
  <c r="H557" i="1"/>
  <c r="BY557" i="1" s="1"/>
  <c r="I557" i="1"/>
  <c r="CA557" i="1"/>
  <c r="J557" i="1"/>
  <c r="BZ557" i="1" s="1"/>
  <c r="AM557" i="1"/>
  <c r="AO557" i="1"/>
  <c r="M565" i="10" s="1"/>
  <c r="O565" i="10" s="1"/>
  <c r="AP557" i="1"/>
  <c r="AQ557" i="1"/>
  <c r="A557" i="1" s="1"/>
  <c r="A565" i="10" s="1"/>
  <c r="AR557" i="1"/>
  <c r="AS557" i="1"/>
  <c r="AT557" i="1"/>
  <c r="AV557" i="1"/>
  <c r="AW557" i="1"/>
  <c r="AX557" i="1"/>
  <c r="AY557" i="1"/>
  <c r="AZ557" i="1"/>
  <c r="BA557" i="1"/>
  <c r="BB557" i="1"/>
  <c r="BC557" i="1"/>
  <c r="BE557" i="1"/>
  <c r="BF557" i="1"/>
  <c r="BG557" i="1"/>
  <c r="BH557" i="1"/>
  <c r="BI557" i="1"/>
  <c r="BJ557" i="1"/>
  <c r="BK557" i="1"/>
  <c r="BN557" i="1"/>
  <c r="BR557" i="1"/>
  <c r="BT557" i="1"/>
  <c r="BU557" i="1"/>
  <c r="DD557" i="1"/>
  <c r="CS556" i="1"/>
  <c r="CO556" i="1"/>
  <c r="CK556" i="1"/>
  <c r="CG556" i="1"/>
  <c r="BO556" i="1"/>
  <c r="BP556" i="1"/>
  <c r="BS556" i="1" s="1"/>
  <c r="F556" i="1"/>
  <c r="BW556" i="1" s="1"/>
  <c r="G556" i="1"/>
  <c r="BX556" i="1"/>
  <c r="H556" i="1"/>
  <c r="BY556" i="1" s="1"/>
  <c r="I556" i="1"/>
  <c r="CA556" i="1" s="1"/>
  <c r="J556" i="1"/>
  <c r="BZ556" i="1" s="1"/>
  <c r="AM556" i="1"/>
  <c r="AO556" i="1"/>
  <c r="M564" i="10" s="1"/>
  <c r="O564" i="10" s="1"/>
  <c r="AP556" i="1"/>
  <c r="AQ556" i="1"/>
  <c r="A556" i="1" s="1"/>
  <c r="A564" i="10" s="1"/>
  <c r="AR556" i="1"/>
  <c r="AS556" i="1"/>
  <c r="AT556" i="1"/>
  <c r="AV556" i="1"/>
  <c r="AW556" i="1"/>
  <c r="AX556" i="1"/>
  <c r="AY556" i="1"/>
  <c r="AZ556" i="1"/>
  <c r="BA556" i="1"/>
  <c r="BB556" i="1"/>
  <c r="BC556" i="1"/>
  <c r="BE556" i="1"/>
  <c r="BF556" i="1"/>
  <c r="BG556" i="1"/>
  <c r="BH556" i="1"/>
  <c r="BI556" i="1"/>
  <c r="BJ556" i="1"/>
  <c r="BK556" i="1"/>
  <c r="BN556" i="1"/>
  <c r="BR556" i="1"/>
  <c r="BT556" i="1"/>
  <c r="BU556" i="1"/>
  <c r="DD556" i="1"/>
  <c r="CS555" i="1"/>
  <c r="CO555" i="1"/>
  <c r="CK555" i="1"/>
  <c r="CT555" i="1" s="1"/>
  <c r="L563" i="10" s="1"/>
  <c r="CG555" i="1"/>
  <c r="BO555" i="1"/>
  <c r="F555" i="1"/>
  <c r="BW555" i="1"/>
  <c r="G555" i="1"/>
  <c r="BX555" i="1"/>
  <c r="H555" i="1"/>
  <c r="BY555" i="1"/>
  <c r="I555" i="1"/>
  <c r="CA555" i="1"/>
  <c r="J555" i="1"/>
  <c r="BZ555" i="1"/>
  <c r="AM555" i="1"/>
  <c r="AO555" i="1"/>
  <c r="M563" i="10" s="1"/>
  <c r="O563" i="10" s="1"/>
  <c r="AP555" i="1"/>
  <c r="AQ555" i="1"/>
  <c r="A555" i="1" s="1"/>
  <c r="A563" i="10" s="1"/>
  <c r="AR555" i="1"/>
  <c r="AS555" i="1"/>
  <c r="AT555" i="1"/>
  <c r="AV555" i="1"/>
  <c r="AW555" i="1"/>
  <c r="AX555" i="1"/>
  <c r="AY555" i="1"/>
  <c r="AZ555" i="1"/>
  <c r="BA555" i="1"/>
  <c r="BB555" i="1"/>
  <c r="BC555" i="1"/>
  <c r="BE555" i="1"/>
  <c r="BF555" i="1"/>
  <c r="BG555" i="1"/>
  <c r="BH555" i="1"/>
  <c r="BI555" i="1"/>
  <c r="BJ555" i="1"/>
  <c r="BK555" i="1"/>
  <c r="BN555" i="1"/>
  <c r="BP555" i="1"/>
  <c r="BR555" i="1"/>
  <c r="BT555" i="1"/>
  <c r="BU555" i="1"/>
  <c r="DD555" i="1"/>
  <c r="CS554" i="1"/>
  <c r="CT554" i="1" s="1"/>
  <c r="CO554" i="1"/>
  <c r="CK554" i="1"/>
  <c r="CG554" i="1"/>
  <c r="BO554" i="1"/>
  <c r="F554" i="1"/>
  <c r="BW554" i="1" s="1"/>
  <c r="G554" i="1"/>
  <c r="BX554" i="1"/>
  <c r="H554" i="1"/>
  <c r="BY554" i="1" s="1"/>
  <c r="I554" i="1"/>
  <c r="CA554" i="1"/>
  <c r="J554" i="1"/>
  <c r="BZ554" i="1" s="1"/>
  <c r="AM554" i="1"/>
  <c r="AO554" i="1"/>
  <c r="M562" i="10"/>
  <c r="O562" i="10" s="1"/>
  <c r="AP554" i="1"/>
  <c r="AQ554" i="1"/>
  <c r="A554" i="1" s="1"/>
  <c r="A562" i="10" s="1"/>
  <c r="AR554" i="1"/>
  <c r="AS554" i="1"/>
  <c r="AT554" i="1"/>
  <c r="AV554" i="1"/>
  <c r="AW554" i="1"/>
  <c r="AX554" i="1"/>
  <c r="AY554" i="1"/>
  <c r="AZ554" i="1"/>
  <c r="BA554" i="1"/>
  <c r="BB554" i="1"/>
  <c r="BC554" i="1"/>
  <c r="BE554" i="1"/>
  <c r="BF554" i="1"/>
  <c r="BG554" i="1"/>
  <c r="BH554" i="1"/>
  <c r="BI554" i="1"/>
  <c r="BJ554" i="1"/>
  <c r="BK554" i="1"/>
  <c r="BN554" i="1"/>
  <c r="BR554" i="1"/>
  <c r="BT554" i="1"/>
  <c r="BU554" i="1"/>
  <c r="DD554" i="1"/>
  <c r="DE554" i="1" s="1"/>
  <c r="L570" i="10"/>
  <c r="CT566" i="1"/>
  <c r="BS559" i="1"/>
  <c r="BS564" i="1"/>
  <c r="CT565" i="1"/>
  <c r="L573" i="10" s="1"/>
  <c r="CT561" i="1"/>
  <c r="CV566" i="1"/>
  <c r="CW566" i="1" s="1"/>
  <c r="DE566" i="1"/>
  <c r="CV565" i="1"/>
  <c r="CW565" i="1" s="1"/>
  <c r="BS565" i="1"/>
  <c r="DE565" i="1"/>
  <c r="DE564" i="1"/>
  <c r="DF563" i="1"/>
  <c r="CZ562" i="1"/>
  <c r="CX562" i="1"/>
  <c r="G570" i="10" s="1"/>
  <c r="K570" i="10" s="1"/>
  <c r="CV562" i="1"/>
  <c r="CW562" i="1"/>
  <c r="H570" i="10" s="1"/>
  <c r="DF562" i="1"/>
  <c r="BS561" i="1"/>
  <c r="DF561" i="1"/>
  <c r="CV560" i="1"/>
  <c r="CW560" i="1" s="1"/>
  <c r="H568" i="10" s="1"/>
  <c r="DF560" i="1"/>
  <c r="CV557" i="1"/>
  <c r="CT556" i="1"/>
  <c r="BS555" i="1"/>
  <c r="DF554" i="1"/>
  <c r="BO539" i="1"/>
  <c r="CU555" i="1"/>
  <c r="H573" i="10"/>
  <c r="CU566" i="1"/>
  <c r="CY566" i="1" s="1"/>
  <c r="H574" i="10"/>
  <c r="L574" i="10"/>
  <c r="L565" i="10"/>
  <c r="CU565" i="1"/>
  <c r="CV555" i="1"/>
  <c r="CW555" i="1" s="1"/>
  <c r="N257" i="21"/>
  <c r="O257" i="21"/>
  <c r="P257" i="21"/>
  <c r="Q257" i="21"/>
  <c r="R257" i="21"/>
  <c r="U257" i="21" s="1"/>
  <c r="S257" i="21"/>
  <c r="T257" i="21"/>
  <c r="N266" i="21"/>
  <c r="O266" i="21"/>
  <c r="P266" i="21"/>
  <c r="Q266" i="21"/>
  <c r="R266" i="21"/>
  <c r="U266" i="21" s="1"/>
  <c r="S266" i="21"/>
  <c r="T266" i="21"/>
  <c r="N259" i="21"/>
  <c r="O259" i="21"/>
  <c r="P259" i="21"/>
  <c r="Q259" i="21"/>
  <c r="R259" i="21"/>
  <c r="U259" i="21" s="1"/>
  <c r="S259" i="21"/>
  <c r="T259" i="21"/>
  <c r="N260" i="21"/>
  <c r="O260" i="21"/>
  <c r="P260" i="21"/>
  <c r="Q260" i="21"/>
  <c r="R260" i="21"/>
  <c r="U260" i="21" s="1"/>
  <c r="S260" i="21"/>
  <c r="T260" i="21"/>
  <c r="N220" i="21"/>
  <c r="O220" i="21"/>
  <c r="P220" i="21"/>
  <c r="Q220" i="21"/>
  <c r="R220" i="21"/>
  <c r="U220" i="21" s="1"/>
  <c r="S220" i="21"/>
  <c r="T220" i="21"/>
  <c r="N221" i="21"/>
  <c r="O221" i="21"/>
  <c r="P221" i="21"/>
  <c r="Q221" i="21"/>
  <c r="R221" i="21"/>
  <c r="U221" i="21" s="1"/>
  <c r="S221" i="21"/>
  <c r="T221" i="21"/>
  <c r="T223" i="21"/>
  <c r="S223" i="21"/>
  <c r="R223" i="21"/>
  <c r="U223" i="21" s="1"/>
  <c r="Q223" i="21"/>
  <c r="P223" i="21"/>
  <c r="O223" i="21"/>
  <c r="N223" i="21"/>
  <c r="T224" i="21"/>
  <c r="S224" i="21"/>
  <c r="R224" i="21"/>
  <c r="U224" i="21" s="1"/>
  <c r="Q224" i="21"/>
  <c r="P224" i="21"/>
  <c r="O224" i="21"/>
  <c r="N224" i="21"/>
  <c r="N286" i="21"/>
  <c r="O286" i="21"/>
  <c r="P286" i="21"/>
  <c r="Q286" i="21"/>
  <c r="R286" i="21"/>
  <c r="U286" i="21" s="1"/>
  <c r="S286" i="21"/>
  <c r="T286" i="21"/>
  <c r="N285" i="21"/>
  <c r="O285" i="21"/>
  <c r="P285" i="21"/>
  <c r="Q285" i="21"/>
  <c r="R285" i="21"/>
  <c r="U285" i="21" s="1"/>
  <c r="S285" i="21"/>
  <c r="T285" i="21"/>
  <c r="T22" i="21"/>
  <c r="S22" i="21"/>
  <c r="R22" i="21"/>
  <c r="U22" i="21" s="1"/>
  <c r="Q22" i="21"/>
  <c r="P22" i="21"/>
  <c r="O22" i="21"/>
  <c r="N22" i="21"/>
  <c r="N284" i="21"/>
  <c r="O284" i="21"/>
  <c r="P284" i="21"/>
  <c r="Q284" i="21"/>
  <c r="R284" i="21"/>
  <c r="U284" i="21" s="1"/>
  <c r="S284" i="21"/>
  <c r="T284" i="21"/>
  <c r="N283" i="21"/>
  <c r="O283" i="21"/>
  <c r="P283" i="21"/>
  <c r="Q283" i="21"/>
  <c r="R283" i="21"/>
  <c r="U283" i="21" s="1"/>
  <c r="S283" i="21"/>
  <c r="T283" i="21"/>
  <c r="N280" i="21"/>
  <c r="O280" i="21"/>
  <c r="P280" i="21"/>
  <c r="Q280" i="21"/>
  <c r="R280" i="21"/>
  <c r="U280" i="21" s="1"/>
  <c r="S280" i="21"/>
  <c r="T280" i="21"/>
  <c r="N279" i="21"/>
  <c r="O279" i="21"/>
  <c r="P279" i="21"/>
  <c r="Q279" i="21"/>
  <c r="R279" i="21"/>
  <c r="U279" i="21" s="1"/>
  <c r="S279" i="21"/>
  <c r="T279" i="21"/>
  <c r="N290" i="21"/>
  <c r="O290" i="21"/>
  <c r="P290" i="21"/>
  <c r="Q290" i="21"/>
  <c r="R290" i="21"/>
  <c r="U290" i="21" s="1"/>
  <c r="S290" i="21"/>
  <c r="T290" i="21"/>
  <c r="N293" i="21"/>
  <c r="O293" i="21"/>
  <c r="P293" i="21"/>
  <c r="Q293" i="21"/>
  <c r="R293" i="21"/>
  <c r="U293" i="21" s="1"/>
  <c r="S293" i="21"/>
  <c r="T293" i="21"/>
  <c r="N300" i="21"/>
  <c r="O300" i="21"/>
  <c r="P300" i="21"/>
  <c r="Q300" i="21"/>
  <c r="R300" i="21"/>
  <c r="U300" i="21" s="1"/>
  <c r="S300" i="21"/>
  <c r="T300" i="21"/>
  <c r="N228" i="21"/>
  <c r="O228" i="21"/>
  <c r="P228" i="21"/>
  <c r="Q228" i="21"/>
  <c r="R228" i="21"/>
  <c r="U228" i="21" s="1"/>
  <c r="S228" i="21"/>
  <c r="T228" i="21"/>
  <c r="N282" i="21"/>
  <c r="O282" i="21"/>
  <c r="P282" i="21"/>
  <c r="Q282" i="21"/>
  <c r="R282" i="21"/>
  <c r="U282" i="21" s="1"/>
  <c r="S282" i="21"/>
  <c r="T282" i="21"/>
  <c r="N295" i="21"/>
  <c r="O295" i="21"/>
  <c r="P295" i="21"/>
  <c r="Q295" i="21"/>
  <c r="R295" i="21"/>
  <c r="U295" i="21" s="1"/>
  <c r="S295" i="21"/>
  <c r="T295" i="21"/>
  <c r="N294" i="21"/>
  <c r="O294" i="21"/>
  <c r="P294" i="21"/>
  <c r="Q294" i="21"/>
  <c r="R294" i="21"/>
  <c r="U294" i="21" s="1"/>
  <c r="S294" i="21"/>
  <c r="T294" i="21"/>
  <c r="I11" i="15"/>
  <c r="L5" i="15"/>
  <c r="I10" i="15"/>
  <c r="L151" i="16"/>
  <c r="M151" i="16"/>
  <c r="N151" i="16"/>
  <c r="O151" i="16"/>
  <c r="L150" i="16"/>
  <c r="M150" i="16"/>
  <c r="N150" i="16"/>
  <c r="O150" i="16"/>
  <c r="AQ545" i="1"/>
  <c r="A545" i="1"/>
  <c r="A553" i="10"/>
  <c r="AQ546" i="1"/>
  <c r="A546" i="1" s="1"/>
  <c r="A554" i="10" s="1"/>
  <c r="AQ547" i="1"/>
  <c r="A547" i="1" s="1"/>
  <c r="A555" i="10" s="1"/>
  <c r="AQ548" i="1"/>
  <c r="A548" i="1"/>
  <c r="A556" i="10" s="1"/>
  <c r="AQ549" i="1"/>
  <c r="A549" i="1"/>
  <c r="A557" i="10"/>
  <c r="AQ550" i="1"/>
  <c r="A550" i="1" s="1"/>
  <c r="A558" i="10" s="1"/>
  <c r="AQ551" i="1"/>
  <c r="A551" i="1" s="1"/>
  <c r="A559" i="10" s="1"/>
  <c r="AQ552" i="1"/>
  <c r="A552" i="1"/>
  <c r="A560" i="10" s="1"/>
  <c r="AQ553" i="1"/>
  <c r="A553" i="1"/>
  <c r="A561" i="10"/>
  <c r="C553" i="10"/>
  <c r="C554" i="10"/>
  <c r="C555" i="10"/>
  <c r="C556" i="10"/>
  <c r="C557" i="10"/>
  <c r="C558" i="10"/>
  <c r="C559" i="10"/>
  <c r="C560" i="10"/>
  <c r="C561" i="10"/>
  <c r="E553" i="10"/>
  <c r="E554" i="10"/>
  <c r="E555" i="10"/>
  <c r="E556" i="10"/>
  <c r="E557" i="10"/>
  <c r="E558" i="10"/>
  <c r="E559" i="10"/>
  <c r="E560" i="10"/>
  <c r="E561" i="10"/>
  <c r="CG545" i="1"/>
  <c r="CK545" i="1"/>
  <c r="CO545" i="1"/>
  <c r="CS545" i="1"/>
  <c r="CG546" i="1"/>
  <c r="CK546" i="1"/>
  <c r="CO546" i="1"/>
  <c r="CS546" i="1"/>
  <c r="CG547" i="1"/>
  <c r="CK547" i="1"/>
  <c r="CO547" i="1"/>
  <c r="CS547" i="1"/>
  <c r="CG548" i="1"/>
  <c r="CK548" i="1"/>
  <c r="CO548" i="1"/>
  <c r="CS548" i="1"/>
  <c r="CG549" i="1"/>
  <c r="CK549" i="1"/>
  <c r="CO549" i="1"/>
  <c r="CS549" i="1"/>
  <c r="CG550" i="1"/>
  <c r="CK550" i="1"/>
  <c r="CO550" i="1"/>
  <c r="CS550" i="1"/>
  <c r="CG551" i="1"/>
  <c r="CK551" i="1"/>
  <c r="CO551" i="1"/>
  <c r="CS551" i="1"/>
  <c r="CG552" i="1"/>
  <c r="CK552" i="1"/>
  <c r="CO552" i="1"/>
  <c r="CS552" i="1"/>
  <c r="CG553" i="1"/>
  <c r="CK553" i="1"/>
  <c r="CO553" i="1"/>
  <c r="CS553" i="1"/>
  <c r="AO550" i="1"/>
  <c r="M558" i="10"/>
  <c r="P558" i="10"/>
  <c r="N558" i="10" s="1"/>
  <c r="U558" i="10" s="1"/>
  <c r="P560" i="10"/>
  <c r="N560" i="10" s="1"/>
  <c r="U560" i="10" s="1"/>
  <c r="P553" i="10"/>
  <c r="V553" i="10"/>
  <c r="P554" i="10"/>
  <c r="V554" i="10" s="1"/>
  <c r="P555" i="10"/>
  <c r="V555" i="10"/>
  <c r="P556" i="10"/>
  <c r="N556" i="10" s="1"/>
  <c r="U556" i="10" s="1"/>
  <c r="P557" i="10"/>
  <c r="N557" i="10" s="1"/>
  <c r="U557" i="10" s="1"/>
  <c r="P559" i="10"/>
  <c r="N559" i="10"/>
  <c r="U559" i="10" s="1"/>
  <c r="P561" i="10"/>
  <c r="N561" i="10"/>
  <c r="U561" i="10"/>
  <c r="Q553" i="10"/>
  <c r="Q554" i="10"/>
  <c r="Q555" i="10"/>
  <c r="Q556" i="10"/>
  <c r="Q557" i="10"/>
  <c r="Q558" i="10"/>
  <c r="Q559" i="10"/>
  <c r="Q560" i="10"/>
  <c r="Q561" i="10"/>
  <c r="R553" i="10"/>
  <c r="R554" i="10"/>
  <c r="R555" i="10"/>
  <c r="R556" i="10"/>
  <c r="R557" i="10"/>
  <c r="R558" i="10"/>
  <c r="R559" i="10"/>
  <c r="R560" i="10"/>
  <c r="R561" i="10"/>
  <c r="S553" i="10"/>
  <c r="S554" i="10"/>
  <c r="S555" i="10"/>
  <c r="S556" i="10"/>
  <c r="S557" i="10"/>
  <c r="S558" i="10"/>
  <c r="S559" i="10"/>
  <c r="S560" i="10"/>
  <c r="S561" i="10"/>
  <c r="BO553" i="1"/>
  <c r="BP553" i="1" s="1"/>
  <c r="F553" i="1"/>
  <c r="BW553" i="1"/>
  <c r="G553" i="1"/>
  <c r="BX553" i="1" s="1"/>
  <c r="H553" i="1"/>
  <c r="BY553" i="1"/>
  <c r="I553" i="1"/>
  <c r="CA553" i="1" s="1"/>
  <c r="J553" i="1"/>
  <c r="BZ553" i="1"/>
  <c r="AM553" i="1"/>
  <c r="AO553" i="1"/>
  <c r="M561" i="10" s="1"/>
  <c r="AP553" i="1"/>
  <c r="AR553" i="1"/>
  <c r="AS553" i="1" s="1"/>
  <c r="AT553" i="1"/>
  <c r="AV553" i="1"/>
  <c r="AW553" i="1"/>
  <c r="AX553" i="1"/>
  <c r="AY553" i="1"/>
  <c r="AZ553" i="1"/>
  <c r="BA553" i="1"/>
  <c r="BB553" i="1"/>
  <c r="BC553" i="1"/>
  <c r="BE553" i="1"/>
  <c r="BF553" i="1"/>
  <c r="BG553" i="1"/>
  <c r="BH553" i="1"/>
  <c r="BI553" i="1"/>
  <c r="BJ553" i="1"/>
  <c r="BK553" i="1" s="1"/>
  <c r="BN553" i="1"/>
  <c r="BR553" i="1"/>
  <c r="BU553" i="1"/>
  <c r="DD553" i="1"/>
  <c r="BO552" i="1"/>
  <c r="BP552" i="1"/>
  <c r="F552" i="1"/>
  <c r="BW552" i="1" s="1"/>
  <c r="G552" i="1"/>
  <c r="BX552" i="1"/>
  <c r="H552" i="1"/>
  <c r="BY552" i="1" s="1"/>
  <c r="I552" i="1"/>
  <c r="CA552" i="1"/>
  <c r="J552" i="1"/>
  <c r="BZ552" i="1" s="1"/>
  <c r="AM552" i="1"/>
  <c r="AO552" i="1"/>
  <c r="M560" i="10"/>
  <c r="AP552" i="1"/>
  <c r="AR552" i="1"/>
  <c r="AS552" i="1"/>
  <c r="AT552" i="1"/>
  <c r="AV552" i="1"/>
  <c r="AW552" i="1"/>
  <c r="AX552" i="1"/>
  <c r="AY552" i="1"/>
  <c r="AZ552" i="1"/>
  <c r="BA552" i="1"/>
  <c r="BB552" i="1"/>
  <c r="BC552" i="1"/>
  <c r="BE552" i="1"/>
  <c r="BF552" i="1"/>
  <c r="BG552" i="1"/>
  <c r="BH552" i="1"/>
  <c r="BI552" i="1"/>
  <c r="BJ552" i="1"/>
  <c r="BK552" i="1"/>
  <c r="BN552" i="1"/>
  <c r="BR552" i="1"/>
  <c r="BT552" i="1" s="1"/>
  <c r="BU552" i="1"/>
  <c r="DD552" i="1"/>
  <c r="DE552" i="1" s="1"/>
  <c r="BO551" i="1"/>
  <c r="BP551" i="1"/>
  <c r="F551" i="1"/>
  <c r="BW551" i="1" s="1"/>
  <c r="G551" i="1"/>
  <c r="BX551" i="1"/>
  <c r="H551" i="1"/>
  <c r="BY551" i="1" s="1"/>
  <c r="I551" i="1"/>
  <c r="CA551" i="1"/>
  <c r="J551" i="1"/>
  <c r="BZ551" i="1" s="1"/>
  <c r="AM551" i="1"/>
  <c r="AO551" i="1"/>
  <c r="M559" i="10"/>
  <c r="AP551" i="1"/>
  <c r="AR551" i="1"/>
  <c r="AS551" i="1"/>
  <c r="AT551" i="1"/>
  <c r="AV551" i="1"/>
  <c r="AW551" i="1"/>
  <c r="AX551" i="1"/>
  <c r="AY551" i="1"/>
  <c r="AZ551" i="1"/>
  <c r="BA551" i="1"/>
  <c r="BB551" i="1"/>
  <c r="BC551" i="1"/>
  <c r="BE551" i="1"/>
  <c r="BF551" i="1"/>
  <c r="BG551" i="1"/>
  <c r="BH551" i="1"/>
  <c r="BI551" i="1"/>
  <c r="BJ551" i="1"/>
  <c r="BK551" i="1"/>
  <c r="BN551" i="1"/>
  <c r="BR551" i="1"/>
  <c r="BT551" i="1" s="1"/>
  <c r="BU551" i="1"/>
  <c r="DD551" i="1"/>
  <c r="DF551" i="1" s="1"/>
  <c r="BO550" i="1"/>
  <c r="BP550" i="1"/>
  <c r="F550" i="1"/>
  <c r="BW550" i="1" s="1"/>
  <c r="G550" i="1"/>
  <c r="BX550" i="1"/>
  <c r="H550" i="1"/>
  <c r="BY550" i="1" s="1"/>
  <c r="I550" i="1"/>
  <c r="CA550" i="1"/>
  <c r="J550" i="1"/>
  <c r="BZ550" i="1" s="1"/>
  <c r="AM550" i="1"/>
  <c r="AP550" i="1"/>
  <c r="AR550" i="1"/>
  <c r="AS550" i="1" s="1"/>
  <c r="AT550" i="1"/>
  <c r="AV550" i="1"/>
  <c r="AW550" i="1"/>
  <c r="AX550" i="1"/>
  <c r="AY550" i="1"/>
  <c r="AZ550" i="1"/>
  <c r="BA550" i="1"/>
  <c r="BB550" i="1"/>
  <c r="BC550" i="1"/>
  <c r="BE550" i="1"/>
  <c r="BF550" i="1"/>
  <c r="BG550" i="1"/>
  <c r="BH550" i="1"/>
  <c r="BI550" i="1"/>
  <c r="BJ550" i="1"/>
  <c r="BK550" i="1" s="1"/>
  <c r="BN550" i="1"/>
  <c r="BR550" i="1"/>
  <c r="BT550" i="1"/>
  <c r="BU550" i="1"/>
  <c r="DD550" i="1"/>
  <c r="DE550" i="1"/>
  <c r="BO549" i="1"/>
  <c r="BP549" i="1" s="1"/>
  <c r="BS549" i="1" s="1"/>
  <c r="BR549" i="1"/>
  <c r="F549" i="1"/>
  <c r="BW549" i="1" s="1"/>
  <c r="G549" i="1"/>
  <c r="BX549" i="1"/>
  <c r="H549" i="1"/>
  <c r="BY549" i="1" s="1"/>
  <c r="I549" i="1"/>
  <c r="CA549" i="1"/>
  <c r="J549" i="1"/>
  <c r="BZ549" i="1" s="1"/>
  <c r="AM549" i="1"/>
  <c r="AO549" i="1"/>
  <c r="M557" i="10"/>
  <c r="AP549" i="1"/>
  <c r="AR549" i="1"/>
  <c r="AS549" i="1"/>
  <c r="AT549" i="1"/>
  <c r="AV549" i="1"/>
  <c r="AW549" i="1"/>
  <c r="AX549" i="1"/>
  <c r="AY549" i="1"/>
  <c r="AZ549" i="1"/>
  <c r="BA549" i="1"/>
  <c r="BB549" i="1"/>
  <c r="BC549" i="1"/>
  <c r="BE549" i="1"/>
  <c r="BF549" i="1"/>
  <c r="BG549" i="1"/>
  <c r="BH549" i="1"/>
  <c r="BI549" i="1"/>
  <c r="BJ549" i="1"/>
  <c r="BK549" i="1"/>
  <c r="BN549" i="1"/>
  <c r="BT549" i="1"/>
  <c r="BU549" i="1"/>
  <c r="DD549" i="1"/>
  <c r="BO548" i="1"/>
  <c r="F548" i="1"/>
  <c r="BW548" i="1"/>
  <c r="G548" i="1"/>
  <c r="BX548" i="1" s="1"/>
  <c r="H548" i="1"/>
  <c r="BY548" i="1"/>
  <c r="I548" i="1"/>
  <c r="CA548" i="1" s="1"/>
  <c r="J548" i="1"/>
  <c r="BZ548" i="1"/>
  <c r="AM548" i="1"/>
  <c r="AO548" i="1"/>
  <c r="M556" i="10" s="1"/>
  <c r="AP548" i="1"/>
  <c r="AR548" i="1"/>
  <c r="AS548" i="1" s="1"/>
  <c r="AT548" i="1"/>
  <c r="AV548" i="1"/>
  <c r="AW548" i="1"/>
  <c r="AX548" i="1"/>
  <c r="AY548" i="1"/>
  <c r="AZ548" i="1"/>
  <c r="BA548" i="1"/>
  <c r="BB548" i="1"/>
  <c r="BC548" i="1"/>
  <c r="BE548" i="1"/>
  <c r="BF548" i="1"/>
  <c r="BG548" i="1"/>
  <c r="BH548" i="1"/>
  <c r="BI548" i="1"/>
  <c r="BJ548" i="1"/>
  <c r="BK548" i="1" s="1"/>
  <c r="BN548" i="1"/>
  <c r="BR548" i="1"/>
  <c r="BT548" i="1"/>
  <c r="BU548" i="1"/>
  <c r="DD548" i="1"/>
  <c r="DE548" i="1"/>
  <c r="BO547" i="1"/>
  <c r="BP547" i="1" s="1"/>
  <c r="F547" i="1"/>
  <c r="BW547" i="1"/>
  <c r="G547" i="1"/>
  <c r="BX547" i="1" s="1"/>
  <c r="H547" i="1"/>
  <c r="BY547" i="1"/>
  <c r="I547" i="1"/>
  <c r="CA547" i="1" s="1"/>
  <c r="J547" i="1"/>
  <c r="BZ547" i="1"/>
  <c r="AM547" i="1"/>
  <c r="AO547" i="1"/>
  <c r="M555" i="10" s="1"/>
  <c r="O555" i="10" s="1"/>
  <c r="AP547" i="1"/>
  <c r="AR547" i="1"/>
  <c r="AS547" i="1" s="1"/>
  <c r="AT547" i="1"/>
  <c r="AV547" i="1"/>
  <c r="AW547" i="1"/>
  <c r="AX547" i="1"/>
  <c r="AY547" i="1"/>
  <c r="AZ547" i="1"/>
  <c r="BA547" i="1"/>
  <c r="BB547" i="1"/>
  <c r="BC547" i="1"/>
  <c r="BE547" i="1"/>
  <c r="BF547" i="1"/>
  <c r="BG547" i="1"/>
  <c r="BH547" i="1"/>
  <c r="BI547" i="1"/>
  <c r="BJ547" i="1"/>
  <c r="BK547" i="1" s="1"/>
  <c r="BN547" i="1"/>
  <c r="BR547" i="1"/>
  <c r="BT547" i="1"/>
  <c r="BU547" i="1"/>
  <c r="DD547" i="1"/>
  <c r="BO542" i="1"/>
  <c r="BP542" i="1"/>
  <c r="BO546" i="1"/>
  <c r="BP546" i="1"/>
  <c r="F546" i="1"/>
  <c r="BW546" i="1" s="1"/>
  <c r="G546" i="1"/>
  <c r="BX546" i="1"/>
  <c r="H546" i="1"/>
  <c r="BY546" i="1" s="1"/>
  <c r="I546" i="1"/>
  <c r="CA546" i="1"/>
  <c r="J546" i="1"/>
  <c r="BZ546" i="1" s="1"/>
  <c r="AM546" i="1"/>
  <c r="AO546" i="1"/>
  <c r="M554" i="10"/>
  <c r="AP546" i="1"/>
  <c r="AR546" i="1"/>
  <c r="AS546" i="1"/>
  <c r="AT546" i="1"/>
  <c r="AV546" i="1"/>
  <c r="AW546" i="1"/>
  <c r="AX546" i="1"/>
  <c r="AY546" i="1"/>
  <c r="AZ546" i="1"/>
  <c r="BA546" i="1"/>
  <c r="BB546" i="1"/>
  <c r="BC546" i="1"/>
  <c r="BE546" i="1"/>
  <c r="BF546" i="1"/>
  <c r="BG546" i="1"/>
  <c r="BH546" i="1"/>
  <c r="BI546" i="1"/>
  <c r="BJ546" i="1"/>
  <c r="BK546" i="1"/>
  <c r="BN546" i="1"/>
  <c r="BR546" i="1"/>
  <c r="BT546" i="1" s="1"/>
  <c r="BU546" i="1"/>
  <c r="DD546" i="1"/>
  <c r="DF546" i="1" s="1"/>
  <c r="BO532" i="1"/>
  <c r="BP532" i="1"/>
  <c r="BO545" i="1"/>
  <c r="BP545" i="1" s="1"/>
  <c r="F545" i="1"/>
  <c r="BW545" i="1"/>
  <c r="G545" i="1"/>
  <c r="BX545" i="1" s="1"/>
  <c r="H545" i="1"/>
  <c r="BY545" i="1"/>
  <c r="I545" i="1"/>
  <c r="CA545" i="1" s="1"/>
  <c r="J545" i="1"/>
  <c r="BZ545" i="1"/>
  <c r="AM545" i="1"/>
  <c r="AO545" i="1"/>
  <c r="M553" i="10" s="1"/>
  <c r="AP545" i="1"/>
  <c r="AR545" i="1"/>
  <c r="AS545" i="1" s="1"/>
  <c r="AT545" i="1"/>
  <c r="AV545" i="1"/>
  <c r="AW545" i="1"/>
  <c r="AX545" i="1"/>
  <c r="AY545" i="1"/>
  <c r="AZ545" i="1"/>
  <c r="BA545" i="1"/>
  <c r="BB545" i="1"/>
  <c r="BC545" i="1"/>
  <c r="BE545" i="1"/>
  <c r="BF545" i="1"/>
  <c r="BG545" i="1"/>
  <c r="BH545" i="1"/>
  <c r="BI545" i="1"/>
  <c r="BJ545" i="1"/>
  <c r="BK545" i="1" s="1"/>
  <c r="BN545" i="1"/>
  <c r="BR545" i="1"/>
  <c r="BT545" i="1"/>
  <c r="BU545" i="1"/>
  <c r="DD545" i="1"/>
  <c r="DF545" i="1"/>
  <c r="O148" i="16"/>
  <c r="N148" i="16"/>
  <c r="M148" i="16"/>
  <c r="L148" i="16"/>
  <c r="O147" i="16"/>
  <c r="N147" i="16"/>
  <c r="M147" i="16"/>
  <c r="L147" i="16"/>
  <c r="L149" i="16"/>
  <c r="M149" i="16"/>
  <c r="N149" i="16"/>
  <c r="O149" i="16"/>
  <c r="AQ537" i="1"/>
  <c r="A537" i="1" s="1"/>
  <c r="A545" i="10" s="1"/>
  <c r="AQ538" i="1"/>
  <c r="A538" i="1"/>
  <c r="A546" i="10"/>
  <c r="AQ539" i="1"/>
  <c r="A539" i="1"/>
  <c r="A547" i="10"/>
  <c r="AQ540" i="1"/>
  <c r="A540" i="1" s="1"/>
  <c r="A548" i="10" s="1"/>
  <c r="AQ541" i="1"/>
  <c r="A541" i="1" s="1"/>
  <c r="A549" i="10" s="1"/>
  <c r="AQ542" i="1"/>
  <c r="A542" i="1"/>
  <c r="A550" i="10" s="1"/>
  <c r="AQ543" i="1"/>
  <c r="A543" i="1"/>
  <c r="A551" i="10"/>
  <c r="AQ544" i="1"/>
  <c r="A544" i="1" s="1"/>
  <c r="A552" i="10" s="1"/>
  <c r="C545" i="10"/>
  <c r="C546" i="10"/>
  <c r="C547" i="10"/>
  <c r="C548" i="10"/>
  <c r="C549" i="10"/>
  <c r="C550" i="10"/>
  <c r="C551" i="10"/>
  <c r="C552" i="10"/>
  <c r="E545" i="10"/>
  <c r="E546" i="10"/>
  <c r="E547" i="10"/>
  <c r="E548" i="10"/>
  <c r="E549" i="10"/>
  <c r="E550" i="10"/>
  <c r="E551" i="10"/>
  <c r="E552" i="10"/>
  <c r="CG537" i="1"/>
  <c r="CK537" i="1"/>
  <c r="CO537" i="1"/>
  <c r="CS537" i="1"/>
  <c r="CG538" i="1"/>
  <c r="CK538" i="1"/>
  <c r="CO538" i="1"/>
  <c r="CS538" i="1"/>
  <c r="CG539" i="1"/>
  <c r="CK539" i="1"/>
  <c r="CO539" i="1"/>
  <c r="CS539" i="1"/>
  <c r="CG540" i="1"/>
  <c r="CK540" i="1"/>
  <c r="CO540" i="1"/>
  <c r="CS540" i="1"/>
  <c r="CG541" i="1"/>
  <c r="CK541" i="1"/>
  <c r="CO541" i="1"/>
  <c r="CS541" i="1"/>
  <c r="CG542" i="1"/>
  <c r="CK542" i="1"/>
  <c r="CO542" i="1"/>
  <c r="CS542" i="1"/>
  <c r="CG543" i="1"/>
  <c r="CK543" i="1"/>
  <c r="CO543" i="1"/>
  <c r="CS543" i="1"/>
  <c r="CG544" i="1"/>
  <c r="CK544" i="1"/>
  <c r="CO544" i="1"/>
  <c r="CS544" i="1"/>
  <c r="BO537" i="1"/>
  <c r="BP537" i="1" s="1"/>
  <c r="AO537" i="1"/>
  <c r="BO538" i="1"/>
  <c r="BP538" i="1" s="1"/>
  <c r="AO538" i="1"/>
  <c r="M546" i="10" s="1"/>
  <c r="BP539" i="1"/>
  <c r="AO539" i="1"/>
  <c r="M547" i="10" s="1"/>
  <c r="BO540" i="1"/>
  <c r="AO540" i="1"/>
  <c r="M548" i="10" s="1"/>
  <c r="BO541" i="1"/>
  <c r="BP541" i="1" s="1"/>
  <c r="AO541" i="1"/>
  <c r="M549" i="10"/>
  <c r="P549" i="10"/>
  <c r="W549" i="10" s="1"/>
  <c r="AO542" i="1"/>
  <c r="M550" i="10" s="1"/>
  <c r="P550" i="10"/>
  <c r="V550" i="10" s="1"/>
  <c r="BO543" i="1"/>
  <c r="BP543" i="1" s="1"/>
  <c r="BR543" i="1"/>
  <c r="BT543" i="1" s="1"/>
  <c r="AO543" i="1"/>
  <c r="M551" i="10"/>
  <c r="BO544" i="1"/>
  <c r="AO544" i="1"/>
  <c r="M552" i="10"/>
  <c r="P552" i="10"/>
  <c r="P545" i="10"/>
  <c r="W545" i="10" s="1"/>
  <c r="P546" i="10"/>
  <c r="N546" i="10"/>
  <c r="U546" i="10"/>
  <c r="P547" i="10"/>
  <c r="W547" i="10"/>
  <c r="P548" i="10"/>
  <c r="N548" i="10"/>
  <c r="U548" i="10" s="1"/>
  <c r="P551" i="10"/>
  <c r="V551" i="10" s="1"/>
  <c r="Q545" i="10"/>
  <c r="Q546" i="10"/>
  <c r="Q547" i="10"/>
  <c r="Q548" i="10"/>
  <c r="Q549" i="10"/>
  <c r="Q550" i="10"/>
  <c r="Q551" i="10"/>
  <c r="Q552" i="10"/>
  <c r="R545" i="10"/>
  <c r="R546" i="10"/>
  <c r="R547" i="10"/>
  <c r="R548" i="10"/>
  <c r="R549" i="10"/>
  <c r="R550" i="10"/>
  <c r="R551" i="10"/>
  <c r="R552" i="10"/>
  <c r="S545" i="10"/>
  <c r="S546" i="10"/>
  <c r="S547" i="10"/>
  <c r="S548" i="10"/>
  <c r="S549" i="10"/>
  <c r="S550" i="10"/>
  <c r="S551" i="10"/>
  <c r="S552" i="10"/>
  <c r="F544" i="1"/>
  <c r="BW544" i="1" s="1"/>
  <c r="G544" i="1"/>
  <c r="BX544" i="1" s="1"/>
  <c r="H544" i="1"/>
  <c r="BY544" i="1" s="1"/>
  <c r="I544" i="1"/>
  <c r="CA544" i="1" s="1"/>
  <c r="J544" i="1"/>
  <c r="BZ544" i="1" s="1"/>
  <c r="AM544" i="1"/>
  <c r="AP544" i="1"/>
  <c r="AR544" i="1"/>
  <c r="AS544" i="1" s="1"/>
  <c r="AT544" i="1"/>
  <c r="AV544" i="1"/>
  <c r="AW544" i="1"/>
  <c r="AX544" i="1"/>
  <c r="AY544" i="1"/>
  <c r="AZ544" i="1"/>
  <c r="BA544" i="1"/>
  <c r="BB544" i="1"/>
  <c r="BC544" i="1"/>
  <c r="BE544" i="1"/>
  <c r="BF544" i="1"/>
  <c r="BG544" i="1"/>
  <c r="BH544" i="1"/>
  <c r="BI544" i="1"/>
  <c r="BJ544" i="1"/>
  <c r="BK544" i="1" s="1"/>
  <c r="BN544" i="1"/>
  <c r="BR544" i="1"/>
  <c r="BT544" i="1" s="1"/>
  <c r="BU544" i="1"/>
  <c r="DD544" i="1"/>
  <c r="F543" i="1"/>
  <c r="BW543" i="1" s="1"/>
  <c r="G543" i="1"/>
  <c r="BX543" i="1"/>
  <c r="H543" i="1"/>
  <c r="BY543" i="1" s="1"/>
  <c r="I543" i="1"/>
  <c r="CA543" i="1"/>
  <c r="J543" i="1"/>
  <c r="BZ543" i="1" s="1"/>
  <c r="AM543" i="1"/>
  <c r="AP543" i="1"/>
  <c r="AR543" i="1"/>
  <c r="AS543" i="1" s="1"/>
  <c r="AT543" i="1"/>
  <c r="AV543" i="1"/>
  <c r="AW543" i="1"/>
  <c r="AX543" i="1"/>
  <c r="AY543" i="1"/>
  <c r="AZ543" i="1"/>
  <c r="BA543" i="1"/>
  <c r="BB543" i="1"/>
  <c r="BC543" i="1"/>
  <c r="BE543" i="1"/>
  <c r="BF543" i="1"/>
  <c r="BG543" i="1"/>
  <c r="BH543" i="1"/>
  <c r="BI543" i="1"/>
  <c r="BJ543" i="1"/>
  <c r="BK543" i="1" s="1"/>
  <c r="BN543" i="1"/>
  <c r="BU543" i="1"/>
  <c r="DD543" i="1"/>
  <c r="F542" i="1"/>
  <c r="BW542" i="1" s="1"/>
  <c r="G542" i="1"/>
  <c r="BX542" i="1"/>
  <c r="H542" i="1"/>
  <c r="BY542" i="1" s="1"/>
  <c r="I542" i="1"/>
  <c r="CA542" i="1"/>
  <c r="J542" i="1"/>
  <c r="BZ542" i="1" s="1"/>
  <c r="AM542" i="1"/>
  <c r="AP542" i="1"/>
  <c r="AR542" i="1"/>
  <c r="AS542" i="1" s="1"/>
  <c r="AT542" i="1"/>
  <c r="AV542" i="1"/>
  <c r="AW542" i="1"/>
  <c r="AX542" i="1"/>
  <c r="AY542" i="1"/>
  <c r="AZ542" i="1"/>
  <c r="BA542" i="1"/>
  <c r="BB542" i="1"/>
  <c r="BC542" i="1"/>
  <c r="BE542" i="1"/>
  <c r="BF542" i="1"/>
  <c r="BG542" i="1"/>
  <c r="BH542" i="1"/>
  <c r="BI542" i="1"/>
  <c r="BJ542" i="1"/>
  <c r="BK542" i="1" s="1"/>
  <c r="BN542" i="1"/>
  <c r="BR542" i="1"/>
  <c r="BT542" i="1" s="1"/>
  <c r="BU542" i="1"/>
  <c r="DD542" i="1"/>
  <c r="BN541" i="1"/>
  <c r="F541" i="1"/>
  <c r="BW541" i="1" s="1"/>
  <c r="G541" i="1"/>
  <c r="BX541" i="1"/>
  <c r="H541" i="1"/>
  <c r="BY541" i="1" s="1"/>
  <c r="I541" i="1"/>
  <c r="CA541" i="1" s="1"/>
  <c r="J541" i="1"/>
  <c r="BZ541" i="1" s="1"/>
  <c r="AM541" i="1"/>
  <c r="AP541" i="1"/>
  <c r="AR541" i="1"/>
  <c r="AS541" i="1" s="1"/>
  <c r="AT541" i="1"/>
  <c r="AV541" i="1"/>
  <c r="AW541" i="1"/>
  <c r="AX541" i="1"/>
  <c r="AY541" i="1"/>
  <c r="AZ541" i="1"/>
  <c r="BA541" i="1"/>
  <c r="BB541" i="1"/>
  <c r="BC541" i="1"/>
  <c r="BE541" i="1"/>
  <c r="BF541" i="1"/>
  <c r="BG541" i="1"/>
  <c r="BH541" i="1"/>
  <c r="BI541" i="1"/>
  <c r="BJ541" i="1"/>
  <c r="BK541" i="1" s="1"/>
  <c r="BR541" i="1"/>
  <c r="BT541" i="1"/>
  <c r="BU541" i="1"/>
  <c r="DE541" i="1"/>
  <c r="F540" i="1"/>
  <c r="BW540" i="1"/>
  <c r="G540" i="1"/>
  <c r="BX540" i="1" s="1"/>
  <c r="H540" i="1"/>
  <c r="BY540" i="1" s="1"/>
  <c r="I540" i="1"/>
  <c r="CA540" i="1" s="1"/>
  <c r="J540" i="1"/>
  <c r="BZ540" i="1" s="1"/>
  <c r="AM540" i="1"/>
  <c r="AP540" i="1"/>
  <c r="AR540" i="1"/>
  <c r="AS540" i="1" s="1"/>
  <c r="AT540" i="1"/>
  <c r="AV540" i="1"/>
  <c r="AW540" i="1"/>
  <c r="AX540" i="1"/>
  <c r="AY540" i="1"/>
  <c r="AZ540" i="1"/>
  <c r="BA540" i="1"/>
  <c r="BB540" i="1"/>
  <c r="BC540" i="1"/>
  <c r="BE540" i="1"/>
  <c r="BF540" i="1"/>
  <c r="BG540" i="1"/>
  <c r="BH540" i="1"/>
  <c r="BI540" i="1"/>
  <c r="BJ540" i="1"/>
  <c r="BK540" i="1" s="1"/>
  <c r="BN540" i="1"/>
  <c r="BP540" i="1"/>
  <c r="BR540" i="1"/>
  <c r="BT540" i="1" s="1"/>
  <c r="BU540" i="1"/>
  <c r="DD540" i="1"/>
  <c r="F539" i="1"/>
  <c r="BW539" i="1" s="1"/>
  <c r="G539" i="1"/>
  <c r="BX539" i="1" s="1"/>
  <c r="H539" i="1"/>
  <c r="BY539" i="1"/>
  <c r="I539" i="1"/>
  <c r="CA539" i="1" s="1"/>
  <c r="J539" i="1"/>
  <c r="BZ539" i="1"/>
  <c r="AM539" i="1"/>
  <c r="AP539" i="1"/>
  <c r="AR539" i="1"/>
  <c r="AS539" i="1"/>
  <c r="AT539" i="1"/>
  <c r="AV539" i="1"/>
  <c r="AW539" i="1"/>
  <c r="AX539" i="1"/>
  <c r="AY539" i="1"/>
  <c r="AZ539" i="1"/>
  <c r="BA539" i="1"/>
  <c r="BB539" i="1"/>
  <c r="BC539" i="1"/>
  <c r="BE539" i="1"/>
  <c r="BF539" i="1"/>
  <c r="BG539" i="1"/>
  <c r="BH539" i="1"/>
  <c r="BI539" i="1"/>
  <c r="BJ539" i="1"/>
  <c r="BK539" i="1"/>
  <c r="BN539" i="1"/>
  <c r="BR539" i="1"/>
  <c r="BT539" i="1"/>
  <c r="BU539" i="1"/>
  <c r="DD539" i="1"/>
  <c r="AM538" i="1"/>
  <c r="F538" i="1"/>
  <c r="BW538" i="1"/>
  <c r="G538" i="1"/>
  <c r="BX538" i="1" s="1"/>
  <c r="H538" i="1"/>
  <c r="BY538" i="1" s="1"/>
  <c r="I538" i="1"/>
  <c r="CA538" i="1" s="1"/>
  <c r="J538" i="1"/>
  <c r="BZ538" i="1" s="1"/>
  <c r="AP538" i="1"/>
  <c r="AR538" i="1"/>
  <c r="AS538" i="1"/>
  <c r="AT538" i="1"/>
  <c r="AV538" i="1"/>
  <c r="AW538" i="1"/>
  <c r="AX538" i="1"/>
  <c r="AY538" i="1"/>
  <c r="AZ538" i="1"/>
  <c r="BA538" i="1"/>
  <c r="BB538" i="1"/>
  <c r="BC538" i="1"/>
  <c r="BE538" i="1"/>
  <c r="BF538" i="1"/>
  <c r="BG538" i="1"/>
  <c r="BH538" i="1"/>
  <c r="BI538" i="1"/>
  <c r="BJ538" i="1"/>
  <c r="BK538" i="1"/>
  <c r="BN538" i="1"/>
  <c r="BR538" i="1"/>
  <c r="BT538" i="1" s="1"/>
  <c r="BU538" i="1"/>
  <c r="DD538" i="1"/>
  <c r="DE538" i="1" s="1"/>
  <c r="F14" i="8"/>
  <c r="Z14" i="8"/>
  <c r="AD14" i="8"/>
  <c r="BD554" i="1" s="1"/>
  <c r="AN14" i="8"/>
  <c r="AO14" i="8"/>
  <c r="AO13" i="8"/>
  <c r="AN13" i="8"/>
  <c r="AQ13" i="8" s="1"/>
  <c r="AK13" i="8"/>
  <c r="AD13" i="8"/>
  <c r="BD538" i="1" s="1"/>
  <c r="F13" i="8"/>
  <c r="AU543" i="1" s="1"/>
  <c r="Z13" i="8"/>
  <c r="BR537" i="1"/>
  <c r="BT537" i="1" s="1"/>
  <c r="F537" i="1"/>
  <c r="BW537" i="1" s="1"/>
  <c r="G537" i="1"/>
  <c r="BX537" i="1" s="1"/>
  <c r="H537" i="1"/>
  <c r="BY537" i="1" s="1"/>
  <c r="I537" i="1"/>
  <c r="CA537" i="1" s="1"/>
  <c r="J537" i="1"/>
  <c r="BZ537" i="1" s="1"/>
  <c r="AM537" i="1"/>
  <c r="AP537" i="1"/>
  <c r="AR537" i="1"/>
  <c r="AS537" i="1" s="1"/>
  <c r="AT537" i="1"/>
  <c r="AV537" i="1"/>
  <c r="AW537" i="1"/>
  <c r="AX537" i="1"/>
  <c r="AY537" i="1"/>
  <c r="AZ537" i="1"/>
  <c r="BA537" i="1"/>
  <c r="BB537" i="1"/>
  <c r="BC537" i="1"/>
  <c r="BE537" i="1"/>
  <c r="BF537" i="1"/>
  <c r="BG537" i="1"/>
  <c r="BH537" i="1"/>
  <c r="BI537" i="1"/>
  <c r="BJ537" i="1"/>
  <c r="BK537" i="1" s="1"/>
  <c r="BN537" i="1"/>
  <c r="BU537" i="1"/>
  <c r="DD537" i="1"/>
  <c r="DE537" i="1" s="1"/>
  <c r="DF541" i="1"/>
  <c r="AQ536" i="1"/>
  <c r="A536" i="1"/>
  <c r="A544" i="10"/>
  <c r="C544" i="10"/>
  <c r="E544" i="10"/>
  <c r="CG536" i="1"/>
  <c r="CK536" i="1"/>
  <c r="CO536" i="1"/>
  <c r="CS536" i="1"/>
  <c r="BO536" i="1"/>
  <c r="BP536" i="1"/>
  <c r="AO536" i="1"/>
  <c r="M544" i="10" s="1"/>
  <c r="P544" i="10"/>
  <c r="W544" i="10"/>
  <c r="Q544" i="10"/>
  <c r="R544" i="10"/>
  <c r="S544" i="10"/>
  <c r="BR536" i="1"/>
  <c r="BT536" i="1"/>
  <c r="F536" i="1"/>
  <c r="BW536" i="1"/>
  <c r="G536" i="1"/>
  <c r="BX536" i="1"/>
  <c r="H536" i="1"/>
  <c r="BY536" i="1"/>
  <c r="I536" i="1"/>
  <c r="CA536" i="1"/>
  <c r="J536" i="1"/>
  <c r="BZ536" i="1"/>
  <c r="AM536" i="1"/>
  <c r="AP536" i="1"/>
  <c r="AR536" i="1"/>
  <c r="AS536" i="1"/>
  <c r="AT536" i="1"/>
  <c r="AV536" i="1"/>
  <c r="AW536" i="1"/>
  <c r="AX536" i="1"/>
  <c r="AY536" i="1"/>
  <c r="AZ536" i="1"/>
  <c r="BA536" i="1"/>
  <c r="BB536" i="1"/>
  <c r="BC536" i="1"/>
  <c r="BE536" i="1"/>
  <c r="BF536" i="1"/>
  <c r="BG536" i="1"/>
  <c r="BH536" i="1"/>
  <c r="BI536" i="1"/>
  <c r="BJ536" i="1"/>
  <c r="BK536" i="1"/>
  <c r="BN536" i="1"/>
  <c r="BU536" i="1"/>
  <c r="DD536" i="1"/>
  <c r="C543" i="10"/>
  <c r="E543" i="10"/>
  <c r="CG535" i="1"/>
  <c r="CK535" i="1"/>
  <c r="CO535" i="1"/>
  <c r="CS535" i="1"/>
  <c r="P543" i="10"/>
  <c r="W543" i="10" s="1"/>
  <c r="Q543" i="10"/>
  <c r="R543" i="10"/>
  <c r="S543" i="10"/>
  <c r="BO535" i="1"/>
  <c r="BP535" i="1"/>
  <c r="F535" i="1"/>
  <c r="BW535" i="1"/>
  <c r="G535" i="1"/>
  <c r="BX535" i="1"/>
  <c r="H535" i="1"/>
  <c r="BY535" i="1"/>
  <c r="I535" i="1"/>
  <c r="CA535" i="1"/>
  <c r="J535" i="1"/>
  <c r="BZ535" i="1"/>
  <c r="AM535" i="1"/>
  <c r="AO535" i="1"/>
  <c r="M543" i="10" s="1"/>
  <c r="AP535" i="1"/>
  <c r="AQ535" i="1"/>
  <c r="A535" i="1"/>
  <c r="A543" i="10" s="1"/>
  <c r="AR535" i="1"/>
  <c r="AS535" i="1" s="1"/>
  <c r="AT535" i="1"/>
  <c r="AV535" i="1"/>
  <c r="AW535" i="1"/>
  <c r="AX535" i="1"/>
  <c r="AY535" i="1"/>
  <c r="AZ535" i="1"/>
  <c r="BA535" i="1"/>
  <c r="BB535" i="1"/>
  <c r="BC535" i="1"/>
  <c r="BE535" i="1"/>
  <c r="BF535" i="1"/>
  <c r="BG535" i="1"/>
  <c r="BH535" i="1"/>
  <c r="BI535" i="1"/>
  <c r="BJ535" i="1"/>
  <c r="BK535" i="1" s="1"/>
  <c r="BN535" i="1"/>
  <c r="BR535" i="1"/>
  <c r="BT535" i="1" s="1"/>
  <c r="BU535" i="1"/>
  <c r="DD535" i="1"/>
  <c r="DF535" i="1"/>
  <c r="M146" i="16"/>
  <c r="L146" i="16"/>
  <c r="N146" i="16"/>
  <c r="O146" i="16"/>
  <c r="M145" i="16"/>
  <c r="L145" i="16"/>
  <c r="N145" i="16"/>
  <c r="O145" i="16"/>
  <c r="M144" i="16"/>
  <c r="L144" i="16"/>
  <c r="N144" i="16"/>
  <c r="O144" i="16"/>
  <c r="M143" i="16"/>
  <c r="L143" i="16"/>
  <c r="N143" i="16"/>
  <c r="O143" i="16"/>
  <c r="M142" i="16"/>
  <c r="L142" i="16"/>
  <c r="N142" i="16"/>
  <c r="O142" i="16"/>
  <c r="N247" i="21"/>
  <c r="O247" i="21"/>
  <c r="P247" i="21"/>
  <c r="Q247" i="21"/>
  <c r="R247" i="21"/>
  <c r="U247" i="21" s="1"/>
  <c r="S247" i="21"/>
  <c r="T247" i="21"/>
  <c r="N258" i="21"/>
  <c r="O258" i="21"/>
  <c r="P258" i="21"/>
  <c r="Q258" i="21"/>
  <c r="R258" i="21"/>
  <c r="U258" i="21" s="1"/>
  <c r="S258" i="21"/>
  <c r="T258" i="21"/>
  <c r="N254" i="21"/>
  <c r="O254" i="21"/>
  <c r="P254" i="21"/>
  <c r="Q254" i="21"/>
  <c r="R254" i="21"/>
  <c r="U254" i="21" s="1"/>
  <c r="S254" i="21"/>
  <c r="T254" i="21"/>
  <c r="N253" i="21"/>
  <c r="O253" i="21"/>
  <c r="P253" i="21"/>
  <c r="Q253" i="21"/>
  <c r="R253" i="21"/>
  <c r="U253" i="21" s="1"/>
  <c r="S253" i="21"/>
  <c r="T253" i="21"/>
  <c r="N251" i="21"/>
  <c r="O251" i="21"/>
  <c r="P251" i="21"/>
  <c r="Q251" i="21"/>
  <c r="R251" i="21"/>
  <c r="U251" i="21" s="1"/>
  <c r="S251" i="21"/>
  <c r="T251" i="21"/>
  <c r="N250" i="21"/>
  <c r="O250" i="21"/>
  <c r="P250" i="21"/>
  <c r="Q250" i="21"/>
  <c r="R250" i="21"/>
  <c r="U250" i="21" s="1"/>
  <c r="S250" i="21"/>
  <c r="T250" i="21"/>
  <c r="N297" i="21"/>
  <c r="O297" i="21"/>
  <c r="P297" i="21"/>
  <c r="Q297" i="21"/>
  <c r="R297" i="21"/>
  <c r="U297" i="21" s="1"/>
  <c r="S297" i="21"/>
  <c r="T297" i="21"/>
  <c r="N287" i="21"/>
  <c r="O287" i="21"/>
  <c r="P287" i="21"/>
  <c r="Q287" i="21"/>
  <c r="R287" i="21"/>
  <c r="U287" i="21" s="1"/>
  <c r="S287" i="21"/>
  <c r="T287" i="21"/>
  <c r="N296" i="21"/>
  <c r="O296" i="21"/>
  <c r="P296" i="21"/>
  <c r="Q296" i="21"/>
  <c r="R296" i="21"/>
  <c r="U296" i="21" s="1"/>
  <c r="S296" i="21"/>
  <c r="T296" i="21"/>
  <c r="N289" i="21"/>
  <c r="O289" i="21"/>
  <c r="P289" i="21"/>
  <c r="Q289" i="21"/>
  <c r="R289" i="21"/>
  <c r="U289" i="21" s="1"/>
  <c r="S289" i="21"/>
  <c r="T289" i="21"/>
  <c r="N288" i="21"/>
  <c r="O288" i="21"/>
  <c r="P288" i="21"/>
  <c r="Q288" i="21"/>
  <c r="R288" i="21"/>
  <c r="U288" i="21" s="1"/>
  <c r="S288" i="21"/>
  <c r="T288" i="21"/>
  <c r="N256" i="21"/>
  <c r="O256" i="21"/>
  <c r="P256" i="21"/>
  <c r="Q256" i="21"/>
  <c r="R256" i="21"/>
  <c r="U256" i="21" s="1"/>
  <c r="S256" i="21"/>
  <c r="T256" i="21"/>
  <c r="N255" i="21"/>
  <c r="O255" i="21"/>
  <c r="P255" i="21"/>
  <c r="Q255" i="21"/>
  <c r="R255" i="21"/>
  <c r="U255" i="21" s="1"/>
  <c r="S255" i="21"/>
  <c r="T255" i="21"/>
  <c r="AQ534" i="1"/>
  <c r="A534" i="1" s="1"/>
  <c r="A542" i="10" s="1"/>
  <c r="C542" i="10"/>
  <c r="E542" i="10"/>
  <c r="CG534" i="1"/>
  <c r="CK534" i="1"/>
  <c r="CO534" i="1"/>
  <c r="CS534" i="1"/>
  <c r="BO534" i="1"/>
  <c r="AO534" i="1"/>
  <c r="M542" i="10" s="1"/>
  <c r="P542" i="10"/>
  <c r="N542" i="10" s="1"/>
  <c r="U542" i="10" s="1"/>
  <c r="Q542" i="10"/>
  <c r="R542" i="10"/>
  <c r="S542" i="10"/>
  <c r="F534" i="1"/>
  <c r="BW534" i="1" s="1"/>
  <c r="G534" i="1"/>
  <c r="BX534" i="1" s="1"/>
  <c r="H534" i="1"/>
  <c r="BY534" i="1" s="1"/>
  <c r="I534" i="1"/>
  <c r="CA534" i="1" s="1"/>
  <c r="J534" i="1"/>
  <c r="BZ534" i="1"/>
  <c r="AM534" i="1"/>
  <c r="AP534" i="1"/>
  <c r="AR534" i="1"/>
  <c r="AS534" i="1"/>
  <c r="AT534" i="1"/>
  <c r="AV534" i="1"/>
  <c r="AW534" i="1"/>
  <c r="AX534" i="1"/>
  <c r="AY534" i="1"/>
  <c r="AZ534" i="1"/>
  <c r="BA534" i="1"/>
  <c r="BB534" i="1"/>
  <c r="BC534" i="1"/>
  <c r="BE534" i="1"/>
  <c r="BF534" i="1"/>
  <c r="BG534" i="1"/>
  <c r="BH534" i="1"/>
  <c r="BI534" i="1"/>
  <c r="BJ534" i="1"/>
  <c r="BK534" i="1"/>
  <c r="BN534" i="1"/>
  <c r="BR534" i="1"/>
  <c r="BT534" i="1"/>
  <c r="BU534" i="1"/>
  <c r="DD534" i="1"/>
  <c r="DF534" i="1" s="1"/>
  <c r="C532" i="10"/>
  <c r="C533" i="10"/>
  <c r="C534" i="10"/>
  <c r="C535" i="10"/>
  <c r="C536" i="10"/>
  <c r="C537" i="10"/>
  <c r="C538" i="10"/>
  <c r="C539" i="10"/>
  <c r="C540" i="10"/>
  <c r="C541" i="10"/>
  <c r="E532" i="10"/>
  <c r="E533" i="10"/>
  <c r="E534" i="10"/>
  <c r="E535" i="10"/>
  <c r="E536" i="10"/>
  <c r="E537" i="10"/>
  <c r="E538" i="10"/>
  <c r="E539" i="10"/>
  <c r="E540" i="10"/>
  <c r="E541" i="10"/>
  <c r="P532" i="10"/>
  <c r="V532" i="10" s="1"/>
  <c r="P533" i="10"/>
  <c r="N533" i="10" s="1"/>
  <c r="U533" i="10"/>
  <c r="P534" i="10"/>
  <c r="V534" i="10" s="1"/>
  <c r="P535" i="10"/>
  <c r="W535" i="10"/>
  <c r="P536" i="10"/>
  <c r="N536" i="10" s="1"/>
  <c r="U536" i="10" s="1"/>
  <c r="P537" i="10"/>
  <c r="V537" i="10" s="1"/>
  <c r="P538" i="10"/>
  <c r="W538" i="10" s="1"/>
  <c r="P539" i="10"/>
  <c r="W539" i="10"/>
  <c r="P540" i="10"/>
  <c r="W540" i="10" s="1"/>
  <c r="P541" i="10"/>
  <c r="W541" i="10" s="1"/>
  <c r="Q532" i="10"/>
  <c r="Q533" i="10"/>
  <c r="Q534" i="10"/>
  <c r="Q535" i="10"/>
  <c r="Q536" i="10"/>
  <c r="Q537" i="10"/>
  <c r="Q538" i="10"/>
  <c r="Q539" i="10"/>
  <c r="Q540" i="10"/>
  <c r="Q541" i="10"/>
  <c r="R532" i="10"/>
  <c r="R533" i="10"/>
  <c r="R534" i="10"/>
  <c r="R535" i="10"/>
  <c r="R536" i="10"/>
  <c r="R537" i="10"/>
  <c r="R538" i="10"/>
  <c r="R539" i="10"/>
  <c r="R540" i="10"/>
  <c r="R541" i="10"/>
  <c r="S532" i="10"/>
  <c r="S533" i="10"/>
  <c r="S534" i="10"/>
  <c r="S535" i="10"/>
  <c r="S536" i="10"/>
  <c r="S537" i="10"/>
  <c r="S538" i="10"/>
  <c r="S539" i="10"/>
  <c r="S540" i="10"/>
  <c r="S541" i="10"/>
  <c r="CS533" i="1"/>
  <c r="CO533" i="1"/>
  <c r="CK533" i="1"/>
  <c r="CG533" i="1"/>
  <c r="BO533" i="1"/>
  <c r="BP533" i="1" s="1"/>
  <c r="BR533" i="1"/>
  <c r="BT533" i="1" s="1"/>
  <c r="F533" i="1"/>
  <c r="BW533" i="1" s="1"/>
  <c r="G533" i="1"/>
  <c r="BX533" i="1" s="1"/>
  <c r="H533" i="1"/>
  <c r="BY533" i="1"/>
  <c r="I533" i="1"/>
  <c r="CA533" i="1" s="1"/>
  <c r="J533" i="1"/>
  <c r="BZ533" i="1"/>
  <c r="AM533" i="1"/>
  <c r="AO533" i="1"/>
  <c r="M541" i="10"/>
  <c r="AP533" i="1"/>
  <c r="AQ533" i="1"/>
  <c r="A533" i="1" s="1"/>
  <c r="A541" i="10" s="1"/>
  <c r="AR533" i="1"/>
  <c r="AS533" i="1"/>
  <c r="AT533" i="1"/>
  <c r="AV533" i="1"/>
  <c r="AW533" i="1"/>
  <c r="AX533" i="1"/>
  <c r="AY533" i="1"/>
  <c r="AZ533" i="1"/>
  <c r="BA533" i="1"/>
  <c r="BB533" i="1"/>
  <c r="BC533" i="1"/>
  <c r="BE533" i="1"/>
  <c r="BF533" i="1"/>
  <c r="BG533" i="1"/>
  <c r="BH533" i="1"/>
  <c r="BI533" i="1"/>
  <c r="BJ533" i="1"/>
  <c r="BK533" i="1"/>
  <c r="BN533" i="1"/>
  <c r="BU533" i="1"/>
  <c r="DD533" i="1"/>
  <c r="CS532" i="1"/>
  <c r="CO532" i="1"/>
  <c r="CG532" i="1"/>
  <c r="CK532" i="1"/>
  <c r="F532" i="1"/>
  <c r="BW532" i="1" s="1"/>
  <c r="G532" i="1"/>
  <c r="BX532" i="1" s="1"/>
  <c r="H532" i="1"/>
  <c r="BY532" i="1" s="1"/>
  <c r="I532" i="1"/>
  <c r="CA532" i="1" s="1"/>
  <c r="J532" i="1"/>
  <c r="BZ532" i="1" s="1"/>
  <c r="AM532" i="1"/>
  <c r="AO532" i="1"/>
  <c r="M540" i="10" s="1"/>
  <c r="AP532" i="1"/>
  <c r="AQ532" i="1"/>
  <c r="A532" i="1"/>
  <c r="A540" i="10" s="1"/>
  <c r="AR532" i="1"/>
  <c r="AS532" i="1"/>
  <c r="AT532" i="1"/>
  <c r="AV532" i="1"/>
  <c r="AW532" i="1"/>
  <c r="AX532" i="1"/>
  <c r="AY532" i="1"/>
  <c r="AZ532" i="1"/>
  <c r="BA532" i="1"/>
  <c r="BB532" i="1"/>
  <c r="BC532" i="1"/>
  <c r="BE532" i="1"/>
  <c r="BF532" i="1"/>
  <c r="BG532" i="1"/>
  <c r="BH532" i="1"/>
  <c r="BI532" i="1"/>
  <c r="BJ532" i="1"/>
  <c r="BK532" i="1"/>
  <c r="BN532" i="1"/>
  <c r="BR532" i="1"/>
  <c r="BT532" i="1" s="1"/>
  <c r="BU532" i="1"/>
  <c r="DD532" i="1"/>
  <c r="DE532" i="1"/>
  <c r="CS531" i="1"/>
  <c r="CO531" i="1"/>
  <c r="CK531" i="1"/>
  <c r="CG531" i="1"/>
  <c r="BO531" i="1"/>
  <c r="BP531" i="1"/>
  <c r="F531" i="1"/>
  <c r="BW531" i="1"/>
  <c r="G531" i="1"/>
  <c r="BX531" i="1"/>
  <c r="H531" i="1"/>
  <c r="BY531" i="1"/>
  <c r="I531" i="1"/>
  <c r="CA531" i="1"/>
  <c r="J531" i="1"/>
  <c r="BZ531" i="1"/>
  <c r="AM531" i="1"/>
  <c r="AO531" i="1"/>
  <c r="M539" i="10" s="1"/>
  <c r="AP531" i="1"/>
  <c r="AQ531" i="1"/>
  <c r="A531" i="1"/>
  <c r="A539" i="10" s="1"/>
  <c r="AR531" i="1"/>
  <c r="AS531" i="1" s="1"/>
  <c r="AT531" i="1"/>
  <c r="AV531" i="1"/>
  <c r="AW531" i="1"/>
  <c r="AX531" i="1"/>
  <c r="AY531" i="1"/>
  <c r="AZ531" i="1"/>
  <c r="BA531" i="1"/>
  <c r="BB531" i="1"/>
  <c r="BC531" i="1"/>
  <c r="BE531" i="1"/>
  <c r="BF531" i="1"/>
  <c r="BG531" i="1"/>
  <c r="BH531" i="1"/>
  <c r="BI531" i="1"/>
  <c r="BJ531" i="1"/>
  <c r="BK531" i="1" s="1"/>
  <c r="BN531" i="1"/>
  <c r="BR531" i="1"/>
  <c r="BT531" i="1" s="1"/>
  <c r="BU531" i="1"/>
  <c r="DD531" i="1"/>
  <c r="CS530" i="1"/>
  <c r="CO530" i="1"/>
  <c r="CK530" i="1"/>
  <c r="CG530" i="1"/>
  <c r="BO530" i="1"/>
  <c r="BP530" i="1" s="1"/>
  <c r="F530" i="1"/>
  <c r="BW530" i="1"/>
  <c r="G530" i="1"/>
  <c r="BX530" i="1" s="1"/>
  <c r="H530" i="1"/>
  <c r="BY530" i="1"/>
  <c r="I530" i="1"/>
  <c r="CA530" i="1" s="1"/>
  <c r="J530" i="1"/>
  <c r="BZ530" i="1"/>
  <c r="AM530" i="1"/>
  <c r="AO530" i="1"/>
  <c r="M538" i="10" s="1"/>
  <c r="AP530" i="1"/>
  <c r="AQ530" i="1"/>
  <c r="A530" i="1"/>
  <c r="A538" i="10" s="1"/>
  <c r="AR530" i="1"/>
  <c r="AS530" i="1" s="1"/>
  <c r="AT530" i="1"/>
  <c r="AV530" i="1"/>
  <c r="AW530" i="1"/>
  <c r="AX530" i="1"/>
  <c r="AY530" i="1"/>
  <c r="AZ530" i="1"/>
  <c r="BA530" i="1"/>
  <c r="BB530" i="1"/>
  <c r="BC530" i="1"/>
  <c r="BE530" i="1"/>
  <c r="BF530" i="1"/>
  <c r="BG530" i="1"/>
  <c r="BH530" i="1"/>
  <c r="BI530" i="1"/>
  <c r="BJ530" i="1"/>
  <c r="BK530" i="1" s="1"/>
  <c r="BN530" i="1"/>
  <c r="BR530" i="1"/>
  <c r="BU530" i="1"/>
  <c r="DD530" i="1"/>
  <c r="DE530" i="1"/>
  <c r="CS529" i="1"/>
  <c r="CO529" i="1"/>
  <c r="CK529" i="1"/>
  <c r="CG529" i="1"/>
  <c r="BO529" i="1"/>
  <c r="BP529" i="1"/>
  <c r="F529" i="1"/>
  <c r="BW529" i="1"/>
  <c r="G529" i="1"/>
  <c r="BX529" i="1"/>
  <c r="H529" i="1"/>
  <c r="BY529" i="1"/>
  <c r="I529" i="1"/>
  <c r="CA529" i="1"/>
  <c r="J529" i="1"/>
  <c r="BZ529" i="1"/>
  <c r="AM529" i="1"/>
  <c r="AO529" i="1"/>
  <c r="M537" i="10" s="1"/>
  <c r="AP529" i="1"/>
  <c r="AQ529" i="1"/>
  <c r="A529" i="1"/>
  <c r="A537" i="10" s="1"/>
  <c r="AR529" i="1"/>
  <c r="AS529" i="1" s="1"/>
  <c r="AT529" i="1"/>
  <c r="AV529" i="1"/>
  <c r="AW529" i="1"/>
  <c r="AX529" i="1"/>
  <c r="AY529" i="1"/>
  <c r="AZ529" i="1"/>
  <c r="BA529" i="1"/>
  <c r="BB529" i="1"/>
  <c r="BC529" i="1"/>
  <c r="BE529" i="1"/>
  <c r="BF529" i="1"/>
  <c r="BG529" i="1"/>
  <c r="BH529" i="1"/>
  <c r="BI529" i="1"/>
  <c r="BJ529" i="1"/>
  <c r="BK529" i="1" s="1"/>
  <c r="BN529" i="1"/>
  <c r="BR529" i="1"/>
  <c r="BU529" i="1"/>
  <c r="DD529" i="1"/>
  <c r="CS528" i="1"/>
  <c r="CO528" i="1"/>
  <c r="CK528" i="1"/>
  <c r="CG528" i="1"/>
  <c r="BO528" i="1"/>
  <c r="BP528" i="1"/>
  <c r="F528" i="1"/>
  <c r="BW528" i="1" s="1"/>
  <c r="G528" i="1"/>
  <c r="BX528" i="1"/>
  <c r="H528" i="1"/>
  <c r="BY528" i="1" s="1"/>
  <c r="I528" i="1"/>
  <c r="CA528" i="1" s="1"/>
  <c r="J528" i="1"/>
  <c r="BZ528" i="1" s="1"/>
  <c r="AM528" i="1"/>
  <c r="AO528" i="1"/>
  <c r="M536" i="10" s="1"/>
  <c r="AP528" i="1"/>
  <c r="AQ528" i="1"/>
  <c r="A528" i="1" s="1"/>
  <c r="A536" i="10" s="1"/>
  <c r="AR528" i="1"/>
  <c r="AS528" i="1"/>
  <c r="AT528" i="1"/>
  <c r="AV528" i="1"/>
  <c r="AW528" i="1"/>
  <c r="AX528" i="1"/>
  <c r="AY528" i="1"/>
  <c r="AZ528" i="1"/>
  <c r="BA528" i="1"/>
  <c r="BB528" i="1"/>
  <c r="BC528" i="1"/>
  <c r="BE528" i="1"/>
  <c r="BF528" i="1"/>
  <c r="BG528" i="1"/>
  <c r="BH528" i="1"/>
  <c r="BI528" i="1"/>
  <c r="BJ528" i="1"/>
  <c r="BK528" i="1"/>
  <c r="BN528" i="1"/>
  <c r="BR528" i="1"/>
  <c r="BU528" i="1"/>
  <c r="DD528" i="1"/>
  <c r="DF528" i="1" s="1"/>
  <c r="CS527" i="1"/>
  <c r="CO527" i="1"/>
  <c r="CK527" i="1"/>
  <c r="CG527" i="1"/>
  <c r="BO527" i="1"/>
  <c r="F527" i="1"/>
  <c r="BW527" i="1"/>
  <c r="G527" i="1"/>
  <c r="BX527" i="1" s="1"/>
  <c r="H527" i="1"/>
  <c r="BY527" i="1"/>
  <c r="I527" i="1"/>
  <c r="CA527" i="1" s="1"/>
  <c r="J527" i="1"/>
  <c r="BZ527" i="1"/>
  <c r="AM527" i="1"/>
  <c r="AO527" i="1"/>
  <c r="M535" i="10" s="1"/>
  <c r="AP527" i="1"/>
  <c r="AQ527" i="1"/>
  <c r="A527" i="1" s="1"/>
  <c r="A535" i="10" s="1"/>
  <c r="AR527" i="1"/>
  <c r="AS527" i="1"/>
  <c r="AT527" i="1"/>
  <c r="AV527" i="1"/>
  <c r="AW527" i="1"/>
  <c r="AX527" i="1"/>
  <c r="AY527" i="1"/>
  <c r="AZ527" i="1"/>
  <c r="BA527" i="1"/>
  <c r="BB527" i="1"/>
  <c r="BC527" i="1"/>
  <c r="BE527" i="1"/>
  <c r="BF527" i="1"/>
  <c r="BG527" i="1"/>
  <c r="BH527" i="1"/>
  <c r="BI527" i="1"/>
  <c r="BJ527" i="1"/>
  <c r="BK527" i="1"/>
  <c r="BN527" i="1"/>
  <c r="BR527" i="1"/>
  <c r="BT527" i="1"/>
  <c r="BU527" i="1"/>
  <c r="DD527" i="1"/>
  <c r="CS526" i="1"/>
  <c r="CO526" i="1"/>
  <c r="CK526" i="1"/>
  <c r="CG526" i="1"/>
  <c r="BO526" i="1"/>
  <c r="BP526" i="1"/>
  <c r="BR526" i="1"/>
  <c r="BT526" i="1"/>
  <c r="F526" i="1"/>
  <c r="BW526" i="1"/>
  <c r="G526" i="1"/>
  <c r="BX526" i="1"/>
  <c r="H526" i="1"/>
  <c r="BY526" i="1"/>
  <c r="I526" i="1"/>
  <c r="CA526" i="1"/>
  <c r="J526" i="1"/>
  <c r="BZ526" i="1"/>
  <c r="AM526" i="1"/>
  <c r="AO526" i="1"/>
  <c r="M534" i="10" s="1"/>
  <c r="AP526" i="1"/>
  <c r="AQ526" i="1"/>
  <c r="A526" i="1"/>
  <c r="A534" i="10" s="1"/>
  <c r="AR526" i="1"/>
  <c r="AS526" i="1" s="1"/>
  <c r="AT526" i="1"/>
  <c r="AV526" i="1"/>
  <c r="AW526" i="1"/>
  <c r="AX526" i="1"/>
  <c r="AY526" i="1"/>
  <c r="AZ526" i="1"/>
  <c r="BA526" i="1"/>
  <c r="BB526" i="1"/>
  <c r="BC526" i="1"/>
  <c r="BE526" i="1"/>
  <c r="BF526" i="1"/>
  <c r="BG526" i="1"/>
  <c r="BH526" i="1"/>
  <c r="BI526" i="1"/>
  <c r="BJ526" i="1"/>
  <c r="BK526" i="1" s="1"/>
  <c r="BN526" i="1"/>
  <c r="BU526" i="1"/>
  <c r="DD526" i="1"/>
  <c r="DE526" i="1" s="1"/>
  <c r="CS525" i="1"/>
  <c r="CO525" i="1"/>
  <c r="CK525" i="1"/>
  <c r="CG525" i="1"/>
  <c r="BO525" i="1"/>
  <c r="BP525" i="1" s="1"/>
  <c r="BR525" i="1"/>
  <c r="BT525" i="1"/>
  <c r="F525" i="1"/>
  <c r="BW525" i="1" s="1"/>
  <c r="G525" i="1"/>
  <c r="BX525" i="1"/>
  <c r="H525" i="1"/>
  <c r="BY525" i="1" s="1"/>
  <c r="I525" i="1"/>
  <c r="CA525" i="1" s="1"/>
  <c r="J525" i="1"/>
  <c r="BZ525" i="1" s="1"/>
  <c r="AM525" i="1"/>
  <c r="AO525" i="1"/>
  <c r="AP525" i="1"/>
  <c r="AQ525" i="1"/>
  <c r="A525" i="1"/>
  <c r="A533" i="10" s="1"/>
  <c r="AR525" i="1"/>
  <c r="AS525" i="1" s="1"/>
  <c r="AT525" i="1"/>
  <c r="AV525" i="1"/>
  <c r="AW525" i="1"/>
  <c r="AX525" i="1"/>
  <c r="AY525" i="1"/>
  <c r="AZ525" i="1"/>
  <c r="BA525" i="1"/>
  <c r="BB525" i="1"/>
  <c r="BC525" i="1"/>
  <c r="BE525" i="1"/>
  <c r="BF525" i="1"/>
  <c r="BG525" i="1"/>
  <c r="BH525" i="1"/>
  <c r="BI525" i="1"/>
  <c r="BJ525" i="1"/>
  <c r="BK525" i="1" s="1"/>
  <c r="BN525" i="1"/>
  <c r="BU525" i="1"/>
  <c r="DD525" i="1"/>
  <c r="CS524" i="1"/>
  <c r="CO524" i="1"/>
  <c r="CK524" i="1"/>
  <c r="CG524" i="1"/>
  <c r="BO524" i="1"/>
  <c r="BP524" i="1"/>
  <c r="F524" i="1"/>
  <c r="BW524" i="1" s="1"/>
  <c r="G524" i="1"/>
  <c r="BX524" i="1"/>
  <c r="H524" i="1"/>
  <c r="BY524" i="1" s="1"/>
  <c r="I524" i="1"/>
  <c r="CA524" i="1"/>
  <c r="J524" i="1"/>
  <c r="BZ524" i="1" s="1"/>
  <c r="AM524" i="1"/>
  <c r="AO524" i="1"/>
  <c r="M532" i="10"/>
  <c r="AP524" i="1"/>
  <c r="AQ524" i="1"/>
  <c r="A524" i="1"/>
  <c r="A532" i="10"/>
  <c r="AR524" i="1"/>
  <c r="AS524" i="1" s="1"/>
  <c r="AT524" i="1"/>
  <c r="AV524" i="1"/>
  <c r="AW524" i="1"/>
  <c r="AX524" i="1"/>
  <c r="AY524" i="1"/>
  <c r="AZ524" i="1"/>
  <c r="BA524" i="1"/>
  <c r="BB524" i="1"/>
  <c r="BC524" i="1"/>
  <c r="BE524" i="1"/>
  <c r="BF524" i="1"/>
  <c r="BG524" i="1"/>
  <c r="BH524" i="1"/>
  <c r="BI524" i="1"/>
  <c r="BJ524" i="1"/>
  <c r="BK524" i="1" s="1"/>
  <c r="BN524" i="1"/>
  <c r="BR524" i="1"/>
  <c r="BT524" i="1" s="1"/>
  <c r="BU524" i="1"/>
  <c r="DD524" i="1"/>
  <c r="DE524" i="1" s="1"/>
  <c r="C531" i="10"/>
  <c r="E531" i="10"/>
  <c r="P531" i="10"/>
  <c r="V531" i="10" s="1"/>
  <c r="Q531" i="10"/>
  <c r="R531" i="10"/>
  <c r="S531" i="10"/>
  <c r="C524" i="10"/>
  <c r="C525" i="10"/>
  <c r="C526" i="10"/>
  <c r="C527" i="10"/>
  <c r="C528" i="10"/>
  <c r="C529" i="10"/>
  <c r="C530" i="10"/>
  <c r="E524" i="10"/>
  <c r="E525" i="10"/>
  <c r="E526" i="10"/>
  <c r="E527" i="10"/>
  <c r="E528" i="10"/>
  <c r="E529" i="10"/>
  <c r="E530" i="10"/>
  <c r="P524" i="10"/>
  <c r="N524" i="10"/>
  <c r="U524" i="10" s="1"/>
  <c r="P525" i="10"/>
  <c r="V525" i="10" s="1"/>
  <c r="P526" i="10"/>
  <c r="N526" i="10" s="1"/>
  <c r="U526" i="10" s="1"/>
  <c r="P527" i="10"/>
  <c r="N527" i="10"/>
  <c r="U527" i="10" s="1"/>
  <c r="P528" i="10"/>
  <c r="N528" i="10" s="1"/>
  <c r="U528" i="10" s="1"/>
  <c r="P529" i="10"/>
  <c r="W529" i="10"/>
  <c r="P530" i="10"/>
  <c r="V530" i="10"/>
  <c r="Q524" i="10"/>
  <c r="Q525" i="10"/>
  <c r="Q526" i="10"/>
  <c r="Q527" i="10"/>
  <c r="Q528" i="10"/>
  <c r="Q529" i="10"/>
  <c r="Q530" i="10"/>
  <c r="R524" i="10"/>
  <c r="R525" i="10"/>
  <c r="R526" i="10"/>
  <c r="R527" i="10"/>
  <c r="R528" i="10"/>
  <c r="R529" i="10"/>
  <c r="R530" i="10"/>
  <c r="S524" i="10"/>
  <c r="S525" i="10"/>
  <c r="S526" i="10"/>
  <c r="S527" i="10"/>
  <c r="S528" i="10"/>
  <c r="S529" i="10"/>
  <c r="S530" i="10"/>
  <c r="M141" i="16"/>
  <c r="L141" i="16"/>
  <c r="N141" i="16"/>
  <c r="O141" i="16"/>
  <c r="M140" i="16"/>
  <c r="L140" i="16"/>
  <c r="N140" i="16"/>
  <c r="O140" i="16"/>
  <c r="M139" i="16"/>
  <c r="L139" i="16"/>
  <c r="N139" i="16"/>
  <c r="O139" i="16"/>
  <c r="CS523" i="1"/>
  <c r="CO523" i="1"/>
  <c r="CK523" i="1"/>
  <c r="CG523" i="1"/>
  <c r="BO523" i="1"/>
  <c r="BP523" i="1" s="1"/>
  <c r="F523" i="1"/>
  <c r="BW523" i="1" s="1"/>
  <c r="G523" i="1"/>
  <c r="BX523" i="1" s="1"/>
  <c r="H523" i="1"/>
  <c r="BY523" i="1" s="1"/>
  <c r="I523" i="1"/>
  <c r="CA523" i="1"/>
  <c r="J523" i="1"/>
  <c r="BZ523" i="1" s="1"/>
  <c r="AM523" i="1"/>
  <c r="AO523" i="1"/>
  <c r="M530" i="10" s="1"/>
  <c r="AP523" i="1"/>
  <c r="AQ523" i="1"/>
  <c r="A523" i="1"/>
  <c r="A530" i="10" s="1"/>
  <c r="AR523" i="1"/>
  <c r="AS523" i="1" s="1"/>
  <c r="AT523" i="1"/>
  <c r="AV523" i="1"/>
  <c r="AW523" i="1"/>
  <c r="AX523" i="1"/>
  <c r="AY523" i="1"/>
  <c r="AZ523" i="1"/>
  <c r="BA523" i="1"/>
  <c r="BB523" i="1"/>
  <c r="BC523" i="1"/>
  <c r="BE523" i="1"/>
  <c r="BF523" i="1"/>
  <c r="BG523" i="1"/>
  <c r="BH523" i="1"/>
  <c r="BI523" i="1"/>
  <c r="BJ523" i="1"/>
  <c r="BK523" i="1" s="1"/>
  <c r="BN523" i="1"/>
  <c r="BR523" i="1"/>
  <c r="BU523" i="1"/>
  <c r="DD523" i="1"/>
  <c r="DF523" i="1"/>
  <c r="CS522" i="1"/>
  <c r="CO522" i="1"/>
  <c r="CK522" i="1"/>
  <c r="CG522" i="1"/>
  <c r="BO522" i="1"/>
  <c r="BP522" i="1" s="1"/>
  <c r="BR522" i="1"/>
  <c r="BT522" i="1"/>
  <c r="F522" i="1"/>
  <c r="BW522" i="1" s="1"/>
  <c r="G522" i="1"/>
  <c r="BX522" i="1"/>
  <c r="H522" i="1"/>
  <c r="BY522" i="1" s="1"/>
  <c r="I522" i="1"/>
  <c r="CA522" i="1"/>
  <c r="J522" i="1"/>
  <c r="BZ522" i="1" s="1"/>
  <c r="AM522" i="1"/>
  <c r="AO522" i="1"/>
  <c r="M529" i="10"/>
  <c r="AP522" i="1"/>
  <c r="AQ522" i="1"/>
  <c r="A522" i="1"/>
  <c r="A529" i="10"/>
  <c r="AR522" i="1"/>
  <c r="AS522" i="1" s="1"/>
  <c r="AT522" i="1"/>
  <c r="AV522" i="1"/>
  <c r="AW522" i="1"/>
  <c r="AX522" i="1"/>
  <c r="AY522" i="1"/>
  <c r="AZ522" i="1"/>
  <c r="BA522" i="1"/>
  <c r="BB522" i="1"/>
  <c r="BC522" i="1"/>
  <c r="BE522" i="1"/>
  <c r="BF522" i="1"/>
  <c r="BG522" i="1"/>
  <c r="BH522" i="1"/>
  <c r="BI522" i="1"/>
  <c r="BJ522" i="1"/>
  <c r="BK522" i="1" s="1"/>
  <c r="BN522" i="1"/>
  <c r="BU522" i="1"/>
  <c r="DD522" i="1"/>
  <c r="CS521" i="1"/>
  <c r="CO521" i="1"/>
  <c r="CK521" i="1"/>
  <c r="CG521" i="1"/>
  <c r="BO521" i="1"/>
  <c r="BP521" i="1"/>
  <c r="BR521" i="1"/>
  <c r="BT521" i="1" s="1"/>
  <c r="F521" i="1"/>
  <c r="BW521" i="1"/>
  <c r="G521" i="1"/>
  <c r="BX521" i="1" s="1"/>
  <c r="H521" i="1"/>
  <c r="BY521" i="1"/>
  <c r="I521" i="1"/>
  <c r="CA521" i="1" s="1"/>
  <c r="J521" i="1"/>
  <c r="BZ521" i="1"/>
  <c r="AM521" i="1"/>
  <c r="AO521" i="1"/>
  <c r="M528" i="10" s="1"/>
  <c r="AP521" i="1"/>
  <c r="AQ521" i="1"/>
  <c r="A521" i="1" s="1"/>
  <c r="A528" i="10" s="1"/>
  <c r="AR521" i="1"/>
  <c r="AS521" i="1"/>
  <c r="AT521" i="1"/>
  <c r="AV521" i="1"/>
  <c r="AW521" i="1"/>
  <c r="AX521" i="1"/>
  <c r="AY521" i="1"/>
  <c r="AZ521" i="1"/>
  <c r="BA521" i="1"/>
  <c r="BB521" i="1"/>
  <c r="BC521" i="1"/>
  <c r="BE521" i="1"/>
  <c r="BF521" i="1"/>
  <c r="BG521" i="1"/>
  <c r="BH521" i="1"/>
  <c r="BI521" i="1"/>
  <c r="BJ521" i="1"/>
  <c r="BK521" i="1"/>
  <c r="BN521" i="1"/>
  <c r="BU521" i="1"/>
  <c r="DD521" i="1"/>
  <c r="CS520" i="1"/>
  <c r="CO520" i="1"/>
  <c r="CK520" i="1"/>
  <c r="CG520" i="1"/>
  <c r="BO520" i="1"/>
  <c r="BP520" i="1" s="1"/>
  <c r="F520" i="1"/>
  <c r="BW520" i="1"/>
  <c r="G520" i="1"/>
  <c r="BX520" i="1" s="1"/>
  <c r="H520" i="1"/>
  <c r="BY520" i="1"/>
  <c r="I520" i="1"/>
  <c r="CA520" i="1" s="1"/>
  <c r="J520" i="1"/>
  <c r="BZ520" i="1"/>
  <c r="AM520" i="1"/>
  <c r="AO520" i="1"/>
  <c r="M527" i="10" s="1"/>
  <c r="AP520" i="1"/>
  <c r="AQ520" i="1"/>
  <c r="A520" i="1" s="1"/>
  <c r="A527" i="10" s="1"/>
  <c r="AR520" i="1"/>
  <c r="AS520" i="1" s="1"/>
  <c r="AT520" i="1"/>
  <c r="AV520" i="1"/>
  <c r="AW520" i="1"/>
  <c r="AX520" i="1"/>
  <c r="AY520" i="1"/>
  <c r="AZ520" i="1"/>
  <c r="BA520" i="1"/>
  <c r="BB520" i="1"/>
  <c r="BC520" i="1"/>
  <c r="BE520" i="1"/>
  <c r="BF520" i="1"/>
  <c r="BG520" i="1"/>
  <c r="BH520" i="1"/>
  <c r="BI520" i="1"/>
  <c r="BJ520" i="1"/>
  <c r="BK520" i="1" s="1"/>
  <c r="BN520" i="1"/>
  <c r="BR520" i="1"/>
  <c r="BT520" i="1"/>
  <c r="BU520" i="1"/>
  <c r="DD520" i="1"/>
  <c r="DE520" i="1" s="1"/>
  <c r="CS519" i="1"/>
  <c r="CO519" i="1"/>
  <c r="CK519" i="1"/>
  <c r="CG519" i="1"/>
  <c r="BO519" i="1"/>
  <c r="BP519" i="1"/>
  <c r="F519" i="1"/>
  <c r="BW519" i="1" s="1"/>
  <c r="G519" i="1"/>
  <c r="BX519" i="1"/>
  <c r="H519" i="1"/>
  <c r="BY519" i="1" s="1"/>
  <c r="I519" i="1"/>
  <c r="CA519" i="1" s="1"/>
  <c r="J519" i="1"/>
  <c r="BZ519" i="1" s="1"/>
  <c r="AM519" i="1"/>
  <c r="AO519" i="1"/>
  <c r="M526" i="10" s="1"/>
  <c r="AP519" i="1"/>
  <c r="AQ519" i="1"/>
  <c r="A519" i="1"/>
  <c r="A526" i="10" s="1"/>
  <c r="AR519" i="1"/>
  <c r="AS519" i="1"/>
  <c r="AT519" i="1"/>
  <c r="AV519" i="1"/>
  <c r="AW519" i="1"/>
  <c r="AX519" i="1"/>
  <c r="AY519" i="1"/>
  <c r="AZ519" i="1"/>
  <c r="BA519" i="1"/>
  <c r="BB519" i="1"/>
  <c r="BC519" i="1"/>
  <c r="BE519" i="1"/>
  <c r="BF519" i="1"/>
  <c r="BG519" i="1"/>
  <c r="BH519" i="1"/>
  <c r="BI519" i="1"/>
  <c r="BJ519" i="1"/>
  <c r="BK519" i="1"/>
  <c r="BN519" i="1"/>
  <c r="BR519" i="1"/>
  <c r="BT519" i="1" s="1"/>
  <c r="BU519" i="1"/>
  <c r="DD519" i="1"/>
  <c r="CS518" i="1"/>
  <c r="CG518" i="1"/>
  <c r="CK518" i="1"/>
  <c r="CO518" i="1"/>
  <c r="BO518" i="1"/>
  <c r="BP518" i="1" s="1"/>
  <c r="BR518" i="1"/>
  <c r="BT518" i="1" s="1"/>
  <c r="F518" i="1"/>
  <c r="BW518" i="1" s="1"/>
  <c r="G518" i="1"/>
  <c r="BX518" i="1"/>
  <c r="H518" i="1"/>
  <c r="BY518" i="1" s="1"/>
  <c r="I518" i="1"/>
  <c r="CA518" i="1"/>
  <c r="J518" i="1"/>
  <c r="BZ518" i="1" s="1"/>
  <c r="AM518" i="1"/>
  <c r="AO518" i="1"/>
  <c r="M525" i="10" s="1"/>
  <c r="AP518" i="1"/>
  <c r="AQ518" i="1"/>
  <c r="A518" i="1" s="1"/>
  <c r="A525" i="10" s="1"/>
  <c r="AR518" i="1"/>
  <c r="AS518" i="1"/>
  <c r="AT518" i="1"/>
  <c r="AV518" i="1"/>
  <c r="AW518" i="1"/>
  <c r="AX518" i="1"/>
  <c r="AY518" i="1"/>
  <c r="AZ518" i="1"/>
  <c r="BA518" i="1"/>
  <c r="BB518" i="1"/>
  <c r="BC518" i="1"/>
  <c r="BE518" i="1"/>
  <c r="BF518" i="1"/>
  <c r="BG518" i="1"/>
  <c r="BH518" i="1"/>
  <c r="BI518" i="1"/>
  <c r="BJ518" i="1"/>
  <c r="BK518" i="1"/>
  <c r="BN518" i="1"/>
  <c r="BU518" i="1"/>
  <c r="DD518" i="1"/>
  <c r="DE518" i="1"/>
  <c r="BO516" i="1"/>
  <c r="BP516" i="1" s="1"/>
  <c r="CS517" i="1"/>
  <c r="CO517" i="1"/>
  <c r="CK517" i="1"/>
  <c r="CG517" i="1"/>
  <c r="BO517" i="1"/>
  <c r="F517" i="1"/>
  <c r="BW517" i="1"/>
  <c r="G517" i="1"/>
  <c r="BX517" i="1" s="1"/>
  <c r="H517" i="1"/>
  <c r="BY517" i="1" s="1"/>
  <c r="I517" i="1"/>
  <c r="CA517" i="1" s="1"/>
  <c r="J517" i="1"/>
  <c r="BZ517" i="1" s="1"/>
  <c r="AM517" i="1"/>
  <c r="AO517" i="1"/>
  <c r="M524" i="10"/>
  <c r="AP517" i="1"/>
  <c r="AQ517" i="1"/>
  <c r="A517" i="1" s="1"/>
  <c r="A524" i="10"/>
  <c r="AR517" i="1"/>
  <c r="AS517" i="1" s="1"/>
  <c r="AT517" i="1"/>
  <c r="AV517" i="1"/>
  <c r="AW517" i="1"/>
  <c r="AX517" i="1"/>
  <c r="AY517" i="1"/>
  <c r="AZ517" i="1"/>
  <c r="BA517" i="1"/>
  <c r="BB517" i="1"/>
  <c r="BC517" i="1"/>
  <c r="BE517" i="1"/>
  <c r="BF517" i="1"/>
  <c r="BG517" i="1"/>
  <c r="BH517" i="1"/>
  <c r="BI517" i="1"/>
  <c r="BJ517" i="1"/>
  <c r="BK517" i="1" s="1"/>
  <c r="BN517" i="1"/>
  <c r="BR517" i="1"/>
  <c r="BT517" i="1" s="1"/>
  <c r="BU517" i="1"/>
  <c r="DD517" i="1"/>
  <c r="DE517" i="1"/>
  <c r="G73" i="32"/>
  <c r="H73" i="32"/>
  <c r="G72" i="32"/>
  <c r="H72" i="32"/>
  <c r="M136" i="16"/>
  <c r="L136" i="16"/>
  <c r="N136" i="16"/>
  <c r="O136" i="16"/>
  <c r="M138" i="16"/>
  <c r="L138" i="16"/>
  <c r="N138" i="16"/>
  <c r="O138" i="16"/>
  <c r="M137" i="16"/>
  <c r="L137" i="16"/>
  <c r="N137" i="16"/>
  <c r="O137" i="16"/>
  <c r="M135" i="16"/>
  <c r="L135" i="16"/>
  <c r="N135" i="16"/>
  <c r="O135" i="16"/>
  <c r="M134" i="16"/>
  <c r="L134" i="16"/>
  <c r="N134" i="16"/>
  <c r="O134" i="16"/>
  <c r="AQ514" i="1"/>
  <c r="A514" i="1" s="1"/>
  <c r="A521" i="10" s="1"/>
  <c r="C515" i="10"/>
  <c r="C516" i="10"/>
  <c r="C517" i="10"/>
  <c r="C518" i="10"/>
  <c r="C519" i="10"/>
  <c r="C520" i="10"/>
  <c r="C521" i="10"/>
  <c r="C522" i="10"/>
  <c r="C523" i="10"/>
  <c r="E515" i="10"/>
  <c r="E516" i="10"/>
  <c r="E517" i="10"/>
  <c r="E518" i="10"/>
  <c r="E519" i="10"/>
  <c r="E520" i="10"/>
  <c r="E521" i="10"/>
  <c r="E522" i="10"/>
  <c r="E523" i="10"/>
  <c r="AO515" i="1"/>
  <c r="M522" i="10" s="1"/>
  <c r="P522" i="10"/>
  <c r="W522" i="10"/>
  <c r="P515" i="10"/>
  <c r="W515" i="10" s="1"/>
  <c r="P516" i="10"/>
  <c r="N516" i="10" s="1"/>
  <c r="U516" i="10" s="1"/>
  <c r="P517" i="10"/>
  <c r="N517" i="10"/>
  <c r="U517" i="10" s="1"/>
  <c r="P518" i="10"/>
  <c r="V518" i="10" s="1"/>
  <c r="P519" i="10"/>
  <c r="N519" i="10"/>
  <c r="U519" i="10" s="1"/>
  <c r="P520" i="10"/>
  <c r="W520" i="10"/>
  <c r="P521" i="10"/>
  <c r="V521" i="10" s="1"/>
  <c r="P523" i="10"/>
  <c r="V523" i="10"/>
  <c r="Q515" i="10"/>
  <c r="Q516" i="10"/>
  <c r="Q517" i="10"/>
  <c r="Q518" i="10"/>
  <c r="Q519" i="10"/>
  <c r="Q520" i="10"/>
  <c r="Q521" i="10"/>
  <c r="Q522" i="10"/>
  <c r="Q523" i="10"/>
  <c r="R515" i="10"/>
  <c r="R516" i="10"/>
  <c r="R517" i="10"/>
  <c r="R518" i="10"/>
  <c r="R519" i="10"/>
  <c r="R520" i="10"/>
  <c r="R521" i="10"/>
  <c r="R522" i="10"/>
  <c r="R523" i="10"/>
  <c r="S515" i="10"/>
  <c r="S516" i="10"/>
  <c r="S517" i="10"/>
  <c r="S518" i="10"/>
  <c r="S519" i="10"/>
  <c r="S520" i="10"/>
  <c r="S521" i="10"/>
  <c r="S522" i="10"/>
  <c r="S523" i="10"/>
  <c r="CS516" i="1"/>
  <c r="CO516" i="1"/>
  <c r="CK516" i="1"/>
  <c r="CG516" i="1"/>
  <c r="F516" i="1"/>
  <c r="BW516" i="1" s="1"/>
  <c r="G516" i="1"/>
  <c r="BX516" i="1" s="1"/>
  <c r="H516" i="1"/>
  <c r="BY516" i="1" s="1"/>
  <c r="I516" i="1"/>
  <c r="CA516" i="1" s="1"/>
  <c r="J516" i="1"/>
  <c r="BZ516" i="1"/>
  <c r="AM516" i="1"/>
  <c r="AO516" i="1"/>
  <c r="AP516" i="1"/>
  <c r="AQ516" i="1"/>
  <c r="A516" i="1" s="1"/>
  <c r="A523" i="10" s="1"/>
  <c r="AR516" i="1"/>
  <c r="AS516" i="1" s="1"/>
  <c r="AT516" i="1"/>
  <c r="AV516" i="1"/>
  <c r="AW516" i="1"/>
  <c r="AX516" i="1"/>
  <c r="AY516" i="1"/>
  <c r="AZ516" i="1"/>
  <c r="BA516" i="1"/>
  <c r="BB516" i="1"/>
  <c r="BC516" i="1"/>
  <c r="BE516" i="1"/>
  <c r="BF516" i="1"/>
  <c r="BG516" i="1"/>
  <c r="BH516" i="1"/>
  <c r="BI516" i="1"/>
  <c r="BJ516" i="1"/>
  <c r="BK516" i="1" s="1"/>
  <c r="BN516" i="1"/>
  <c r="BR516" i="1"/>
  <c r="BU516" i="1"/>
  <c r="DD516" i="1"/>
  <c r="CS515" i="1"/>
  <c r="CO515" i="1"/>
  <c r="CK515" i="1"/>
  <c r="CG515" i="1"/>
  <c r="BO515" i="1"/>
  <c r="BP515" i="1" s="1"/>
  <c r="F515" i="1"/>
  <c r="BW515" i="1" s="1"/>
  <c r="G515" i="1"/>
  <c r="BX515" i="1" s="1"/>
  <c r="H515" i="1"/>
  <c r="BY515" i="1"/>
  <c r="I515" i="1"/>
  <c r="CA515" i="1" s="1"/>
  <c r="J515" i="1"/>
  <c r="BZ515" i="1"/>
  <c r="AM515" i="1"/>
  <c r="AP515" i="1"/>
  <c r="AQ515" i="1"/>
  <c r="A515" i="1"/>
  <c r="A522" i="10" s="1"/>
  <c r="AR515" i="1"/>
  <c r="AS515" i="1"/>
  <c r="AT515" i="1"/>
  <c r="AV515" i="1"/>
  <c r="AW515" i="1"/>
  <c r="AX515" i="1"/>
  <c r="AY515" i="1"/>
  <c r="AZ515" i="1"/>
  <c r="BA515" i="1"/>
  <c r="BB515" i="1"/>
  <c r="BC515" i="1"/>
  <c r="BE515" i="1"/>
  <c r="BF515" i="1"/>
  <c r="BG515" i="1"/>
  <c r="BH515" i="1"/>
  <c r="BI515" i="1"/>
  <c r="BJ515" i="1"/>
  <c r="BK515" i="1"/>
  <c r="BN515" i="1"/>
  <c r="BR515" i="1"/>
  <c r="BT515" i="1" s="1"/>
  <c r="BU515" i="1"/>
  <c r="DD515" i="1"/>
  <c r="DE515" i="1" s="1"/>
  <c r="CS514" i="1"/>
  <c r="CO514" i="1"/>
  <c r="CK514" i="1"/>
  <c r="CG514" i="1"/>
  <c r="BO514" i="1"/>
  <c r="BP514" i="1"/>
  <c r="BR514" i="1"/>
  <c r="F514" i="1"/>
  <c r="BW514" i="1"/>
  <c r="G514" i="1"/>
  <c r="BX514" i="1" s="1"/>
  <c r="H514" i="1"/>
  <c r="BY514" i="1"/>
  <c r="I514" i="1"/>
  <c r="CA514" i="1" s="1"/>
  <c r="J514" i="1"/>
  <c r="BZ514" i="1"/>
  <c r="AM514" i="1"/>
  <c r="AO514" i="1"/>
  <c r="M521" i="10" s="1"/>
  <c r="AP514" i="1"/>
  <c r="AR514" i="1"/>
  <c r="AS514" i="1" s="1"/>
  <c r="AT514" i="1"/>
  <c r="AV514" i="1"/>
  <c r="AW514" i="1"/>
  <c r="AX514" i="1"/>
  <c r="AY514" i="1"/>
  <c r="AZ514" i="1"/>
  <c r="BA514" i="1"/>
  <c r="BB514" i="1"/>
  <c r="BC514" i="1"/>
  <c r="BE514" i="1"/>
  <c r="BF514" i="1"/>
  <c r="BG514" i="1"/>
  <c r="BH514" i="1"/>
  <c r="BI514" i="1"/>
  <c r="BJ514" i="1"/>
  <c r="BK514" i="1" s="1"/>
  <c r="BN514" i="1"/>
  <c r="BU514" i="1"/>
  <c r="DD514" i="1"/>
  <c r="CS513" i="1"/>
  <c r="CO513" i="1"/>
  <c r="CK513" i="1"/>
  <c r="CG513" i="1"/>
  <c r="BO513" i="1"/>
  <c r="BP513" i="1" s="1"/>
  <c r="F513" i="1"/>
  <c r="BW513" i="1" s="1"/>
  <c r="G513" i="1"/>
  <c r="BX513" i="1" s="1"/>
  <c r="H513" i="1"/>
  <c r="BY513" i="1"/>
  <c r="I513" i="1"/>
  <c r="CA513" i="1" s="1"/>
  <c r="J513" i="1"/>
  <c r="BZ513" i="1"/>
  <c r="AM513" i="1"/>
  <c r="AO513" i="1"/>
  <c r="M520" i="10"/>
  <c r="AP513" i="1"/>
  <c r="AQ513" i="1"/>
  <c r="A513" i="1" s="1"/>
  <c r="A520" i="10" s="1"/>
  <c r="AR513" i="1"/>
  <c r="AS513" i="1" s="1"/>
  <c r="AT513" i="1"/>
  <c r="AV513" i="1"/>
  <c r="AW513" i="1"/>
  <c r="AX513" i="1"/>
  <c r="AY513" i="1"/>
  <c r="AZ513" i="1"/>
  <c r="BA513" i="1"/>
  <c r="BB513" i="1"/>
  <c r="BC513" i="1"/>
  <c r="BE513" i="1"/>
  <c r="BF513" i="1"/>
  <c r="BG513" i="1"/>
  <c r="BH513" i="1"/>
  <c r="BI513" i="1"/>
  <c r="BJ513" i="1"/>
  <c r="BK513" i="1" s="1"/>
  <c r="BN513" i="1"/>
  <c r="BR513" i="1"/>
  <c r="BU513" i="1"/>
  <c r="DD513" i="1"/>
  <c r="DE513" i="1" s="1"/>
  <c r="CS512" i="1"/>
  <c r="CO512" i="1"/>
  <c r="CK512" i="1"/>
  <c r="CG512" i="1"/>
  <c r="BO512" i="1"/>
  <c r="BP512" i="1"/>
  <c r="F512" i="1"/>
  <c r="BW512" i="1" s="1"/>
  <c r="G512" i="1"/>
  <c r="BX512" i="1" s="1"/>
  <c r="H512" i="1"/>
  <c r="BY512" i="1" s="1"/>
  <c r="I512" i="1"/>
  <c r="CA512" i="1" s="1"/>
  <c r="J512" i="1"/>
  <c r="BZ512" i="1" s="1"/>
  <c r="AM512" i="1"/>
  <c r="AO512" i="1"/>
  <c r="M519" i="10" s="1"/>
  <c r="AP512" i="1"/>
  <c r="AQ512" i="1"/>
  <c r="A512" i="1"/>
  <c r="A519" i="10" s="1"/>
  <c r="AR512" i="1"/>
  <c r="AS512" i="1"/>
  <c r="AT512" i="1"/>
  <c r="AV512" i="1"/>
  <c r="AW512" i="1"/>
  <c r="AX512" i="1"/>
  <c r="AY512" i="1"/>
  <c r="AZ512" i="1"/>
  <c r="BA512" i="1"/>
  <c r="BB512" i="1"/>
  <c r="BC512" i="1"/>
  <c r="BE512" i="1"/>
  <c r="BF512" i="1"/>
  <c r="BG512" i="1"/>
  <c r="BH512" i="1"/>
  <c r="BI512" i="1"/>
  <c r="BJ512" i="1"/>
  <c r="BK512" i="1"/>
  <c r="BN512" i="1"/>
  <c r="BR512" i="1"/>
  <c r="BT512" i="1" s="1"/>
  <c r="BU512" i="1"/>
  <c r="DD512" i="1"/>
  <c r="DE512" i="1" s="1"/>
  <c r="CS511" i="1"/>
  <c r="CG511" i="1"/>
  <c r="CK511" i="1"/>
  <c r="CO511" i="1"/>
  <c r="BO511" i="1"/>
  <c r="BP511" i="1"/>
  <c r="BR511" i="1"/>
  <c r="BT511" i="1" s="1"/>
  <c r="F511" i="1"/>
  <c r="BW511" i="1"/>
  <c r="G511" i="1"/>
  <c r="BX511" i="1" s="1"/>
  <c r="H511" i="1"/>
  <c r="BY511" i="1"/>
  <c r="I511" i="1"/>
  <c r="CA511" i="1" s="1"/>
  <c r="J511" i="1"/>
  <c r="BZ511" i="1"/>
  <c r="AM511" i="1"/>
  <c r="AO511" i="1"/>
  <c r="AP511" i="1"/>
  <c r="AQ511" i="1"/>
  <c r="A511" i="1" s="1"/>
  <c r="A518" i="10" s="1"/>
  <c r="AR511" i="1"/>
  <c r="AS511" i="1"/>
  <c r="AT511" i="1"/>
  <c r="AV511" i="1"/>
  <c r="AW511" i="1"/>
  <c r="AX511" i="1"/>
  <c r="AY511" i="1"/>
  <c r="AZ511" i="1"/>
  <c r="BA511" i="1"/>
  <c r="BB511" i="1"/>
  <c r="BC511" i="1"/>
  <c r="BE511" i="1"/>
  <c r="BF511" i="1"/>
  <c r="BG511" i="1"/>
  <c r="BH511" i="1"/>
  <c r="BI511" i="1"/>
  <c r="BJ511" i="1"/>
  <c r="BK511" i="1"/>
  <c r="BN511" i="1"/>
  <c r="BU511" i="1"/>
  <c r="DD511" i="1"/>
  <c r="DF511" i="1"/>
  <c r="CS510" i="1"/>
  <c r="CO510" i="1"/>
  <c r="CK510" i="1"/>
  <c r="CG510" i="1"/>
  <c r="BO510" i="1"/>
  <c r="BP510" i="1" s="1"/>
  <c r="BR510" i="1"/>
  <c r="F510" i="1"/>
  <c r="BW510" i="1"/>
  <c r="G510" i="1"/>
  <c r="BX510" i="1" s="1"/>
  <c r="H510" i="1"/>
  <c r="BY510" i="1" s="1"/>
  <c r="I510" i="1"/>
  <c r="CA510" i="1" s="1"/>
  <c r="J510" i="1"/>
  <c r="BZ510" i="1" s="1"/>
  <c r="AM510" i="1"/>
  <c r="AO510" i="1"/>
  <c r="M517" i="10"/>
  <c r="AP510" i="1"/>
  <c r="AQ510" i="1"/>
  <c r="A510" i="1" s="1"/>
  <c r="A517" i="10"/>
  <c r="AR510" i="1"/>
  <c r="AS510" i="1" s="1"/>
  <c r="AT510" i="1"/>
  <c r="AV510" i="1"/>
  <c r="AW510" i="1"/>
  <c r="AX510" i="1"/>
  <c r="AY510" i="1"/>
  <c r="AZ510" i="1"/>
  <c r="BA510" i="1"/>
  <c r="BB510" i="1"/>
  <c r="BC510" i="1"/>
  <c r="BE510" i="1"/>
  <c r="BF510" i="1"/>
  <c r="BG510" i="1"/>
  <c r="BH510" i="1"/>
  <c r="BI510" i="1"/>
  <c r="BJ510" i="1"/>
  <c r="BK510" i="1"/>
  <c r="BN510" i="1"/>
  <c r="BU510" i="1"/>
  <c r="DD510" i="1"/>
  <c r="CS509" i="1"/>
  <c r="CO509" i="1"/>
  <c r="CK509" i="1"/>
  <c r="CG509" i="1"/>
  <c r="BO509" i="1"/>
  <c r="BP509" i="1" s="1"/>
  <c r="F509" i="1"/>
  <c r="BW509" i="1" s="1"/>
  <c r="G509" i="1"/>
  <c r="BX509" i="1" s="1"/>
  <c r="H509" i="1"/>
  <c r="BY509" i="1" s="1"/>
  <c r="I509" i="1"/>
  <c r="CA509" i="1" s="1"/>
  <c r="J509" i="1"/>
  <c r="BZ509" i="1"/>
  <c r="AM509" i="1"/>
  <c r="AO509" i="1"/>
  <c r="M516" i="10"/>
  <c r="AP509" i="1"/>
  <c r="AQ509" i="1"/>
  <c r="A509" i="1" s="1"/>
  <c r="A516" i="10" s="1"/>
  <c r="AR509" i="1"/>
  <c r="AS509" i="1"/>
  <c r="AT509" i="1"/>
  <c r="AV509" i="1"/>
  <c r="AW509" i="1"/>
  <c r="AX509" i="1"/>
  <c r="AY509" i="1"/>
  <c r="AZ509" i="1"/>
  <c r="BA509" i="1"/>
  <c r="BB509" i="1"/>
  <c r="BC509" i="1"/>
  <c r="BE509" i="1"/>
  <c r="BF509" i="1"/>
  <c r="BG509" i="1"/>
  <c r="BH509" i="1"/>
  <c r="BI509" i="1"/>
  <c r="BJ509" i="1"/>
  <c r="BK509" i="1"/>
  <c r="BN509" i="1"/>
  <c r="BR509" i="1"/>
  <c r="BU509" i="1"/>
  <c r="DD509" i="1"/>
  <c r="CS508" i="1"/>
  <c r="CO508" i="1"/>
  <c r="CK508" i="1"/>
  <c r="CG508" i="1"/>
  <c r="BO508" i="1"/>
  <c r="BP508" i="1"/>
  <c r="BR508" i="1"/>
  <c r="BT508" i="1"/>
  <c r="F508" i="1"/>
  <c r="BW508" i="1"/>
  <c r="G508" i="1"/>
  <c r="BX508" i="1"/>
  <c r="H508" i="1"/>
  <c r="BY508" i="1"/>
  <c r="I508" i="1"/>
  <c r="CA508" i="1"/>
  <c r="J508" i="1"/>
  <c r="BZ508" i="1"/>
  <c r="AM508" i="1"/>
  <c r="AO508" i="1"/>
  <c r="M515" i="10" s="1"/>
  <c r="AP508" i="1"/>
  <c r="AQ508" i="1"/>
  <c r="A508" i="1"/>
  <c r="A515" i="10" s="1"/>
  <c r="AR508" i="1"/>
  <c r="AS508" i="1" s="1"/>
  <c r="AT508" i="1"/>
  <c r="AV508" i="1"/>
  <c r="AW508" i="1"/>
  <c r="AX508" i="1"/>
  <c r="AY508" i="1"/>
  <c r="AZ508" i="1"/>
  <c r="BA508" i="1"/>
  <c r="BB508" i="1"/>
  <c r="BC508" i="1"/>
  <c r="BE508" i="1"/>
  <c r="BF508" i="1"/>
  <c r="BG508" i="1"/>
  <c r="BH508" i="1"/>
  <c r="BI508" i="1"/>
  <c r="BJ508" i="1"/>
  <c r="BK508" i="1" s="1"/>
  <c r="BN508" i="1"/>
  <c r="BU508" i="1"/>
  <c r="DD508" i="1"/>
  <c r="C23" i="10"/>
  <c r="CO507" i="1"/>
  <c r="CK507" i="1"/>
  <c r="CG507" i="1"/>
  <c r="BO507" i="1"/>
  <c r="BP507" i="1" s="1"/>
  <c r="BR507" i="1"/>
  <c r="BT507" i="1"/>
  <c r="F507" i="1"/>
  <c r="BW507" i="1" s="1"/>
  <c r="G507" i="1"/>
  <c r="BX507" i="1"/>
  <c r="H507" i="1"/>
  <c r="BY507" i="1" s="1"/>
  <c r="I507" i="1"/>
  <c r="CA507" i="1"/>
  <c r="J507" i="1"/>
  <c r="BZ507" i="1" s="1"/>
  <c r="AM507" i="1"/>
  <c r="AO507" i="1"/>
  <c r="M531" i="10" s="1"/>
  <c r="CS507" i="1"/>
  <c r="AP507" i="1"/>
  <c r="AQ507" i="1"/>
  <c r="A507" i="1" s="1"/>
  <c r="A531" i="10" s="1"/>
  <c r="AR507" i="1"/>
  <c r="AS507" i="1"/>
  <c r="AT507" i="1"/>
  <c r="AV507" i="1"/>
  <c r="AW507" i="1"/>
  <c r="AX507" i="1"/>
  <c r="AY507" i="1"/>
  <c r="AZ507" i="1"/>
  <c r="BA507" i="1"/>
  <c r="BB507" i="1"/>
  <c r="BC507" i="1"/>
  <c r="BE507" i="1"/>
  <c r="BF507" i="1"/>
  <c r="BG507" i="1"/>
  <c r="BH507" i="1"/>
  <c r="BI507" i="1"/>
  <c r="BJ507" i="1"/>
  <c r="BK507" i="1"/>
  <c r="BN507" i="1"/>
  <c r="BU507" i="1"/>
  <c r="DD507" i="1"/>
  <c r="F497" i="1"/>
  <c r="BW497" i="1" s="1"/>
  <c r="G497" i="1"/>
  <c r="BX497" i="1" s="1"/>
  <c r="H497" i="1"/>
  <c r="BY497" i="1"/>
  <c r="I497" i="1"/>
  <c r="CA497" i="1" s="1"/>
  <c r="J497" i="1"/>
  <c r="BZ497" i="1"/>
  <c r="AM497" i="1"/>
  <c r="AO497" i="1"/>
  <c r="M505" i="10"/>
  <c r="AP497" i="1"/>
  <c r="AQ497" i="1"/>
  <c r="A497" i="1" s="1"/>
  <c r="A505" i="10" s="1"/>
  <c r="AR497" i="1"/>
  <c r="AS497" i="1"/>
  <c r="AT497" i="1"/>
  <c r="AV497" i="1"/>
  <c r="AW497" i="1"/>
  <c r="AX497" i="1"/>
  <c r="AY497" i="1"/>
  <c r="AZ497" i="1"/>
  <c r="BA497" i="1"/>
  <c r="BB497" i="1"/>
  <c r="BC497" i="1"/>
  <c r="BE497" i="1"/>
  <c r="BF497" i="1"/>
  <c r="BG497" i="1"/>
  <c r="BH497" i="1"/>
  <c r="BI497" i="1"/>
  <c r="BJ497" i="1"/>
  <c r="BK497" i="1"/>
  <c r="BN497" i="1"/>
  <c r="BO497" i="1"/>
  <c r="BR497" i="1"/>
  <c r="BT497" i="1"/>
  <c r="BU497" i="1"/>
  <c r="CG497" i="1"/>
  <c r="CK497" i="1"/>
  <c r="CO497" i="1"/>
  <c r="CS497" i="1"/>
  <c r="DD497" i="1"/>
  <c r="AQ505" i="1"/>
  <c r="A505" i="1"/>
  <c r="A513" i="10" s="1"/>
  <c r="C506" i="10"/>
  <c r="C507" i="10"/>
  <c r="C508" i="10"/>
  <c r="C509" i="10"/>
  <c r="C510" i="10"/>
  <c r="C511" i="10"/>
  <c r="C512" i="10"/>
  <c r="C513" i="10"/>
  <c r="C514" i="10"/>
  <c r="E506" i="10"/>
  <c r="E507" i="10"/>
  <c r="E508" i="10"/>
  <c r="E509" i="10"/>
  <c r="E510" i="10"/>
  <c r="E511" i="10"/>
  <c r="E512" i="10"/>
  <c r="E513" i="10"/>
  <c r="E514" i="10"/>
  <c r="CG502" i="1"/>
  <c r="CK502" i="1"/>
  <c r="CO502" i="1"/>
  <c r="CS502" i="1"/>
  <c r="AO498" i="1"/>
  <c r="M506" i="10" s="1"/>
  <c r="P506" i="10"/>
  <c r="W506" i="10"/>
  <c r="AO499" i="1"/>
  <c r="M507" i="10" s="1"/>
  <c r="P507" i="10"/>
  <c r="V507" i="10"/>
  <c r="AO506" i="1"/>
  <c r="P514" i="10"/>
  <c r="V514" i="10"/>
  <c r="P508" i="10"/>
  <c r="W508" i="10"/>
  <c r="P509" i="10"/>
  <c r="N509" i="10"/>
  <c r="U509" i="10"/>
  <c r="P510" i="10"/>
  <c r="W510" i="10" s="1"/>
  <c r="P511" i="10"/>
  <c r="N511" i="10" s="1"/>
  <c r="U511" i="10" s="1"/>
  <c r="P512" i="10"/>
  <c r="N512" i="10"/>
  <c r="U512" i="10" s="1"/>
  <c r="P513" i="10"/>
  <c r="V513" i="10" s="1"/>
  <c r="Q506" i="10"/>
  <c r="Q507" i="10"/>
  <c r="Q508" i="10"/>
  <c r="Q509" i="10"/>
  <c r="Q510" i="10"/>
  <c r="Q511" i="10"/>
  <c r="Q512" i="10"/>
  <c r="Q513" i="10"/>
  <c r="Q514" i="10"/>
  <c r="R506" i="10"/>
  <c r="R507" i="10"/>
  <c r="R508" i="10"/>
  <c r="R509" i="10"/>
  <c r="R510" i="10"/>
  <c r="R511" i="10"/>
  <c r="R512" i="10"/>
  <c r="R513" i="10"/>
  <c r="R514" i="10"/>
  <c r="S506" i="10"/>
  <c r="S507" i="10"/>
  <c r="S508" i="10"/>
  <c r="S509" i="10"/>
  <c r="S510" i="10"/>
  <c r="S511" i="10"/>
  <c r="S512" i="10"/>
  <c r="S513" i="10"/>
  <c r="S514" i="10"/>
  <c r="CS506" i="1"/>
  <c r="CG506" i="1"/>
  <c r="CK506" i="1"/>
  <c r="CO506" i="1"/>
  <c r="BO506" i="1"/>
  <c r="BP506" i="1"/>
  <c r="BR506" i="1"/>
  <c r="F506" i="1"/>
  <c r="BW506" i="1" s="1"/>
  <c r="G506" i="1"/>
  <c r="BX506" i="1"/>
  <c r="H506" i="1"/>
  <c r="BY506" i="1" s="1"/>
  <c r="I506" i="1"/>
  <c r="CA506" i="1"/>
  <c r="J506" i="1"/>
  <c r="BZ506" i="1" s="1"/>
  <c r="AM506" i="1"/>
  <c r="AP506" i="1"/>
  <c r="AQ506" i="1"/>
  <c r="A506" i="1" s="1"/>
  <c r="A514" i="10"/>
  <c r="AR506" i="1"/>
  <c r="AS506" i="1" s="1"/>
  <c r="AT506" i="1"/>
  <c r="AV506" i="1"/>
  <c r="AW506" i="1"/>
  <c r="AX506" i="1"/>
  <c r="AY506" i="1"/>
  <c r="AZ506" i="1"/>
  <c r="BA506" i="1"/>
  <c r="BB506" i="1"/>
  <c r="BC506" i="1"/>
  <c r="BE506" i="1"/>
  <c r="BF506" i="1"/>
  <c r="BG506" i="1"/>
  <c r="BH506" i="1"/>
  <c r="BI506" i="1"/>
  <c r="BJ506" i="1"/>
  <c r="BK506" i="1" s="1"/>
  <c r="BN506" i="1"/>
  <c r="BU506" i="1"/>
  <c r="DD506" i="1"/>
  <c r="DE506" i="1" s="1"/>
  <c r="CS505" i="1"/>
  <c r="CO505" i="1"/>
  <c r="CK505" i="1"/>
  <c r="CG505" i="1"/>
  <c r="BO505" i="1"/>
  <c r="BP505" i="1"/>
  <c r="F505" i="1"/>
  <c r="BW505" i="1" s="1"/>
  <c r="G505" i="1"/>
  <c r="BX505" i="1"/>
  <c r="H505" i="1"/>
  <c r="BY505" i="1" s="1"/>
  <c r="I505" i="1"/>
  <c r="CA505" i="1"/>
  <c r="J505" i="1"/>
  <c r="BZ505" i="1" s="1"/>
  <c r="AM505" i="1"/>
  <c r="AO505" i="1"/>
  <c r="M513" i="10" s="1"/>
  <c r="AP505" i="1"/>
  <c r="AR505" i="1"/>
  <c r="AS505" i="1"/>
  <c r="AT505" i="1"/>
  <c r="AV505" i="1"/>
  <c r="AW505" i="1"/>
  <c r="AX505" i="1"/>
  <c r="AY505" i="1"/>
  <c r="AZ505" i="1"/>
  <c r="BA505" i="1"/>
  <c r="BB505" i="1"/>
  <c r="BC505" i="1"/>
  <c r="BE505" i="1"/>
  <c r="BF505" i="1"/>
  <c r="BG505" i="1"/>
  <c r="BH505" i="1"/>
  <c r="BI505" i="1"/>
  <c r="BJ505" i="1"/>
  <c r="BK505" i="1"/>
  <c r="BN505" i="1"/>
  <c r="BR505" i="1"/>
  <c r="BU505" i="1"/>
  <c r="DD505" i="1"/>
  <c r="CS504" i="1"/>
  <c r="CO504" i="1"/>
  <c r="CK504" i="1"/>
  <c r="CG504" i="1"/>
  <c r="BO504" i="1"/>
  <c r="BP504" i="1" s="1"/>
  <c r="BR504" i="1"/>
  <c r="BT504" i="1"/>
  <c r="F504" i="1"/>
  <c r="BW504" i="1" s="1"/>
  <c r="G504" i="1"/>
  <c r="BX504" i="1"/>
  <c r="H504" i="1"/>
  <c r="BY504" i="1" s="1"/>
  <c r="I504" i="1"/>
  <c r="CA504" i="1"/>
  <c r="J504" i="1"/>
  <c r="BZ504" i="1" s="1"/>
  <c r="AM504" i="1"/>
  <c r="AO504" i="1"/>
  <c r="M512" i="10" s="1"/>
  <c r="AP504" i="1"/>
  <c r="AQ504" i="1"/>
  <c r="A504" i="1"/>
  <c r="A512" i="10" s="1"/>
  <c r="AR504" i="1"/>
  <c r="AS504" i="1" s="1"/>
  <c r="AT504" i="1"/>
  <c r="AV504" i="1"/>
  <c r="AW504" i="1"/>
  <c r="AX504" i="1"/>
  <c r="AY504" i="1"/>
  <c r="AZ504" i="1"/>
  <c r="BA504" i="1"/>
  <c r="BB504" i="1"/>
  <c r="BC504" i="1"/>
  <c r="BE504" i="1"/>
  <c r="BF504" i="1"/>
  <c r="BG504" i="1"/>
  <c r="BH504" i="1"/>
  <c r="BI504" i="1"/>
  <c r="BJ504" i="1"/>
  <c r="BK504" i="1" s="1"/>
  <c r="BN504" i="1"/>
  <c r="BU504" i="1"/>
  <c r="DD504" i="1"/>
  <c r="CS503" i="1"/>
  <c r="CO503" i="1"/>
  <c r="CK503" i="1"/>
  <c r="CG503" i="1"/>
  <c r="BO503" i="1"/>
  <c r="BP503" i="1"/>
  <c r="F503" i="1"/>
  <c r="BW503" i="1"/>
  <c r="G503" i="1"/>
  <c r="BX503" i="1"/>
  <c r="H503" i="1"/>
  <c r="BY503" i="1"/>
  <c r="I503" i="1"/>
  <c r="CA503" i="1"/>
  <c r="J503" i="1"/>
  <c r="BZ503" i="1"/>
  <c r="AM503" i="1"/>
  <c r="AO503" i="1"/>
  <c r="M511" i="10"/>
  <c r="AP503" i="1"/>
  <c r="AQ503" i="1"/>
  <c r="A503" i="1"/>
  <c r="A511" i="10"/>
  <c r="AR503" i="1"/>
  <c r="AS503" i="1" s="1"/>
  <c r="AT503" i="1"/>
  <c r="AV503" i="1"/>
  <c r="AW503" i="1"/>
  <c r="AX503" i="1"/>
  <c r="AY503" i="1"/>
  <c r="AZ503" i="1"/>
  <c r="BA503" i="1"/>
  <c r="BB503" i="1"/>
  <c r="BC503" i="1"/>
  <c r="BE503" i="1"/>
  <c r="BF503" i="1"/>
  <c r="BG503" i="1"/>
  <c r="BH503" i="1"/>
  <c r="BI503" i="1"/>
  <c r="BJ503" i="1"/>
  <c r="BK503" i="1" s="1"/>
  <c r="BN503" i="1"/>
  <c r="BR503" i="1"/>
  <c r="BT503" i="1" s="1"/>
  <c r="BU503" i="1"/>
  <c r="DD503" i="1"/>
  <c r="DE503" i="1" s="1"/>
  <c r="BO502" i="1"/>
  <c r="F502" i="1"/>
  <c r="BW502" i="1"/>
  <c r="G502" i="1"/>
  <c r="BX502" i="1" s="1"/>
  <c r="H502" i="1"/>
  <c r="BY502" i="1"/>
  <c r="I502" i="1"/>
  <c r="CA502" i="1" s="1"/>
  <c r="J502" i="1"/>
  <c r="BZ502" i="1"/>
  <c r="AM502" i="1"/>
  <c r="AO502" i="1"/>
  <c r="M510" i="10" s="1"/>
  <c r="AP502" i="1"/>
  <c r="AQ502" i="1"/>
  <c r="A502" i="1" s="1"/>
  <c r="A510" i="10" s="1"/>
  <c r="AR502" i="1"/>
  <c r="AS502" i="1"/>
  <c r="AT502" i="1"/>
  <c r="AV502" i="1"/>
  <c r="AW502" i="1"/>
  <c r="AX502" i="1"/>
  <c r="AY502" i="1"/>
  <c r="AZ502" i="1"/>
  <c r="BA502" i="1"/>
  <c r="BB502" i="1"/>
  <c r="BC502" i="1"/>
  <c r="BE502" i="1"/>
  <c r="BF502" i="1"/>
  <c r="BG502" i="1"/>
  <c r="BH502" i="1"/>
  <c r="BI502" i="1"/>
  <c r="BJ502" i="1"/>
  <c r="BK502" i="1"/>
  <c r="BN502" i="1"/>
  <c r="BR502" i="1"/>
  <c r="BT502" i="1"/>
  <c r="BU502" i="1"/>
  <c r="DD502" i="1"/>
  <c r="CS501" i="1"/>
  <c r="CO501" i="1"/>
  <c r="CK501" i="1"/>
  <c r="CG501" i="1"/>
  <c r="BO501" i="1"/>
  <c r="BP501" i="1"/>
  <c r="F501" i="1"/>
  <c r="BW501" i="1"/>
  <c r="G501" i="1"/>
  <c r="BX501" i="1"/>
  <c r="H501" i="1"/>
  <c r="BY501" i="1"/>
  <c r="I501" i="1"/>
  <c r="CA501" i="1"/>
  <c r="J501" i="1"/>
  <c r="BZ501" i="1"/>
  <c r="AM501" i="1"/>
  <c r="AO501" i="1"/>
  <c r="M509" i="10"/>
  <c r="AP501" i="1"/>
  <c r="AQ501" i="1"/>
  <c r="A501" i="1"/>
  <c r="A509" i="10"/>
  <c r="AR501" i="1"/>
  <c r="AS501" i="1" s="1"/>
  <c r="AT501" i="1"/>
  <c r="AV501" i="1"/>
  <c r="AW501" i="1"/>
  <c r="AX501" i="1"/>
  <c r="AY501" i="1"/>
  <c r="AZ501" i="1"/>
  <c r="BA501" i="1"/>
  <c r="BB501" i="1"/>
  <c r="BC501" i="1"/>
  <c r="BE501" i="1"/>
  <c r="BF501" i="1"/>
  <c r="BG501" i="1"/>
  <c r="BH501" i="1"/>
  <c r="BI501" i="1"/>
  <c r="BJ501" i="1"/>
  <c r="BK501" i="1" s="1"/>
  <c r="BN501" i="1"/>
  <c r="BR501" i="1"/>
  <c r="BT501" i="1" s="1"/>
  <c r="BU501" i="1"/>
  <c r="DD501" i="1"/>
  <c r="CS500" i="1"/>
  <c r="CO500" i="1"/>
  <c r="CK500" i="1"/>
  <c r="CG500" i="1"/>
  <c r="BO500" i="1"/>
  <c r="BP500" i="1" s="1"/>
  <c r="F500" i="1"/>
  <c r="BW500" i="1"/>
  <c r="G500" i="1"/>
  <c r="BX500" i="1" s="1"/>
  <c r="H500" i="1"/>
  <c r="BY500" i="1"/>
  <c r="I500" i="1"/>
  <c r="CA500" i="1" s="1"/>
  <c r="J500" i="1"/>
  <c r="BZ500" i="1"/>
  <c r="AM500" i="1"/>
  <c r="AO500" i="1"/>
  <c r="M508" i="10" s="1"/>
  <c r="AP500" i="1"/>
  <c r="AQ500" i="1"/>
  <c r="A500" i="1" s="1"/>
  <c r="A508" i="10" s="1"/>
  <c r="AR500" i="1"/>
  <c r="AS500" i="1"/>
  <c r="AT500" i="1"/>
  <c r="AV500" i="1"/>
  <c r="AW500" i="1"/>
  <c r="AX500" i="1"/>
  <c r="AY500" i="1"/>
  <c r="AZ500" i="1"/>
  <c r="BA500" i="1"/>
  <c r="BB500" i="1"/>
  <c r="BC500" i="1"/>
  <c r="BE500" i="1"/>
  <c r="BF500" i="1"/>
  <c r="BG500" i="1"/>
  <c r="BH500" i="1"/>
  <c r="BI500" i="1"/>
  <c r="BJ500" i="1"/>
  <c r="BK500" i="1"/>
  <c r="BN500" i="1"/>
  <c r="BR500" i="1"/>
  <c r="BU500" i="1"/>
  <c r="DD500" i="1"/>
  <c r="DE500" i="1"/>
  <c r="CS499" i="1"/>
  <c r="CO499" i="1"/>
  <c r="CK499" i="1"/>
  <c r="CG499" i="1"/>
  <c r="BO499" i="1"/>
  <c r="BP499" i="1"/>
  <c r="F499" i="1"/>
  <c r="BW499" i="1"/>
  <c r="G499" i="1"/>
  <c r="BX499" i="1"/>
  <c r="H499" i="1"/>
  <c r="BY499" i="1"/>
  <c r="I499" i="1"/>
  <c r="CA499" i="1"/>
  <c r="J499" i="1"/>
  <c r="BZ499" i="1"/>
  <c r="AM499" i="1"/>
  <c r="AP499" i="1"/>
  <c r="AQ499" i="1"/>
  <c r="A499" i="1"/>
  <c r="A507" i="10" s="1"/>
  <c r="AR499" i="1"/>
  <c r="AS499" i="1" s="1"/>
  <c r="AT499" i="1"/>
  <c r="AV499" i="1"/>
  <c r="AW499" i="1"/>
  <c r="AX499" i="1"/>
  <c r="AY499" i="1"/>
  <c r="AZ499" i="1"/>
  <c r="BA499" i="1"/>
  <c r="BB499" i="1"/>
  <c r="BC499" i="1"/>
  <c r="BE499" i="1"/>
  <c r="BF499" i="1"/>
  <c r="BG499" i="1"/>
  <c r="BH499" i="1"/>
  <c r="BI499" i="1"/>
  <c r="BJ499" i="1"/>
  <c r="BK499" i="1" s="1"/>
  <c r="BN499" i="1"/>
  <c r="BR499" i="1"/>
  <c r="BU499" i="1"/>
  <c r="DD499" i="1"/>
  <c r="DE499" i="1"/>
  <c r="CS498" i="1"/>
  <c r="CO498" i="1"/>
  <c r="CK498" i="1"/>
  <c r="CG498" i="1"/>
  <c r="BO498" i="1"/>
  <c r="BR498" i="1"/>
  <c r="BT498" i="1" s="1"/>
  <c r="F498" i="1"/>
  <c r="BW498" i="1" s="1"/>
  <c r="G498" i="1"/>
  <c r="BX498" i="1" s="1"/>
  <c r="H498" i="1"/>
  <c r="BY498" i="1" s="1"/>
  <c r="I498" i="1"/>
  <c r="CA498" i="1"/>
  <c r="J498" i="1"/>
  <c r="BZ498" i="1" s="1"/>
  <c r="AM498" i="1"/>
  <c r="AP498" i="1"/>
  <c r="AQ498" i="1"/>
  <c r="A498" i="1" s="1"/>
  <c r="A506" i="10" s="1"/>
  <c r="AR498" i="1"/>
  <c r="AS498" i="1"/>
  <c r="AT498" i="1"/>
  <c r="AV498" i="1"/>
  <c r="AW498" i="1"/>
  <c r="AX498" i="1"/>
  <c r="AY498" i="1"/>
  <c r="AZ498" i="1"/>
  <c r="BA498" i="1"/>
  <c r="BB498" i="1"/>
  <c r="BC498" i="1"/>
  <c r="BE498" i="1"/>
  <c r="BF498" i="1"/>
  <c r="BG498" i="1"/>
  <c r="BH498" i="1"/>
  <c r="BI498" i="1"/>
  <c r="BJ498" i="1"/>
  <c r="BK498" i="1"/>
  <c r="BN498" i="1"/>
  <c r="BU498" i="1"/>
  <c r="DD498" i="1"/>
  <c r="E62" i="29"/>
  <c r="E63" i="29"/>
  <c r="E64" i="29"/>
  <c r="E65" i="29"/>
  <c r="E66" i="29"/>
  <c r="E67" i="29"/>
  <c r="E68" i="29"/>
  <c r="E69" i="29"/>
  <c r="E70" i="29"/>
  <c r="E71" i="29"/>
  <c r="F62" i="29"/>
  <c r="F63" i="29"/>
  <c r="F64" i="29"/>
  <c r="F65" i="29"/>
  <c r="F66" i="29"/>
  <c r="F67" i="29"/>
  <c r="F68" i="29"/>
  <c r="F69" i="29"/>
  <c r="F70" i="29"/>
  <c r="F71" i="29"/>
  <c r="G62" i="29"/>
  <c r="G63" i="29"/>
  <c r="G64" i="29"/>
  <c r="G65" i="29"/>
  <c r="G66" i="29"/>
  <c r="G67" i="29"/>
  <c r="G68" i="29"/>
  <c r="G69" i="29"/>
  <c r="G70" i="29"/>
  <c r="G71" i="29"/>
  <c r="H62" i="29"/>
  <c r="H63" i="29"/>
  <c r="H64" i="29"/>
  <c r="H65" i="29"/>
  <c r="H66" i="29"/>
  <c r="H67" i="29"/>
  <c r="H68" i="29"/>
  <c r="H69" i="29"/>
  <c r="H70" i="29"/>
  <c r="H71" i="29"/>
  <c r="I62" i="29"/>
  <c r="I63" i="29"/>
  <c r="I64" i="29"/>
  <c r="I65" i="29"/>
  <c r="I66" i="29"/>
  <c r="I67" i="29"/>
  <c r="I68" i="29"/>
  <c r="I69" i="29"/>
  <c r="I70" i="29"/>
  <c r="I71" i="29"/>
  <c r="G71" i="32"/>
  <c r="H71" i="32"/>
  <c r="G70" i="32"/>
  <c r="H70" i="32"/>
  <c r="G69" i="32"/>
  <c r="H69" i="32"/>
  <c r="G68" i="32"/>
  <c r="H68" i="32"/>
  <c r="M133" i="16"/>
  <c r="L133" i="16"/>
  <c r="N133" i="16"/>
  <c r="O133" i="16"/>
  <c r="M132" i="16"/>
  <c r="L132" i="16"/>
  <c r="N132" i="16"/>
  <c r="O132" i="16"/>
  <c r="M131" i="16"/>
  <c r="L131" i="16"/>
  <c r="N131" i="16"/>
  <c r="O131" i="16"/>
  <c r="C505" i="10"/>
  <c r="E505" i="10"/>
  <c r="P505" i="10"/>
  <c r="Q505" i="10"/>
  <c r="R505" i="10"/>
  <c r="S505" i="10"/>
  <c r="J495" i="1"/>
  <c r="BZ495" i="1" s="1"/>
  <c r="J496" i="1"/>
  <c r="BZ496" i="1" s="1"/>
  <c r="I495" i="1"/>
  <c r="CA495" i="1" s="1"/>
  <c r="I496" i="1"/>
  <c r="CA496" i="1"/>
  <c r="H495" i="1"/>
  <c r="BY495" i="1" s="1"/>
  <c r="H496" i="1"/>
  <c r="BY496" i="1"/>
  <c r="G495" i="1"/>
  <c r="BX495" i="1" s="1"/>
  <c r="G496" i="1"/>
  <c r="BX496" i="1" s="1"/>
  <c r="F495" i="1"/>
  <c r="BW495" i="1" s="1"/>
  <c r="F496" i="1"/>
  <c r="BW496" i="1" s="1"/>
  <c r="J489" i="1"/>
  <c r="BZ489" i="1" s="1"/>
  <c r="I489" i="1"/>
  <c r="CA489" i="1"/>
  <c r="H489" i="1"/>
  <c r="BY489" i="1" s="1"/>
  <c r="G489" i="1"/>
  <c r="BX489" i="1"/>
  <c r="F489" i="1"/>
  <c r="BW489" i="1" s="1"/>
  <c r="C504" i="10"/>
  <c r="E504" i="10"/>
  <c r="P504" i="10"/>
  <c r="V504" i="10" s="1"/>
  <c r="Q504" i="10"/>
  <c r="R504" i="10"/>
  <c r="S504" i="10"/>
  <c r="BO496" i="1"/>
  <c r="BP496" i="1"/>
  <c r="BO495" i="1"/>
  <c r="BP495" i="1" s="1"/>
  <c r="CS496" i="1"/>
  <c r="CG496" i="1"/>
  <c r="CK496" i="1"/>
  <c r="CO496" i="1"/>
  <c r="AM496" i="1"/>
  <c r="AO496" i="1"/>
  <c r="M504" i="10" s="1"/>
  <c r="AP496" i="1"/>
  <c r="AQ496" i="1"/>
  <c r="A496" i="1"/>
  <c r="A504" i="10" s="1"/>
  <c r="AR496" i="1"/>
  <c r="AS496" i="1" s="1"/>
  <c r="AT496" i="1"/>
  <c r="AV496" i="1"/>
  <c r="AW496" i="1"/>
  <c r="AX496" i="1"/>
  <c r="AY496" i="1"/>
  <c r="AZ496" i="1"/>
  <c r="BA496" i="1"/>
  <c r="BB496" i="1"/>
  <c r="BC496" i="1"/>
  <c r="BE496" i="1"/>
  <c r="BF496" i="1"/>
  <c r="BG496" i="1"/>
  <c r="BH496" i="1"/>
  <c r="BI496" i="1"/>
  <c r="BJ496" i="1"/>
  <c r="BK496" i="1" s="1"/>
  <c r="BN496" i="1"/>
  <c r="BR496" i="1"/>
  <c r="BT496" i="1"/>
  <c r="BU496" i="1"/>
  <c r="DD496" i="1"/>
  <c r="DE496" i="1"/>
  <c r="C492" i="10"/>
  <c r="C493" i="10"/>
  <c r="C494" i="10"/>
  <c r="C495" i="10"/>
  <c r="C496" i="10"/>
  <c r="C497" i="10"/>
  <c r="C498" i="10"/>
  <c r="C499" i="10"/>
  <c r="C500" i="10"/>
  <c r="C501" i="10"/>
  <c r="C502" i="10"/>
  <c r="C503" i="10"/>
  <c r="E492" i="10"/>
  <c r="E493" i="10"/>
  <c r="E494" i="10"/>
  <c r="E495" i="10"/>
  <c r="E496" i="10"/>
  <c r="E497" i="10"/>
  <c r="E498" i="10"/>
  <c r="E499" i="10"/>
  <c r="E500" i="10"/>
  <c r="E501" i="10"/>
  <c r="E502" i="10"/>
  <c r="E503" i="10"/>
  <c r="P492" i="10"/>
  <c r="W492" i="10" s="1"/>
  <c r="P493" i="10"/>
  <c r="V493" i="10" s="1"/>
  <c r="P494" i="10"/>
  <c r="V494" i="10" s="1"/>
  <c r="P495" i="10"/>
  <c r="W495" i="10" s="1"/>
  <c r="P496" i="10"/>
  <c r="V496" i="10" s="1"/>
  <c r="P497" i="10"/>
  <c r="V497" i="10"/>
  <c r="P498" i="10"/>
  <c r="V498" i="10" s="1"/>
  <c r="P499" i="10"/>
  <c r="N499" i="10"/>
  <c r="U499" i="10"/>
  <c r="P500" i="10"/>
  <c r="N500" i="10"/>
  <c r="U500" i="10"/>
  <c r="AO492" i="1"/>
  <c r="M500" i="10" s="1"/>
  <c r="P501" i="10"/>
  <c r="V501" i="10" s="1"/>
  <c r="P502" i="10"/>
  <c r="V502" i="10" s="1"/>
  <c r="P503" i="10"/>
  <c r="V503" i="10" s="1"/>
  <c r="Q492" i="10"/>
  <c r="Q493" i="10"/>
  <c r="Q494" i="10"/>
  <c r="Q495" i="10"/>
  <c r="Q496" i="10"/>
  <c r="Q497" i="10"/>
  <c r="Q498" i="10"/>
  <c r="Q499" i="10"/>
  <c r="Q500" i="10"/>
  <c r="Q501" i="10"/>
  <c r="Q502" i="10"/>
  <c r="Q503" i="10"/>
  <c r="R492" i="10"/>
  <c r="R493" i="10"/>
  <c r="R494" i="10"/>
  <c r="R495" i="10"/>
  <c r="R496" i="10"/>
  <c r="R497" i="10"/>
  <c r="R498" i="10"/>
  <c r="R499" i="10"/>
  <c r="R500" i="10"/>
  <c r="R501" i="10"/>
  <c r="R502" i="10"/>
  <c r="R503" i="10"/>
  <c r="S492" i="10"/>
  <c r="S493" i="10"/>
  <c r="S494" i="10"/>
  <c r="S495" i="10"/>
  <c r="S496" i="10"/>
  <c r="S497" i="10"/>
  <c r="S498" i="10"/>
  <c r="S499" i="10"/>
  <c r="S500" i="10"/>
  <c r="S501" i="10"/>
  <c r="S502" i="10"/>
  <c r="S503" i="10"/>
  <c r="CS495" i="1"/>
  <c r="CO495" i="1"/>
  <c r="CK495" i="1"/>
  <c r="CG495" i="1"/>
  <c r="AM495" i="1"/>
  <c r="AO495" i="1"/>
  <c r="M503" i="10"/>
  <c r="AP495" i="1"/>
  <c r="AQ495" i="1"/>
  <c r="A495" i="1" s="1"/>
  <c r="A503" i="10"/>
  <c r="AR495" i="1"/>
  <c r="AS495" i="1" s="1"/>
  <c r="AT495" i="1"/>
  <c r="AV495" i="1"/>
  <c r="AW495" i="1"/>
  <c r="AX495" i="1"/>
  <c r="AY495" i="1"/>
  <c r="AZ495" i="1"/>
  <c r="BA495" i="1"/>
  <c r="BB495" i="1"/>
  <c r="BC495" i="1"/>
  <c r="BE495" i="1"/>
  <c r="BF495" i="1"/>
  <c r="BG495" i="1"/>
  <c r="BH495" i="1"/>
  <c r="BI495" i="1"/>
  <c r="BJ495" i="1"/>
  <c r="BK495" i="1" s="1"/>
  <c r="BN495" i="1"/>
  <c r="BR495" i="1"/>
  <c r="BU495" i="1"/>
  <c r="DD495" i="1"/>
  <c r="CS494" i="1"/>
  <c r="CO494" i="1"/>
  <c r="CK494" i="1"/>
  <c r="CG494" i="1"/>
  <c r="BO494" i="1"/>
  <c r="BP494" i="1"/>
  <c r="BR494" i="1"/>
  <c r="BT494" i="1" s="1"/>
  <c r="F494" i="1"/>
  <c r="BW494" i="1"/>
  <c r="G494" i="1"/>
  <c r="BX494" i="1" s="1"/>
  <c r="H494" i="1"/>
  <c r="BY494" i="1"/>
  <c r="I494" i="1"/>
  <c r="CA494" i="1" s="1"/>
  <c r="J494" i="1"/>
  <c r="BZ494" i="1"/>
  <c r="AM494" i="1"/>
  <c r="AO494" i="1"/>
  <c r="M502" i="10" s="1"/>
  <c r="AP494" i="1"/>
  <c r="AQ494" i="1"/>
  <c r="A494" i="1"/>
  <c r="A502" i="10" s="1"/>
  <c r="AR494" i="1"/>
  <c r="AS494" i="1" s="1"/>
  <c r="AT494" i="1"/>
  <c r="AV494" i="1"/>
  <c r="AW494" i="1"/>
  <c r="AX494" i="1"/>
  <c r="AY494" i="1"/>
  <c r="AZ494" i="1"/>
  <c r="BA494" i="1"/>
  <c r="BB494" i="1"/>
  <c r="BC494" i="1"/>
  <c r="BE494" i="1"/>
  <c r="BF494" i="1"/>
  <c r="BG494" i="1"/>
  <c r="BH494" i="1"/>
  <c r="BI494" i="1"/>
  <c r="BJ494" i="1"/>
  <c r="BK494" i="1" s="1"/>
  <c r="BN494" i="1"/>
  <c r="BU494" i="1"/>
  <c r="DD494" i="1"/>
  <c r="CS493" i="1"/>
  <c r="CO493" i="1"/>
  <c r="CK493" i="1"/>
  <c r="CG493" i="1"/>
  <c r="BO493" i="1"/>
  <c r="BP493" i="1"/>
  <c r="F493" i="1"/>
  <c r="BW493" i="1"/>
  <c r="G493" i="1"/>
  <c r="BX493" i="1"/>
  <c r="H493" i="1"/>
  <c r="BY493" i="1"/>
  <c r="I493" i="1"/>
  <c r="CA493" i="1"/>
  <c r="J493" i="1"/>
  <c r="BZ493" i="1"/>
  <c r="AM493" i="1"/>
  <c r="AO493" i="1"/>
  <c r="AP493" i="1"/>
  <c r="AQ493" i="1"/>
  <c r="A493" i="1" s="1"/>
  <c r="A501" i="10" s="1"/>
  <c r="AR493" i="1"/>
  <c r="AS493" i="1"/>
  <c r="AT493" i="1"/>
  <c r="AV493" i="1"/>
  <c r="AW493" i="1"/>
  <c r="AX493" i="1"/>
  <c r="AY493" i="1"/>
  <c r="AZ493" i="1"/>
  <c r="BA493" i="1"/>
  <c r="BB493" i="1"/>
  <c r="BC493" i="1"/>
  <c r="BE493" i="1"/>
  <c r="BF493" i="1"/>
  <c r="BG493" i="1"/>
  <c r="BH493" i="1"/>
  <c r="BI493" i="1"/>
  <c r="BJ493" i="1"/>
  <c r="BK493" i="1"/>
  <c r="BN493" i="1"/>
  <c r="BR493" i="1"/>
  <c r="BT493" i="1" s="1"/>
  <c r="BU493" i="1"/>
  <c r="DD493" i="1"/>
  <c r="DF493" i="1" s="1"/>
  <c r="CS492" i="1"/>
  <c r="CO492" i="1"/>
  <c r="CK492" i="1"/>
  <c r="CG492" i="1"/>
  <c r="BO492" i="1"/>
  <c r="BP492" i="1"/>
  <c r="F492" i="1"/>
  <c r="BW492" i="1" s="1"/>
  <c r="G492" i="1"/>
  <c r="BX492" i="1"/>
  <c r="H492" i="1"/>
  <c r="BY492" i="1" s="1"/>
  <c r="I492" i="1"/>
  <c r="CA492" i="1"/>
  <c r="J492" i="1"/>
  <c r="BZ492" i="1" s="1"/>
  <c r="AM492" i="1"/>
  <c r="AP492" i="1"/>
  <c r="AQ492" i="1"/>
  <c r="A492" i="1" s="1"/>
  <c r="A500" i="10" s="1"/>
  <c r="AR492" i="1"/>
  <c r="AS492" i="1"/>
  <c r="AT492" i="1"/>
  <c r="AV492" i="1"/>
  <c r="AW492" i="1"/>
  <c r="AX492" i="1"/>
  <c r="AY492" i="1"/>
  <c r="AZ492" i="1"/>
  <c r="BA492" i="1"/>
  <c r="BB492" i="1"/>
  <c r="BC492" i="1"/>
  <c r="BE492" i="1"/>
  <c r="BF492" i="1"/>
  <c r="BG492" i="1"/>
  <c r="BH492" i="1"/>
  <c r="BI492" i="1"/>
  <c r="BJ492" i="1"/>
  <c r="BK492" i="1"/>
  <c r="BN492" i="1"/>
  <c r="BR492" i="1"/>
  <c r="BT492" i="1"/>
  <c r="BU492" i="1"/>
  <c r="DD492" i="1"/>
  <c r="DE492" i="1" s="1"/>
  <c r="CS491" i="1"/>
  <c r="CO491" i="1"/>
  <c r="CK491" i="1"/>
  <c r="CG491" i="1"/>
  <c r="BO491" i="1"/>
  <c r="BP491" i="1"/>
  <c r="F491" i="1"/>
  <c r="BW491" i="1" s="1"/>
  <c r="G491" i="1"/>
  <c r="BX491" i="1" s="1"/>
  <c r="H491" i="1"/>
  <c r="BY491" i="1" s="1"/>
  <c r="I491" i="1"/>
  <c r="CA491" i="1" s="1"/>
  <c r="J491" i="1"/>
  <c r="BZ491" i="1" s="1"/>
  <c r="AM491" i="1"/>
  <c r="AO491" i="1"/>
  <c r="M499" i="10" s="1"/>
  <c r="AP491" i="1"/>
  <c r="AQ491" i="1"/>
  <c r="A491" i="1"/>
  <c r="A499" i="10" s="1"/>
  <c r="AR491" i="1"/>
  <c r="AS491" i="1"/>
  <c r="AT491" i="1"/>
  <c r="AV491" i="1"/>
  <c r="AW491" i="1"/>
  <c r="AX491" i="1"/>
  <c r="AY491" i="1"/>
  <c r="AZ491" i="1"/>
  <c r="BA491" i="1"/>
  <c r="BB491" i="1"/>
  <c r="BC491" i="1"/>
  <c r="BE491" i="1"/>
  <c r="BF491" i="1"/>
  <c r="BG491" i="1"/>
  <c r="BH491" i="1"/>
  <c r="BI491" i="1"/>
  <c r="BJ491" i="1"/>
  <c r="BK491" i="1"/>
  <c r="BN491" i="1"/>
  <c r="BR491" i="1"/>
  <c r="BT491" i="1" s="1"/>
  <c r="BU491" i="1"/>
  <c r="DD491" i="1"/>
  <c r="DE491" i="1"/>
  <c r="CS490" i="1"/>
  <c r="CO490" i="1"/>
  <c r="CK490" i="1"/>
  <c r="CG490" i="1"/>
  <c r="BO490" i="1"/>
  <c r="BP490" i="1"/>
  <c r="F490" i="1"/>
  <c r="BW490" i="1"/>
  <c r="G490" i="1"/>
  <c r="BX490" i="1"/>
  <c r="H490" i="1"/>
  <c r="BY490" i="1"/>
  <c r="I490" i="1"/>
  <c r="CA490" i="1"/>
  <c r="J490" i="1"/>
  <c r="BZ490" i="1"/>
  <c r="AM490" i="1"/>
  <c r="AO490" i="1"/>
  <c r="AP490" i="1"/>
  <c r="AQ490" i="1"/>
  <c r="A490" i="1" s="1"/>
  <c r="A498" i="10" s="1"/>
  <c r="AR490" i="1"/>
  <c r="AS490" i="1"/>
  <c r="AT490" i="1"/>
  <c r="AV490" i="1"/>
  <c r="AW490" i="1"/>
  <c r="AX490" i="1"/>
  <c r="AY490" i="1"/>
  <c r="AZ490" i="1"/>
  <c r="BA490" i="1"/>
  <c r="BB490" i="1"/>
  <c r="BC490" i="1"/>
  <c r="BE490" i="1"/>
  <c r="BF490" i="1"/>
  <c r="BG490" i="1"/>
  <c r="BH490" i="1"/>
  <c r="BI490" i="1"/>
  <c r="BJ490" i="1"/>
  <c r="BK490" i="1"/>
  <c r="BN490" i="1"/>
  <c r="BR490" i="1"/>
  <c r="BU490" i="1"/>
  <c r="DD490" i="1"/>
  <c r="DE490" i="1" s="1"/>
  <c r="CS489" i="1"/>
  <c r="CO489" i="1"/>
  <c r="CK489" i="1"/>
  <c r="CG489" i="1"/>
  <c r="BO489" i="1"/>
  <c r="BP489" i="1" s="1"/>
  <c r="AM489" i="1"/>
  <c r="AO489" i="1"/>
  <c r="AP489" i="1"/>
  <c r="AQ489" i="1"/>
  <c r="A489" i="1" s="1"/>
  <c r="A497" i="10" s="1"/>
  <c r="AR489" i="1"/>
  <c r="AS489" i="1"/>
  <c r="AT489" i="1"/>
  <c r="AV489" i="1"/>
  <c r="AW489" i="1"/>
  <c r="AX489" i="1"/>
  <c r="AY489" i="1"/>
  <c r="AZ489" i="1"/>
  <c r="BA489" i="1"/>
  <c r="BB489" i="1"/>
  <c r="BC489" i="1"/>
  <c r="BE489" i="1"/>
  <c r="BF489" i="1"/>
  <c r="BG489" i="1"/>
  <c r="BH489" i="1"/>
  <c r="BI489" i="1"/>
  <c r="BJ489" i="1"/>
  <c r="BK489" i="1"/>
  <c r="BN489" i="1"/>
  <c r="BR489" i="1"/>
  <c r="BU489" i="1"/>
  <c r="DD489" i="1"/>
  <c r="CS488" i="1"/>
  <c r="CO488" i="1"/>
  <c r="CK488" i="1"/>
  <c r="CG488" i="1"/>
  <c r="BO488" i="1"/>
  <c r="BP488" i="1" s="1"/>
  <c r="F488" i="1"/>
  <c r="BW488" i="1"/>
  <c r="G488" i="1"/>
  <c r="BX488" i="1" s="1"/>
  <c r="H488" i="1"/>
  <c r="BY488" i="1" s="1"/>
  <c r="I488" i="1"/>
  <c r="CA488" i="1" s="1"/>
  <c r="J488" i="1"/>
  <c r="BZ488" i="1" s="1"/>
  <c r="AM488" i="1"/>
  <c r="AO488" i="1"/>
  <c r="M496" i="10"/>
  <c r="AP488" i="1"/>
  <c r="AQ488" i="1"/>
  <c r="A488" i="1" s="1"/>
  <c r="A496" i="10"/>
  <c r="AR488" i="1"/>
  <c r="AS488" i="1" s="1"/>
  <c r="AT488" i="1"/>
  <c r="AV488" i="1"/>
  <c r="AW488" i="1"/>
  <c r="AX488" i="1"/>
  <c r="AY488" i="1"/>
  <c r="AZ488" i="1"/>
  <c r="BA488" i="1"/>
  <c r="BB488" i="1"/>
  <c r="BC488" i="1"/>
  <c r="BE488" i="1"/>
  <c r="BF488" i="1"/>
  <c r="BG488" i="1"/>
  <c r="BH488" i="1"/>
  <c r="BI488" i="1"/>
  <c r="BJ488" i="1"/>
  <c r="BK488" i="1" s="1"/>
  <c r="BN488" i="1"/>
  <c r="BR488" i="1"/>
  <c r="BU488" i="1"/>
  <c r="DD488" i="1"/>
  <c r="DE488" i="1" s="1"/>
  <c r="CS487" i="1"/>
  <c r="CG487" i="1"/>
  <c r="CK487" i="1"/>
  <c r="CO487" i="1"/>
  <c r="BO487" i="1"/>
  <c r="BP487" i="1"/>
  <c r="BR487" i="1"/>
  <c r="BT487" i="1" s="1"/>
  <c r="F487" i="1"/>
  <c r="BW487" i="1" s="1"/>
  <c r="G487" i="1"/>
  <c r="BX487" i="1" s="1"/>
  <c r="H487" i="1"/>
  <c r="BY487" i="1" s="1"/>
  <c r="I487" i="1"/>
  <c r="CA487" i="1" s="1"/>
  <c r="J487" i="1"/>
  <c r="BZ487" i="1"/>
  <c r="AM487" i="1"/>
  <c r="AO487" i="1"/>
  <c r="AP487" i="1"/>
  <c r="AQ487" i="1"/>
  <c r="A487" i="1" s="1"/>
  <c r="A495" i="10" s="1"/>
  <c r="AR487" i="1"/>
  <c r="AS487" i="1"/>
  <c r="AT487" i="1"/>
  <c r="AV487" i="1"/>
  <c r="AW487" i="1"/>
  <c r="AX487" i="1"/>
  <c r="AY487" i="1"/>
  <c r="AZ487" i="1"/>
  <c r="BA487" i="1"/>
  <c r="BB487" i="1"/>
  <c r="BC487" i="1"/>
  <c r="BE487" i="1"/>
  <c r="BF487" i="1"/>
  <c r="BG487" i="1"/>
  <c r="BH487" i="1"/>
  <c r="BI487" i="1"/>
  <c r="BJ487" i="1"/>
  <c r="BK487" i="1"/>
  <c r="BN487" i="1"/>
  <c r="BU487" i="1"/>
  <c r="DD487" i="1"/>
  <c r="DE487" i="1"/>
  <c r="CS486" i="1"/>
  <c r="CO486" i="1"/>
  <c r="CK486" i="1"/>
  <c r="CG486" i="1"/>
  <c r="BO486" i="1"/>
  <c r="BP486" i="1" s="1"/>
  <c r="F2" i="1"/>
  <c r="BW2" i="1" s="1"/>
  <c r="G2" i="1"/>
  <c r="BX2" i="1" s="1"/>
  <c r="H2" i="1"/>
  <c r="BY2" i="1" s="1"/>
  <c r="I2" i="1"/>
  <c r="CA2" i="1" s="1"/>
  <c r="J2" i="1"/>
  <c r="BZ2" i="1"/>
  <c r="AM2" i="1"/>
  <c r="AO2" i="1"/>
  <c r="M2" i="10"/>
  <c r="AP2" i="1"/>
  <c r="AQ2" i="1"/>
  <c r="A2" i="1" s="1"/>
  <c r="A2" i="10" s="1"/>
  <c r="AR2" i="1"/>
  <c r="AS2" i="1"/>
  <c r="AT2" i="1"/>
  <c r="AV2" i="1"/>
  <c r="AW2" i="1"/>
  <c r="AX2" i="1"/>
  <c r="AY2" i="1"/>
  <c r="AZ2" i="1"/>
  <c r="BA2" i="1"/>
  <c r="BB2" i="1"/>
  <c r="BC2" i="1"/>
  <c r="BE2" i="1"/>
  <c r="BF2" i="1"/>
  <c r="BG2" i="1"/>
  <c r="BH2" i="1"/>
  <c r="BI2" i="1"/>
  <c r="BJ2" i="1"/>
  <c r="BK2" i="1"/>
  <c r="BN2" i="1"/>
  <c r="BO2" i="1"/>
  <c r="BP2" i="1"/>
  <c r="BR2" i="1"/>
  <c r="BT2" i="1" s="1"/>
  <c r="BU2" i="1"/>
  <c r="CG2" i="1"/>
  <c r="CK2" i="1"/>
  <c r="CO2" i="1"/>
  <c r="CS2" i="1"/>
  <c r="DD2" i="1"/>
  <c r="F3" i="1"/>
  <c r="BW3" i="1" s="1"/>
  <c r="G3" i="1"/>
  <c r="BX3" i="1" s="1"/>
  <c r="H3" i="1"/>
  <c r="BY3" i="1" s="1"/>
  <c r="I3" i="1"/>
  <c r="CA3" i="1"/>
  <c r="J3" i="1"/>
  <c r="BZ3" i="1" s="1"/>
  <c r="AM3" i="1"/>
  <c r="AO3" i="1"/>
  <c r="M3" i="10"/>
  <c r="AP3" i="1"/>
  <c r="AQ3" i="1"/>
  <c r="A3" i="1"/>
  <c r="A3" i="10"/>
  <c r="AR3" i="1"/>
  <c r="AS3" i="1"/>
  <c r="AT3" i="1"/>
  <c r="AV3" i="1"/>
  <c r="AW3" i="1"/>
  <c r="AX3" i="1"/>
  <c r="AY3" i="1"/>
  <c r="AZ3" i="1"/>
  <c r="BA3" i="1"/>
  <c r="BB3" i="1"/>
  <c r="BC3" i="1"/>
  <c r="BE3" i="1"/>
  <c r="BF3" i="1"/>
  <c r="BG3" i="1"/>
  <c r="BH3" i="1"/>
  <c r="BI3" i="1"/>
  <c r="BJ3" i="1"/>
  <c r="BK3" i="1"/>
  <c r="BN3" i="1"/>
  <c r="BP3" i="1"/>
  <c r="BR3" i="1"/>
  <c r="BU3" i="1"/>
  <c r="CG3" i="1"/>
  <c r="CK3" i="1"/>
  <c r="CO3" i="1"/>
  <c r="CS3" i="1"/>
  <c r="DD3" i="1"/>
  <c r="F4" i="1"/>
  <c r="BW4" i="1" s="1"/>
  <c r="G4" i="1"/>
  <c r="BX4" i="1" s="1"/>
  <c r="H4" i="1"/>
  <c r="BY4" i="1" s="1"/>
  <c r="I4" i="1"/>
  <c r="CA4" i="1" s="1"/>
  <c r="J4" i="1"/>
  <c r="BZ4" i="1" s="1"/>
  <c r="AM4" i="1"/>
  <c r="AO4" i="1"/>
  <c r="AP4" i="1"/>
  <c r="AQ4" i="1"/>
  <c r="A4" i="1"/>
  <c r="A4" i="10"/>
  <c r="AR4" i="1"/>
  <c r="AS4" i="1" s="1"/>
  <c r="AT4" i="1"/>
  <c r="AV4" i="1"/>
  <c r="AW4" i="1"/>
  <c r="AX4" i="1"/>
  <c r="AY4" i="1"/>
  <c r="AZ4" i="1"/>
  <c r="BA4" i="1"/>
  <c r="BB4" i="1"/>
  <c r="BC4" i="1"/>
  <c r="BE4" i="1"/>
  <c r="BF4" i="1"/>
  <c r="BG4" i="1"/>
  <c r="BH4" i="1"/>
  <c r="BI4" i="1"/>
  <c r="BJ4" i="1"/>
  <c r="BK4" i="1" s="1"/>
  <c r="BN4" i="1"/>
  <c r="BP4" i="1"/>
  <c r="BR4" i="1"/>
  <c r="BU4" i="1"/>
  <c r="CG4" i="1"/>
  <c r="CK4" i="1"/>
  <c r="CO4" i="1"/>
  <c r="CS4" i="1"/>
  <c r="DD4" i="1"/>
  <c r="F5" i="1"/>
  <c r="BW5" i="1"/>
  <c r="G5" i="1"/>
  <c r="BX5" i="1"/>
  <c r="H5" i="1"/>
  <c r="BY5" i="1"/>
  <c r="I5" i="1"/>
  <c r="CA5" i="1"/>
  <c r="J5" i="1"/>
  <c r="BZ5" i="1"/>
  <c r="AM5" i="1"/>
  <c r="AO5" i="1"/>
  <c r="AP5" i="1"/>
  <c r="AQ5" i="1"/>
  <c r="A5" i="1" s="1"/>
  <c r="A5" i="10"/>
  <c r="AR5" i="1"/>
  <c r="AS5" i="1" s="1"/>
  <c r="AT5" i="1"/>
  <c r="AV5" i="1"/>
  <c r="AW5" i="1"/>
  <c r="AX5" i="1"/>
  <c r="AY5" i="1"/>
  <c r="AZ5" i="1"/>
  <c r="BA5" i="1"/>
  <c r="BB5" i="1"/>
  <c r="BC5" i="1"/>
  <c r="BE5" i="1"/>
  <c r="BF5" i="1"/>
  <c r="BG5" i="1"/>
  <c r="BH5" i="1"/>
  <c r="BI5" i="1"/>
  <c r="BJ5" i="1"/>
  <c r="BK5" i="1" s="1"/>
  <c r="BN5" i="1"/>
  <c r="BO5" i="1"/>
  <c r="BP5" i="1" s="1"/>
  <c r="BR5" i="1"/>
  <c r="BU5" i="1"/>
  <c r="CG5" i="1"/>
  <c r="CK5" i="1"/>
  <c r="CO5" i="1"/>
  <c r="CS5" i="1"/>
  <c r="DD5" i="1"/>
  <c r="DE5" i="1" s="1"/>
  <c r="F6" i="1"/>
  <c r="BW6" i="1" s="1"/>
  <c r="G6" i="1"/>
  <c r="BX6" i="1"/>
  <c r="H6" i="1"/>
  <c r="BY6" i="1" s="1"/>
  <c r="I6" i="1"/>
  <c r="CA6" i="1"/>
  <c r="J6" i="1"/>
  <c r="BZ6" i="1" s="1"/>
  <c r="AM6" i="1"/>
  <c r="AO6" i="1"/>
  <c r="M7" i="10"/>
  <c r="AP6" i="1"/>
  <c r="AQ6" i="1"/>
  <c r="A6" i="1" s="1"/>
  <c r="A7" i="10" s="1"/>
  <c r="AR6" i="1"/>
  <c r="AS6" i="1"/>
  <c r="AT6" i="1"/>
  <c r="AV6" i="1"/>
  <c r="AW6" i="1"/>
  <c r="AX6" i="1"/>
  <c r="AY6" i="1"/>
  <c r="AZ6" i="1"/>
  <c r="BA6" i="1"/>
  <c r="BB6" i="1"/>
  <c r="BC6" i="1"/>
  <c r="BE6" i="1"/>
  <c r="BF6" i="1"/>
  <c r="BG6" i="1"/>
  <c r="BH6" i="1"/>
  <c r="BI6" i="1"/>
  <c r="BJ6" i="1"/>
  <c r="BK6" i="1"/>
  <c r="BN6" i="1"/>
  <c r="BP6" i="1"/>
  <c r="BR6" i="1"/>
  <c r="BU6" i="1"/>
  <c r="CG6" i="1"/>
  <c r="CK6" i="1"/>
  <c r="CO6" i="1"/>
  <c r="CS6" i="1"/>
  <c r="DD6" i="1"/>
  <c r="F7" i="1"/>
  <c r="BW7" i="1" s="1"/>
  <c r="G7" i="1"/>
  <c r="BX7" i="1" s="1"/>
  <c r="H7" i="1"/>
  <c r="BY7" i="1" s="1"/>
  <c r="I7" i="1"/>
  <c r="CA7" i="1"/>
  <c r="J7" i="1"/>
  <c r="BZ7" i="1" s="1"/>
  <c r="AM7" i="1"/>
  <c r="AO7" i="1"/>
  <c r="M8" i="10"/>
  <c r="AP7" i="1"/>
  <c r="AQ7" i="1"/>
  <c r="A7" i="1"/>
  <c r="A8" i="10"/>
  <c r="AR7" i="1"/>
  <c r="AS7" i="1"/>
  <c r="AT7" i="1"/>
  <c r="AV7" i="1"/>
  <c r="AW7" i="1"/>
  <c r="AX7" i="1"/>
  <c r="AY7" i="1"/>
  <c r="AZ7" i="1"/>
  <c r="BA7" i="1"/>
  <c r="BB7" i="1"/>
  <c r="BC7" i="1"/>
  <c r="BE7" i="1"/>
  <c r="BF7" i="1"/>
  <c r="BG7" i="1"/>
  <c r="BH7" i="1"/>
  <c r="BI7" i="1"/>
  <c r="BJ7" i="1"/>
  <c r="BK7" i="1"/>
  <c r="BN7" i="1"/>
  <c r="BP7" i="1"/>
  <c r="BR7" i="1"/>
  <c r="BU7" i="1"/>
  <c r="CG7" i="1"/>
  <c r="CK7" i="1"/>
  <c r="CO7" i="1"/>
  <c r="CS7" i="1"/>
  <c r="DD7" i="1"/>
  <c r="DF7" i="1"/>
  <c r="F8" i="1"/>
  <c r="BW8" i="1"/>
  <c r="G8" i="1"/>
  <c r="BX8" i="1"/>
  <c r="H8" i="1"/>
  <c r="BY8" i="1"/>
  <c r="I8" i="1"/>
  <c r="CA8" i="1"/>
  <c r="J8" i="1"/>
  <c r="BZ8" i="1"/>
  <c r="AM8" i="1"/>
  <c r="AO8" i="1"/>
  <c r="AP8" i="1"/>
  <c r="AQ8" i="1"/>
  <c r="A8" i="1"/>
  <c r="A6" i="10"/>
  <c r="AR8" i="1"/>
  <c r="AS8" i="1"/>
  <c r="AT8" i="1"/>
  <c r="AV8" i="1"/>
  <c r="AW8" i="1"/>
  <c r="AX8" i="1"/>
  <c r="AY8" i="1"/>
  <c r="AZ8" i="1"/>
  <c r="BA8" i="1"/>
  <c r="BB8" i="1"/>
  <c r="BC8" i="1"/>
  <c r="BE8" i="1"/>
  <c r="BF8" i="1"/>
  <c r="BG8" i="1"/>
  <c r="BH8" i="1"/>
  <c r="BI8" i="1"/>
  <c r="BJ8" i="1"/>
  <c r="BK8" i="1"/>
  <c r="BN8" i="1"/>
  <c r="BP8" i="1"/>
  <c r="BR8" i="1"/>
  <c r="BT8" i="1"/>
  <c r="BU8" i="1"/>
  <c r="CG8" i="1"/>
  <c r="CK8" i="1"/>
  <c r="CO8" i="1"/>
  <c r="CS8" i="1"/>
  <c r="DD8" i="1"/>
  <c r="F9" i="1"/>
  <c r="BW9" i="1"/>
  <c r="G9" i="1"/>
  <c r="BX9" i="1"/>
  <c r="H9" i="1"/>
  <c r="BY9" i="1"/>
  <c r="I9" i="1"/>
  <c r="CA9" i="1"/>
  <c r="J9" i="1"/>
  <c r="BZ9" i="1"/>
  <c r="AM9" i="1"/>
  <c r="AO9" i="1"/>
  <c r="M9" i="10" s="1"/>
  <c r="P9" i="10"/>
  <c r="W9" i="10" s="1"/>
  <c r="AP9" i="1"/>
  <c r="AQ9" i="1"/>
  <c r="A9" i="1"/>
  <c r="A9" i="10" s="1"/>
  <c r="AR9" i="1"/>
  <c r="AS9" i="1" s="1"/>
  <c r="AT9" i="1"/>
  <c r="AV9" i="1"/>
  <c r="AW9" i="1"/>
  <c r="AX9" i="1"/>
  <c r="AY9" i="1"/>
  <c r="AZ9" i="1"/>
  <c r="BA9" i="1"/>
  <c r="BB9" i="1"/>
  <c r="BC9" i="1"/>
  <c r="BE9" i="1"/>
  <c r="BF9" i="1"/>
  <c r="BG9" i="1"/>
  <c r="BH9" i="1"/>
  <c r="BI9" i="1"/>
  <c r="BJ9" i="1"/>
  <c r="BK9" i="1" s="1"/>
  <c r="BN9" i="1"/>
  <c r="BP9" i="1"/>
  <c r="BR9" i="1"/>
  <c r="BU9" i="1"/>
  <c r="CG9" i="1"/>
  <c r="CK9" i="1"/>
  <c r="CO9" i="1"/>
  <c r="CS9" i="1"/>
  <c r="DD9" i="1"/>
  <c r="DF9" i="1"/>
  <c r="F10" i="1"/>
  <c r="BW10" i="1" s="1"/>
  <c r="G10" i="1"/>
  <c r="BX10" i="1"/>
  <c r="H10" i="1"/>
  <c r="BY10" i="1" s="1"/>
  <c r="I10" i="1"/>
  <c r="CA10" i="1" s="1"/>
  <c r="J10" i="1"/>
  <c r="BZ10" i="1" s="1"/>
  <c r="AM10" i="1"/>
  <c r="AO10" i="1"/>
  <c r="AP10" i="1"/>
  <c r="AQ10" i="1"/>
  <c r="A10" i="1"/>
  <c r="A10" i="10" s="1"/>
  <c r="AR10" i="1"/>
  <c r="AS10" i="1" s="1"/>
  <c r="AT10" i="1"/>
  <c r="AV10" i="1"/>
  <c r="AW10" i="1"/>
  <c r="AX10" i="1"/>
  <c r="AY10" i="1"/>
  <c r="AZ10" i="1"/>
  <c r="BA10" i="1"/>
  <c r="BB10" i="1"/>
  <c r="BC10" i="1"/>
  <c r="BE10" i="1"/>
  <c r="BF10" i="1"/>
  <c r="BG10" i="1"/>
  <c r="BH10" i="1"/>
  <c r="BI10" i="1"/>
  <c r="BJ10" i="1"/>
  <c r="BK10" i="1" s="1"/>
  <c r="BN10" i="1"/>
  <c r="BP10" i="1"/>
  <c r="BR10" i="1"/>
  <c r="BU10" i="1"/>
  <c r="CG10" i="1"/>
  <c r="CK10" i="1"/>
  <c r="CO10" i="1"/>
  <c r="CS10" i="1"/>
  <c r="DD10" i="1"/>
  <c r="DE10" i="1"/>
  <c r="F11" i="1"/>
  <c r="BW11" i="1" s="1"/>
  <c r="G11" i="1"/>
  <c r="BX11" i="1" s="1"/>
  <c r="H11" i="1"/>
  <c r="BY11" i="1" s="1"/>
  <c r="I11" i="1"/>
  <c r="CA11" i="1" s="1"/>
  <c r="J11" i="1"/>
  <c r="BZ11" i="1" s="1"/>
  <c r="AM11" i="1"/>
  <c r="AO11" i="1"/>
  <c r="M13" i="10" s="1"/>
  <c r="AP11" i="1"/>
  <c r="AQ11" i="1"/>
  <c r="A11" i="1"/>
  <c r="A13" i="10" s="1"/>
  <c r="AR11" i="1"/>
  <c r="AS11" i="1"/>
  <c r="AT11" i="1"/>
  <c r="AV11" i="1"/>
  <c r="AW11" i="1"/>
  <c r="AX11" i="1"/>
  <c r="AY11" i="1"/>
  <c r="AZ11" i="1"/>
  <c r="BA11" i="1"/>
  <c r="BB11" i="1"/>
  <c r="BC11" i="1"/>
  <c r="BE11" i="1"/>
  <c r="BF11" i="1"/>
  <c r="BG11" i="1"/>
  <c r="BH11" i="1"/>
  <c r="BI11" i="1"/>
  <c r="BJ11" i="1"/>
  <c r="BK11" i="1"/>
  <c r="BN11" i="1"/>
  <c r="BP11" i="1"/>
  <c r="BS11" i="1" s="1"/>
  <c r="BR11" i="1"/>
  <c r="BU11" i="1"/>
  <c r="CG11" i="1"/>
  <c r="CK11" i="1"/>
  <c r="CO11" i="1"/>
  <c r="CS11" i="1"/>
  <c r="DD11" i="1"/>
  <c r="F12" i="1"/>
  <c r="BW12" i="1"/>
  <c r="G12" i="1"/>
  <c r="BX12" i="1" s="1"/>
  <c r="H12" i="1"/>
  <c r="BY12" i="1"/>
  <c r="I12" i="1"/>
  <c r="CA12" i="1" s="1"/>
  <c r="J12" i="1"/>
  <c r="BZ12" i="1"/>
  <c r="AM12" i="1"/>
  <c r="AO12" i="1"/>
  <c r="M12" i="10" s="1"/>
  <c r="AP12" i="1"/>
  <c r="AQ12" i="1"/>
  <c r="A12" i="1"/>
  <c r="A12" i="10" s="1"/>
  <c r="AR12" i="1"/>
  <c r="AS12" i="1" s="1"/>
  <c r="AT12" i="1"/>
  <c r="AV12" i="1"/>
  <c r="AW12" i="1"/>
  <c r="AX12" i="1"/>
  <c r="AY12" i="1"/>
  <c r="AZ12" i="1"/>
  <c r="BA12" i="1"/>
  <c r="BB12" i="1"/>
  <c r="BC12" i="1"/>
  <c r="BE12" i="1"/>
  <c r="BF12" i="1"/>
  <c r="BG12" i="1"/>
  <c r="BH12" i="1"/>
  <c r="BI12" i="1"/>
  <c r="BJ12" i="1"/>
  <c r="BK12" i="1" s="1"/>
  <c r="BN12" i="1"/>
  <c r="BP12" i="1"/>
  <c r="BR12" i="1"/>
  <c r="BT12" i="1" s="1"/>
  <c r="BU12" i="1"/>
  <c r="CG12" i="1"/>
  <c r="CK12" i="1"/>
  <c r="CO12" i="1"/>
  <c r="CS12" i="1"/>
  <c r="DD12" i="1"/>
  <c r="F13" i="1"/>
  <c r="BW13" i="1" s="1"/>
  <c r="G13" i="1"/>
  <c r="BX13" i="1" s="1"/>
  <c r="H13" i="1"/>
  <c r="BY13" i="1" s="1"/>
  <c r="I13" i="1"/>
  <c r="CA13" i="1" s="1"/>
  <c r="J13" i="1"/>
  <c r="BZ13" i="1"/>
  <c r="AM13" i="1"/>
  <c r="AO13" i="1"/>
  <c r="M11" i="10"/>
  <c r="AP13" i="1"/>
  <c r="AQ13" i="1"/>
  <c r="A13" i="1" s="1"/>
  <c r="AR13" i="1"/>
  <c r="AS13" i="1"/>
  <c r="AT13" i="1"/>
  <c r="AV13" i="1"/>
  <c r="AW13" i="1"/>
  <c r="AX13" i="1"/>
  <c r="AY13" i="1"/>
  <c r="AZ13" i="1"/>
  <c r="BA13" i="1"/>
  <c r="BB13" i="1"/>
  <c r="BC13" i="1"/>
  <c r="BE13" i="1"/>
  <c r="BF13" i="1"/>
  <c r="BG13" i="1"/>
  <c r="BH13" i="1"/>
  <c r="BI13" i="1"/>
  <c r="BJ13" i="1"/>
  <c r="BK13" i="1"/>
  <c r="BN13" i="1"/>
  <c r="BP13" i="1"/>
  <c r="BR13" i="1"/>
  <c r="BT13" i="1"/>
  <c r="BU13" i="1"/>
  <c r="CG13" i="1"/>
  <c r="CK13" i="1"/>
  <c r="CO13" i="1"/>
  <c r="CS13" i="1"/>
  <c r="CW13" i="1"/>
  <c r="DD13" i="1"/>
  <c r="F14" i="1"/>
  <c r="BW14" i="1"/>
  <c r="G14" i="1"/>
  <c r="BX14" i="1"/>
  <c r="H14" i="1"/>
  <c r="BY14" i="1"/>
  <c r="I14" i="1"/>
  <c r="CA14" i="1"/>
  <c r="J14" i="1"/>
  <c r="BZ14" i="1"/>
  <c r="AM14" i="1"/>
  <c r="AO14" i="1"/>
  <c r="AP14" i="1"/>
  <c r="AQ14" i="1"/>
  <c r="A14" i="1" s="1"/>
  <c r="A14" i="10" s="1"/>
  <c r="AR14" i="1"/>
  <c r="AS14" i="1"/>
  <c r="AT14" i="1"/>
  <c r="AV14" i="1"/>
  <c r="AW14" i="1"/>
  <c r="AX14" i="1"/>
  <c r="AY14" i="1"/>
  <c r="AZ14" i="1"/>
  <c r="BA14" i="1"/>
  <c r="BB14" i="1"/>
  <c r="BC14" i="1"/>
  <c r="BE14" i="1"/>
  <c r="BF14" i="1"/>
  <c r="BG14" i="1"/>
  <c r="BH14" i="1"/>
  <c r="BI14" i="1"/>
  <c r="BJ14" i="1"/>
  <c r="BK14" i="1"/>
  <c r="BN14" i="1"/>
  <c r="BP14" i="1"/>
  <c r="BR14" i="1"/>
  <c r="BU14" i="1"/>
  <c r="CG14" i="1"/>
  <c r="CK14" i="1"/>
  <c r="CO14" i="1"/>
  <c r="CS14" i="1"/>
  <c r="DD14" i="1"/>
  <c r="DF14" i="1"/>
  <c r="F15" i="1"/>
  <c r="BW15" i="1"/>
  <c r="G15" i="1"/>
  <c r="BX15" i="1"/>
  <c r="H15" i="1"/>
  <c r="BY15" i="1"/>
  <c r="I15" i="1"/>
  <c r="CA15" i="1"/>
  <c r="J15" i="1"/>
  <c r="BZ15" i="1"/>
  <c r="AM15" i="1"/>
  <c r="AO15" i="1"/>
  <c r="M15" i="10" s="1"/>
  <c r="AP15" i="1"/>
  <c r="AQ15" i="1"/>
  <c r="A15" i="1"/>
  <c r="A15" i="10" s="1"/>
  <c r="AR15" i="1"/>
  <c r="AS15" i="1" s="1"/>
  <c r="AT15" i="1"/>
  <c r="AV15" i="1"/>
  <c r="AW15" i="1"/>
  <c r="AX15" i="1"/>
  <c r="AY15" i="1"/>
  <c r="AZ15" i="1"/>
  <c r="BA15" i="1"/>
  <c r="BB15" i="1"/>
  <c r="BC15" i="1"/>
  <c r="BE15" i="1"/>
  <c r="BF15" i="1"/>
  <c r="BG15" i="1"/>
  <c r="BH15" i="1"/>
  <c r="BI15" i="1"/>
  <c r="BJ15" i="1"/>
  <c r="BK15" i="1" s="1"/>
  <c r="BN15" i="1"/>
  <c r="BP15" i="1"/>
  <c r="BR15" i="1"/>
  <c r="BU15" i="1"/>
  <c r="CG15" i="1"/>
  <c r="CK15" i="1"/>
  <c r="CO15" i="1"/>
  <c r="CS15" i="1"/>
  <c r="DD15" i="1"/>
  <c r="F16" i="1"/>
  <c r="BW16" i="1" s="1"/>
  <c r="G16" i="1"/>
  <c r="BX16" i="1"/>
  <c r="H16" i="1"/>
  <c r="BY16" i="1" s="1"/>
  <c r="I16" i="1"/>
  <c r="CA16" i="1"/>
  <c r="J16" i="1"/>
  <c r="BZ16" i="1" s="1"/>
  <c r="AM16" i="1"/>
  <c r="AO16" i="1"/>
  <c r="M16" i="10"/>
  <c r="AP16" i="1"/>
  <c r="AQ16" i="1"/>
  <c r="A16" i="1"/>
  <c r="A16" i="10"/>
  <c r="AR16" i="1"/>
  <c r="AS16" i="1" s="1"/>
  <c r="AT16" i="1"/>
  <c r="AV16" i="1"/>
  <c r="AW16" i="1"/>
  <c r="AX16" i="1"/>
  <c r="AY16" i="1"/>
  <c r="AZ16" i="1"/>
  <c r="BA16" i="1"/>
  <c r="BB16" i="1"/>
  <c r="BC16" i="1"/>
  <c r="BE16" i="1"/>
  <c r="BF16" i="1"/>
  <c r="BG16" i="1"/>
  <c r="BH16" i="1"/>
  <c r="BI16" i="1"/>
  <c r="BJ16" i="1"/>
  <c r="BK16" i="1" s="1"/>
  <c r="BN16" i="1"/>
  <c r="BP16" i="1"/>
  <c r="BR16" i="1"/>
  <c r="BU16" i="1"/>
  <c r="CG16" i="1"/>
  <c r="CK16" i="1"/>
  <c r="CO16" i="1"/>
  <c r="CS16" i="1"/>
  <c r="CW16" i="1"/>
  <c r="H16" i="10" s="1"/>
  <c r="DD16" i="1"/>
  <c r="DE16" i="1" s="1"/>
  <c r="F17" i="1"/>
  <c r="BW17" i="1"/>
  <c r="G17" i="1"/>
  <c r="BX17" i="1" s="1"/>
  <c r="H17" i="1"/>
  <c r="BY17" i="1"/>
  <c r="I17" i="1"/>
  <c r="CA17" i="1" s="1"/>
  <c r="J17" i="1"/>
  <c r="BZ17" i="1"/>
  <c r="AM17" i="1"/>
  <c r="AO17" i="1"/>
  <c r="M19" i="10"/>
  <c r="AP17" i="1"/>
  <c r="AQ17" i="1"/>
  <c r="A17" i="1" s="1"/>
  <c r="A19" i="10"/>
  <c r="AR17" i="1"/>
  <c r="AS17" i="1"/>
  <c r="AT17" i="1"/>
  <c r="AV17" i="1"/>
  <c r="AW17" i="1"/>
  <c r="AX17" i="1"/>
  <c r="AY17" i="1"/>
  <c r="AZ17" i="1"/>
  <c r="BA17" i="1"/>
  <c r="BB17" i="1"/>
  <c r="BC17" i="1"/>
  <c r="BE17" i="1"/>
  <c r="BF17" i="1"/>
  <c r="BG17" i="1"/>
  <c r="BH17" i="1"/>
  <c r="BI17" i="1"/>
  <c r="BJ17" i="1"/>
  <c r="BK17" i="1"/>
  <c r="BN17" i="1"/>
  <c r="BP17" i="1"/>
  <c r="BR17" i="1"/>
  <c r="BT17" i="1"/>
  <c r="BU17" i="1"/>
  <c r="CG17" i="1"/>
  <c r="CK17" i="1"/>
  <c r="CO17" i="1"/>
  <c r="CS17" i="1"/>
  <c r="DD17" i="1"/>
  <c r="F18" i="1"/>
  <c r="BW18" i="1"/>
  <c r="G18" i="1"/>
  <c r="BX18" i="1"/>
  <c r="H18" i="1"/>
  <c r="BY18" i="1"/>
  <c r="I18" i="1"/>
  <c r="CA18" i="1"/>
  <c r="J18" i="1"/>
  <c r="BZ18" i="1"/>
  <c r="AM18" i="1"/>
  <c r="AO18" i="1"/>
  <c r="M18" i="10" s="1"/>
  <c r="AP18" i="1"/>
  <c r="AQ18" i="1"/>
  <c r="A18" i="1"/>
  <c r="A18" i="10" s="1"/>
  <c r="AR18" i="1"/>
  <c r="AS18" i="1" s="1"/>
  <c r="AT18" i="1"/>
  <c r="AV18" i="1"/>
  <c r="AW18" i="1"/>
  <c r="AX18" i="1"/>
  <c r="AY18" i="1"/>
  <c r="AZ18" i="1"/>
  <c r="BA18" i="1"/>
  <c r="BB18" i="1"/>
  <c r="BC18" i="1"/>
  <c r="BE18" i="1"/>
  <c r="BF18" i="1"/>
  <c r="BG18" i="1"/>
  <c r="BH18" i="1"/>
  <c r="BI18" i="1"/>
  <c r="BJ18" i="1"/>
  <c r="BK18" i="1" s="1"/>
  <c r="BS18" i="1"/>
  <c r="BT18" i="1"/>
  <c r="BU18" i="1"/>
  <c r="CG18" i="1"/>
  <c r="CK18" i="1"/>
  <c r="CO18" i="1"/>
  <c r="CS18" i="1"/>
  <c r="DD18" i="1"/>
  <c r="F19" i="1"/>
  <c r="BW19" i="1"/>
  <c r="G19" i="1"/>
  <c r="BX19" i="1" s="1"/>
  <c r="H19" i="1"/>
  <c r="BY19" i="1"/>
  <c r="I19" i="1"/>
  <c r="CA19" i="1" s="1"/>
  <c r="J19" i="1"/>
  <c r="BZ19" i="1" s="1"/>
  <c r="AM19" i="1"/>
  <c r="AO19" i="1"/>
  <c r="M17" i="10"/>
  <c r="AP19" i="1"/>
  <c r="AQ19" i="1"/>
  <c r="A19" i="1" s="1"/>
  <c r="A17" i="10"/>
  <c r="AR19" i="1"/>
  <c r="AS19" i="1" s="1"/>
  <c r="AT19" i="1"/>
  <c r="AV19" i="1"/>
  <c r="AW19" i="1"/>
  <c r="AX19" i="1"/>
  <c r="AY19" i="1"/>
  <c r="AZ19" i="1"/>
  <c r="BA19" i="1"/>
  <c r="BB19" i="1"/>
  <c r="BC19" i="1"/>
  <c r="BE19" i="1"/>
  <c r="BF19" i="1"/>
  <c r="BG19" i="1"/>
  <c r="BH19" i="1"/>
  <c r="BI19" i="1"/>
  <c r="BJ19" i="1"/>
  <c r="BK19" i="1" s="1"/>
  <c r="BN19" i="1"/>
  <c r="BP19" i="1"/>
  <c r="BR19" i="1"/>
  <c r="BU19" i="1"/>
  <c r="CG19" i="1"/>
  <c r="CK19" i="1"/>
  <c r="CO19" i="1"/>
  <c r="CS19" i="1"/>
  <c r="DD19" i="1"/>
  <c r="F20" i="1"/>
  <c r="BW20" i="1" s="1"/>
  <c r="G20" i="1"/>
  <c r="BX20" i="1" s="1"/>
  <c r="H20" i="1"/>
  <c r="BY20" i="1"/>
  <c r="I20" i="1"/>
  <c r="CA20" i="1" s="1"/>
  <c r="J20" i="1"/>
  <c r="BZ20" i="1"/>
  <c r="AM20" i="1"/>
  <c r="AO20" i="1"/>
  <c r="AP20" i="1"/>
  <c r="AQ20" i="1"/>
  <c r="A20" i="1"/>
  <c r="A20" i="10" s="1"/>
  <c r="AR20" i="1"/>
  <c r="AS20" i="1" s="1"/>
  <c r="AT20" i="1"/>
  <c r="AV20" i="1"/>
  <c r="AW20" i="1"/>
  <c r="AX20" i="1"/>
  <c r="AY20" i="1"/>
  <c r="AZ20" i="1"/>
  <c r="BA20" i="1"/>
  <c r="BB20" i="1"/>
  <c r="BC20" i="1"/>
  <c r="BE20" i="1"/>
  <c r="BF20" i="1"/>
  <c r="BG20" i="1"/>
  <c r="BH20" i="1"/>
  <c r="BI20" i="1"/>
  <c r="BJ20" i="1"/>
  <c r="BK20" i="1" s="1"/>
  <c r="BN20" i="1"/>
  <c r="BP20" i="1"/>
  <c r="BR20" i="1"/>
  <c r="BU20" i="1"/>
  <c r="CG20" i="1"/>
  <c r="CK20" i="1"/>
  <c r="CO20" i="1"/>
  <c r="CS20" i="1"/>
  <c r="DD20" i="1"/>
  <c r="F21" i="1"/>
  <c r="BW21" i="1"/>
  <c r="G21" i="1"/>
  <c r="BX21" i="1"/>
  <c r="H21" i="1"/>
  <c r="BY21" i="1"/>
  <c r="I21" i="1"/>
  <c r="CA21" i="1"/>
  <c r="J21" i="1"/>
  <c r="BZ21" i="1"/>
  <c r="AM21" i="1"/>
  <c r="AO21" i="1"/>
  <c r="M21" i="10" s="1"/>
  <c r="AP21" i="1"/>
  <c r="AQ21" i="1"/>
  <c r="A21" i="1" s="1"/>
  <c r="A21" i="10" s="1"/>
  <c r="AR21" i="1"/>
  <c r="AS21" i="1"/>
  <c r="AT21" i="1"/>
  <c r="AV21" i="1"/>
  <c r="AW21" i="1"/>
  <c r="AX21" i="1"/>
  <c r="AY21" i="1"/>
  <c r="AZ21" i="1"/>
  <c r="BA21" i="1"/>
  <c r="BB21" i="1"/>
  <c r="BC21" i="1"/>
  <c r="BE21" i="1"/>
  <c r="BF21" i="1"/>
  <c r="BG21" i="1"/>
  <c r="BH21" i="1"/>
  <c r="BI21" i="1"/>
  <c r="BJ21" i="1"/>
  <c r="BK21" i="1"/>
  <c r="BN21" i="1"/>
  <c r="BP21" i="1"/>
  <c r="BR21" i="1"/>
  <c r="BU21" i="1"/>
  <c r="CG21" i="1"/>
  <c r="CK21" i="1"/>
  <c r="CO21" i="1"/>
  <c r="CS21" i="1"/>
  <c r="DD21" i="1"/>
  <c r="F22" i="1"/>
  <c r="BW22" i="1"/>
  <c r="G22" i="1"/>
  <c r="BX22" i="1"/>
  <c r="H22" i="1"/>
  <c r="BY22" i="1"/>
  <c r="I22" i="1"/>
  <c r="CA22" i="1"/>
  <c r="J22" i="1"/>
  <c r="BZ22" i="1"/>
  <c r="AM22" i="1"/>
  <c r="AO22" i="1"/>
  <c r="AP22" i="1"/>
  <c r="AQ22" i="1"/>
  <c r="A22" i="1"/>
  <c r="A22" i="10"/>
  <c r="AR22" i="1"/>
  <c r="AS22" i="1"/>
  <c r="AT22" i="1"/>
  <c r="AV22" i="1"/>
  <c r="AW22" i="1"/>
  <c r="AX22" i="1"/>
  <c r="AY22" i="1"/>
  <c r="AZ22" i="1"/>
  <c r="BA22" i="1"/>
  <c r="BB22" i="1"/>
  <c r="BC22" i="1"/>
  <c r="BE22" i="1"/>
  <c r="BF22" i="1"/>
  <c r="BG22" i="1"/>
  <c r="BH22" i="1"/>
  <c r="BI22" i="1"/>
  <c r="BJ22" i="1"/>
  <c r="BK22" i="1"/>
  <c r="BN22" i="1"/>
  <c r="BP22" i="1"/>
  <c r="BR22" i="1"/>
  <c r="BT22" i="1"/>
  <c r="BU22" i="1"/>
  <c r="CG22" i="1"/>
  <c r="CK22" i="1"/>
  <c r="CO22" i="1"/>
  <c r="CS22" i="1"/>
  <c r="DD22" i="1"/>
  <c r="F23" i="1"/>
  <c r="BW23" i="1"/>
  <c r="G23" i="1"/>
  <c r="BX23" i="1"/>
  <c r="H23" i="1"/>
  <c r="BY23" i="1"/>
  <c r="I23" i="1"/>
  <c r="CA23" i="1"/>
  <c r="J23" i="1"/>
  <c r="BZ23" i="1"/>
  <c r="AM23" i="1"/>
  <c r="AO23" i="1"/>
  <c r="M23" i="10" s="1"/>
  <c r="P23" i="10"/>
  <c r="V23" i="10"/>
  <c r="AP23" i="1"/>
  <c r="AQ23" i="1"/>
  <c r="A23" i="1"/>
  <c r="A23" i="10"/>
  <c r="AR23" i="1"/>
  <c r="AS23" i="1" s="1"/>
  <c r="AT23" i="1"/>
  <c r="AV23" i="1"/>
  <c r="AW23" i="1"/>
  <c r="AX23" i="1"/>
  <c r="AY23" i="1"/>
  <c r="AZ23" i="1"/>
  <c r="BA23" i="1"/>
  <c r="BB23" i="1"/>
  <c r="BC23" i="1"/>
  <c r="BE23" i="1"/>
  <c r="BF23" i="1"/>
  <c r="BG23" i="1"/>
  <c r="BH23" i="1"/>
  <c r="BI23" i="1"/>
  <c r="BJ23" i="1"/>
  <c r="BK23" i="1" s="1"/>
  <c r="BN23" i="1"/>
  <c r="BP23" i="1"/>
  <c r="BR23" i="1"/>
  <c r="BU23" i="1"/>
  <c r="CG23" i="1"/>
  <c r="CK23" i="1"/>
  <c r="CO23" i="1"/>
  <c r="CS23" i="1"/>
  <c r="DD23" i="1"/>
  <c r="DF23" i="1"/>
  <c r="F24" i="1"/>
  <c r="BW24" i="1" s="1"/>
  <c r="G24" i="1"/>
  <c r="BX24" i="1"/>
  <c r="H24" i="1"/>
  <c r="BY24" i="1" s="1"/>
  <c r="I24" i="1"/>
  <c r="CA24" i="1"/>
  <c r="J24" i="1"/>
  <c r="BZ24" i="1" s="1"/>
  <c r="AM24" i="1"/>
  <c r="AO24" i="1"/>
  <c r="AP24" i="1"/>
  <c r="AQ24" i="1"/>
  <c r="A24" i="1"/>
  <c r="A25" i="10" s="1"/>
  <c r="AR24" i="1"/>
  <c r="AS24" i="1" s="1"/>
  <c r="AT24" i="1"/>
  <c r="AV24" i="1"/>
  <c r="AW24" i="1"/>
  <c r="AX24" i="1"/>
  <c r="AY24" i="1"/>
  <c r="AZ24" i="1"/>
  <c r="BA24" i="1"/>
  <c r="BB24" i="1"/>
  <c r="BC24" i="1"/>
  <c r="BE24" i="1"/>
  <c r="BF24" i="1"/>
  <c r="BG24" i="1"/>
  <c r="BH24" i="1"/>
  <c r="BI24" i="1"/>
  <c r="BJ24" i="1"/>
  <c r="BK24" i="1" s="1"/>
  <c r="BN24" i="1"/>
  <c r="BP24" i="1"/>
  <c r="BR24" i="1"/>
  <c r="BU24" i="1"/>
  <c r="CG24" i="1"/>
  <c r="CK24" i="1"/>
  <c r="CO24" i="1"/>
  <c r="CS24" i="1"/>
  <c r="DD24" i="1"/>
  <c r="DE24" i="1"/>
  <c r="F25" i="1"/>
  <c r="BW25" i="1" s="1"/>
  <c r="G25" i="1"/>
  <c r="BX25" i="1"/>
  <c r="H25" i="1"/>
  <c r="BY25" i="1" s="1"/>
  <c r="I25" i="1"/>
  <c r="CA25" i="1" s="1"/>
  <c r="J25" i="1"/>
  <c r="BZ25" i="1" s="1"/>
  <c r="AM25" i="1"/>
  <c r="AO25" i="1"/>
  <c r="AP25" i="1"/>
  <c r="AQ25" i="1"/>
  <c r="A25" i="1"/>
  <c r="A24" i="10"/>
  <c r="AR25" i="1"/>
  <c r="AS25" i="1" s="1"/>
  <c r="AT25" i="1"/>
  <c r="AV25" i="1"/>
  <c r="AW25" i="1"/>
  <c r="AX25" i="1"/>
  <c r="AY25" i="1"/>
  <c r="AZ25" i="1"/>
  <c r="BA25" i="1"/>
  <c r="BB25" i="1"/>
  <c r="BC25" i="1"/>
  <c r="BE25" i="1"/>
  <c r="BF25" i="1"/>
  <c r="BG25" i="1"/>
  <c r="BH25" i="1"/>
  <c r="BI25" i="1"/>
  <c r="BJ25" i="1"/>
  <c r="BK25" i="1" s="1"/>
  <c r="BN25" i="1"/>
  <c r="BP25" i="1"/>
  <c r="BR25" i="1"/>
  <c r="BU25" i="1"/>
  <c r="CG25" i="1"/>
  <c r="CK25" i="1"/>
  <c r="CO25" i="1"/>
  <c r="CS25" i="1"/>
  <c r="DD25" i="1"/>
  <c r="F26" i="1"/>
  <c r="BW26" i="1"/>
  <c r="G26" i="1"/>
  <c r="BX26" i="1"/>
  <c r="H26" i="1"/>
  <c r="BY26" i="1"/>
  <c r="I26" i="1"/>
  <c r="CA26" i="1"/>
  <c r="J26" i="1"/>
  <c r="BZ26" i="1"/>
  <c r="AM26" i="1"/>
  <c r="AO26" i="1"/>
  <c r="M26" i="10"/>
  <c r="AP26" i="1"/>
  <c r="AQ26" i="1"/>
  <c r="A26" i="1"/>
  <c r="A26" i="10"/>
  <c r="AR26" i="1"/>
  <c r="AS26" i="1" s="1"/>
  <c r="AT26" i="1"/>
  <c r="AV26" i="1"/>
  <c r="AW26" i="1"/>
  <c r="AX26" i="1"/>
  <c r="AY26" i="1"/>
  <c r="AZ26" i="1"/>
  <c r="BA26" i="1"/>
  <c r="BB26" i="1"/>
  <c r="BC26" i="1"/>
  <c r="BE26" i="1"/>
  <c r="BF26" i="1"/>
  <c r="BG26" i="1"/>
  <c r="BH26" i="1"/>
  <c r="BI26" i="1"/>
  <c r="BJ26" i="1"/>
  <c r="BK26" i="1" s="1"/>
  <c r="BN26" i="1"/>
  <c r="BP26" i="1"/>
  <c r="BR26" i="1"/>
  <c r="BT26" i="1" s="1"/>
  <c r="BU26" i="1"/>
  <c r="CG26" i="1"/>
  <c r="CK26" i="1"/>
  <c r="CO26" i="1"/>
  <c r="CS26" i="1"/>
  <c r="DD26" i="1"/>
  <c r="DF26" i="1"/>
  <c r="F27" i="1"/>
  <c r="BW27" i="1"/>
  <c r="G27" i="1"/>
  <c r="BX27" i="1"/>
  <c r="H27" i="1"/>
  <c r="BY27" i="1"/>
  <c r="I27" i="1"/>
  <c r="CA27" i="1"/>
  <c r="J27" i="1"/>
  <c r="BZ27" i="1"/>
  <c r="AM27" i="1"/>
  <c r="AO27" i="1"/>
  <c r="AP27" i="1"/>
  <c r="AQ27" i="1"/>
  <c r="A27" i="1"/>
  <c r="A27" i="10"/>
  <c r="AR27" i="1"/>
  <c r="AS27" i="1"/>
  <c r="AT27" i="1"/>
  <c r="AV27" i="1"/>
  <c r="AW27" i="1"/>
  <c r="AX27" i="1"/>
  <c r="AY27" i="1"/>
  <c r="AZ27" i="1"/>
  <c r="BA27" i="1"/>
  <c r="BB27" i="1"/>
  <c r="BC27" i="1"/>
  <c r="BE27" i="1"/>
  <c r="BF27" i="1"/>
  <c r="BG27" i="1"/>
  <c r="BH27" i="1"/>
  <c r="BI27" i="1"/>
  <c r="BJ27" i="1"/>
  <c r="BK27" i="1"/>
  <c r="BN27" i="1"/>
  <c r="BP27" i="1"/>
  <c r="BR27" i="1"/>
  <c r="BT27" i="1"/>
  <c r="BU27" i="1"/>
  <c r="CG27" i="1"/>
  <c r="CK27" i="1"/>
  <c r="CO27" i="1"/>
  <c r="CS27" i="1"/>
  <c r="DD27" i="1"/>
  <c r="F28" i="1"/>
  <c r="BW28" i="1"/>
  <c r="G28" i="1"/>
  <c r="BX28" i="1"/>
  <c r="H28" i="1"/>
  <c r="BY28" i="1"/>
  <c r="I28" i="1"/>
  <c r="CA28" i="1"/>
  <c r="J28" i="1"/>
  <c r="BZ28" i="1"/>
  <c r="AM28" i="1"/>
  <c r="AO28" i="1"/>
  <c r="M29" i="10" s="1"/>
  <c r="AP28" i="1"/>
  <c r="AQ28" i="1"/>
  <c r="A28" i="1"/>
  <c r="A29" i="10" s="1"/>
  <c r="AR28" i="1"/>
  <c r="AS28" i="1" s="1"/>
  <c r="AT28" i="1"/>
  <c r="AV28" i="1"/>
  <c r="AW28" i="1"/>
  <c r="AX28" i="1"/>
  <c r="AY28" i="1"/>
  <c r="AZ28" i="1"/>
  <c r="BA28" i="1"/>
  <c r="BB28" i="1"/>
  <c r="BC28" i="1"/>
  <c r="BE28" i="1"/>
  <c r="BF28" i="1"/>
  <c r="BG28" i="1"/>
  <c r="BH28" i="1"/>
  <c r="BI28" i="1"/>
  <c r="BJ28" i="1"/>
  <c r="BK28" i="1" s="1"/>
  <c r="BN28" i="1"/>
  <c r="BP28" i="1"/>
  <c r="BR28" i="1"/>
  <c r="BU28" i="1"/>
  <c r="CG28" i="1"/>
  <c r="CK28" i="1"/>
  <c r="CO28" i="1"/>
  <c r="CS28" i="1"/>
  <c r="DD28" i="1"/>
  <c r="F29" i="1"/>
  <c r="BW29" i="1"/>
  <c r="G29" i="1"/>
  <c r="BX29" i="1"/>
  <c r="H29" i="1"/>
  <c r="BY29" i="1"/>
  <c r="I29" i="1"/>
  <c r="CA29" i="1"/>
  <c r="J29" i="1"/>
  <c r="BZ29" i="1"/>
  <c r="AM29" i="1"/>
  <c r="AO29" i="1"/>
  <c r="AP29" i="1"/>
  <c r="AQ29" i="1"/>
  <c r="A29" i="1" s="1"/>
  <c r="A28" i="10" s="1"/>
  <c r="AR29" i="1"/>
  <c r="AS29" i="1"/>
  <c r="AT29" i="1"/>
  <c r="AV29" i="1"/>
  <c r="AW29" i="1"/>
  <c r="AX29" i="1"/>
  <c r="AY29" i="1"/>
  <c r="AZ29" i="1"/>
  <c r="BA29" i="1"/>
  <c r="BB29" i="1"/>
  <c r="BC29" i="1"/>
  <c r="BE29" i="1"/>
  <c r="BF29" i="1"/>
  <c r="BG29" i="1"/>
  <c r="BH29" i="1"/>
  <c r="BI29" i="1"/>
  <c r="BJ29" i="1"/>
  <c r="BK29" i="1"/>
  <c r="BN29" i="1"/>
  <c r="BP29" i="1"/>
  <c r="BR29" i="1"/>
  <c r="BT29" i="1"/>
  <c r="BU29" i="1"/>
  <c r="CG29" i="1"/>
  <c r="CK29" i="1"/>
  <c r="CO29" i="1"/>
  <c r="CS29" i="1"/>
  <c r="DD29" i="1"/>
  <c r="DE29" i="1" s="1"/>
  <c r="F30" i="1"/>
  <c r="BW30" i="1"/>
  <c r="G30" i="1"/>
  <c r="BX30" i="1" s="1"/>
  <c r="H30" i="1"/>
  <c r="BY30" i="1"/>
  <c r="I30" i="1"/>
  <c r="CA30" i="1" s="1"/>
  <c r="J30" i="1"/>
  <c r="BZ30" i="1"/>
  <c r="AM30" i="1"/>
  <c r="AO30" i="1"/>
  <c r="M30" i="10"/>
  <c r="AP30" i="1"/>
  <c r="AQ30" i="1"/>
  <c r="A30" i="1" s="1"/>
  <c r="AR30" i="1"/>
  <c r="AS30" i="1" s="1"/>
  <c r="AT30" i="1"/>
  <c r="AV30" i="1"/>
  <c r="AW30" i="1"/>
  <c r="AX30" i="1"/>
  <c r="AY30" i="1"/>
  <c r="AZ30" i="1"/>
  <c r="BA30" i="1"/>
  <c r="BB30" i="1"/>
  <c r="BC30" i="1"/>
  <c r="BE30" i="1"/>
  <c r="BF30" i="1"/>
  <c r="BG30" i="1"/>
  <c r="BH30" i="1"/>
  <c r="BI30" i="1"/>
  <c r="BJ30" i="1"/>
  <c r="BK30" i="1" s="1"/>
  <c r="BN30" i="1"/>
  <c r="BP30" i="1"/>
  <c r="BR30" i="1"/>
  <c r="BU30" i="1"/>
  <c r="CG30" i="1"/>
  <c r="CK30" i="1"/>
  <c r="CO30" i="1"/>
  <c r="CS30" i="1"/>
  <c r="DD30" i="1"/>
  <c r="F31" i="1"/>
  <c r="BW31" i="1"/>
  <c r="G31" i="1"/>
  <c r="BX31" i="1"/>
  <c r="H31" i="1"/>
  <c r="BY31" i="1"/>
  <c r="I31" i="1"/>
  <c r="CA31" i="1"/>
  <c r="J31" i="1"/>
  <c r="BZ31" i="1"/>
  <c r="AM31" i="1"/>
  <c r="AO31" i="1"/>
  <c r="AP31" i="1"/>
  <c r="AQ31" i="1"/>
  <c r="A31" i="1" s="1"/>
  <c r="A31" i="10" s="1"/>
  <c r="AR31" i="1"/>
  <c r="AS31" i="1"/>
  <c r="AT31" i="1"/>
  <c r="AV31" i="1"/>
  <c r="AW31" i="1"/>
  <c r="AX31" i="1"/>
  <c r="AY31" i="1"/>
  <c r="AZ31" i="1"/>
  <c r="BA31" i="1"/>
  <c r="BB31" i="1"/>
  <c r="BC31" i="1"/>
  <c r="BE31" i="1"/>
  <c r="BF31" i="1"/>
  <c r="BG31" i="1"/>
  <c r="BH31" i="1"/>
  <c r="BI31" i="1"/>
  <c r="BJ31" i="1"/>
  <c r="BK31" i="1"/>
  <c r="BN31" i="1"/>
  <c r="BP31" i="1"/>
  <c r="BR31" i="1"/>
  <c r="BU31" i="1"/>
  <c r="CG31" i="1"/>
  <c r="CK31" i="1"/>
  <c r="CO31" i="1"/>
  <c r="CS31" i="1"/>
  <c r="DD31" i="1"/>
  <c r="F32" i="1"/>
  <c r="BW32" i="1" s="1"/>
  <c r="G32" i="1"/>
  <c r="BX32" i="1"/>
  <c r="H32" i="1"/>
  <c r="BY32" i="1" s="1"/>
  <c r="I32" i="1"/>
  <c r="CA32" i="1"/>
  <c r="J32" i="1"/>
  <c r="BZ32" i="1" s="1"/>
  <c r="AM32" i="1"/>
  <c r="AO32" i="1"/>
  <c r="AP32" i="1"/>
  <c r="AQ32" i="1"/>
  <c r="A32" i="1"/>
  <c r="A33" i="10"/>
  <c r="AR32" i="1"/>
  <c r="AS32" i="1" s="1"/>
  <c r="AT32" i="1"/>
  <c r="AV32" i="1"/>
  <c r="AW32" i="1"/>
  <c r="AX32" i="1"/>
  <c r="AY32" i="1"/>
  <c r="AZ32" i="1"/>
  <c r="BA32" i="1"/>
  <c r="BB32" i="1"/>
  <c r="BC32" i="1"/>
  <c r="BE32" i="1"/>
  <c r="BF32" i="1"/>
  <c r="BG32" i="1"/>
  <c r="BH32" i="1"/>
  <c r="BI32" i="1"/>
  <c r="BJ32" i="1"/>
  <c r="BK32" i="1" s="1"/>
  <c r="BN32" i="1"/>
  <c r="BP32" i="1"/>
  <c r="BR32" i="1"/>
  <c r="BU32" i="1"/>
  <c r="CG32" i="1"/>
  <c r="CK32" i="1"/>
  <c r="CO32" i="1"/>
  <c r="CS32" i="1"/>
  <c r="DD32" i="1"/>
  <c r="DE32" i="1"/>
  <c r="F33" i="1"/>
  <c r="BW33" i="1" s="1"/>
  <c r="G33" i="1"/>
  <c r="BX33" i="1"/>
  <c r="H33" i="1"/>
  <c r="BY33" i="1" s="1"/>
  <c r="I33" i="1"/>
  <c r="CA33" i="1"/>
  <c r="J33" i="1"/>
  <c r="BZ33" i="1" s="1"/>
  <c r="AM33" i="1"/>
  <c r="AO33" i="1"/>
  <c r="AP33" i="1"/>
  <c r="AQ33" i="1"/>
  <c r="A33" i="1"/>
  <c r="A32" i="10" s="1"/>
  <c r="AR33" i="1"/>
  <c r="AS33" i="1" s="1"/>
  <c r="AT33" i="1"/>
  <c r="AV33" i="1"/>
  <c r="AW33" i="1"/>
  <c r="AX33" i="1"/>
  <c r="AY33" i="1"/>
  <c r="AZ33" i="1"/>
  <c r="BA33" i="1"/>
  <c r="BB33" i="1"/>
  <c r="BC33" i="1"/>
  <c r="BE33" i="1"/>
  <c r="BF33" i="1"/>
  <c r="BG33" i="1"/>
  <c r="BH33" i="1"/>
  <c r="BI33" i="1"/>
  <c r="BJ33" i="1"/>
  <c r="BK33" i="1" s="1"/>
  <c r="BN33" i="1"/>
  <c r="BP33" i="1"/>
  <c r="BR33" i="1"/>
  <c r="BT33" i="1" s="1"/>
  <c r="BU33" i="1"/>
  <c r="CG33" i="1"/>
  <c r="CK33" i="1"/>
  <c r="CO33" i="1"/>
  <c r="CS33" i="1"/>
  <c r="DD33" i="1"/>
  <c r="F34" i="1"/>
  <c r="BW34" i="1" s="1"/>
  <c r="G34" i="1"/>
  <c r="BX34" i="1" s="1"/>
  <c r="H34" i="1"/>
  <c r="BY34" i="1" s="1"/>
  <c r="I34" i="1"/>
  <c r="CA34" i="1"/>
  <c r="J34" i="1"/>
  <c r="BZ34" i="1" s="1"/>
  <c r="AM34" i="1"/>
  <c r="AO34" i="1"/>
  <c r="M34" i="10"/>
  <c r="AP34" i="1"/>
  <c r="AQ34" i="1"/>
  <c r="A34" i="1"/>
  <c r="A34" i="10"/>
  <c r="AR34" i="1"/>
  <c r="AS34" i="1"/>
  <c r="AT34" i="1"/>
  <c r="AV34" i="1"/>
  <c r="AW34" i="1"/>
  <c r="AX34" i="1"/>
  <c r="AY34" i="1"/>
  <c r="AZ34" i="1"/>
  <c r="BA34" i="1"/>
  <c r="BB34" i="1"/>
  <c r="BC34" i="1"/>
  <c r="BE34" i="1"/>
  <c r="BF34" i="1"/>
  <c r="BG34" i="1"/>
  <c r="BH34" i="1"/>
  <c r="BI34" i="1"/>
  <c r="BJ34" i="1"/>
  <c r="BK34" i="1"/>
  <c r="BN34" i="1"/>
  <c r="BP34" i="1"/>
  <c r="BR34" i="1"/>
  <c r="BU34" i="1"/>
  <c r="CG34" i="1"/>
  <c r="CK34" i="1"/>
  <c r="CO34" i="1"/>
  <c r="CS34" i="1"/>
  <c r="DD34" i="1"/>
  <c r="F35" i="1"/>
  <c r="BW35" i="1" s="1"/>
  <c r="G35" i="1"/>
  <c r="BX35" i="1"/>
  <c r="H35" i="1"/>
  <c r="BY35" i="1" s="1"/>
  <c r="I35" i="1"/>
  <c r="CA35" i="1" s="1"/>
  <c r="J35" i="1"/>
  <c r="BZ35" i="1" s="1"/>
  <c r="AM35" i="1"/>
  <c r="AO35" i="1"/>
  <c r="M36" i="10" s="1"/>
  <c r="AP35" i="1"/>
  <c r="AQ35" i="1"/>
  <c r="A35" i="1"/>
  <c r="AR35" i="1"/>
  <c r="AS35" i="1" s="1"/>
  <c r="AT35" i="1"/>
  <c r="AV35" i="1"/>
  <c r="AW35" i="1"/>
  <c r="AX35" i="1"/>
  <c r="AY35" i="1"/>
  <c r="AZ35" i="1"/>
  <c r="BA35" i="1"/>
  <c r="BB35" i="1"/>
  <c r="BC35" i="1"/>
  <c r="BE35" i="1"/>
  <c r="BF35" i="1"/>
  <c r="BG35" i="1"/>
  <c r="BH35" i="1"/>
  <c r="BI35" i="1"/>
  <c r="BJ35" i="1"/>
  <c r="BK35" i="1" s="1"/>
  <c r="BN35" i="1"/>
  <c r="BP35" i="1"/>
  <c r="BR35" i="1"/>
  <c r="BU35" i="1"/>
  <c r="CG35" i="1"/>
  <c r="CK35" i="1"/>
  <c r="CO35" i="1"/>
  <c r="CS35" i="1"/>
  <c r="DD35" i="1"/>
  <c r="DE35" i="1"/>
  <c r="F36" i="1"/>
  <c r="BW36" i="1" s="1"/>
  <c r="G36" i="1"/>
  <c r="BX36" i="1" s="1"/>
  <c r="H36" i="1"/>
  <c r="BY36" i="1" s="1"/>
  <c r="I36" i="1"/>
  <c r="CA36" i="1" s="1"/>
  <c r="J36" i="1"/>
  <c r="BZ36" i="1" s="1"/>
  <c r="AM36" i="1"/>
  <c r="AO36" i="1"/>
  <c r="M35" i="10" s="1"/>
  <c r="AP36" i="1"/>
  <c r="AQ36" i="1"/>
  <c r="A36" i="1"/>
  <c r="A35" i="10" s="1"/>
  <c r="AR36" i="1"/>
  <c r="AS36" i="1"/>
  <c r="AT36" i="1"/>
  <c r="AV36" i="1"/>
  <c r="AW36" i="1"/>
  <c r="AX36" i="1"/>
  <c r="AY36" i="1"/>
  <c r="AZ36" i="1"/>
  <c r="BA36" i="1"/>
  <c r="BB36" i="1"/>
  <c r="BC36" i="1"/>
  <c r="BE36" i="1"/>
  <c r="BF36" i="1"/>
  <c r="BG36" i="1"/>
  <c r="BH36" i="1"/>
  <c r="BI36" i="1"/>
  <c r="BJ36" i="1"/>
  <c r="BK36" i="1"/>
  <c r="BS36" i="1"/>
  <c r="BT36" i="1"/>
  <c r="BU36" i="1"/>
  <c r="CG36" i="1"/>
  <c r="CK36" i="1"/>
  <c r="CO36" i="1"/>
  <c r="CS36" i="1"/>
  <c r="DD36" i="1"/>
  <c r="DE36" i="1"/>
  <c r="F37" i="1"/>
  <c r="BW37" i="1" s="1"/>
  <c r="G37" i="1"/>
  <c r="BX37" i="1"/>
  <c r="H37" i="1"/>
  <c r="BY37" i="1" s="1"/>
  <c r="I37" i="1"/>
  <c r="CA37" i="1" s="1"/>
  <c r="J37" i="1"/>
  <c r="BZ37" i="1" s="1"/>
  <c r="AM37" i="1"/>
  <c r="AO37" i="1"/>
  <c r="M37" i="10" s="1"/>
  <c r="AP37" i="1"/>
  <c r="AQ37" i="1"/>
  <c r="A37" i="1" s="1"/>
  <c r="A37" i="10" s="1"/>
  <c r="AR37" i="1"/>
  <c r="AS37" i="1"/>
  <c r="AT37" i="1"/>
  <c r="AV37" i="1"/>
  <c r="AW37" i="1"/>
  <c r="AX37" i="1"/>
  <c r="AY37" i="1"/>
  <c r="AZ37" i="1"/>
  <c r="BA37" i="1"/>
  <c r="BB37" i="1"/>
  <c r="BC37" i="1"/>
  <c r="BE37" i="1"/>
  <c r="BF37" i="1"/>
  <c r="BG37" i="1"/>
  <c r="BH37" i="1"/>
  <c r="BI37" i="1"/>
  <c r="BJ37" i="1"/>
  <c r="BK37" i="1"/>
  <c r="BN37" i="1"/>
  <c r="BP37" i="1"/>
  <c r="BR37" i="1"/>
  <c r="BT37" i="1"/>
  <c r="BU37" i="1"/>
  <c r="CG37" i="1"/>
  <c r="CK37" i="1"/>
  <c r="CO37" i="1"/>
  <c r="CS37" i="1"/>
  <c r="DD37" i="1"/>
  <c r="DE37" i="1" s="1"/>
  <c r="F38" i="1"/>
  <c r="BW38" i="1" s="1"/>
  <c r="G38" i="1"/>
  <c r="BX38" i="1" s="1"/>
  <c r="H38" i="1"/>
  <c r="BY38" i="1"/>
  <c r="I38" i="1"/>
  <c r="CA38" i="1" s="1"/>
  <c r="J38" i="1"/>
  <c r="BZ38" i="1" s="1"/>
  <c r="AM38" i="1"/>
  <c r="AO38" i="1"/>
  <c r="M38" i="10"/>
  <c r="AP38" i="1"/>
  <c r="AQ38" i="1"/>
  <c r="A38" i="1" s="1"/>
  <c r="A38" i="10"/>
  <c r="AR38" i="1"/>
  <c r="AS38" i="1" s="1"/>
  <c r="AT38" i="1"/>
  <c r="AV38" i="1"/>
  <c r="AW38" i="1"/>
  <c r="AX38" i="1"/>
  <c r="AY38" i="1"/>
  <c r="AZ38" i="1"/>
  <c r="BA38" i="1"/>
  <c r="BB38" i="1"/>
  <c r="BC38" i="1"/>
  <c r="BE38" i="1"/>
  <c r="BF38" i="1"/>
  <c r="BG38" i="1"/>
  <c r="BH38" i="1"/>
  <c r="BI38" i="1"/>
  <c r="BJ38" i="1"/>
  <c r="BK38" i="1" s="1"/>
  <c r="BN38" i="1"/>
  <c r="BP38" i="1"/>
  <c r="BR38" i="1"/>
  <c r="BT38" i="1" s="1"/>
  <c r="BU38" i="1"/>
  <c r="CG38" i="1"/>
  <c r="CK38" i="1"/>
  <c r="CO38" i="1"/>
  <c r="CS38" i="1"/>
  <c r="DD38" i="1"/>
  <c r="F39" i="1"/>
  <c r="BW39" i="1" s="1"/>
  <c r="G39" i="1"/>
  <c r="BX39" i="1"/>
  <c r="H39" i="1"/>
  <c r="BY39" i="1" s="1"/>
  <c r="I39" i="1"/>
  <c r="CA39" i="1"/>
  <c r="J39" i="1"/>
  <c r="BZ39" i="1" s="1"/>
  <c r="AM39" i="1"/>
  <c r="AO39" i="1"/>
  <c r="M39" i="10" s="1"/>
  <c r="P39" i="10"/>
  <c r="N39" i="10" s="1"/>
  <c r="U39" i="10"/>
  <c r="AP39" i="1"/>
  <c r="AQ39" i="1"/>
  <c r="A39" i="1" s="1"/>
  <c r="A39" i="10" s="1"/>
  <c r="AR39" i="1"/>
  <c r="AS39" i="1" s="1"/>
  <c r="AT39" i="1"/>
  <c r="AV39" i="1"/>
  <c r="AW39" i="1"/>
  <c r="AX39" i="1"/>
  <c r="AY39" i="1"/>
  <c r="AZ39" i="1"/>
  <c r="BA39" i="1"/>
  <c r="BB39" i="1"/>
  <c r="BC39" i="1"/>
  <c r="BE39" i="1"/>
  <c r="BF39" i="1"/>
  <c r="BG39" i="1"/>
  <c r="BH39" i="1"/>
  <c r="BI39" i="1"/>
  <c r="BJ39" i="1"/>
  <c r="BK39" i="1" s="1"/>
  <c r="BS39" i="1"/>
  <c r="BT39" i="1"/>
  <c r="BU39" i="1"/>
  <c r="CG39" i="1"/>
  <c r="CK39" i="1"/>
  <c r="CO39" i="1"/>
  <c r="CS39" i="1"/>
  <c r="DD39" i="1"/>
  <c r="F40" i="1"/>
  <c r="BW40" i="1"/>
  <c r="G40" i="1"/>
  <c r="BX40" i="1" s="1"/>
  <c r="H40" i="1"/>
  <c r="BY40" i="1"/>
  <c r="I40" i="1"/>
  <c r="CA40" i="1" s="1"/>
  <c r="J40" i="1"/>
  <c r="BZ40" i="1"/>
  <c r="AM40" i="1"/>
  <c r="AO40" i="1"/>
  <c r="M40" i="10" s="1"/>
  <c r="AP40" i="1"/>
  <c r="AQ40" i="1"/>
  <c r="A40" i="1"/>
  <c r="A40" i="10" s="1"/>
  <c r="AR40" i="1"/>
  <c r="AS40" i="1" s="1"/>
  <c r="AT40" i="1"/>
  <c r="AV40" i="1"/>
  <c r="AW40" i="1"/>
  <c r="AX40" i="1"/>
  <c r="AY40" i="1"/>
  <c r="AZ40" i="1"/>
  <c r="BA40" i="1"/>
  <c r="BB40" i="1"/>
  <c r="BC40" i="1"/>
  <c r="BE40" i="1"/>
  <c r="BF40" i="1"/>
  <c r="BG40" i="1"/>
  <c r="BH40" i="1"/>
  <c r="BI40" i="1"/>
  <c r="BJ40" i="1"/>
  <c r="BK40" i="1" s="1"/>
  <c r="BN40" i="1"/>
  <c r="BP40" i="1"/>
  <c r="BR40" i="1"/>
  <c r="BT40" i="1" s="1"/>
  <c r="BU40" i="1"/>
  <c r="CG40" i="1"/>
  <c r="CK40" i="1"/>
  <c r="CO40" i="1"/>
  <c r="CS40" i="1"/>
  <c r="DD40" i="1"/>
  <c r="DE40" i="1" s="1"/>
  <c r="F41" i="1"/>
  <c r="BW41" i="1"/>
  <c r="G41" i="1"/>
  <c r="BX41" i="1" s="1"/>
  <c r="H41" i="1"/>
  <c r="BY41" i="1"/>
  <c r="I41" i="1"/>
  <c r="CA41" i="1" s="1"/>
  <c r="J41" i="1"/>
  <c r="BZ41" i="1"/>
  <c r="AM41" i="1"/>
  <c r="AO41" i="1"/>
  <c r="M41" i="10" s="1"/>
  <c r="AP41" i="1"/>
  <c r="AQ41" i="1"/>
  <c r="A41" i="1" s="1"/>
  <c r="A41" i="10" s="1"/>
  <c r="AR41" i="1"/>
  <c r="AS41" i="1"/>
  <c r="AT41" i="1"/>
  <c r="AV41" i="1"/>
  <c r="AW41" i="1"/>
  <c r="AX41" i="1"/>
  <c r="AY41" i="1"/>
  <c r="AZ41" i="1"/>
  <c r="BA41" i="1"/>
  <c r="BB41" i="1"/>
  <c r="BC41" i="1"/>
  <c r="BE41" i="1"/>
  <c r="BF41" i="1"/>
  <c r="BG41" i="1"/>
  <c r="BH41" i="1"/>
  <c r="BI41" i="1"/>
  <c r="BJ41" i="1"/>
  <c r="BK41" i="1"/>
  <c r="BN41" i="1"/>
  <c r="BP41" i="1"/>
  <c r="BR41" i="1"/>
  <c r="BT41" i="1"/>
  <c r="BU41" i="1"/>
  <c r="CG41" i="1"/>
  <c r="CK41" i="1"/>
  <c r="CO41" i="1"/>
  <c r="CS41" i="1"/>
  <c r="DD41" i="1"/>
  <c r="F42" i="1"/>
  <c r="BW42" i="1"/>
  <c r="G42" i="1"/>
  <c r="BX42" i="1" s="1"/>
  <c r="H42" i="1"/>
  <c r="BY42" i="1" s="1"/>
  <c r="I42" i="1"/>
  <c r="CA42" i="1" s="1"/>
  <c r="J42" i="1"/>
  <c r="BZ42" i="1" s="1"/>
  <c r="AM42" i="1"/>
  <c r="AO42" i="1"/>
  <c r="M42" i="10"/>
  <c r="AP42" i="1"/>
  <c r="AQ42" i="1"/>
  <c r="A42" i="1" s="1"/>
  <c r="A42" i="10"/>
  <c r="AR42" i="1"/>
  <c r="AS42" i="1" s="1"/>
  <c r="AT42" i="1"/>
  <c r="AV42" i="1"/>
  <c r="AW42" i="1"/>
  <c r="AX42" i="1"/>
  <c r="AY42" i="1"/>
  <c r="AZ42" i="1"/>
  <c r="BA42" i="1"/>
  <c r="BB42" i="1"/>
  <c r="BC42" i="1"/>
  <c r="BE42" i="1"/>
  <c r="BF42" i="1"/>
  <c r="BG42" i="1"/>
  <c r="BH42" i="1"/>
  <c r="BI42" i="1"/>
  <c r="BJ42" i="1"/>
  <c r="BK42" i="1" s="1"/>
  <c r="BN42" i="1"/>
  <c r="BP42" i="1"/>
  <c r="BR42" i="1"/>
  <c r="BT42" i="1" s="1"/>
  <c r="BU42" i="1"/>
  <c r="CG42" i="1"/>
  <c r="CK42" i="1"/>
  <c r="CO42" i="1"/>
  <c r="CS42" i="1"/>
  <c r="CW42" i="1"/>
  <c r="H42" i="10" s="1"/>
  <c r="DD42" i="1"/>
  <c r="DF42" i="1" s="1"/>
  <c r="F43" i="1"/>
  <c r="BW43" i="1"/>
  <c r="G43" i="1"/>
  <c r="BX43" i="1" s="1"/>
  <c r="H43" i="1"/>
  <c r="BY43" i="1" s="1"/>
  <c r="I43" i="1"/>
  <c r="CA43" i="1" s="1"/>
  <c r="J43" i="1"/>
  <c r="BZ43" i="1" s="1"/>
  <c r="AM43" i="1"/>
  <c r="AO43" i="1"/>
  <c r="M44" i="10"/>
  <c r="AP43" i="1"/>
  <c r="AQ43" i="1"/>
  <c r="A43" i="1" s="1"/>
  <c r="A44" i="10"/>
  <c r="AR43" i="1"/>
  <c r="AS43" i="1" s="1"/>
  <c r="AT43" i="1"/>
  <c r="AV43" i="1"/>
  <c r="AW43" i="1"/>
  <c r="AX43" i="1"/>
  <c r="AY43" i="1"/>
  <c r="AZ43" i="1"/>
  <c r="BA43" i="1"/>
  <c r="BB43" i="1"/>
  <c r="BC43" i="1"/>
  <c r="BE43" i="1"/>
  <c r="BF43" i="1"/>
  <c r="BG43" i="1"/>
  <c r="BH43" i="1"/>
  <c r="BI43" i="1"/>
  <c r="BJ43" i="1"/>
  <c r="BK43" i="1" s="1"/>
  <c r="BN43" i="1"/>
  <c r="BP43" i="1"/>
  <c r="BS43" i="1" s="1"/>
  <c r="BR43" i="1"/>
  <c r="BT43" i="1" s="1"/>
  <c r="BU43" i="1"/>
  <c r="CG43" i="1"/>
  <c r="CK43" i="1"/>
  <c r="CO43" i="1"/>
  <c r="CS43" i="1"/>
  <c r="DD43" i="1"/>
  <c r="F44" i="1"/>
  <c r="BW44" i="1" s="1"/>
  <c r="G44" i="1"/>
  <c r="BX44" i="1"/>
  <c r="H44" i="1"/>
  <c r="BY44" i="1" s="1"/>
  <c r="I44" i="1"/>
  <c r="CA44" i="1"/>
  <c r="J44" i="1"/>
  <c r="BZ44" i="1" s="1"/>
  <c r="AM44" i="1"/>
  <c r="AO44" i="1"/>
  <c r="M43" i="10" s="1"/>
  <c r="O43" i="10" s="1"/>
  <c r="P43" i="10"/>
  <c r="N43" i="10" s="1"/>
  <c r="U43" i="10" s="1"/>
  <c r="AP44" i="1"/>
  <c r="AQ44" i="1"/>
  <c r="A44" i="1" s="1"/>
  <c r="A43" i="10" s="1"/>
  <c r="AR44" i="1"/>
  <c r="AS44" i="1"/>
  <c r="AT44" i="1"/>
  <c r="AV44" i="1"/>
  <c r="AW44" i="1"/>
  <c r="AX44" i="1"/>
  <c r="AY44" i="1"/>
  <c r="AZ44" i="1"/>
  <c r="BA44" i="1"/>
  <c r="BB44" i="1"/>
  <c r="BC44" i="1"/>
  <c r="BE44" i="1"/>
  <c r="BF44" i="1"/>
  <c r="BG44" i="1"/>
  <c r="BH44" i="1"/>
  <c r="BI44" i="1"/>
  <c r="BJ44" i="1"/>
  <c r="BK44" i="1"/>
  <c r="BN44" i="1"/>
  <c r="BP44" i="1"/>
  <c r="BR44" i="1"/>
  <c r="BT44" i="1"/>
  <c r="BU44" i="1"/>
  <c r="CG44" i="1"/>
  <c r="CK44" i="1"/>
  <c r="CO44" i="1"/>
  <c r="CS44" i="1"/>
  <c r="DD44" i="1"/>
  <c r="F45" i="1"/>
  <c r="BW45" i="1"/>
  <c r="G45" i="1"/>
  <c r="BX45" i="1"/>
  <c r="H45" i="1"/>
  <c r="BY45" i="1"/>
  <c r="I45" i="1"/>
  <c r="CA45" i="1"/>
  <c r="J45" i="1"/>
  <c r="BZ45" i="1"/>
  <c r="AM45" i="1"/>
  <c r="AO45" i="1"/>
  <c r="M45" i="10" s="1"/>
  <c r="AP45" i="1"/>
  <c r="AQ45" i="1"/>
  <c r="A45" i="1"/>
  <c r="A45" i="10" s="1"/>
  <c r="AR45" i="1"/>
  <c r="AS45" i="1" s="1"/>
  <c r="AT45" i="1"/>
  <c r="AV45" i="1"/>
  <c r="AW45" i="1"/>
  <c r="AX45" i="1"/>
  <c r="AY45" i="1"/>
  <c r="AZ45" i="1"/>
  <c r="BA45" i="1"/>
  <c r="BB45" i="1"/>
  <c r="BC45" i="1"/>
  <c r="BE45" i="1"/>
  <c r="BF45" i="1"/>
  <c r="BG45" i="1"/>
  <c r="BH45" i="1"/>
  <c r="BI45" i="1"/>
  <c r="BJ45" i="1"/>
  <c r="BK45" i="1" s="1"/>
  <c r="BN45" i="1"/>
  <c r="BP45" i="1"/>
  <c r="BR45" i="1"/>
  <c r="BT45" i="1" s="1"/>
  <c r="BU45" i="1"/>
  <c r="CG45" i="1"/>
  <c r="CK45" i="1"/>
  <c r="CO45" i="1"/>
  <c r="CS45" i="1"/>
  <c r="DD45" i="1"/>
  <c r="DE45" i="1" s="1"/>
  <c r="F46" i="1"/>
  <c r="BW46" i="1"/>
  <c r="G46" i="1"/>
  <c r="BX46" i="1" s="1"/>
  <c r="H46" i="1"/>
  <c r="BY46" i="1"/>
  <c r="I46" i="1"/>
  <c r="CA46" i="1" s="1"/>
  <c r="J46" i="1"/>
  <c r="BZ46" i="1"/>
  <c r="AM46" i="1"/>
  <c r="AO46" i="1"/>
  <c r="M46" i="10" s="1"/>
  <c r="AP46" i="1"/>
  <c r="AQ46" i="1"/>
  <c r="A46" i="1"/>
  <c r="A46" i="10" s="1"/>
  <c r="AR46" i="1"/>
  <c r="AS46" i="1" s="1"/>
  <c r="AT46" i="1"/>
  <c r="AV46" i="1"/>
  <c r="AW46" i="1"/>
  <c r="AX46" i="1"/>
  <c r="AY46" i="1"/>
  <c r="AZ46" i="1"/>
  <c r="BA46" i="1"/>
  <c r="BB46" i="1"/>
  <c r="BC46" i="1"/>
  <c r="BE46" i="1"/>
  <c r="BF46" i="1"/>
  <c r="BG46" i="1"/>
  <c r="BH46" i="1"/>
  <c r="BI46" i="1"/>
  <c r="BJ46" i="1"/>
  <c r="BK46" i="1" s="1"/>
  <c r="BN46" i="1"/>
  <c r="BP46" i="1"/>
  <c r="BR46" i="1"/>
  <c r="BT46" i="1" s="1"/>
  <c r="BU46" i="1"/>
  <c r="CG46" i="1"/>
  <c r="CK46" i="1"/>
  <c r="CO46" i="1"/>
  <c r="CS46" i="1"/>
  <c r="DD46" i="1"/>
  <c r="F47" i="1"/>
  <c r="BW47" i="1" s="1"/>
  <c r="G47" i="1"/>
  <c r="BX47" i="1" s="1"/>
  <c r="H47" i="1"/>
  <c r="BY47" i="1" s="1"/>
  <c r="I47" i="1"/>
  <c r="CA47" i="1" s="1"/>
  <c r="J47" i="1"/>
  <c r="BZ47" i="1"/>
  <c r="AM47" i="1"/>
  <c r="AO47" i="1"/>
  <c r="M47" i="10"/>
  <c r="AP47" i="1"/>
  <c r="AQ47" i="1"/>
  <c r="A47" i="1" s="1"/>
  <c r="A47" i="10" s="1"/>
  <c r="AR47" i="1"/>
  <c r="AS47" i="1"/>
  <c r="AT47" i="1"/>
  <c r="AV47" i="1"/>
  <c r="AW47" i="1"/>
  <c r="AX47" i="1"/>
  <c r="AY47" i="1"/>
  <c r="AZ47" i="1"/>
  <c r="BA47" i="1"/>
  <c r="BB47" i="1"/>
  <c r="BC47" i="1"/>
  <c r="BE47" i="1"/>
  <c r="BF47" i="1"/>
  <c r="BG47" i="1"/>
  <c r="BH47" i="1"/>
  <c r="BI47" i="1"/>
  <c r="BJ47" i="1"/>
  <c r="BK47" i="1"/>
  <c r="BN47" i="1"/>
  <c r="BP47" i="1"/>
  <c r="BR47" i="1"/>
  <c r="BU47" i="1"/>
  <c r="CG47" i="1"/>
  <c r="CK47" i="1"/>
  <c r="CO47" i="1"/>
  <c r="CS47" i="1"/>
  <c r="DD47" i="1"/>
  <c r="DE47" i="1"/>
  <c r="F48" i="1"/>
  <c r="BW48" i="1"/>
  <c r="G48" i="1"/>
  <c r="BX48" i="1"/>
  <c r="H48" i="1"/>
  <c r="BY48" i="1"/>
  <c r="I48" i="1"/>
  <c r="CA48" i="1"/>
  <c r="J48" i="1"/>
  <c r="BZ48" i="1"/>
  <c r="AM48" i="1"/>
  <c r="AO48" i="1"/>
  <c r="AP48" i="1"/>
  <c r="AQ48" i="1"/>
  <c r="A48" i="1" s="1"/>
  <c r="A48" i="10"/>
  <c r="AR48" i="1"/>
  <c r="AS48" i="1" s="1"/>
  <c r="AT48" i="1"/>
  <c r="AV48" i="1"/>
  <c r="AW48" i="1"/>
  <c r="AX48" i="1"/>
  <c r="AY48" i="1"/>
  <c r="AZ48" i="1"/>
  <c r="BA48" i="1"/>
  <c r="BB48" i="1"/>
  <c r="BC48" i="1"/>
  <c r="BE48" i="1"/>
  <c r="BF48" i="1"/>
  <c r="BG48" i="1"/>
  <c r="BH48" i="1"/>
  <c r="BI48" i="1"/>
  <c r="BJ48" i="1"/>
  <c r="BK48" i="1" s="1"/>
  <c r="BN48" i="1"/>
  <c r="BP48" i="1"/>
  <c r="BR48" i="1"/>
  <c r="BU48" i="1"/>
  <c r="CG48" i="1"/>
  <c r="CK48" i="1"/>
  <c r="CO48" i="1"/>
  <c r="CS48" i="1"/>
  <c r="DD48" i="1"/>
  <c r="DE48" i="1"/>
  <c r="F49" i="1"/>
  <c r="BW49" i="1" s="1"/>
  <c r="G49" i="1"/>
  <c r="BX49" i="1"/>
  <c r="H49" i="1"/>
  <c r="BY49" i="1" s="1"/>
  <c r="I49" i="1"/>
  <c r="CA49" i="1"/>
  <c r="J49" i="1"/>
  <c r="BZ49" i="1" s="1"/>
  <c r="AM49" i="1"/>
  <c r="AO49" i="1"/>
  <c r="M49" i="10"/>
  <c r="AP49" i="1"/>
  <c r="AQ49" i="1"/>
  <c r="A49" i="1"/>
  <c r="A49" i="10"/>
  <c r="AR49" i="1"/>
  <c r="AS49" i="1" s="1"/>
  <c r="AT49" i="1"/>
  <c r="AV49" i="1"/>
  <c r="AW49" i="1"/>
  <c r="AX49" i="1"/>
  <c r="AY49" i="1"/>
  <c r="AZ49" i="1"/>
  <c r="BA49" i="1"/>
  <c r="BB49" i="1"/>
  <c r="BC49" i="1"/>
  <c r="BE49" i="1"/>
  <c r="BF49" i="1"/>
  <c r="BG49" i="1"/>
  <c r="BH49" i="1"/>
  <c r="BI49" i="1"/>
  <c r="BJ49" i="1"/>
  <c r="BK49" i="1" s="1"/>
  <c r="BN49" i="1"/>
  <c r="BP49" i="1"/>
  <c r="BR49" i="1"/>
  <c r="BU49" i="1"/>
  <c r="CG49" i="1"/>
  <c r="CK49" i="1"/>
  <c r="CO49" i="1"/>
  <c r="CS49" i="1"/>
  <c r="DD49" i="1"/>
  <c r="DE49" i="1"/>
  <c r="F50" i="1"/>
  <c r="BW50" i="1" s="1"/>
  <c r="G50" i="1"/>
  <c r="BX50" i="1" s="1"/>
  <c r="H50" i="1"/>
  <c r="BY50" i="1" s="1"/>
  <c r="I50" i="1"/>
  <c r="CA50" i="1" s="1"/>
  <c r="J50" i="1"/>
  <c r="BZ50" i="1" s="1"/>
  <c r="AM50" i="1"/>
  <c r="AO50" i="1"/>
  <c r="M50" i="10" s="1"/>
  <c r="O50" i="10" s="1"/>
  <c r="AP50" i="1"/>
  <c r="AQ50" i="1"/>
  <c r="A50" i="1"/>
  <c r="A50" i="10" s="1"/>
  <c r="AR50" i="1"/>
  <c r="AS50" i="1"/>
  <c r="AT50" i="1"/>
  <c r="AV50" i="1"/>
  <c r="AW50" i="1"/>
  <c r="AX50" i="1"/>
  <c r="AY50" i="1"/>
  <c r="AZ50" i="1"/>
  <c r="BA50" i="1"/>
  <c r="BB50" i="1"/>
  <c r="BC50" i="1"/>
  <c r="BE50" i="1"/>
  <c r="BF50" i="1"/>
  <c r="BG50" i="1"/>
  <c r="BH50" i="1"/>
  <c r="BI50" i="1"/>
  <c r="BJ50" i="1"/>
  <c r="BK50" i="1"/>
  <c r="BN50" i="1"/>
  <c r="BP50" i="1"/>
  <c r="BR50" i="1"/>
  <c r="BT50" i="1"/>
  <c r="BU50" i="1"/>
  <c r="CG50" i="1"/>
  <c r="CK50" i="1"/>
  <c r="CO50" i="1"/>
  <c r="CS50" i="1"/>
  <c r="DD50" i="1"/>
  <c r="DE50" i="1" s="1"/>
  <c r="F51" i="1"/>
  <c r="BW51" i="1"/>
  <c r="G51" i="1"/>
  <c r="BX51" i="1" s="1"/>
  <c r="H51" i="1"/>
  <c r="BY51" i="1" s="1"/>
  <c r="I51" i="1"/>
  <c r="CA51" i="1" s="1"/>
  <c r="J51" i="1"/>
  <c r="BZ51" i="1"/>
  <c r="AM51" i="1"/>
  <c r="AO51" i="1"/>
  <c r="M51" i="10"/>
  <c r="AP51" i="1"/>
  <c r="AQ51" i="1"/>
  <c r="A51" i="1" s="1"/>
  <c r="A51" i="10"/>
  <c r="AR51" i="1"/>
  <c r="AS51" i="1"/>
  <c r="AT51" i="1"/>
  <c r="AV51" i="1"/>
  <c r="AW51" i="1"/>
  <c r="AX51" i="1"/>
  <c r="AY51" i="1"/>
  <c r="AZ51" i="1"/>
  <c r="BA51" i="1"/>
  <c r="BB51" i="1"/>
  <c r="BC51" i="1"/>
  <c r="BE51" i="1"/>
  <c r="BF51" i="1"/>
  <c r="BG51" i="1"/>
  <c r="BH51" i="1"/>
  <c r="BI51" i="1"/>
  <c r="BJ51" i="1"/>
  <c r="BK51" i="1"/>
  <c r="BN51" i="1"/>
  <c r="BP51" i="1"/>
  <c r="BS51" i="1" s="1"/>
  <c r="BR51" i="1"/>
  <c r="BU51" i="1"/>
  <c r="CG51" i="1"/>
  <c r="CK51" i="1"/>
  <c r="CT51" i="1" s="1"/>
  <c r="CO51" i="1"/>
  <c r="CS51" i="1"/>
  <c r="DD51" i="1"/>
  <c r="F52" i="1"/>
  <c r="BW52" i="1" s="1"/>
  <c r="G52" i="1"/>
  <c r="BX52" i="1" s="1"/>
  <c r="H52" i="1"/>
  <c r="BY52" i="1"/>
  <c r="I52" i="1"/>
  <c r="CA52" i="1" s="1"/>
  <c r="J52" i="1"/>
  <c r="BZ52" i="1" s="1"/>
  <c r="AM52" i="1"/>
  <c r="AO52" i="1"/>
  <c r="M52" i="10"/>
  <c r="AP52" i="1"/>
  <c r="AQ52" i="1"/>
  <c r="A52" i="1" s="1"/>
  <c r="A52" i="10"/>
  <c r="AR52" i="1"/>
  <c r="AS52" i="1" s="1"/>
  <c r="AT52" i="1"/>
  <c r="AV52" i="1"/>
  <c r="AW52" i="1"/>
  <c r="AX52" i="1"/>
  <c r="AY52" i="1"/>
  <c r="AZ52" i="1"/>
  <c r="BA52" i="1"/>
  <c r="BB52" i="1"/>
  <c r="BC52" i="1"/>
  <c r="BE52" i="1"/>
  <c r="BF52" i="1"/>
  <c r="BG52" i="1"/>
  <c r="BH52" i="1"/>
  <c r="BI52" i="1"/>
  <c r="BJ52" i="1"/>
  <c r="BK52" i="1" s="1"/>
  <c r="BN52" i="1"/>
  <c r="BP52" i="1"/>
  <c r="BR52" i="1"/>
  <c r="BU52" i="1"/>
  <c r="CG52" i="1"/>
  <c r="CK52" i="1"/>
  <c r="CO52" i="1"/>
  <c r="CS52" i="1"/>
  <c r="DD52" i="1"/>
  <c r="F53" i="1"/>
  <c r="BW53" i="1" s="1"/>
  <c r="G53" i="1"/>
  <c r="BX53" i="1" s="1"/>
  <c r="H53" i="1"/>
  <c r="BY53" i="1"/>
  <c r="I53" i="1"/>
  <c r="CA53" i="1" s="1"/>
  <c r="J53" i="1"/>
  <c r="BZ53" i="1"/>
  <c r="AM53" i="1"/>
  <c r="AO53" i="1"/>
  <c r="M53" i="10"/>
  <c r="AP53" i="1"/>
  <c r="AQ53" i="1"/>
  <c r="A53" i="1" s="1"/>
  <c r="A53" i="10" s="1"/>
  <c r="AR53" i="1"/>
  <c r="AS53" i="1"/>
  <c r="AT53" i="1"/>
  <c r="AV53" i="1"/>
  <c r="AW53" i="1"/>
  <c r="AX53" i="1"/>
  <c r="AY53" i="1"/>
  <c r="AZ53" i="1"/>
  <c r="BA53" i="1"/>
  <c r="BB53" i="1"/>
  <c r="BC53" i="1"/>
  <c r="BE53" i="1"/>
  <c r="BF53" i="1"/>
  <c r="BG53" i="1"/>
  <c r="BH53" i="1"/>
  <c r="BI53" i="1"/>
  <c r="BJ53" i="1"/>
  <c r="BK53" i="1"/>
  <c r="BN53" i="1"/>
  <c r="BP53" i="1"/>
  <c r="BR53" i="1"/>
  <c r="BT53" i="1"/>
  <c r="BU53" i="1"/>
  <c r="CG53" i="1"/>
  <c r="CK53" i="1"/>
  <c r="CO53" i="1"/>
  <c r="CS53" i="1"/>
  <c r="DD53" i="1"/>
  <c r="F54" i="1"/>
  <c r="BW54" i="1"/>
  <c r="G54" i="1"/>
  <c r="BX54" i="1"/>
  <c r="H54" i="1"/>
  <c r="BY54" i="1"/>
  <c r="I54" i="1"/>
  <c r="CA54" i="1"/>
  <c r="J54" i="1"/>
  <c r="BZ54" i="1"/>
  <c r="AM54" i="1"/>
  <c r="AO54" i="1"/>
  <c r="M55" i="10" s="1"/>
  <c r="P55" i="10"/>
  <c r="W55" i="10" s="1"/>
  <c r="AP54" i="1"/>
  <c r="AQ54" i="1"/>
  <c r="A54" i="1" s="1"/>
  <c r="A55" i="10" s="1"/>
  <c r="AR54" i="1"/>
  <c r="AS54" i="1"/>
  <c r="AT54" i="1"/>
  <c r="AV54" i="1"/>
  <c r="AW54" i="1"/>
  <c r="AX54" i="1"/>
  <c r="AY54" i="1"/>
  <c r="AZ54" i="1"/>
  <c r="BA54" i="1"/>
  <c r="BB54" i="1"/>
  <c r="BC54" i="1"/>
  <c r="BE54" i="1"/>
  <c r="BF54" i="1"/>
  <c r="BG54" i="1"/>
  <c r="BH54" i="1"/>
  <c r="BI54" i="1"/>
  <c r="BJ54" i="1"/>
  <c r="BK54" i="1"/>
  <c r="BN54" i="1"/>
  <c r="BP54" i="1"/>
  <c r="BR54" i="1"/>
  <c r="BT54" i="1"/>
  <c r="BU54" i="1"/>
  <c r="CG54" i="1"/>
  <c r="CK54" i="1"/>
  <c r="CO54" i="1"/>
  <c r="CS54" i="1"/>
  <c r="DD54" i="1"/>
  <c r="DE54" i="1"/>
  <c r="F55" i="1"/>
  <c r="BW55" i="1" s="1"/>
  <c r="G55" i="1"/>
  <c r="BX55" i="1"/>
  <c r="H55" i="1"/>
  <c r="BY55" i="1" s="1"/>
  <c r="I55" i="1"/>
  <c r="CA55" i="1"/>
  <c r="J55" i="1"/>
  <c r="BZ55" i="1" s="1"/>
  <c r="AM55" i="1"/>
  <c r="AO55" i="1"/>
  <c r="M54" i="10"/>
  <c r="AP55" i="1"/>
  <c r="AQ55" i="1"/>
  <c r="A55" i="1"/>
  <c r="A54" i="10"/>
  <c r="AR55" i="1"/>
  <c r="AS55" i="1" s="1"/>
  <c r="AT55" i="1"/>
  <c r="AV55" i="1"/>
  <c r="AW55" i="1"/>
  <c r="AX55" i="1"/>
  <c r="AY55" i="1"/>
  <c r="AZ55" i="1"/>
  <c r="BA55" i="1"/>
  <c r="BB55" i="1"/>
  <c r="BC55" i="1"/>
  <c r="BE55" i="1"/>
  <c r="BF55" i="1"/>
  <c r="BG55" i="1"/>
  <c r="BH55" i="1"/>
  <c r="BI55" i="1"/>
  <c r="BJ55" i="1"/>
  <c r="BK55" i="1" s="1"/>
  <c r="BN55" i="1"/>
  <c r="BP55" i="1"/>
  <c r="BR55" i="1"/>
  <c r="BU55" i="1"/>
  <c r="CG55" i="1"/>
  <c r="CK55" i="1"/>
  <c r="CO55" i="1"/>
  <c r="CS55" i="1"/>
  <c r="DD55" i="1"/>
  <c r="F56" i="1"/>
  <c r="BW56" i="1"/>
  <c r="G56" i="1"/>
  <c r="BX56" i="1"/>
  <c r="H56" i="1"/>
  <c r="BY56" i="1"/>
  <c r="I56" i="1"/>
  <c r="CA56" i="1"/>
  <c r="J56" i="1"/>
  <c r="BZ56" i="1"/>
  <c r="AM56" i="1"/>
  <c r="AO56" i="1"/>
  <c r="M57" i="10" s="1"/>
  <c r="AP56" i="1"/>
  <c r="AQ56" i="1"/>
  <c r="A56" i="1"/>
  <c r="A57" i="10" s="1"/>
  <c r="AR56" i="1"/>
  <c r="AS56" i="1" s="1"/>
  <c r="AT56" i="1"/>
  <c r="AV56" i="1"/>
  <c r="AW56" i="1"/>
  <c r="AX56" i="1"/>
  <c r="AY56" i="1"/>
  <c r="AZ56" i="1"/>
  <c r="BA56" i="1"/>
  <c r="BB56" i="1"/>
  <c r="BC56" i="1"/>
  <c r="BE56" i="1"/>
  <c r="BF56" i="1"/>
  <c r="BG56" i="1"/>
  <c r="BH56" i="1"/>
  <c r="BI56" i="1"/>
  <c r="BJ56" i="1"/>
  <c r="BK56" i="1" s="1"/>
  <c r="BN56" i="1"/>
  <c r="BP56" i="1"/>
  <c r="BS56" i="1" s="1"/>
  <c r="BR56" i="1"/>
  <c r="BT56" i="1" s="1"/>
  <c r="BU56" i="1"/>
  <c r="CG56" i="1"/>
  <c r="CK56" i="1"/>
  <c r="CT56" i="1" s="1"/>
  <c r="CO56" i="1"/>
  <c r="CS56" i="1"/>
  <c r="DD56" i="1"/>
  <c r="F57" i="1"/>
  <c r="BW57" i="1" s="1"/>
  <c r="G57" i="1"/>
  <c r="BX57" i="1" s="1"/>
  <c r="H57" i="1"/>
  <c r="BY57" i="1" s="1"/>
  <c r="I57" i="1"/>
  <c r="CA57" i="1"/>
  <c r="J57" i="1"/>
  <c r="BZ57" i="1" s="1"/>
  <c r="AM57" i="1"/>
  <c r="AO57" i="1"/>
  <c r="M56" i="10"/>
  <c r="O56" i="10" s="1"/>
  <c r="AP57" i="1"/>
  <c r="AQ57" i="1"/>
  <c r="A57" i="1" s="1"/>
  <c r="A56" i="10" s="1"/>
  <c r="AR57" i="1"/>
  <c r="AS57" i="1"/>
  <c r="AT57" i="1"/>
  <c r="AV57" i="1"/>
  <c r="AW57" i="1"/>
  <c r="AX57" i="1"/>
  <c r="AY57" i="1"/>
  <c r="AZ57" i="1"/>
  <c r="BA57" i="1"/>
  <c r="BB57" i="1"/>
  <c r="BC57" i="1"/>
  <c r="BE57" i="1"/>
  <c r="BF57" i="1"/>
  <c r="BG57" i="1"/>
  <c r="BH57" i="1"/>
  <c r="BI57" i="1"/>
  <c r="BJ57" i="1"/>
  <c r="BK57" i="1"/>
  <c r="BN57" i="1"/>
  <c r="BP57" i="1"/>
  <c r="BR57" i="1"/>
  <c r="BU57" i="1"/>
  <c r="CG57" i="1"/>
  <c r="CK57" i="1"/>
  <c r="CO57" i="1"/>
  <c r="CS57" i="1"/>
  <c r="DD57" i="1"/>
  <c r="F58" i="1"/>
  <c r="BW58" i="1" s="1"/>
  <c r="G58" i="1"/>
  <c r="BX58" i="1"/>
  <c r="H58" i="1"/>
  <c r="BY58" i="1" s="1"/>
  <c r="I58" i="1"/>
  <c r="CA58" i="1" s="1"/>
  <c r="J58" i="1"/>
  <c r="BZ58" i="1" s="1"/>
  <c r="AM58" i="1"/>
  <c r="AO58" i="1"/>
  <c r="M58" i="10" s="1"/>
  <c r="AP58" i="1"/>
  <c r="AQ58" i="1"/>
  <c r="A58" i="1"/>
  <c r="A58" i="10" s="1"/>
  <c r="AR58" i="1"/>
  <c r="AS58" i="1"/>
  <c r="AT58" i="1"/>
  <c r="AV58" i="1"/>
  <c r="AW58" i="1"/>
  <c r="AX58" i="1"/>
  <c r="AY58" i="1"/>
  <c r="AZ58" i="1"/>
  <c r="BA58" i="1"/>
  <c r="BB58" i="1"/>
  <c r="BC58" i="1"/>
  <c r="BE58" i="1"/>
  <c r="BF58" i="1"/>
  <c r="BG58" i="1"/>
  <c r="BH58" i="1"/>
  <c r="BI58" i="1"/>
  <c r="BJ58" i="1"/>
  <c r="BK58" i="1"/>
  <c r="BN58" i="1"/>
  <c r="BP58" i="1"/>
  <c r="BR58" i="1"/>
  <c r="BU58" i="1"/>
  <c r="CG58" i="1"/>
  <c r="CK58" i="1"/>
  <c r="CO58" i="1"/>
  <c r="CS58" i="1"/>
  <c r="DD58" i="1"/>
  <c r="F59" i="1"/>
  <c r="BW59" i="1" s="1"/>
  <c r="G59" i="1"/>
  <c r="BX59" i="1"/>
  <c r="H59" i="1"/>
  <c r="BY59" i="1" s="1"/>
  <c r="I59" i="1"/>
  <c r="CA59" i="1"/>
  <c r="J59" i="1"/>
  <c r="BZ59" i="1" s="1"/>
  <c r="AM59" i="1"/>
  <c r="AO59" i="1"/>
  <c r="M60" i="10"/>
  <c r="AP59" i="1"/>
  <c r="AQ59" i="1"/>
  <c r="A59" i="1" s="1"/>
  <c r="A60" i="10"/>
  <c r="AR59" i="1"/>
  <c r="AS59" i="1"/>
  <c r="AT59" i="1"/>
  <c r="AV59" i="1"/>
  <c r="AW59" i="1"/>
  <c r="AX59" i="1"/>
  <c r="AY59" i="1"/>
  <c r="AZ59" i="1"/>
  <c r="BA59" i="1"/>
  <c r="BB59" i="1"/>
  <c r="BC59" i="1"/>
  <c r="BE59" i="1"/>
  <c r="BF59" i="1"/>
  <c r="BG59" i="1"/>
  <c r="BH59" i="1"/>
  <c r="BI59" i="1"/>
  <c r="BJ59" i="1"/>
  <c r="BK59" i="1"/>
  <c r="BN59" i="1"/>
  <c r="BP59" i="1"/>
  <c r="BR59" i="1"/>
  <c r="BU59" i="1"/>
  <c r="CG59" i="1"/>
  <c r="CK59" i="1"/>
  <c r="CO59" i="1"/>
  <c r="CS59" i="1"/>
  <c r="DD59" i="1"/>
  <c r="DE59" i="1"/>
  <c r="F60" i="1"/>
  <c r="BW60" i="1"/>
  <c r="G60" i="1"/>
  <c r="BX60" i="1"/>
  <c r="H60" i="1"/>
  <c r="BY60" i="1"/>
  <c r="I60" i="1"/>
  <c r="CA60" i="1"/>
  <c r="J60" i="1"/>
  <c r="BZ60" i="1"/>
  <c r="AM60" i="1"/>
  <c r="AO60" i="1"/>
  <c r="M59" i="10" s="1"/>
  <c r="AP60" i="1"/>
  <c r="AQ60" i="1"/>
  <c r="A60" i="1" s="1"/>
  <c r="A59" i="10" s="1"/>
  <c r="AR60" i="1"/>
  <c r="AS60" i="1"/>
  <c r="AT60" i="1"/>
  <c r="AV60" i="1"/>
  <c r="AW60" i="1"/>
  <c r="AX60" i="1"/>
  <c r="AY60" i="1"/>
  <c r="AZ60" i="1"/>
  <c r="BA60" i="1"/>
  <c r="BB60" i="1"/>
  <c r="BC60" i="1"/>
  <c r="BE60" i="1"/>
  <c r="BF60" i="1"/>
  <c r="BG60" i="1"/>
  <c r="BH60" i="1"/>
  <c r="BI60" i="1"/>
  <c r="BJ60" i="1"/>
  <c r="BK60" i="1"/>
  <c r="BN60" i="1"/>
  <c r="BP60" i="1"/>
  <c r="BR60" i="1"/>
  <c r="BU60" i="1"/>
  <c r="CG60" i="1"/>
  <c r="CK60" i="1"/>
  <c r="CO60" i="1"/>
  <c r="CS60" i="1"/>
  <c r="DD60" i="1"/>
  <c r="DE60" i="1" s="1"/>
  <c r="F61" i="1"/>
  <c r="BW61" i="1"/>
  <c r="G61" i="1"/>
  <c r="BX61" i="1" s="1"/>
  <c r="H61" i="1"/>
  <c r="BY61" i="1" s="1"/>
  <c r="I61" i="1"/>
  <c r="CA61" i="1" s="1"/>
  <c r="J61" i="1"/>
  <c r="BZ61" i="1"/>
  <c r="AM61" i="1"/>
  <c r="AO61" i="1"/>
  <c r="M61" i="10"/>
  <c r="AP61" i="1"/>
  <c r="AQ61" i="1"/>
  <c r="A61" i="1" s="1"/>
  <c r="A61" i="10"/>
  <c r="AR61" i="1"/>
  <c r="AS61" i="1"/>
  <c r="AT61" i="1"/>
  <c r="AV61" i="1"/>
  <c r="AW61" i="1"/>
  <c r="AX61" i="1"/>
  <c r="AY61" i="1"/>
  <c r="AZ61" i="1"/>
  <c r="BA61" i="1"/>
  <c r="BB61" i="1"/>
  <c r="BC61" i="1"/>
  <c r="BE61" i="1"/>
  <c r="BF61" i="1"/>
  <c r="BG61" i="1"/>
  <c r="BH61" i="1"/>
  <c r="BI61" i="1"/>
  <c r="BJ61" i="1"/>
  <c r="BK61" i="1"/>
  <c r="BN61" i="1"/>
  <c r="BP61" i="1"/>
  <c r="BR61" i="1"/>
  <c r="BU61" i="1"/>
  <c r="CG61" i="1"/>
  <c r="CK61" i="1"/>
  <c r="CO61" i="1"/>
  <c r="CS61" i="1"/>
  <c r="DD61" i="1"/>
  <c r="F62" i="1"/>
  <c r="BW62" i="1" s="1"/>
  <c r="G62" i="1"/>
  <c r="BX62" i="1" s="1"/>
  <c r="H62" i="1"/>
  <c r="BY62" i="1"/>
  <c r="I62" i="1"/>
  <c r="CA62" i="1" s="1"/>
  <c r="J62" i="1"/>
  <c r="BZ62" i="1" s="1"/>
  <c r="AM62" i="1"/>
  <c r="AO62" i="1"/>
  <c r="M62" i="10"/>
  <c r="AP62" i="1"/>
  <c r="AQ62" i="1"/>
  <c r="A62" i="1" s="1"/>
  <c r="A62" i="10"/>
  <c r="AR62" i="1"/>
  <c r="AS62" i="1" s="1"/>
  <c r="AT62" i="1"/>
  <c r="AV62" i="1"/>
  <c r="AW62" i="1"/>
  <c r="AX62" i="1"/>
  <c r="AY62" i="1"/>
  <c r="AZ62" i="1"/>
  <c r="BA62" i="1"/>
  <c r="BB62" i="1"/>
  <c r="BC62" i="1"/>
  <c r="BE62" i="1"/>
  <c r="BF62" i="1"/>
  <c r="BG62" i="1"/>
  <c r="BH62" i="1"/>
  <c r="BI62" i="1"/>
  <c r="BJ62" i="1"/>
  <c r="BK62" i="1" s="1"/>
  <c r="BN62" i="1"/>
  <c r="BP62" i="1"/>
  <c r="BR62" i="1"/>
  <c r="BU62" i="1"/>
  <c r="CG62" i="1"/>
  <c r="CK62" i="1"/>
  <c r="CO62" i="1"/>
  <c r="CS62" i="1"/>
  <c r="DD62" i="1"/>
  <c r="F63" i="1"/>
  <c r="BW63" i="1" s="1"/>
  <c r="G63" i="1"/>
  <c r="BX63" i="1" s="1"/>
  <c r="H63" i="1"/>
  <c r="BY63" i="1"/>
  <c r="I63" i="1"/>
  <c r="CA63" i="1" s="1"/>
  <c r="J63" i="1"/>
  <c r="BZ63" i="1"/>
  <c r="AM63" i="1"/>
  <c r="AO63" i="1"/>
  <c r="AP63" i="1"/>
  <c r="AQ63" i="1"/>
  <c r="A63" i="1"/>
  <c r="A63" i="10" s="1"/>
  <c r="AR63" i="1"/>
  <c r="AS63" i="1" s="1"/>
  <c r="AT63" i="1"/>
  <c r="AV63" i="1"/>
  <c r="AW63" i="1"/>
  <c r="AX63" i="1"/>
  <c r="AY63" i="1"/>
  <c r="AZ63" i="1"/>
  <c r="BA63" i="1"/>
  <c r="BB63" i="1"/>
  <c r="BC63" i="1"/>
  <c r="BE63" i="1"/>
  <c r="BF63" i="1"/>
  <c r="BG63" i="1"/>
  <c r="BH63" i="1"/>
  <c r="BI63" i="1"/>
  <c r="BJ63" i="1"/>
  <c r="BK63" i="1" s="1"/>
  <c r="BN63" i="1"/>
  <c r="BP63" i="1"/>
  <c r="BR63" i="1"/>
  <c r="BS63" i="1" s="1"/>
  <c r="BU63" i="1"/>
  <c r="CG63" i="1"/>
  <c r="CK63" i="1"/>
  <c r="CO63" i="1"/>
  <c r="CS63" i="1"/>
  <c r="DD63" i="1"/>
  <c r="DE63" i="1"/>
  <c r="F64" i="1"/>
  <c r="BW64" i="1"/>
  <c r="G64" i="1"/>
  <c r="BX64" i="1"/>
  <c r="H64" i="1"/>
  <c r="BY64" i="1"/>
  <c r="I64" i="1"/>
  <c r="CA64" i="1"/>
  <c r="J64" i="1"/>
  <c r="BZ64" i="1"/>
  <c r="AM64" i="1"/>
  <c r="AO64" i="1"/>
  <c r="M64" i="10" s="1"/>
  <c r="AP64" i="1"/>
  <c r="AQ64" i="1"/>
  <c r="A64" i="1"/>
  <c r="AR64" i="1"/>
  <c r="AS64" i="1"/>
  <c r="AT64" i="1"/>
  <c r="AV64" i="1"/>
  <c r="AW64" i="1"/>
  <c r="AX64" i="1"/>
  <c r="AY64" i="1"/>
  <c r="AZ64" i="1"/>
  <c r="BA64" i="1"/>
  <c r="BB64" i="1"/>
  <c r="BC64" i="1"/>
  <c r="BE64" i="1"/>
  <c r="BF64" i="1"/>
  <c r="BG64" i="1"/>
  <c r="BH64" i="1"/>
  <c r="BI64" i="1"/>
  <c r="BJ64" i="1"/>
  <c r="BK64" i="1"/>
  <c r="BN64" i="1"/>
  <c r="BP64" i="1"/>
  <c r="BR64" i="1"/>
  <c r="BT64" i="1"/>
  <c r="BU64" i="1"/>
  <c r="CG64" i="1"/>
  <c r="CK64" i="1"/>
  <c r="CO64" i="1"/>
  <c r="CS64" i="1"/>
  <c r="DD64" i="1"/>
  <c r="DF64" i="1" s="1"/>
  <c r="F65" i="1"/>
  <c r="BW65" i="1" s="1"/>
  <c r="G65" i="1"/>
  <c r="BX65" i="1"/>
  <c r="H65" i="1"/>
  <c r="BY65" i="1" s="1"/>
  <c r="I65" i="1"/>
  <c r="CA65" i="1" s="1"/>
  <c r="J65" i="1"/>
  <c r="BZ65" i="1" s="1"/>
  <c r="AM65" i="1"/>
  <c r="AO65" i="1"/>
  <c r="M65" i="10" s="1"/>
  <c r="AP65" i="1"/>
  <c r="AQ65" i="1"/>
  <c r="A65" i="1"/>
  <c r="A65" i="10" s="1"/>
  <c r="AR65" i="1"/>
  <c r="AS65" i="1"/>
  <c r="AT65" i="1"/>
  <c r="AV65" i="1"/>
  <c r="AW65" i="1"/>
  <c r="AX65" i="1"/>
  <c r="AY65" i="1"/>
  <c r="AZ65" i="1"/>
  <c r="BA65" i="1"/>
  <c r="BB65" i="1"/>
  <c r="BC65" i="1"/>
  <c r="BE65" i="1"/>
  <c r="BF65" i="1"/>
  <c r="BG65" i="1"/>
  <c r="BH65" i="1"/>
  <c r="BI65" i="1"/>
  <c r="BJ65" i="1"/>
  <c r="BK65" i="1"/>
  <c r="BN65" i="1"/>
  <c r="BP65" i="1"/>
  <c r="BR65" i="1"/>
  <c r="BT65" i="1"/>
  <c r="BU65" i="1"/>
  <c r="CG65" i="1"/>
  <c r="CK65" i="1"/>
  <c r="CO65" i="1"/>
  <c r="CS65" i="1"/>
  <c r="DD65" i="1"/>
  <c r="DE65" i="1" s="1"/>
  <c r="F66" i="1"/>
  <c r="BW66" i="1" s="1"/>
  <c r="G66" i="1"/>
  <c r="BX66" i="1" s="1"/>
  <c r="H66" i="1"/>
  <c r="BY66" i="1" s="1"/>
  <c r="I66" i="1"/>
  <c r="CA66" i="1" s="1"/>
  <c r="J66" i="1"/>
  <c r="BZ66" i="1"/>
  <c r="AM66" i="1"/>
  <c r="AO66" i="1"/>
  <c r="M67" i="10"/>
  <c r="AP66" i="1"/>
  <c r="AQ66" i="1"/>
  <c r="A66" i="1" s="1"/>
  <c r="A67" i="10" s="1"/>
  <c r="AR66" i="1"/>
  <c r="AS66" i="1" s="1"/>
  <c r="AT66" i="1"/>
  <c r="AV66" i="1"/>
  <c r="AW66" i="1"/>
  <c r="AX66" i="1"/>
  <c r="AY66" i="1"/>
  <c r="AZ66" i="1"/>
  <c r="BA66" i="1"/>
  <c r="BB66" i="1"/>
  <c r="BC66" i="1"/>
  <c r="BE66" i="1"/>
  <c r="BF66" i="1"/>
  <c r="BG66" i="1"/>
  <c r="BH66" i="1"/>
  <c r="BI66" i="1"/>
  <c r="BJ66" i="1"/>
  <c r="BK66" i="1" s="1"/>
  <c r="BN66" i="1"/>
  <c r="BP66" i="1"/>
  <c r="BR66" i="1"/>
  <c r="BT66" i="1" s="1"/>
  <c r="BU66" i="1"/>
  <c r="CG66" i="1"/>
  <c r="CK66" i="1"/>
  <c r="CO66" i="1"/>
  <c r="CS66" i="1"/>
  <c r="DD66" i="1"/>
  <c r="DE66" i="1"/>
  <c r="F67" i="1"/>
  <c r="BW67" i="1" s="1"/>
  <c r="G67" i="1"/>
  <c r="BX67" i="1" s="1"/>
  <c r="H67" i="1"/>
  <c r="BY67" i="1" s="1"/>
  <c r="I67" i="1"/>
  <c r="CA67" i="1" s="1"/>
  <c r="J67" i="1"/>
  <c r="BZ67" i="1" s="1"/>
  <c r="AM67" i="1"/>
  <c r="AO67" i="1"/>
  <c r="M66" i="10" s="1"/>
  <c r="AP67" i="1"/>
  <c r="AQ67" i="1"/>
  <c r="A67" i="1"/>
  <c r="A66" i="10" s="1"/>
  <c r="AR67" i="1"/>
  <c r="AS67" i="1"/>
  <c r="AT67" i="1"/>
  <c r="AV67" i="1"/>
  <c r="AW67" i="1"/>
  <c r="AX67" i="1"/>
  <c r="AY67" i="1"/>
  <c r="AZ67" i="1"/>
  <c r="BA67" i="1"/>
  <c r="BB67" i="1"/>
  <c r="BC67" i="1"/>
  <c r="BE67" i="1"/>
  <c r="BF67" i="1"/>
  <c r="BG67" i="1"/>
  <c r="BH67" i="1"/>
  <c r="BI67" i="1"/>
  <c r="BJ67" i="1"/>
  <c r="BK67" i="1"/>
  <c r="BN67" i="1"/>
  <c r="BP67" i="1"/>
  <c r="BR67" i="1"/>
  <c r="BT67" i="1"/>
  <c r="BU67" i="1"/>
  <c r="CG67" i="1"/>
  <c r="CK67" i="1"/>
  <c r="CO67" i="1"/>
  <c r="CS67" i="1"/>
  <c r="DD67" i="1"/>
  <c r="DF67" i="1" s="1"/>
  <c r="F68" i="1"/>
  <c r="BW68" i="1"/>
  <c r="G68" i="1"/>
  <c r="BX68" i="1" s="1"/>
  <c r="H68" i="1"/>
  <c r="BY68" i="1" s="1"/>
  <c r="I68" i="1"/>
  <c r="CA68" i="1" s="1"/>
  <c r="J68" i="1"/>
  <c r="BZ68" i="1"/>
  <c r="AM68" i="1"/>
  <c r="AO68" i="1"/>
  <c r="M69" i="10"/>
  <c r="AP68" i="1"/>
  <c r="AQ68" i="1"/>
  <c r="A68" i="1" s="1"/>
  <c r="A69" i="10"/>
  <c r="AR68" i="1"/>
  <c r="AS68" i="1"/>
  <c r="AT68" i="1"/>
  <c r="AV68" i="1"/>
  <c r="AW68" i="1"/>
  <c r="AX68" i="1"/>
  <c r="AY68" i="1"/>
  <c r="AZ68" i="1"/>
  <c r="BA68" i="1"/>
  <c r="BB68" i="1"/>
  <c r="BC68" i="1"/>
  <c r="BE68" i="1"/>
  <c r="BF68" i="1"/>
  <c r="BG68" i="1"/>
  <c r="BH68" i="1"/>
  <c r="BI68" i="1"/>
  <c r="BJ68" i="1"/>
  <c r="BK68" i="1"/>
  <c r="BN68" i="1"/>
  <c r="BP68" i="1"/>
  <c r="BR68" i="1"/>
  <c r="BT68" i="1"/>
  <c r="BU68" i="1"/>
  <c r="CG68" i="1"/>
  <c r="CK68" i="1"/>
  <c r="CO68" i="1"/>
  <c r="CS68" i="1"/>
  <c r="DD68" i="1"/>
  <c r="DF68" i="1" s="1"/>
  <c r="F69" i="1"/>
  <c r="BW69" i="1" s="1"/>
  <c r="G69" i="1"/>
  <c r="BX69" i="1"/>
  <c r="H69" i="1"/>
  <c r="BY69" i="1" s="1"/>
  <c r="I69" i="1"/>
  <c r="CA69" i="1" s="1"/>
  <c r="J69" i="1"/>
  <c r="BZ69" i="1" s="1"/>
  <c r="AM69" i="1"/>
  <c r="AO69" i="1"/>
  <c r="M68" i="10" s="1"/>
  <c r="AP69" i="1"/>
  <c r="AQ69" i="1"/>
  <c r="A69" i="1"/>
  <c r="A68" i="10" s="1"/>
  <c r="AR69" i="1"/>
  <c r="AS69" i="1"/>
  <c r="AT69" i="1"/>
  <c r="AV69" i="1"/>
  <c r="AW69" i="1"/>
  <c r="AX69" i="1"/>
  <c r="AY69" i="1"/>
  <c r="AZ69" i="1"/>
  <c r="BA69" i="1"/>
  <c r="BB69" i="1"/>
  <c r="BC69" i="1"/>
  <c r="BE69" i="1"/>
  <c r="BF69" i="1"/>
  <c r="BG69" i="1"/>
  <c r="BH69" i="1"/>
  <c r="BI69" i="1"/>
  <c r="BJ69" i="1"/>
  <c r="BK69" i="1"/>
  <c r="BN69" i="1"/>
  <c r="BP69" i="1"/>
  <c r="BR69" i="1"/>
  <c r="BU69" i="1"/>
  <c r="CG69" i="1"/>
  <c r="CK69" i="1"/>
  <c r="CO69" i="1"/>
  <c r="CS69" i="1"/>
  <c r="DD69" i="1"/>
  <c r="DE69" i="1" s="1"/>
  <c r="F70" i="1"/>
  <c r="BW70" i="1"/>
  <c r="G70" i="1"/>
  <c r="BX70" i="1" s="1"/>
  <c r="H70" i="1"/>
  <c r="BY70" i="1"/>
  <c r="I70" i="1"/>
  <c r="CA70" i="1" s="1"/>
  <c r="J70" i="1"/>
  <c r="BZ70" i="1"/>
  <c r="AM70" i="1"/>
  <c r="AO70" i="1"/>
  <c r="M70" i="10" s="1"/>
  <c r="AP70" i="1"/>
  <c r="AQ70" i="1"/>
  <c r="A70" i="1"/>
  <c r="A70" i="10" s="1"/>
  <c r="AR70" i="1"/>
  <c r="AS70" i="1"/>
  <c r="AT70" i="1"/>
  <c r="AV70" i="1"/>
  <c r="AW70" i="1"/>
  <c r="AX70" i="1"/>
  <c r="AY70" i="1"/>
  <c r="AZ70" i="1"/>
  <c r="BA70" i="1"/>
  <c r="BB70" i="1"/>
  <c r="BC70" i="1"/>
  <c r="BE70" i="1"/>
  <c r="BF70" i="1"/>
  <c r="BG70" i="1"/>
  <c r="BH70" i="1"/>
  <c r="BI70" i="1"/>
  <c r="BJ70" i="1"/>
  <c r="BK70" i="1"/>
  <c r="BN70" i="1"/>
  <c r="BP70" i="1"/>
  <c r="BR70" i="1"/>
  <c r="BU70" i="1"/>
  <c r="CG70" i="1"/>
  <c r="CK70" i="1"/>
  <c r="CO70" i="1"/>
  <c r="CS70" i="1"/>
  <c r="DD70" i="1"/>
  <c r="DE70" i="1" s="1"/>
  <c r="F71" i="1"/>
  <c r="BW71" i="1" s="1"/>
  <c r="G71" i="1"/>
  <c r="BX71" i="1" s="1"/>
  <c r="H71" i="1"/>
  <c r="BY71" i="1" s="1"/>
  <c r="I71" i="1"/>
  <c r="CA71" i="1" s="1"/>
  <c r="J71" i="1"/>
  <c r="BZ71" i="1"/>
  <c r="AM71" i="1"/>
  <c r="AO71" i="1"/>
  <c r="M71" i="10"/>
  <c r="AP71" i="1"/>
  <c r="AQ71" i="1"/>
  <c r="A71" i="1" s="1"/>
  <c r="A71" i="10" s="1"/>
  <c r="AR71" i="1"/>
  <c r="AS71" i="1" s="1"/>
  <c r="AT71" i="1"/>
  <c r="AV71" i="1"/>
  <c r="AW71" i="1"/>
  <c r="AX71" i="1"/>
  <c r="AY71" i="1"/>
  <c r="AZ71" i="1"/>
  <c r="BA71" i="1"/>
  <c r="BB71" i="1"/>
  <c r="BC71" i="1"/>
  <c r="BE71" i="1"/>
  <c r="BF71" i="1"/>
  <c r="BG71" i="1"/>
  <c r="BH71" i="1"/>
  <c r="BI71" i="1"/>
  <c r="BJ71" i="1"/>
  <c r="BK71" i="1" s="1"/>
  <c r="BN71" i="1"/>
  <c r="BP71" i="1"/>
  <c r="BR71" i="1"/>
  <c r="BU71" i="1"/>
  <c r="CG71" i="1"/>
  <c r="CK71" i="1"/>
  <c r="CO71" i="1"/>
  <c r="CS71" i="1"/>
  <c r="CW71" i="1"/>
  <c r="H71" i="10"/>
  <c r="DD71" i="1"/>
  <c r="DE71" i="1" s="1"/>
  <c r="F72" i="1"/>
  <c r="BW72" i="1"/>
  <c r="G72" i="1"/>
  <c r="BX72" i="1" s="1"/>
  <c r="H72" i="1"/>
  <c r="BY72" i="1"/>
  <c r="I72" i="1"/>
  <c r="CA72" i="1" s="1"/>
  <c r="J72" i="1"/>
  <c r="BZ72" i="1"/>
  <c r="AM72" i="1"/>
  <c r="AO72" i="1"/>
  <c r="M72" i="10" s="1"/>
  <c r="AP72" i="1"/>
  <c r="AQ72" i="1"/>
  <c r="A72" i="1"/>
  <c r="A72" i="10" s="1"/>
  <c r="AR72" i="1"/>
  <c r="AS72" i="1"/>
  <c r="AT72" i="1"/>
  <c r="AV72" i="1"/>
  <c r="AW72" i="1"/>
  <c r="AX72" i="1"/>
  <c r="AY72" i="1"/>
  <c r="AZ72" i="1"/>
  <c r="BA72" i="1"/>
  <c r="BB72" i="1"/>
  <c r="BC72" i="1"/>
  <c r="BE72" i="1"/>
  <c r="BF72" i="1"/>
  <c r="BG72" i="1"/>
  <c r="BH72" i="1"/>
  <c r="BI72" i="1"/>
  <c r="BJ72" i="1"/>
  <c r="BK72" i="1"/>
  <c r="BN72" i="1"/>
  <c r="BP72" i="1"/>
  <c r="BR72" i="1"/>
  <c r="BU72" i="1"/>
  <c r="CG72" i="1"/>
  <c r="CK72" i="1"/>
  <c r="CO72" i="1"/>
  <c r="CS72" i="1"/>
  <c r="DD72" i="1"/>
  <c r="DE72" i="1" s="1"/>
  <c r="F73" i="1"/>
  <c r="BW73" i="1" s="1"/>
  <c r="G73" i="1"/>
  <c r="BX73" i="1" s="1"/>
  <c r="H73" i="1"/>
  <c r="BY73" i="1"/>
  <c r="I73" i="1"/>
  <c r="CA73" i="1" s="1"/>
  <c r="J73" i="1"/>
  <c r="BZ73" i="1" s="1"/>
  <c r="AM73" i="1"/>
  <c r="AO73" i="1"/>
  <c r="M73" i="10"/>
  <c r="AP73" i="1"/>
  <c r="AQ73" i="1"/>
  <c r="A73" i="1" s="1"/>
  <c r="A73" i="10"/>
  <c r="AR73" i="1"/>
  <c r="AS73" i="1" s="1"/>
  <c r="AT73" i="1"/>
  <c r="AV73" i="1"/>
  <c r="AW73" i="1"/>
  <c r="AX73" i="1"/>
  <c r="AY73" i="1"/>
  <c r="AZ73" i="1"/>
  <c r="BA73" i="1"/>
  <c r="BB73" i="1"/>
  <c r="BC73" i="1"/>
  <c r="BE73" i="1"/>
  <c r="BF73" i="1"/>
  <c r="BG73" i="1"/>
  <c r="BH73" i="1"/>
  <c r="BI73" i="1"/>
  <c r="BJ73" i="1"/>
  <c r="BK73" i="1" s="1"/>
  <c r="BN73" i="1"/>
  <c r="BP73" i="1"/>
  <c r="BR73" i="1"/>
  <c r="BT73" i="1" s="1"/>
  <c r="BU73" i="1"/>
  <c r="CG73" i="1"/>
  <c r="CK73" i="1"/>
  <c r="CO73" i="1"/>
  <c r="CS73" i="1"/>
  <c r="DD73" i="1"/>
  <c r="F74" i="1"/>
  <c r="BW74" i="1" s="1"/>
  <c r="G74" i="1"/>
  <c r="BX74" i="1"/>
  <c r="H74" i="1"/>
  <c r="BY74" i="1" s="1"/>
  <c r="I74" i="1"/>
  <c r="CA74" i="1"/>
  <c r="J74" i="1"/>
  <c r="BZ74" i="1" s="1"/>
  <c r="AM74" i="1"/>
  <c r="AO74" i="1"/>
  <c r="M75" i="10" s="1"/>
  <c r="AP74" i="1"/>
  <c r="AQ74" i="1"/>
  <c r="A74" i="1"/>
  <c r="A75" i="10" s="1"/>
  <c r="AR74" i="1"/>
  <c r="AS74" i="1" s="1"/>
  <c r="AT74" i="1"/>
  <c r="AV74" i="1"/>
  <c r="AW74" i="1"/>
  <c r="AX74" i="1"/>
  <c r="AY74" i="1"/>
  <c r="AZ74" i="1"/>
  <c r="BA74" i="1"/>
  <c r="BB74" i="1"/>
  <c r="BC74" i="1"/>
  <c r="BE74" i="1"/>
  <c r="BF74" i="1"/>
  <c r="BG74" i="1"/>
  <c r="BH74" i="1"/>
  <c r="BI74" i="1"/>
  <c r="BJ74" i="1"/>
  <c r="BK74" i="1" s="1"/>
  <c r="BN74" i="1"/>
  <c r="BP74" i="1"/>
  <c r="BR74" i="1"/>
  <c r="BT74" i="1" s="1"/>
  <c r="BU74" i="1"/>
  <c r="CG74" i="1"/>
  <c r="CK74" i="1"/>
  <c r="CO74" i="1"/>
  <c r="CS74" i="1"/>
  <c r="DD74" i="1"/>
  <c r="DE74" i="1"/>
  <c r="F75" i="1"/>
  <c r="BW75" i="1"/>
  <c r="G75" i="1"/>
  <c r="BX75" i="1"/>
  <c r="H75" i="1"/>
  <c r="BY75" i="1"/>
  <c r="I75" i="1"/>
  <c r="CA75" i="1"/>
  <c r="J75" i="1"/>
  <c r="BZ75" i="1"/>
  <c r="AM75" i="1"/>
  <c r="AO75" i="1"/>
  <c r="M74" i="10" s="1"/>
  <c r="AP75" i="1"/>
  <c r="AQ75" i="1"/>
  <c r="A75" i="1" s="1"/>
  <c r="A74" i="10" s="1"/>
  <c r="AR75" i="1"/>
  <c r="AS75" i="1" s="1"/>
  <c r="AT75" i="1"/>
  <c r="AV75" i="1"/>
  <c r="AW75" i="1"/>
  <c r="AX75" i="1"/>
  <c r="AY75" i="1"/>
  <c r="AZ75" i="1"/>
  <c r="BA75" i="1"/>
  <c r="BB75" i="1"/>
  <c r="BC75" i="1"/>
  <c r="BE75" i="1"/>
  <c r="BF75" i="1"/>
  <c r="BG75" i="1"/>
  <c r="BH75" i="1"/>
  <c r="BI75" i="1"/>
  <c r="BJ75" i="1"/>
  <c r="BK75" i="1" s="1"/>
  <c r="BN75" i="1"/>
  <c r="BP75" i="1"/>
  <c r="BR75" i="1"/>
  <c r="BT75" i="1" s="1"/>
  <c r="BU75" i="1"/>
  <c r="CG75" i="1"/>
  <c r="CK75" i="1"/>
  <c r="CO75" i="1"/>
  <c r="CS75" i="1"/>
  <c r="CW75" i="1"/>
  <c r="DD75" i="1"/>
  <c r="DE75" i="1" s="1"/>
  <c r="F76" i="1"/>
  <c r="BW76" i="1" s="1"/>
  <c r="G76" i="1"/>
  <c r="BX76" i="1"/>
  <c r="H76" i="1"/>
  <c r="BY76" i="1" s="1"/>
  <c r="I76" i="1"/>
  <c r="CA76" i="1" s="1"/>
  <c r="J76" i="1"/>
  <c r="BZ76" i="1" s="1"/>
  <c r="AM76" i="1"/>
  <c r="AO76" i="1"/>
  <c r="AP76" i="1"/>
  <c r="AQ76" i="1"/>
  <c r="A76" i="1"/>
  <c r="A79" i="10" s="1"/>
  <c r="AR76" i="1"/>
  <c r="AS76" i="1" s="1"/>
  <c r="AT76" i="1"/>
  <c r="AV76" i="1"/>
  <c r="AW76" i="1"/>
  <c r="AX76" i="1"/>
  <c r="AY76" i="1"/>
  <c r="AZ76" i="1"/>
  <c r="BA76" i="1"/>
  <c r="BB76" i="1"/>
  <c r="BC76" i="1"/>
  <c r="BE76" i="1"/>
  <c r="BF76" i="1"/>
  <c r="BG76" i="1"/>
  <c r="BH76" i="1"/>
  <c r="BI76" i="1"/>
  <c r="BJ76" i="1"/>
  <c r="BK76" i="1" s="1"/>
  <c r="BN76" i="1"/>
  <c r="BP76" i="1"/>
  <c r="BR76" i="1"/>
  <c r="BT76" i="1" s="1"/>
  <c r="BU76" i="1"/>
  <c r="CG76" i="1"/>
  <c r="CK76" i="1"/>
  <c r="CO76" i="1"/>
  <c r="CS76" i="1"/>
  <c r="DD76" i="1"/>
  <c r="F77" i="1"/>
  <c r="BW77" i="1" s="1"/>
  <c r="G77" i="1"/>
  <c r="BX77" i="1" s="1"/>
  <c r="H77" i="1"/>
  <c r="BY77" i="1" s="1"/>
  <c r="I77" i="1"/>
  <c r="CA77" i="1"/>
  <c r="J77" i="1"/>
  <c r="BZ77" i="1" s="1"/>
  <c r="AM77" i="1"/>
  <c r="AO77" i="1"/>
  <c r="M77" i="10"/>
  <c r="AP77" i="1"/>
  <c r="AQ77" i="1"/>
  <c r="A77" i="1"/>
  <c r="A77" i="10"/>
  <c r="AR77" i="1"/>
  <c r="AS77" i="1"/>
  <c r="AT77" i="1"/>
  <c r="AV77" i="1"/>
  <c r="AW77" i="1"/>
  <c r="AX77" i="1"/>
  <c r="AY77" i="1"/>
  <c r="AZ77" i="1"/>
  <c r="BA77" i="1"/>
  <c r="BB77" i="1"/>
  <c r="BC77" i="1"/>
  <c r="BE77" i="1"/>
  <c r="BF77" i="1"/>
  <c r="BG77" i="1"/>
  <c r="BH77" i="1"/>
  <c r="BI77" i="1"/>
  <c r="BJ77" i="1"/>
  <c r="BK77" i="1"/>
  <c r="BN77" i="1"/>
  <c r="BP77" i="1"/>
  <c r="BR77" i="1"/>
  <c r="BT77" i="1"/>
  <c r="BU77" i="1"/>
  <c r="CG77" i="1"/>
  <c r="CK77" i="1"/>
  <c r="CO77" i="1"/>
  <c r="CS77" i="1"/>
  <c r="DD77" i="1"/>
  <c r="DF77" i="1" s="1"/>
  <c r="F78" i="1"/>
  <c r="BW78" i="1" s="1"/>
  <c r="G78" i="1"/>
  <c r="BX78" i="1" s="1"/>
  <c r="H78" i="1"/>
  <c r="BY78" i="1"/>
  <c r="I78" i="1"/>
  <c r="CA78" i="1" s="1"/>
  <c r="J78" i="1"/>
  <c r="BZ78" i="1" s="1"/>
  <c r="AM78" i="1"/>
  <c r="AO78" i="1"/>
  <c r="M78" i="10"/>
  <c r="P78" i="10"/>
  <c r="V78" i="10"/>
  <c r="AP78" i="1"/>
  <c r="AQ78" i="1"/>
  <c r="A78" i="1" s="1"/>
  <c r="A78" i="10" s="1"/>
  <c r="AR78" i="1"/>
  <c r="AS78" i="1"/>
  <c r="AT78" i="1"/>
  <c r="AV78" i="1"/>
  <c r="AW78" i="1"/>
  <c r="AX78" i="1"/>
  <c r="AY78" i="1"/>
  <c r="AZ78" i="1"/>
  <c r="BA78" i="1"/>
  <c r="BB78" i="1"/>
  <c r="BC78" i="1"/>
  <c r="BE78" i="1"/>
  <c r="BF78" i="1"/>
  <c r="BG78" i="1"/>
  <c r="BH78" i="1"/>
  <c r="BI78" i="1"/>
  <c r="BJ78" i="1"/>
  <c r="BK78" i="1"/>
  <c r="BN78" i="1"/>
  <c r="BP78" i="1"/>
  <c r="BR78" i="1"/>
  <c r="BU78" i="1"/>
  <c r="CG78" i="1"/>
  <c r="CK78" i="1"/>
  <c r="CO78" i="1"/>
  <c r="CS78" i="1"/>
  <c r="DD78" i="1"/>
  <c r="F79" i="1"/>
  <c r="BW79" i="1" s="1"/>
  <c r="G79" i="1"/>
  <c r="BX79" i="1"/>
  <c r="H79" i="1"/>
  <c r="BY79" i="1" s="1"/>
  <c r="I79" i="1"/>
  <c r="CA79" i="1" s="1"/>
  <c r="J79" i="1"/>
  <c r="BZ79" i="1" s="1"/>
  <c r="AM79" i="1"/>
  <c r="AO79" i="1"/>
  <c r="M76" i="10" s="1"/>
  <c r="AP79" i="1"/>
  <c r="AQ79" i="1"/>
  <c r="A79" i="1"/>
  <c r="A76" i="10" s="1"/>
  <c r="AR79" i="1"/>
  <c r="AS79" i="1"/>
  <c r="AT79" i="1"/>
  <c r="AV79" i="1"/>
  <c r="AW79" i="1"/>
  <c r="AX79" i="1"/>
  <c r="AY79" i="1"/>
  <c r="AZ79" i="1"/>
  <c r="BA79" i="1"/>
  <c r="BB79" i="1"/>
  <c r="BC79" i="1"/>
  <c r="BE79" i="1"/>
  <c r="BF79" i="1"/>
  <c r="BG79" i="1"/>
  <c r="BH79" i="1"/>
  <c r="BI79" i="1"/>
  <c r="BJ79" i="1"/>
  <c r="BK79" i="1"/>
  <c r="BN79" i="1"/>
  <c r="BP79" i="1"/>
  <c r="BR79" i="1"/>
  <c r="BU79" i="1"/>
  <c r="CG79" i="1"/>
  <c r="CK79" i="1"/>
  <c r="CO79" i="1"/>
  <c r="CS79" i="1"/>
  <c r="DD79" i="1"/>
  <c r="F80" i="1"/>
  <c r="BW80" i="1" s="1"/>
  <c r="G80" i="1"/>
  <c r="BX80" i="1"/>
  <c r="H80" i="1"/>
  <c r="BY80" i="1" s="1"/>
  <c r="I80" i="1"/>
  <c r="CA80" i="1"/>
  <c r="J80" i="1"/>
  <c r="BZ80" i="1" s="1"/>
  <c r="AM80" i="1"/>
  <c r="AO80" i="1"/>
  <c r="M80" i="10"/>
  <c r="AP80" i="1"/>
  <c r="AQ80" i="1"/>
  <c r="A80" i="1" s="1"/>
  <c r="A80" i="10"/>
  <c r="AR80" i="1"/>
  <c r="AS80" i="1"/>
  <c r="AT80" i="1"/>
  <c r="AV80" i="1"/>
  <c r="AW80" i="1"/>
  <c r="AX80" i="1"/>
  <c r="AY80" i="1"/>
  <c r="AZ80" i="1"/>
  <c r="BA80" i="1"/>
  <c r="BB80" i="1"/>
  <c r="BC80" i="1"/>
  <c r="BE80" i="1"/>
  <c r="BF80" i="1"/>
  <c r="BG80" i="1"/>
  <c r="BH80" i="1"/>
  <c r="BI80" i="1"/>
  <c r="BJ80" i="1"/>
  <c r="BK80" i="1"/>
  <c r="BN80" i="1"/>
  <c r="BP80" i="1"/>
  <c r="BR80" i="1"/>
  <c r="BU80" i="1"/>
  <c r="CG80" i="1"/>
  <c r="CK80" i="1"/>
  <c r="CO80" i="1"/>
  <c r="CS80" i="1"/>
  <c r="DD80" i="1"/>
  <c r="DF80" i="1"/>
  <c r="F81" i="1"/>
  <c r="BW81" i="1"/>
  <c r="G81" i="1"/>
  <c r="BX81" i="1"/>
  <c r="H81" i="1"/>
  <c r="BY81" i="1"/>
  <c r="I81" i="1"/>
  <c r="CA81" i="1"/>
  <c r="J81" i="1"/>
  <c r="BZ81" i="1"/>
  <c r="AM81" i="1"/>
  <c r="AO81" i="1"/>
  <c r="M81" i="10" s="1"/>
  <c r="AP81" i="1"/>
  <c r="AQ81" i="1"/>
  <c r="A81" i="1" s="1"/>
  <c r="A81" i="10" s="1"/>
  <c r="AR81" i="1"/>
  <c r="AS81" i="1"/>
  <c r="AT81" i="1"/>
  <c r="AV81" i="1"/>
  <c r="AW81" i="1"/>
  <c r="AX81" i="1"/>
  <c r="AY81" i="1"/>
  <c r="AZ81" i="1"/>
  <c r="BA81" i="1"/>
  <c r="BB81" i="1"/>
  <c r="BC81" i="1"/>
  <c r="BE81" i="1"/>
  <c r="BF81" i="1"/>
  <c r="BG81" i="1"/>
  <c r="BH81" i="1"/>
  <c r="BI81" i="1"/>
  <c r="BJ81" i="1"/>
  <c r="BK81" i="1"/>
  <c r="BN81" i="1"/>
  <c r="BP81" i="1"/>
  <c r="BR81" i="1"/>
  <c r="BT81" i="1"/>
  <c r="BU81" i="1"/>
  <c r="CG81" i="1"/>
  <c r="CK81" i="1"/>
  <c r="CO81" i="1"/>
  <c r="CS81" i="1"/>
  <c r="DD81" i="1"/>
  <c r="F82" i="1"/>
  <c r="BW82" i="1"/>
  <c r="G82" i="1"/>
  <c r="BX82" i="1" s="1"/>
  <c r="H82" i="1"/>
  <c r="BY82" i="1"/>
  <c r="I82" i="1"/>
  <c r="CA82" i="1" s="1"/>
  <c r="J82" i="1"/>
  <c r="BZ82" i="1" s="1"/>
  <c r="AM82" i="1"/>
  <c r="AO82" i="1"/>
  <c r="M83" i="10"/>
  <c r="AP82" i="1"/>
  <c r="AQ82" i="1"/>
  <c r="A82" i="1" s="1"/>
  <c r="A83" i="10" s="1"/>
  <c r="AR82" i="1"/>
  <c r="AS82" i="1" s="1"/>
  <c r="AT82" i="1"/>
  <c r="AV82" i="1"/>
  <c r="AW82" i="1"/>
  <c r="AX82" i="1"/>
  <c r="AY82" i="1"/>
  <c r="AZ82" i="1"/>
  <c r="BA82" i="1"/>
  <c r="BB82" i="1"/>
  <c r="BC82" i="1"/>
  <c r="BE82" i="1"/>
  <c r="BF82" i="1"/>
  <c r="BG82" i="1"/>
  <c r="BH82" i="1"/>
  <c r="BI82" i="1"/>
  <c r="BJ82" i="1"/>
  <c r="BK82" i="1" s="1"/>
  <c r="BN82" i="1"/>
  <c r="BP82" i="1"/>
  <c r="BR82" i="1"/>
  <c r="BU82" i="1"/>
  <c r="CG82" i="1"/>
  <c r="CK82" i="1"/>
  <c r="CO82" i="1"/>
  <c r="CS82" i="1"/>
  <c r="DD82" i="1"/>
  <c r="DF82" i="1"/>
  <c r="F83" i="1"/>
  <c r="BW83" i="1" s="1"/>
  <c r="G83" i="1"/>
  <c r="BX83" i="1"/>
  <c r="H83" i="1"/>
  <c r="BY83" i="1" s="1"/>
  <c r="I83" i="1"/>
  <c r="CA83" i="1"/>
  <c r="J83" i="1"/>
  <c r="BZ83" i="1" s="1"/>
  <c r="AM83" i="1"/>
  <c r="AO83" i="1"/>
  <c r="M82" i="10" s="1"/>
  <c r="AP83" i="1"/>
  <c r="AQ83" i="1"/>
  <c r="A83" i="1"/>
  <c r="A82" i="10" s="1"/>
  <c r="AR83" i="1"/>
  <c r="AS83" i="1" s="1"/>
  <c r="AT83" i="1"/>
  <c r="AV83" i="1"/>
  <c r="AW83" i="1"/>
  <c r="AX83" i="1"/>
  <c r="AY83" i="1"/>
  <c r="AZ83" i="1"/>
  <c r="BA83" i="1"/>
  <c r="BB83" i="1"/>
  <c r="BC83" i="1"/>
  <c r="BE83" i="1"/>
  <c r="BF83" i="1"/>
  <c r="BG83" i="1"/>
  <c r="BH83" i="1"/>
  <c r="BI83" i="1"/>
  <c r="BJ83" i="1"/>
  <c r="BK83" i="1" s="1"/>
  <c r="BN83" i="1"/>
  <c r="BP83" i="1"/>
  <c r="BR83" i="1"/>
  <c r="BT83" i="1" s="1"/>
  <c r="BU83" i="1"/>
  <c r="CG83" i="1"/>
  <c r="CK83" i="1"/>
  <c r="CO83" i="1"/>
  <c r="CS83" i="1"/>
  <c r="DD83" i="1"/>
  <c r="F84" i="1"/>
  <c r="BW84" i="1" s="1"/>
  <c r="G84" i="1"/>
  <c r="BX84" i="1" s="1"/>
  <c r="H84" i="1"/>
  <c r="BY84" i="1" s="1"/>
  <c r="I84" i="1"/>
  <c r="CA84" i="1"/>
  <c r="J84" i="1"/>
  <c r="BZ84" i="1" s="1"/>
  <c r="AM84" i="1"/>
  <c r="AO84" i="1"/>
  <c r="AP84" i="1"/>
  <c r="AQ84" i="1"/>
  <c r="A84" i="1"/>
  <c r="A84" i="10"/>
  <c r="AR84" i="1"/>
  <c r="AS84" i="1" s="1"/>
  <c r="AT84" i="1"/>
  <c r="AV84" i="1"/>
  <c r="AW84" i="1"/>
  <c r="AX84" i="1"/>
  <c r="AY84" i="1"/>
  <c r="AZ84" i="1"/>
  <c r="BA84" i="1"/>
  <c r="BB84" i="1"/>
  <c r="BC84" i="1"/>
  <c r="BE84" i="1"/>
  <c r="BF84" i="1"/>
  <c r="BG84" i="1"/>
  <c r="BH84" i="1"/>
  <c r="BI84" i="1"/>
  <c r="BJ84" i="1"/>
  <c r="BK84" i="1" s="1"/>
  <c r="BN84" i="1"/>
  <c r="BP84" i="1"/>
  <c r="BS84" i="1" s="1"/>
  <c r="BR84" i="1"/>
  <c r="BT84" i="1"/>
  <c r="BU84" i="1"/>
  <c r="CG84" i="1"/>
  <c r="CK84" i="1"/>
  <c r="CO84" i="1"/>
  <c r="CS84" i="1"/>
  <c r="DD84" i="1"/>
  <c r="DF84" i="1" s="1"/>
  <c r="F85" i="1"/>
  <c r="BW85" i="1"/>
  <c r="G85" i="1"/>
  <c r="BX85" i="1" s="1"/>
  <c r="H85" i="1"/>
  <c r="BY85" i="1" s="1"/>
  <c r="I85" i="1"/>
  <c r="CA85" i="1" s="1"/>
  <c r="J85" i="1"/>
  <c r="BZ85" i="1"/>
  <c r="AM85" i="1"/>
  <c r="AO85" i="1"/>
  <c r="M85" i="10"/>
  <c r="P85" i="10"/>
  <c r="AP85" i="1"/>
  <c r="AQ85" i="1"/>
  <c r="A85" i="1"/>
  <c r="A85" i="10"/>
  <c r="AR85" i="1"/>
  <c r="AS85" i="1" s="1"/>
  <c r="AT85" i="1"/>
  <c r="AV85" i="1"/>
  <c r="AW85" i="1"/>
  <c r="AX85" i="1"/>
  <c r="AY85" i="1"/>
  <c r="AZ85" i="1"/>
  <c r="BA85" i="1"/>
  <c r="BB85" i="1"/>
  <c r="BC85" i="1"/>
  <c r="BE85" i="1"/>
  <c r="BF85" i="1"/>
  <c r="BG85" i="1"/>
  <c r="BH85" i="1"/>
  <c r="BI85" i="1"/>
  <c r="BJ85" i="1"/>
  <c r="BK85" i="1" s="1"/>
  <c r="BN85" i="1"/>
  <c r="BP85" i="1"/>
  <c r="BR85" i="1"/>
  <c r="BU85" i="1"/>
  <c r="CG85" i="1"/>
  <c r="CK85" i="1"/>
  <c r="CO85" i="1"/>
  <c r="CS85" i="1"/>
  <c r="DD85" i="1"/>
  <c r="F86" i="1"/>
  <c r="BW86" i="1" s="1"/>
  <c r="G86" i="1"/>
  <c r="BX86" i="1"/>
  <c r="H86" i="1"/>
  <c r="BY86" i="1" s="1"/>
  <c r="I86" i="1"/>
  <c r="CA86" i="1"/>
  <c r="J86" i="1"/>
  <c r="BZ86" i="1" s="1"/>
  <c r="AM86" i="1"/>
  <c r="AO86" i="1"/>
  <c r="M86" i="10"/>
  <c r="AP86" i="1"/>
  <c r="AQ86" i="1"/>
  <c r="A86" i="1"/>
  <c r="A86" i="10"/>
  <c r="AR86" i="1"/>
  <c r="AS86" i="1" s="1"/>
  <c r="AT86" i="1"/>
  <c r="AV86" i="1"/>
  <c r="AW86" i="1"/>
  <c r="AX86" i="1"/>
  <c r="AY86" i="1"/>
  <c r="AZ86" i="1"/>
  <c r="BA86" i="1"/>
  <c r="BB86" i="1"/>
  <c r="BC86" i="1"/>
  <c r="BE86" i="1"/>
  <c r="BF86" i="1"/>
  <c r="BG86" i="1"/>
  <c r="BH86" i="1"/>
  <c r="BI86" i="1"/>
  <c r="BJ86" i="1"/>
  <c r="BK86" i="1" s="1"/>
  <c r="BN86" i="1"/>
  <c r="BP86" i="1"/>
  <c r="BR86" i="1"/>
  <c r="BU86" i="1"/>
  <c r="CG86" i="1"/>
  <c r="CK86" i="1"/>
  <c r="CO86" i="1"/>
  <c r="CS86" i="1"/>
  <c r="DD86" i="1"/>
  <c r="DE86" i="1"/>
  <c r="F87" i="1"/>
  <c r="BW87" i="1" s="1"/>
  <c r="G87" i="1"/>
  <c r="BX87" i="1" s="1"/>
  <c r="H87" i="1"/>
  <c r="BY87" i="1" s="1"/>
  <c r="I87" i="1"/>
  <c r="CA87" i="1"/>
  <c r="J87" i="1"/>
  <c r="BZ87" i="1" s="1"/>
  <c r="AM87" i="1"/>
  <c r="AO87" i="1"/>
  <c r="M87" i="10"/>
  <c r="AP87" i="1"/>
  <c r="AQ87" i="1"/>
  <c r="A87" i="1" s="1"/>
  <c r="A87" i="10" s="1"/>
  <c r="AR87" i="1"/>
  <c r="AS87" i="1"/>
  <c r="AT87" i="1"/>
  <c r="AV87" i="1"/>
  <c r="AW87" i="1"/>
  <c r="AX87" i="1"/>
  <c r="AY87" i="1"/>
  <c r="AZ87" i="1"/>
  <c r="BA87" i="1"/>
  <c r="BB87" i="1"/>
  <c r="BC87" i="1"/>
  <c r="BE87" i="1"/>
  <c r="BF87" i="1"/>
  <c r="BG87" i="1"/>
  <c r="BH87" i="1"/>
  <c r="BI87" i="1"/>
  <c r="BJ87" i="1"/>
  <c r="BK87" i="1"/>
  <c r="BN87" i="1"/>
  <c r="BP87" i="1"/>
  <c r="BR87" i="1"/>
  <c r="BT87" i="1"/>
  <c r="BU87" i="1"/>
  <c r="CG87" i="1"/>
  <c r="CK87" i="1"/>
  <c r="CO87" i="1"/>
  <c r="CS87" i="1"/>
  <c r="DD87" i="1"/>
  <c r="F88" i="1"/>
  <c r="BW88" i="1"/>
  <c r="G88" i="1"/>
  <c r="BX88" i="1"/>
  <c r="H88" i="1"/>
  <c r="BY88" i="1"/>
  <c r="I88" i="1"/>
  <c r="CA88" i="1"/>
  <c r="J88" i="1"/>
  <c r="BZ88" i="1"/>
  <c r="AM88" i="1"/>
  <c r="AO88" i="1"/>
  <c r="M88" i="10" s="1"/>
  <c r="AP88" i="1"/>
  <c r="AQ88" i="1"/>
  <c r="A88" i="1" s="1"/>
  <c r="A88" i="10" s="1"/>
  <c r="AR88" i="1"/>
  <c r="AS88" i="1" s="1"/>
  <c r="AT88" i="1"/>
  <c r="AV88" i="1"/>
  <c r="AW88" i="1"/>
  <c r="AX88" i="1"/>
  <c r="AY88" i="1"/>
  <c r="AZ88" i="1"/>
  <c r="BA88" i="1"/>
  <c r="BB88" i="1"/>
  <c r="BC88" i="1"/>
  <c r="BE88" i="1"/>
  <c r="BF88" i="1"/>
  <c r="BG88" i="1"/>
  <c r="BH88" i="1"/>
  <c r="BI88" i="1"/>
  <c r="BJ88" i="1"/>
  <c r="BK88" i="1" s="1"/>
  <c r="BN88" i="1"/>
  <c r="BP88" i="1"/>
  <c r="BR88" i="1"/>
  <c r="BU88" i="1"/>
  <c r="CG88" i="1"/>
  <c r="CK88" i="1"/>
  <c r="CO88" i="1"/>
  <c r="CS88" i="1"/>
  <c r="DD88" i="1"/>
  <c r="F89" i="1"/>
  <c r="BW89" i="1"/>
  <c r="G89" i="1"/>
  <c r="BX89" i="1"/>
  <c r="H89" i="1"/>
  <c r="BY89" i="1"/>
  <c r="I89" i="1"/>
  <c r="CA89" i="1"/>
  <c r="J89" i="1"/>
  <c r="BZ89" i="1"/>
  <c r="AM89" i="1"/>
  <c r="AO89" i="1"/>
  <c r="M89" i="10" s="1"/>
  <c r="AP89" i="1"/>
  <c r="AQ89" i="1"/>
  <c r="A89" i="1" s="1"/>
  <c r="A89" i="10" s="1"/>
  <c r="AR89" i="1"/>
  <c r="AS89" i="1" s="1"/>
  <c r="AT89" i="1"/>
  <c r="AV89" i="1"/>
  <c r="AW89" i="1"/>
  <c r="AX89" i="1"/>
  <c r="AY89" i="1"/>
  <c r="AZ89" i="1"/>
  <c r="BA89" i="1"/>
  <c r="BB89" i="1"/>
  <c r="BC89" i="1"/>
  <c r="BE89" i="1"/>
  <c r="BF89" i="1"/>
  <c r="BG89" i="1"/>
  <c r="BH89" i="1"/>
  <c r="BI89" i="1"/>
  <c r="BJ89" i="1"/>
  <c r="BK89" i="1" s="1"/>
  <c r="BN89" i="1"/>
  <c r="BP89" i="1"/>
  <c r="BR89" i="1"/>
  <c r="BU89" i="1"/>
  <c r="CG89" i="1"/>
  <c r="CK89" i="1"/>
  <c r="CO89" i="1"/>
  <c r="CS89" i="1"/>
  <c r="DD89" i="1"/>
  <c r="DF89" i="1" s="1"/>
  <c r="F90" i="1"/>
  <c r="BW90" i="1"/>
  <c r="G90" i="1"/>
  <c r="BX90" i="1" s="1"/>
  <c r="H90" i="1"/>
  <c r="BY90" i="1" s="1"/>
  <c r="I90" i="1"/>
  <c r="CA90" i="1" s="1"/>
  <c r="J90" i="1"/>
  <c r="BZ90" i="1"/>
  <c r="AM90" i="1"/>
  <c r="AO90" i="1"/>
  <c r="M90" i="10"/>
  <c r="AP90" i="1"/>
  <c r="AQ90" i="1"/>
  <c r="A90" i="1" s="1"/>
  <c r="A90" i="10"/>
  <c r="AR90" i="1"/>
  <c r="AS90" i="1"/>
  <c r="AT90" i="1"/>
  <c r="AV90" i="1"/>
  <c r="AW90" i="1"/>
  <c r="AX90" i="1"/>
  <c r="AY90" i="1"/>
  <c r="AZ90" i="1"/>
  <c r="BA90" i="1"/>
  <c r="BB90" i="1"/>
  <c r="BC90" i="1"/>
  <c r="BE90" i="1"/>
  <c r="BF90" i="1"/>
  <c r="BG90" i="1"/>
  <c r="BH90" i="1"/>
  <c r="BI90" i="1"/>
  <c r="BJ90" i="1"/>
  <c r="BK90" i="1"/>
  <c r="BN90" i="1"/>
  <c r="BP90" i="1"/>
  <c r="BR90" i="1"/>
  <c r="BU90" i="1"/>
  <c r="CG90" i="1"/>
  <c r="CK90" i="1"/>
  <c r="CO90" i="1"/>
  <c r="CS90" i="1"/>
  <c r="DD90" i="1"/>
  <c r="DF90" i="1"/>
  <c r="F91" i="1"/>
  <c r="BW91" i="1"/>
  <c r="G91" i="1"/>
  <c r="BX91" i="1"/>
  <c r="H91" i="1"/>
  <c r="BY91" i="1"/>
  <c r="I91" i="1"/>
  <c r="CA91" i="1"/>
  <c r="J91" i="1"/>
  <c r="BZ91" i="1"/>
  <c r="AM91" i="1"/>
  <c r="AO91" i="1"/>
  <c r="M91" i="10" s="1"/>
  <c r="AP91" i="1"/>
  <c r="AQ91" i="1"/>
  <c r="A91" i="1"/>
  <c r="A91" i="10" s="1"/>
  <c r="AR91" i="1"/>
  <c r="AS91" i="1" s="1"/>
  <c r="AT91" i="1"/>
  <c r="AV91" i="1"/>
  <c r="AW91" i="1"/>
  <c r="AX91" i="1"/>
  <c r="AY91" i="1"/>
  <c r="AZ91" i="1"/>
  <c r="BA91" i="1"/>
  <c r="BB91" i="1"/>
  <c r="BC91" i="1"/>
  <c r="BE91" i="1"/>
  <c r="BF91" i="1"/>
  <c r="BG91" i="1"/>
  <c r="BH91" i="1"/>
  <c r="BI91" i="1"/>
  <c r="BJ91" i="1"/>
  <c r="BK91" i="1" s="1"/>
  <c r="BN91" i="1"/>
  <c r="BP91" i="1"/>
  <c r="BR91" i="1"/>
  <c r="BT91" i="1" s="1"/>
  <c r="BU91" i="1"/>
  <c r="CG91" i="1"/>
  <c r="CK91" i="1"/>
  <c r="CO91" i="1"/>
  <c r="CS91" i="1"/>
  <c r="DD91" i="1"/>
  <c r="DF91" i="1" s="1"/>
  <c r="F92" i="1"/>
  <c r="BW92" i="1"/>
  <c r="G92" i="1"/>
  <c r="BX92" i="1" s="1"/>
  <c r="H92" i="1"/>
  <c r="BY92" i="1"/>
  <c r="I92" i="1"/>
  <c r="CA92" i="1" s="1"/>
  <c r="J92" i="1"/>
  <c r="BZ92" i="1"/>
  <c r="AM92" i="1"/>
  <c r="AO92" i="1"/>
  <c r="M93" i="10" s="1"/>
  <c r="AP92" i="1"/>
  <c r="AQ92" i="1"/>
  <c r="A92" i="1"/>
  <c r="A93" i="10" s="1"/>
  <c r="AR92" i="1"/>
  <c r="AS92" i="1"/>
  <c r="AT92" i="1"/>
  <c r="AV92" i="1"/>
  <c r="AW92" i="1"/>
  <c r="AX92" i="1"/>
  <c r="AY92" i="1"/>
  <c r="AZ92" i="1"/>
  <c r="BA92" i="1"/>
  <c r="BB92" i="1"/>
  <c r="BC92" i="1"/>
  <c r="BE92" i="1"/>
  <c r="BF92" i="1"/>
  <c r="BG92" i="1"/>
  <c r="BH92" i="1"/>
  <c r="BI92" i="1"/>
  <c r="BJ92" i="1"/>
  <c r="BK92" i="1"/>
  <c r="BN92" i="1"/>
  <c r="BP92" i="1"/>
  <c r="BR92" i="1"/>
  <c r="BT92" i="1"/>
  <c r="BU92" i="1"/>
  <c r="CG92" i="1"/>
  <c r="CK92" i="1"/>
  <c r="CO92" i="1"/>
  <c r="CS92" i="1"/>
  <c r="DD92" i="1"/>
  <c r="DE92" i="1"/>
  <c r="F93" i="1"/>
  <c r="BW93" i="1" s="1"/>
  <c r="G93" i="1"/>
  <c r="BX93" i="1"/>
  <c r="H93" i="1"/>
  <c r="BY93" i="1" s="1"/>
  <c r="I93" i="1"/>
  <c r="CA93" i="1"/>
  <c r="J93" i="1"/>
  <c r="BZ93" i="1" s="1"/>
  <c r="AM93" i="1"/>
  <c r="AO93" i="1"/>
  <c r="M92" i="10" s="1"/>
  <c r="AP93" i="1"/>
  <c r="AQ93" i="1"/>
  <c r="A93" i="1"/>
  <c r="A92" i="10" s="1"/>
  <c r="AR93" i="1"/>
  <c r="AS93" i="1" s="1"/>
  <c r="AT93" i="1"/>
  <c r="AV93" i="1"/>
  <c r="AW93" i="1"/>
  <c r="AX93" i="1"/>
  <c r="AY93" i="1"/>
  <c r="AZ93" i="1"/>
  <c r="BA93" i="1"/>
  <c r="BB93" i="1"/>
  <c r="BC93" i="1"/>
  <c r="BE93" i="1"/>
  <c r="BF93" i="1"/>
  <c r="BG93" i="1"/>
  <c r="BH93" i="1"/>
  <c r="BI93" i="1"/>
  <c r="BJ93" i="1"/>
  <c r="BK93" i="1" s="1"/>
  <c r="BN93" i="1"/>
  <c r="BP93" i="1"/>
  <c r="BR93" i="1"/>
  <c r="BU93" i="1"/>
  <c r="CG93" i="1"/>
  <c r="CK93" i="1"/>
  <c r="CO93" i="1"/>
  <c r="CS93" i="1"/>
  <c r="DD93" i="1"/>
  <c r="DF93" i="1"/>
  <c r="F94" i="1"/>
  <c r="BW94" i="1" s="1"/>
  <c r="G94" i="1"/>
  <c r="BX94" i="1" s="1"/>
  <c r="H94" i="1"/>
  <c r="BY94" i="1" s="1"/>
  <c r="I94" i="1"/>
  <c r="CA94" i="1"/>
  <c r="J94" i="1"/>
  <c r="BZ94" i="1" s="1"/>
  <c r="AM94" i="1"/>
  <c r="AO94" i="1"/>
  <c r="M94" i="10"/>
  <c r="AP94" i="1"/>
  <c r="AQ94" i="1"/>
  <c r="A94" i="1" s="1"/>
  <c r="A94" i="10"/>
  <c r="AR94" i="1"/>
  <c r="AS94" i="1"/>
  <c r="AT94" i="1"/>
  <c r="AV94" i="1"/>
  <c r="AW94" i="1"/>
  <c r="AX94" i="1"/>
  <c r="AY94" i="1"/>
  <c r="AZ94" i="1"/>
  <c r="BA94" i="1"/>
  <c r="BB94" i="1"/>
  <c r="BC94" i="1"/>
  <c r="BE94" i="1"/>
  <c r="BF94" i="1"/>
  <c r="BG94" i="1"/>
  <c r="BH94" i="1"/>
  <c r="BI94" i="1"/>
  <c r="BJ94" i="1"/>
  <c r="BK94" i="1"/>
  <c r="BN94" i="1"/>
  <c r="BP94" i="1"/>
  <c r="BR94" i="1"/>
  <c r="BU94" i="1"/>
  <c r="CG94" i="1"/>
  <c r="CK94" i="1"/>
  <c r="CO94" i="1"/>
  <c r="CS94" i="1"/>
  <c r="DD94" i="1"/>
  <c r="F95" i="1"/>
  <c r="BW95" i="1" s="1"/>
  <c r="G95" i="1"/>
  <c r="BX95" i="1"/>
  <c r="H95" i="1"/>
  <c r="BY95" i="1" s="1"/>
  <c r="I95" i="1"/>
  <c r="CA95" i="1" s="1"/>
  <c r="J95" i="1"/>
  <c r="BZ95" i="1" s="1"/>
  <c r="AM95" i="1"/>
  <c r="AO95" i="1"/>
  <c r="M95" i="10" s="1"/>
  <c r="AP95" i="1"/>
  <c r="AQ95" i="1"/>
  <c r="A95" i="1"/>
  <c r="A95" i="10" s="1"/>
  <c r="AR95" i="1"/>
  <c r="AS95" i="1"/>
  <c r="AT95" i="1"/>
  <c r="AV95" i="1"/>
  <c r="AW95" i="1"/>
  <c r="AX95" i="1"/>
  <c r="AY95" i="1"/>
  <c r="AZ95" i="1"/>
  <c r="BA95" i="1"/>
  <c r="BB95" i="1"/>
  <c r="BC95" i="1"/>
  <c r="BE95" i="1"/>
  <c r="BF95" i="1"/>
  <c r="BG95" i="1"/>
  <c r="BH95" i="1"/>
  <c r="BI95" i="1"/>
  <c r="BJ95" i="1"/>
  <c r="BK95" i="1"/>
  <c r="BN95" i="1"/>
  <c r="BP95" i="1"/>
  <c r="BR95" i="1"/>
  <c r="BT95" i="1"/>
  <c r="BU95" i="1"/>
  <c r="CG95" i="1"/>
  <c r="CK95" i="1"/>
  <c r="CO95" i="1"/>
  <c r="CS95" i="1"/>
  <c r="DD95" i="1"/>
  <c r="DF95" i="1" s="1"/>
  <c r="F96" i="1"/>
  <c r="BW96" i="1" s="1"/>
  <c r="G96" i="1"/>
  <c r="BX96" i="1" s="1"/>
  <c r="H96" i="1"/>
  <c r="BY96" i="1"/>
  <c r="I96" i="1"/>
  <c r="CA96" i="1" s="1"/>
  <c r="J96" i="1"/>
  <c r="BZ96" i="1" s="1"/>
  <c r="AM96" i="1"/>
  <c r="AO96" i="1"/>
  <c r="M96" i="10"/>
  <c r="AP96" i="1"/>
  <c r="AQ96" i="1"/>
  <c r="A96" i="1" s="1"/>
  <c r="A96" i="10" s="1"/>
  <c r="AR96" i="1"/>
  <c r="AS96" i="1" s="1"/>
  <c r="AT96" i="1"/>
  <c r="AV96" i="1"/>
  <c r="AW96" i="1"/>
  <c r="AX96" i="1"/>
  <c r="AY96" i="1"/>
  <c r="AZ96" i="1"/>
  <c r="BA96" i="1"/>
  <c r="BB96" i="1"/>
  <c r="BC96" i="1"/>
  <c r="BE96" i="1"/>
  <c r="BF96" i="1"/>
  <c r="BG96" i="1"/>
  <c r="BH96" i="1"/>
  <c r="BI96" i="1"/>
  <c r="BJ96" i="1"/>
  <c r="BK96" i="1" s="1"/>
  <c r="BN96" i="1"/>
  <c r="BP96" i="1"/>
  <c r="BR96" i="1"/>
  <c r="BU96" i="1"/>
  <c r="CG96" i="1"/>
  <c r="CK96" i="1"/>
  <c r="CO96" i="1"/>
  <c r="CS96" i="1"/>
  <c r="DD96" i="1"/>
  <c r="DF96" i="1"/>
  <c r="F97" i="1"/>
  <c r="BW97" i="1" s="1"/>
  <c r="G97" i="1"/>
  <c r="BX97" i="1"/>
  <c r="H97" i="1"/>
  <c r="BY97" i="1" s="1"/>
  <c r="I97" i="1"/>
  <c r="CA97" i="1"/>
  <c r="J97" i="1"/>
  <c r="BZ97" i="1" s="1"/>
  <c r="AM97" i="1"/>
  <c r="AO97" i="1"/>
  <c r="M97" i="10"/>
  <c r="AP97" i="1"/>
  <c r="AQ97" i="1"/>
  <c r="A97" i="1"/>
  <c r="A97" i="10"/>
  <c r="AR97" i="1"/>
  <c r="AS97" i="1" s="1"/>
  <c r="AT97" i="1"/>
  <c r="AV97" i="1"/>
  <c r="AW97" i="1"/>
  <c r="AX97" i="1"/>
  <c r="AY97" i="1"/>
  <c r="AZ97" i="1"/>
  <c r="BA97" i="1"/>
  <c r="BB97" i="1"/>
  <c r="BC97" i="1"/>
  <c r="BE97" i="1"/>
  <c r="BF97" i="1"/>
  <c r="BG97" i="1"/>
  <c r="BH97" i="1"/>
  <c r="BI97" i="1"/>
  <c r="BJ97" i="1"/>
  <c r="BK97" i="1" s="1"/>
  <c r="BN97" i="1"/>
  <c r="BP97" i="1"/>
  <c r="BR97" i="1"/>
  <c r="BU97" i="1"/>
  <c r="CG97" i="1"/>
  <c r="CK97" i="1"/>
  <c r="CO97" i="1"/>
  <c r="CS97" i="1"/>
  <c r="DD97" i="1"/>
  <c r="F98" i="1"/>
  <c r="BW98" i="1" s="1"/>
  <c r="G98" i="1"/>
  <c r="BX98" i="1"/>
  <c r="H98" i="1"/>
  <c r="BY98" i="1" s="1"/>
  <c r="I98" i="1"/>
  <c r="CA98" i="1"/>
  <c r="J98" i="1"/>
  <c r="BZ98" i="1" s="1"/>
  <c r="AM98" i="1"/>
  <c r="AO98" i="1"/>
  <c r="M98" i="10"/>
  <c r="AP98" i="1"/>
  <c r="AQ98" i="1"/>
  <c r="A98" i="1"/>
  <c r="A98" i="10"/>
  <c r="AR98" i="1"/>
  <c r="AS98" i="1" s="1"/>
  <c r="AT98" i="1"/>
  <c r="AV98" i="1"/>
  <c r="AW98" i="1"/>
  <c r="AX98" i="1"/>
  <c r="AY98" i="1"/>
  <c r="AZ98" i="1"/>
  <c r="BA98" i="1"/>
  <c r="BB98" i="1"/>
  <c r="BC98" i="1"/>
  <c r="BE98" i="1"/>
  <c r="BF98" i="1"/>
  <c r="BG98" i="1"/>
  <c r="BH98" i="1"/>
  <c r="BI98" i="1"/>
  <c r="BJ98" i="1"/>
  <c r="BK98" i="1" s="1"/>
  <c r="BN98" i="1"/>
  <c r="BP98" i="1"/>
  <c r="BR98" i="1"/>
  <c r="BT98" i="1" s="1"/>
  <c r="BU98" i="1"/>
  <c r="CG98" i="1"/>
  <c r="CK98" i="1"/>
  <c r="CO98" i="1"/>
  <c r="CS98" i="1"/>
  <c r="DD98" i="1"/>
  <c r="DE98" i="1"/>
  <c r="F99" i="1"/>
  <c r="BW99" i="1"/>
  <c r="G99" i="1"/>
  <c r="BX99" i="1"/>
  <c r="H99" i="1"/>
  <c r="BY99" i="1"/>
  <c r="I99" i="1"/>
  <c r="CA99" i="1"/>
  <c r="J99" i="1"/>
  <c r="BZ99" i="1"/>
  <c r="AM99" i="1"/>
  <c r="AO99" i="1"/>
  <c r="M99" i="10" s="1"/>
  <c r="AP99" i="1"/>
  <c r="AQ99" i="1"/>
  <c r="A99" i="1" s="1"/>
  <c r="A99" i="10" s="1"/>
  <c r="AR99" i="1"/>
  <c r="AS99" i="1" s="1"/>
  <c r="AT99" i="1"/>
  <c r="AV99" i="1"/>
  <c r="AW99" i="1"/>
  <c r="AX99" i="1"/>
  <c r="AY99" i="1"/>
  <c r="AZ99" i="1"/>
  <c r="BA99" i="1"/>
  <c r="BB99" i="1"/>
  <c r="BC99" i="1"/>
  <c r="BE99" i="1"/>
  <c r="BF99" i="1"/>
  <c r="BG99" i="1"/>
  <c r="BH99" i="1"/>
  <c r="BI99" i="1"/>
  <c r="BJ99" i="1"/>
  <c r="BK99" i="1" s="1"/>
  <c r="BN99" i="1"/>
  <c r="BP99" i="1"/>
  <c r="BR99" i="1"/>
  <c r="BU99" i="1"/>
  <c r="CG99" i="1"/>
  <c r="CK99" i="1"/>
  <c r="CO99" i="1"/>
  <c r="CS99" i="1"/>
  <c r="DD99" i="1"/>
  <c r="F100" i="1"/>
  <c r="BW100" i="1"/>
  <c r="G100" i="1"/>
  <c r="BX100" i="1"/>
  <c r="H100" i="1"/>
  <c r="BY100" i="1"/>
  <c r="I100" i="1"/>
  <c r="CA100" i="1"/>
  <c r="J100" i="1"/>
  <c r="BZ100" i="1"/>
  <c r="AM100" i="1"/>
  <c r="AO100" i="1"/>
  <c r="M100" i="10" s="1"/>
  <c r="AP100" i="1"/>
  <c r="AQ100" i="1"/>
  <c r="A100" i="1" s="1"/>
  <c r="A100" i="10" s="1"/>
  <c r="AR100" i="1"/>
  <c r="AS100" i="1" s="1"/>
  <c r="AT100" i="1"/>
  <c r="AV100" i="1"/>
  <c r="AW100" i="1"/>
  <c r="AX100" i="1"/>
  <c r="AY100" i="1"/>
  <c r="AZ100" i="1"/>
  <c r="BA100" i="1"/>
  <c r="BB100" i="1"/>
  <c r="BC100" i="1"/>
  <c r="BE100" i="1"/>
  <c r="BF100" i="1"/>
  <c r="BG100" i="1"/>
  <c r="BH100" i="1"/>
  <c r="BI100" i="1"/>
  <c r="BJ100" i="1"/>
  <c r="BK100" i="1" s="1"/>
  <c r="BN100" i="1"/>
  <c r="BP100" i="1"/>
  <c r="BR100" i="1"/>
  <c r="BT100" i="1" s="1"/>
  <c r="BU100" i="1"/>
  <c r="CG100" i="1"/>
  <c r="CK100" i="1"/>
  <c r="CO100" i="1"/>
  <c r="CS100" i="1"/>
  <c r="DD100" i="1"/>
  <c r="DF100" i="1"/>
  <c r="F101" i="1"/>
  <c r="BW101" i="1"/>
  <c r="G101" i="1"/>
  <c r="BX101" i="1"/>
  <c r="H101" i="1"/>
  <c r="BY101" i="1"/>
  <c r="I101" i="1"/>
  <c r="CA101" i="1"/>
  <c r="J101" i="1"/>
  <c r="BZ101" i="1"/>
  <c r="AM101" i="1"/>
  <c r="AO101" i="1"/>
  <c r="M101" i="10" s="1"/>
  <c r="AP101" i="1"/>
  <c r="AQ101" i="1"/>
  <c r="A101" i="1"/>
  <c r="A101" i="10" s="1"/>
  <c r="AR101" i="1"/>
  <c r="AS101" i="1" s="1"/>
  <c r="AT101" i="1"/>
  <c r="AV101" i="1"/>
  <c r="AW101" i="1"/>
  <c r="AX101" i="1"/>
  <c r="AY101" i="1"/>
  <c r="AZ101" i="1"/>
  <c r="BA101" i="1"/>
  <c r="BB101" i="1"/>
  <c r="BC101" i="1"/>
  <c r="BE101" i="1"/>
  <c r="BF101" i="1"/>
  <c r="BG101" i="1"/>
  <c r="BH101" i="1"/>
  <c r="BI101" i="1"/>
  <c r="BJ101" i="1"/>
  <c r="BK101" i="1" s="1"/>
  <c r="BN101" i="1"/>
  <c r="BP101" i="1"/>
  <c r="BR101" i="1"/>
  <c r="BU101" i="1"/>
  <c r="CG101" i="1"/>
  <c r="CK101" i="1"/>
  <c r="CO101" i="1"/>
  <c r="CS101" i="1"/>
  <c r="DD101" i="1"/>
  <c r="DE101" i="1" s="1"/>
  <c r="F102" i="1"/>
  <c r="BW102" i="1" s="1"/>
  <c r="G102" i="1"/>
  <c r="BX102" i="1"/>
  <c r="H102" i="1"/>
  <c r="BY102" i="1" s="1"/>
  <c r="I102" i="1"/>
  <c r="CA102" i="1" s="1"/>
  <c r="J102" i="1"/>
  <c r="BZ102" i="1" s="1"/>
  <c r="AM102" i="1"/>
  <c r="AO102" i="1"/>
  <c r="M102" i="10" s="1"/>
  <c r="AP102" i="1"/>
  <c r="AQ102" i="1"/>
  <c r="A102" i="1"/>
  <c r="A102" i="10" s="1"/>
  <c r="AR102" i="1"/>
  <c r="AS102" i="1"/>
  <c r="AT102" i="1"/>
  <c r="AV102" i="1"/>
  <c r="AW102" i="1"/>
  <c r="AX102" i="1"/>
  <c r="AY102" i="1"/>
  <c r="AZ102" i="1"/>
  <c r="BA102" i="1"/>
  <c r="BB102" i="1"/>
  <c r="BC102" i="1"/>
  <c r="BE102" i="1"/>
  <c r="BF102" i="1"/>
  <c r="BG102" i="1"/>
  <c r="BH102" i="1"/>
  <c r="BI102" i="1"/>
  <c r="BJ102" i="1"/>
  <c r="BK102" i="1"/>
  <c r="BN102" i="1"/>
  <c r="BP102" i="1"/>
  <c r="BR102" i="1"/>
  <c r="BT102" i="1"/>
  <c r="BU102" i="1"/>
  <c r="CG102" i="1"/>
  <c r="CK102" i="1"/>
  <c r="CO102" i="1"/>
  <c r="CS102" i="1"/>
  <c r="DD102" i="1"/>
  <c r="F103" i="1"/>
  <c r="BW103" i="1"/>
  <c r="G103" i="1"/>
  <c r="BX103" i="1" s="1"/>
  <c r="H103" i="1"/>
  <c r="BY103" i="1"/>
  <c r="I103" i="1"/>
  <c r="CA103" i="1" s="1"/>
  <c r="J103" i="1"/>
  <c r="BZ103" i="1"/>
  <c r="AM103" i="1"/>
  <c r="AO103" i="1"/>
  <c r="M103" i="10" s="1"/>
  <c r="P103" i="10"/>
  <c r="AP103" i="1"/>
  <c r="AQ103" i="1"/>
  <c r="A103" i="1" s="1"/>
  <c r="A103" i="10" s="1"/>
  <c r="AR103" i="1"/>
  <c r="AS103" i="1" s="1"/>
  <c r="AT103" i="1"/>
  <c r="AV103" i="1"/>
  <c r="AW103" i="1"/>
  <c r="AX103" i="1"/>
  <c r="AY103" i="1"/>
  <c r="AZ103" i="1"/>
  <c r="BA103" i="1"/>
  <c r="BB103" i="1"/>
  <c r="BC103" i="1"/>
  <c r="BE103" i="1"/>
  <c r="BF103" i="1"/>
  <c r="BG103" i="1"/>
  <c r="BH103" i="1"/>
  <c r="BI103" i="1"/>
  <c r="BJ103" i="1"/>
  <c r="BK103" i="1" s="1"/>
  <c r="BN103" i="1"/>
  <c r="BP103" i="1"/>
  <c r="BR103" i="1"/>
  <c r="BT103" i="1" s="1"/>
  <c r="BU103" i="1"/>
  <c r="CG103" i="1"/>
  <c r="CK103" i="1"/>
  <c r="CO103" i="1"/>
  <c r="CS103" i="1"/>
  <c r="DD103" i="1"/>
  <c r="DF103" i="1"/>
  <c r="F104" i="1"/>
  <c r="BW104" i="1" s="1"/>
  <c r="G104" i="1"/>
  <c r="BX104" i="1" s="1"/>
  <c r="H104" i="1"/>
  <c r="BY104" i="1" s="1"/>
  <c r="I104" i="1"/>
  <c r="CA104" i="1"/>
  <c r="J104" i="1"/>
  <c r="BZ104" i="1" s="1"/>
  <c r="AM104" i="1"/>
  <c r="AO104" i="1"/>
  <c r="M104" i="10"/>
  <c r="AP104" i="1"/>
  <c r="AQ104" i="1"/>
  <c r="A104" i="1" s="1"/>
  <c r="A104" i="10" s="1"/>
  <c r="AR104" i="1"/>
  <c r="AS104" i="1"/>
  <c r="AT104" i="1"/>
  <c r="AV104" i="1"/>
  <c r="AW104" i="1"/>
  <c r="AX104" i="1"/>
  <c r="AY104" i="1"/>
  <c r="AZ104" i="1"/>
  <c r="BA104" i="1"/>
  <c r="BB104" i="1"/>
  <c r="BC104" i="1"/>
  <c r="BE104" i="1"/>
  <c r="BF104" i="1"/>
  <c r="BG104" i="1"/>
  <c r="BH104" i="1"/>
  <c r="BI104" i="1"/>
  <c r="BJ104" i="1"/>
  <c r="BK104" i="1"/>
  <c r="BN104" i="1"/>
  <c r="BP104" i="1"/>
  <c r="BR104" i="1"/>
  <c r="BT104" i="1"/>
  <c r="BU104" i="1"/>
  <c r="CG104" i="1"/>
  <c r="CK104" i="1"/>
  <c r="CO104" i="1"/>
  <c r="CS104" i="1"/>
  <c r="DD104" i="1"/>
  <c r="DE104" i="1" s="1"/>
  <c r="F105" i="1"/>
  <c r="BW105" i="1"/>
  <c r="G105" i="1"/>
  <c r="BX105" i="1" s="1"/>
  <c r="H105" i="1"/>
  <c r="BY105" i="1" s="1"/>
  <c r="I105" i="1"/>
  <c r="CA105" i="1" s="1"/>
  <c r="J105" i="1"/>
  <c r="BZ105" i="1"/>
  <c r="AM105" i="1"/>
  <c r="AO105" i="1"/>
  <c r="M106" i="10"/>
  <c r="AP105" i="1"/>
  <c r="AQ105" i="1"/>
  <c r="A105" i="1" s="1"/>
  <c r="A106" i="10"/>
  <c r="AR105" i="1"/>
  <c r="AS105" i="1"/>
  <c r="AT105" i="1"/>
  <c r="AV105" i="1"/>
  <c r="AW105" i="1"/>
  <c r="AX105" i="1"/>
  <c r="AY105" i="1"/>
  <c r="AZ105" i="1"/>
  <c r="BA105" i="1"/>
  <c r="BB105" i="1"/>
  <c r="BC105" i="1"/>
  <c r="BE105" i="1"/>
  <c r="BF105" i="1"/>
  <c r="BG105" i="1"/>
  <c r="BH105" i="1"/>
  <c r="BI105" i="1"/>
  <c r="BJ105" i="1"/>
  <c r="BK105" i="1"/>
  <c r="BS105" i="1"/>
  <c r="BT105" i="1"/>
  <c r="BU105" i="1"/>
  <c r="CG105" i="1"/>
  <c r="CK105" i="1"/>
  <c r="CO105" i="1"/>
  <c r="CS105" i="1"/>
  <c r="DD105" i="1"/>
  <c r="F106" i="1"/>
  <c r="BW106" i="1"/>
  <c r="G106" i="1"/>
  <c r="BX106" i="1"/>
  <c r="H106" i="1"/>
  <c r="BY106" i="1"/>
  <c r="I106" i="1"/>
  <c r="CA106" i="1"/>
  <c r="J106" i="1"/>
  <c r="BZ106" i="1"/>
  <c r="AM106" i="1"/>
  <c r="AO106" i="1"/>
  <c r="M107" i="10" s="1"/>
  <c r="AP106" i="1"/>
  <c r="AQ106" i="1"/>
  <c r="A106" i="1" s="1"/>
  <c r="A107" i="10" s="1"/>
  <c r="AR106" i="1"/>
  <c r="AS106" i="1" s="1"/>
  <c r="AT106" i="1"/>
  <c r="AV106" i="1"/>
  <c r="AW106" i="1"/>
  <c r="AX106" i="1"/>
  <c r="AY106" i="1"/>
  <c r="AZ106" i="1"/>
  <c r="BA106" i="1"/>
  <c r="BB106" i="1"/>
  <c r="BC106" i="1"/>
  <c r="BE106" i="1"/>
  <c r="BF106" i="1"/>
  <c r="BG106" i="1"/>
  <c r="BH106" i="1"/>
  <c r="BI106" i="1"/>
  <c r="BJ106" i="1"/>
  <c r="BK106" i="1" s="1"/>
  <c r="BN106" i="1"/>
  <c r="BP106" i="1"/>
  <c r="BR106" i="1"/>
  <c r="BU106" i="1"/>
  <c r="CG106" i="1"/>
  <c r="CK106" i="1"/>
  <c r="CO106" i="1"/>
  <c r="CS106" i="1"/>
  <c r="DD106" i="1"/>
  <c r="F107" i="1"/>
  <c r="BW107" i="1"/>
  <c r="G107" i="1"/>
  <c r="BX107" i="1"/>
  <c r="H107" i="1"/>
  <c r="BY107" i="1"/>
  <c r="I107" i="1"/>
  <c r="CA107" i="1"/>
  <c r="J107" i="1"/>
  <c r="BZ107" i="1"/>
  <c r="AM107" i="1"/>
  <c r="AO107" i="1"/>
  <c r="M105" i="10" s="1"/>
  <c r="AP107" i="1"/>
  <c r="AQ107" i="1"/>
  <c r="A107" i="1" s="1"/>
  <c r="A105" i="10" s="1"/>
  <c r="AR107" i="1"/>
  <c r="AS107" i="1" s="1"/>
  <c r="AT107" i="1"/>
  <c r="AV107" i="1"/>
  <c r="AW107" i="1"/>
  <c r="AX107" i="1"/>
  <c r="AY107" i="1"/>
  <c r="AZ107" i="1"/>
  <c r="BA107" i="1"/>
  <c r="BB107" i="1"/>
  <c r="BC107" i="1"/>
  <c r="BE107" i="1"/>
  <c r="BF107" i="1"/>
  <c r="BG107" i="1"/>
  <c r="BH107" i="1"/>
  <c r="BI107" i="1"/>
  <c r="BJ107" i="1"/>
  <c r="BK107" i="1" s="1"/>
  <c r="BN107" i="1"/>
  <c r="BP107" i="1"/>
  <c r="BR107" i="1"/>
  <c r="BT107" i="1" s="1"/>
  <c r="BU107" i="1"/>
  <c r="CG107" i="1"/>
  <c r="CK107" i="1"/>
  <c r="CO107" i="1"/>
  <c r="CS107" i="1"/>
  <c r="DD107" i="1"/>
  <c r="DF107" i="1"/>
  <c r="F108" i="1"/>
  <c r="BW108" i="1"/>
  <c r="G108" i="1"/>
  <c r="BX108" i="1"/>
  <c r="H108" i="1"/>
  <c r="BY108" i="1"/>
  <c r="I108" i="1"/>
  <c r="CA108" i="1"/>
  <c r="J108" i="1"/>
  <c r="BZ108" i="1"/>
  <c r="AM108" i="1"/>
  <c r="AO108" i="1"/>
  <c r="AP108" i="1"/>
  <c r="AQ108" i="1"/>
  <c r="A108" i="1" s="1"/>
  <c r="A109" i="10" s="1"/>
  <c r="AR108" i="1"/>
  <c r="AS108" i="1" s="1"/>
  <c r="AT108" i="1"/>
  <c r="AV108" i="1"/>
  <c r="AW108" i="1"/>
  <c r="AX108" i="1"/>
  <c r="AY108" i="1"/>
  <c r="AZ108" i="1"/>
  <c r="BA108" i="1"/>
  <c r="BB108" i="1"/>
  <c r="BC108" i="1"/>
  <c r="BE108" i="1"/>
  <c r="BF108" i="1"/>
  <c r="BG108" i="1"/>
  <c r="BH108" i="1"/>
  <c r="BI108" i="1"/>
  <c r="BJ108" i="1"/>
  <c r="BK108" i="1" s="1"/>
  <c r="BN108" i="1"/>
  <c r="BP108" i="1"/>
  <c r="BR108" i="1"/>
  <c r="BT108" i="1" s="1"/>
  <c r="BU108" i="1"/>
  <c r="CG108" i="1"/>
  <c r="CK108" i="1"/>
  <c r="CO108" i="1"/>
  <c r="CS108" i="1"/>
  <c r="DD108" i="1"/>
  <c r="DF108" i="1"/>
  <c r="F109" i="1"/>
  <c r="BW109" i="1" s="1"/>
  <c r="G109" i="1"/>
  <c r="BX109" i="1" s="1"/>
  <c r="H109" i="1"/>
  <c r="BY109" i="1" s="1"/>
  <c r="I109" i="1"/>
  <c r="CA109" i="1"/>
  <c r="J109" i="1"/>
  <c r="BZ109" i="1" s="1"/>
  <c r="AM109" i="1"/>
  <c r="AO109" i="1"/>
  <c r="M108" i="10"/>
  <c r="AP109" i="1"/>
  <c r="AQ109" i="1"/>
  <c r="A109" i="1" s="1"/>
  <c r="A108" i="10" s="1"/>
  <c r="AR109" i="1"/>
  <c r="AS109" i="1"/>
  <c r="AT109" i="1"/>
  <c r="AV109" i="1"/>
  <c r="AW109" i="1"/>
  <c r="AX109" i="1"/>
  <c r="AY109" i="1"/>
  <c r="AZ109" i="1"/>
  <c r="BA109" i="1"/>
  <c r="BB109" i="1"/>
  <c r="BC109" i="1"/>
  <c r="BE109" i="1"/>
  <c r="BF109" i="1"/>
  <c r="BG109" i="1"/>
  <c r="BH109" i="1"/>
  <c r="BI109" i="1"/>
  <c r="BJ109" i="1"/>
  <c r="BK109" i="1"/>
  <c r="BS109" i="1"/>
  <c r="BT109" i="1"/>
  <c r="BU109" i="1"/>
  <c r="CG109" i="1"/>
  <c r="CK109" i="1"/>
  <c r="CO109" i="1"/>
  <c r="CS109" i="1"/>
  <c r="DD109" i="1"/>
  <c r="DE109" i="1" s="1"/>
  <c r="F110" i="1"/>
  <c r="BW110" i="1" s="1"/>
  <c r="G110" i="1"/>
  <c r="BX110" i="1"/>
  <c r="H110" i="1"/>
  <c r="BY110" i="1" s="1"/>
  <c r="I110" i="1"/>
  <c r="CA110" i="1" s="1"/>
  <c r="J110" i="1"/>
  <c r="BZ110" i="1" s="1"/>
  <c r="AM110" i="1"/>
  <c r="AO110" i="1"/>
  <c r="M112" i="10" s="1"/>
  <c r="AP110" i="1"/>
  <c r="AQ110" i="1"/>
  <c r="A110" i="1"/>
  <c r="A112" i="10" s="1"/>
  <c r="AR110" i="1"/>
  <c r="AS110" i="1"/>
  <c r="AT110" i="1"/>
  <c r="AV110" i="1"/>
  <c r="AW110" i="1"/>
  <c r="AX110" i="1"/>
  <c r="AY110" i="1"/>
  <c r="AZ110" i="1"/>
  <c r="BA110" i="1"/>
  <c r="BB110" i="1"/>
  <c r="BC110" i="1"/>
  <c r="BE110" i="1"/>
  <c r="BF110" i="1"/>
  <c r="BG110" i="1"/>
  <c r="BH110" i="1"/>
  <c r="BI110" i="1"/>
  <c r="BJ110" i="1"/>
  <c r="BK110" i="1"/>
  <c r="BN110" i="1"/>
  <c r="BP110" i="1"/>
  <c r="BR110" i="1"/>
  <c r="BT110" i="1"/>
  <c r="BU110" i="1"/>
  <c r="CG110" i="1"/>
  <c r="CK110" i="1"/>
  <c r="CO110" i="1"/>
  <c r="CT110" i="1" s="1"/>
  <c r="L112" i="10" s="1"/>
  <c r="CS110" i="1"/>
  <c r="DD110" i="1"/>
  <c r="DE110" i="1" s="1"/>
  <c r="F111" i="1"/>
  <c r="BW111" i="1"/>
  <c r="G111" i="1"/>
  <c r="BX111" i="1" s="1"/>
  <c r="H111" i="1"/>
  <c r="BY111" i="1"/>
  <c r="I111" i="1"/>
  <c r="CA111" i="1" s="1"/>
  <c r="J111" i="1"/>
  <c r="BZ111" i="1" s="1"/>
  <c r="AM111" i="1"/>
  <c r="AO111" i="1"/>
  <c r="M113" i="10"/>
  <c r="O113" i="10" s="1"/>
  <c r="AP111" i="1"/>
  <c r="AQ111" i="1"/>
  <c r="A111" i="1" s="1"/>
  <c r="A113" i="10" s="1"/>
  <c r="AR111" i="1"/>
  <c r="AS111" i="1" s="1"/>
  <c r="AT111" i="1"/>
  <c r="AV111" i="1"/>
  <c r="AW111" i="1"/>
  <c r="AX111" i="1"/>
  <c r="AY111" i="1"/>
  <c r="AZ111" i="1"/>
  <c r="BA111" i="1"/>
  <c r="BB111" i="1"/>
  <c r="BC111" i="1"/>
  <c r="BE111" i="1"/>
  <c r="BF111" i="1"/>
  <c r="BG111" i="1"/>
  <c r="BH111" i="1"/>
  <c r="BI111" i="1"/>
  <c r="BJ111" i="1"/>
  <c r="BK111" i="1" s="1"/>
  <c r="BN111" i="1"/>
  <c r="BP111" i="1"/>
  <c r="BR111" i="1"/>
  <c r="BU111" i="1"/>
  <c r="CG111" i="1"/>
  <c r="CK111" i="1"/>
  <c r="CO111" i="1"/>
  <c r="CS111" i="1"/>
  <c r="DD111" i="1"/>
  <c r="F112" i="1"/>
  <c r="BW112" i="1"/>
  <c r="G112" i="1"/>
  <c r="BX112" i="1" s="1"/>
  <c r="H112" i="1"/>
  <c r="BY112" i="1" s="1"/>
  <c r="I112" i="1"/>
  <c r="CA112" i="1" s="1"/>
  <c r="J112" i="1"/>
  <c r="BZ112" i="1"/>
  <c r="AM112" i="1"/>
  <c r="AO112" i="1"/>
  <c r="M111" i="10"/>
  <c r="AP112" i="1"/>
  <c r="AQ112" i="1"/>
  <c r="A112" i="1" s="1"/>
  <c r="A111" i="10"/>
  <c r="AR112" i="1"/>
  <c r="AS112" i="1"/>
  <c r="AT112" i="1"/>
  <c r="AV112" i="1"/>
  <c r="AW112" i="1"/>
  <c r="AX112" i="1"/>
  <c r="AY112" i="1"/>
  <c r="AZ112" i="1"/>
  <c r="BA112" i="1"/>
  <c r="BB112" i="1"/>
  <c r="BC112" i="1"/>
  <c r="BE112" i="1"/>
  <c r="BF112" i="1"/>
  <c r="BG112" i="1"/>
  <c r="BH112" i="1"/>
  <c r="BI112" i="1"/>
  <c r="BJ112" i="1"/>
  <c r="BK112" i="1"/>
  <c r="BN112" i="1"/>
  <c r="BP112" i="1"/>
  <c r="BR112" i="1"/>
  <c r="BT112" i="1"/>
  <c r="BU112" i="1"/>
  <c r="CG112" i="1"/>
  <c r="CK112" i="1"/>
  <c r="CO112" i="1"/>
  <c r="CS112" i="1"/>
  <c r="DD112" i="1"/>
  <c r="DF112" i="1" s="1"/>
  <c r="F113" i="1"/>
  <c r="BW113" i="1" s="1"/>
  <c r="G113" i="1"/>
  <c r="BX113" i="1" s="1"/>
  <c r="H113" i="1"/>
  <c r="BY113" i="1" s="1"/>
  <c r="I113" i="1"/>
  <c r="CA113" i="1"/>
  <c r="J113" i="1"/>
  <c r="BZ113" i="1" s="1"/>
  <c r="AM113" i="1"/>
  <c r="AO113" i="1"/>
  <c r="M110" i="10"/>
  <c r="AP113" i="1"/>
  <c r="AQ113" i="1"/>
  <c r="A113" i="1"/>
  <c r="A110" i="10"/>
  <c r="AR113" i="1"/>
  <c r="AS113" i="1"/>
  <c r="AT113" i="1"/>
  <c r="AV113" i="1"/>
  <c r="AW113" i="1"/>
  <c r="AX113" i="1"/>
  <c r="AY113" i="1"/>
  <c r="AZ113" i="1"/>
  <c r="BA113" i="1"/>
  <c r="BB113" i="1"/>
  <c r="BC113" i="1"/>
  <c r="BE113" i="1"/>
  <c r="BF113" i="1"/>
  <c r="BG113" i="1"/>
  <c r="BH113" i="1"/>
  <c r="BI113" i="1"/>
  <c r="BJ113" i="1"/>
  <c r="BK113" i="1"/>
  <c r="BN113" i="1"/>
  <c r="BP113" i="1"/>
  <c r="BR113" i="1"/>
  <c r="BT113" i="1"/>
  <c r="BU113" i="1"/>
  <c r="CG113" i="1"/>
  <c r="CK113" i="1"/>
  <c r="CO113" i="1"/>
  <c r="CS113" i="1"/>
  <c r="DD113" i="1"/>
  <c r="F114" i="1"/>
  <c r="BW114" i="1"/>
  <c r="G114" i="1"/>
  <c r="BX114" i="1"/>
  <c r="H114" i="1"/>
  <c r="BY114" i="1"/>
  <c r="I114" i="1"/>
  <c r="CA114" i="1"/>
  <c r="J114" i="1"/>
  <c r="BZ114" i="1"/>
  <c r="AM114" i="1"/>
  <c r="AO114" i="1"/>
  <c r="M114" i="10" s="1"/>
  <c r="AP114" i="1"/>
  <c r="AQ114" i="1"/>
  <c r="A114" i="1"/>
  <c r="A114" i="10" s="1"/>
  <c r="AR114" i="1"/>
  <c r="AS114" i="1" s="1"/>
  <c r="AT114" i="1"/>
  <c r="AV114" i="1"/>
  <c r="AW114" i="1"/>
  <c r="AX114" i="1"/>
  <c r="AY114" i="1"/>
  <c r="AZ114" i="1"/>
  <c r="BA114" i="1"/>
  <c r="BB114" i="1"/>
  <c r="BC114" i="1"/>
  <c r="BE114" i="1"/>
  <c r="BF114" i="1"/>
  <c r="BG114" i="1"/>
  <c r="BH114" i="1"/>
  <c r="BI114" i="1"/>
  <c r="BJ114" i="1"/>
  <c r="BK114" i="1" s="1"/>
  <c r="BN114" i="1"/>
  <c r="BP114" i="1"/>
  <c r="BR114" i="1"/>
  <c r="BU114" i="1"/>
  <c r="CG114" i="1"/>
  <c r="CK114" i="1"/>
  <c r="CO114" i="1"/>
  <c r="CS114" i="1"/>
  <c r="DD114" i="1"/>
  <c r="DF114" i="1" s="1"/>
  <c r="F115" i="1"/>
  <c r="BW115" i="1"/>
  <c r="G115" i="1"/>
  <c r="BX115" i="1" s="1"/>
  <c r="H115" i="1"/>
  <c r="BY115" i="1"/>
  <c r="I115" i="1"/>
  <c r="CA115" i="1" s="1"/>
  <c r="J115" i="1"/>
  <c r="BZ115" i="1" s="1"/>
  <c r="AM115" i="1"/>
  <c r="AO115" i="1"/>
  <c r="AP115" i="1"/>
  <c r="AQ115" i="1"/>
  <c r="A115" i="1"/>
  <c r="A115" i="10" s="1"/>
  <c r="AR115" i="1"/>
  <c r="AS115" i="1"/>
  <c r="AT115" i="1"/>
  <c r="AV115" i="1"/>
  <c r="AW115" i="1"/>
  <c r="AX115" i="1"/>
  <c r="AY115" i="1"/>
  <c r="AZ115" i="1"/>
  <c r="BA115" i="1"/>
  <c r="BB115" i="1"/>
  <c r="BC115" i="1"/>
  <c r="BE115" i="1"/>
  <c r="BF115" i="1"/>
  <c r="BG115" i="1"/>
  <c r="BH115" i="1"/>
  <c r="BI115" i="1"/>
  <c r="BJ115" i="1"/>
  <c r="BK115" i="1"/>
  <c r="BN115" i="1"/>
  <c r="BP115" i="1"/>
  <c r="BR115" i="1"/>
  <c r="BT115" i="1"/>
  <c r="BU115" i="1"/>
  <c r="CG115" i="1"/>
  <c r="CK115" i="1"/>
  <c r="CO115" i="1"/>
  <c r="CS115" i="1"/>
  <c r="DD115" i="1"/>
  <c r="DE115" i="1"/>
  <c r="F116" i="1"/>
  <c r="BW116" i="1" s="1"/>
  <c r="G116" i="1"/>
  <c r="BX116" i="1"/>
  <c r="H116" i="1"/>
  <c r="BY116" i="1" s="1"/>
  <c r="I116" i="1"/>
  <c r="CA116" i="1"/>
  <c r="J116" i="1"/>
  <c r="BZ116" i="1" s="1"/>
  <c r="AM116" i="1"/>
  <c r="AO116" i="1"/>
  <c r="M117" i="10" s="1"/>
  <c r="AP116" i="1"/>
  <c r="AQ116" i="1"/>
  <c r="A116" i="1"/>
  <c r="A117" i="10" s="1"/>
  <c r="AR116" i="1"/>
  <c r="AS116" i="1" s="1"/>
  <c r="AT116" i="1"/>
  <c r="AV116" i="1"/>
  <c r="AW116" i="1"/>
  <c r="AX116" i="1"/>
  <c r="AY116" i="1"/>
  <c r="AZ116" i="1"/>
  <c r="BA116" i="1"/>
  <c r="BB116" i="1"/>
  <c r="BC116" i="1"/>
  <c r="BE116" i="1"/>
  <c r="BF116" i="1"/>
  <c r="BG116" i="1"/>
  <c r="BH116" i="1"/>
  <c r="BI116" i="1"/>
  <c r="BJ116" i="1"/>
  <c r="BK116" i="1" s="1"/>
  <c r="BN116" i="1"/>
  <c r="BP116" i="1"/>
  <c r="BR116" i="1"/>
  <c r="BU116" i="1"/>
  <c r="CG116" i="1"/>
  <c r="CK116" i="1"/>
  <c r="CO116" i="1"/>
  <c r="CS116" i="1"/>
  <c r="DD116" i="1"/>
  <c r="F117" i="1"/>
  <c r="BW117" i="1"/>
  <c r="G117" i="1"/>
  <c r="BX117" i="1"/>
  <c r="H117" i="1"/>
  <c r="BY117" i="1"/>
  <c r="I117" i="1"/>
  <c r="CA117" i="1"/>
  <c r="J117" i="1"/>
  <c r="BZ117" i="1"/>
  <c r="AM117" i="1"/>
  <c r="AO117" i="1"/>
  <c r="M116" i="10"/>
  <c r="AP117" i="1"/>
  <c r="AQ117" i="1"/>
  <c r="A117" i="1"/>
  <c r="A116" i="10"/>
  <c r="AR117" i="1"/>
  <c r="AS117" i="1" s="1"/>
  <c r="AT117" i="1"/>
  <c r="AV117" i="1"/>
  <c r="AW117" i="1"/>
  <c r="AX117" i="1"/>
  <c r="AY117" i="1"/>
  <c r="AZ117" i="1"/>
  <c r="BA117" i="1"/>
  <c r="BB117" i="1"/>
  <c r="BC117" i="1"/>
  <c r="BE117" i="1"/>
  <c r="BF117" i="1"/>
  <c r="BG117" i="1"/>
  <c r="BH117" i="1"/>
  <c r="BI117" i="1"/>
  <c r="BJ117" i="1"/>
  <c r="BK117" i="1" s="1"/>
  <c r="BN117" i="1"/>
  <c r="BP117" i="1"/>
  <c r="BR117" i="1"/>
  <c r="BU117" i="1"/>
  <c r="CG117" i="1"/>
  <c r="CK117" i="1"/>
  <c r="CO117" i="1"/>
  <c r="CS117" i="1"/>
  <c r="DD117" i="1"/>
  <c r="DE117" i="1" s="1"/>
  <c r="F118" i="1"/>
  <c r="BW118" i="1" s="1"/>
  <c r="G118" i="1"/>
  <c r="BX118" i="1"/>
  <c r="H118" i="1"/>
  <c r="BY118" i="1" s="1"/>
  <c r="I118" i="1"/>
  <c r="CA118" i="1"/>
  <c r="J118" i="1"/>
  <c r="BZ118" i="1" s="1"/>
  <c r="AM118" i="1"/>
  <c r="AO118" i="1"/>
  <c r="M118" i="10"/>
  <c r="AP118" i="1"/>
  <c r="AQ118" i="1"/>
  <c r="A118" i="1" s="1"/>
  <c r="A118" i="10"/>
  <c r="AR118" i="1"/>
  <c r="AS118" i="1"/>
  <c r="AT118" i="1"/>
  <c r="AV118" i="1"/>
  <c r="AW118" i="1"/>
  <c r="AX118" i="1"/>
  <c r="AY118" i="1"/>
  <c r="AZ118" i="1"/>
  <c r="BA118" i="1"/>
  <c r="BB118" i="1"/>
  <c r="BC118" i="1"/>
  <c r="BE118" i="1"/>
  <c r="BF118" i="1"/>
  <c r="BG118" i="1"/>
  <c r="BH118" i="1"/>
  <c r="BI118" i="1"/>
  <c r="BJ118" i="1"/>
  <c r="BK118" i="1"/>
  <c r="BN118" i="1"/>
  <c r="BP118" i="1"/>
  <c r="BR118" i="1"/>
  <c r="BT118" i="1"/>
  <c r="BU118" i="1"/>
  <c r="CG118" i="1"/>
  <c r="CK118" i="1"/>
  <c r="CO118" i="1"/>
  <c r="CT118" i="1" s="1"/>
  <c r="CS118" i="1"/>
  <c r="DD118" i="1"/>
  <c r="F119" i="1"/>
  <c r="BW119" i="1"/>
  <c r="G119" i="1"/>
  <c r="BX119" i="1"/>
  <c r="H119" i="1"/>
  <c r="BY119" i="1"/>
  <c r="I119" i="1"/>
  <c r="CA119" i="1"/>
  <c r="J119" i="1"/>
  <c r="BZ119" i="1"/>
  <c r="AM119" i="1"/>
  <c r="AO119" i="1"/>
  <c r="M119" i="10" s="1"/>
  <c r="AP119" i="1"/>
  <c r="AQ119" i="1"/>
  <c r="A119" i="1"/>
  <c r="A119" i="10" s="1"/>
  <c r="AR119" i="1"/>
  <c r="AS119" i="1" s="1"/>
  <c r="AT119" i="1"/>
  <c r="AV119" i="1"/>
  <c r="AW119" i="1"/>
  <c r="AX119" i="1"/>
  <c r="AY119" i="1"/>
  <c r="AZ119" i="1"/>
  <c r="BA119" i="1"/>
  <c r="BB119" i="1"/>
  <c r="BC119" i="1"/>
  <c r="BE119" i="1"/>
  <c r="BF119" i="1"/>
  <c r="BG119" i="1"/>
  <c r="BH119" i="1"/>
  <c r="BI119" i="1"/>
  <c r="BJ119" i="1"/>
  <c r="BK119" i="1" s="1"/>
  <c r="BN119" i="1"/>
  <c r="BP119" i="1"/>
  <c r="BR119" i="1"/>
  <c r="BU119" i="1"/>
  <c r="CG119" i="1"/>
  <c r="CK119" i="1"/>
  <c r="CO119" i="1"/>
  <c r="CS119" i="1"/>
  <c r="DD119" i="1"/>
  <c r="F120" i="1"/>
  <c r="BW120" i="1"/>
  <c r="G120" i="1"/>
  <c r="BX120" i="1"/>
  <c r="H120" i="1"/>
  <c r="BY120" i="1"/>
  <c r="I120" i="1"/>
  <c r="CA120" i="1"/>
  <c r="J120" i="1"/>
  <c r="BZ120" i="1"/>
  <c r="AM120" i="1"/>
  <c r="AO120" i="1"/>
  <c r="M120" i="10" s="1"/>
  <c r="AP120" i="1"/>
  <c r="AQ120" i="1"/>
  <c r="A120" i="1"/>
  <c r="A120" i="10" s="1"/>
  <c r="AR120" i="1"/>
  <c r="AS120" i="1" s="1"/>
  <c r="AT120" i="1"/>
  <c r="AV120" i="1"/>
  <c r="AW120" i="1"/>
  <c r="AX120" i="1"/>
  <c r="AY120" i="1"/>
  <c r="AZ120" i="1"/>
  <c r="BA120" i="1"/>
  <c r="BB120" i="1"/>
  <c r="BC120" i="1"/>
  <c r="BE120" i="1"/>
  <c r="BF120" i="1"/>
  <c r="BG120" i="1"/>
  <c r="BH120" i="1"/>
  <c r="BI120" i="1"/>
  <c r="BJ120" i="1"/>
  <c r="BK120" i="1" s="1"/>
  <c r="BN120" i="1"/>
  <c r="BP120" i="1"/>
  <c r="BR120" i="1"/>
  <c r="BU120" i="1"/>
  <c r="CG120" i="1"/>
  <c r="CK120" i="1"/>
  <c r="CO120" i="1"/>
  <c r="CS120" i="1"/>
  <c r="DD120" i="1"/>
  <c r="DE120" i="1" s="1"/>
  <c r="F121" i="1"/>
  <c r="BW121" i="1"/>
  <c r="G121" i="1"/>
  <c r="BX121" i="1" s="1"/>
  <c r="H121" i="1"/>
  <c r="BY121" i="1"/>
  <c r="I121" i="1"/>
  <c r="CA121" i="1" s="1"/>
  <c r="J121" i="1"/>
  <c r="BZ121" i="1"/>
  <c r="AM121" i="1"/>
  <c r="AO121" i="1"/>
  <c r="M121" i="10" s="1"/>
  <c r="AP121" i="1"/>
  <c r="AQ121" i="1"/>
  <c r="A121" i="1"/>
  <c r="A121" i="10" s="1"/>
  <c r="AR121" i="1"/>
  <c r="AS121" i="1"/>
  <c r="AT121" i="1"/>
  <c r="AV121" i="1"/>
  <c r="AW121" i="1"/>
  <c r="AX121" i="1"/>
  <c r="AY121" i="1"/>
  <c r="AZ121" i="1"/>
  <c r="BA121" i="1"/>
  <c r="BB121" i="1"/>
  <c r="BC121" i="1"/>
  <c r="BE121" i="1"/>
  <c r="BF121" i="1"/>
  <c r="BG121" i="1"/>
  <c r="BH121" i="1"/>
  <c r="BI121" i="1"/>
  <c r="BJ121" i="1"/>
  <c r="BK121" i="1"/>
  <c r="BN121" i="1"/>
  <c r="BP121" i="1"/>
  <c r="BR121" i="1"/>
  <c r="BU121" i="1"/>
  <c r="CG121" i="1"/>
  <c r="CK121" i="1"/>
  <c r="CO121" i="1"/>
  <c r="CS121" i="1"/>
  <c r="DD121" i="1"/>
  <c r="F122" i="1"/>
  <c r="BW122" i="1"/>
  <c r="G122" i="1"/>
  <c r="BX122" i="1" s="1"/>
  <c r="H122" i="1"/>
  <c r="BY122" i="1"/>
  <c r="I122" i="1"/>
  <c r="CA122" i="1" s="1"/>
  <c r="J122" i="1"/>
  <c r="BZ122" i="1"/>
  <c r="AM122" i="1"/>
  <c r="AO122" i="1"/>
  <c r="M122" i="10" s="1"/>
  <c r="AP122" i="1"/>
  <c r="AQ122" i="1"/>
  <c r="A122" i="1"/>
  <c r="A122" i="10" s="1"/>
  <c r="AR122" i="1"/>
  <c r="AS122" i="1"/>
  <c r="AT122" i="1"/>
  <c r="AV122" i="1"/>
  <c r="AW122" i="1"/>
  <c r="AX122" i="1"/>
  <c r="AY122" i="1"/>
  <c r="AZ122" i="1"/>
  <c r="BA122" i="1"/>
  <c r="BB122" i="1"/>
  <c r="BC122" i="1"/>
  <c r="BE122" i="1"/>
  <c r="BF122" i="1"/>
  <c r="BG122" i="1"/>
  <c r="BH122" i="1"/>
  <c r="BI122" i="1"/>
  <c r="BJ122" i="1"/>
  <c r="BK122" i="1"/>
  <c r="BN122" i="1"/>
  <c r="BP122" i="1"/>
  <c r="BR122" i="1"/>
  <c r="BU122" i="1"/>
  <c r="CG122" i="1"/>
  <c r="CK122" i="1"/>
  <c r="CO122" i="1"/>
  <c r="CS122" i="1"/>
  <c r="DD122" i="1"/>
  <c r="F123" i="1"/>
  <c r="BW123" i="1"/>
  <c r="G123" i="1"/>
  <c r="BX123" i="1" s="1"/>
  <c r="H123" i="1"/>
  <c r="BY123" i="1"/>
  <c r="I123" i="1"/>
  <c r="CA123" i="1" s="1"/>
  <c r="J123" i="1"/>
  <c r="BZ123" i="1"/>
  <c r="AM123" i="1"/>
  <c r="AO123" i="1"/>
  <c r="M123" i="10" s="1"/>
  <c r="AP123" i="1"/>
  <c r="AQ123" i="1"/>
  <c r="A123" i="1"/>
  <c r="A123" i="10" s="1"/>
  <c r="AR123" i="1"/>
  <c r="AS123" i="1"/>
  <c r="AT123" i="1"/>
  <c r="AV123" i="1"/>
  <c r="AW123" i="1"/>
  <c r="AX123" i="1"/>
  <c r="AY123" i="1"/>
  <c r="AZ123" i="1"/>
  <c r="BA123" i="1"/>
  <c r="BB123" i="1"/>
  <c r="BC123" i="1"/>
  <c r="BE123" i="1"/>
  <c r="BF123" i="1"/>
  <c r="BG123" i="1"/>
  <c r="BH123" i="1"/>
  <c r="BI123" i="1"/>
  <c r="BJ123" i="1"/>
  <c r="BK123" i="1"/>
  <c r="BN123" i="1"/>
  <c r="BO123" i="1"/>
  <c r="BP123" i="1"/>
  <c r="BR123" i="1"/>
  <c r="BT123" i="1" s="1"/>
  <c r="BU123" i="1"/>
  <c r="CG123" i="1"/>
  <c r="CK123" i="1"/>
  <c r="CT123" i="1" s="1"/>
  <c r="CV123" i="1" s="1"/>
  <c r="CW123" i="1" s="1"/>
  <c r="H123" i="10" s="1"/>
  <c r="CO123" i="1"/>
  <c r="CS123" i="1"/>
  <c r="DD123" i="1"/>
  <c r="F124" i="1"/>
  <c r="BW124" i="1" s="1"/>
  <c r="G124" i="1"/>
  <c r="BX124" i="1"/>
  <c r="H124" i="1"/>
  <c r="BY124" i="1" s="1"/>
  <c r="I124" i="1"/>
  <c r="CA124" i="1"/>
  <c r="J124" i="1"/>
  <c r="BZ124" i="1" s="1"/>
  <c r="AM124" i="1"/>
  <c r="AO124" i="1"/>
  <c r="M125" i="10"/>
  <c r="AP124" i="1"/>
  <c r="AQ124" i="1"/>
  <c r="A124" i="1"/>
  <c r="A125" i="10"/>
  <c r="AR124" i="1"/>
  <c r="AS124" i="1" s="1"/>
  <c r="AT124" i="1"/>
  <c r="AV124" i="1"/>
  <c r="AW124" i="1"/>
  <c r="AX124" i="1"/>
  <c r="AY124" i="1"/>
  <c r="AZ124" i="1"/>
  <c r="BA124" i="1"/>
  <c r="BB124" i="1"/>
  <c r="BC124" i="1"/>
  <c r="BE124" i="1"/>
  <c r="BF124" i="1"/>
  <c r="BG124" i="1"/>
  <c r="BH124" i="1"/>
  <c r="BI124" i="1"/>
  <c r="BJ124" i="1"/>
  <c r="BK124" i="1" s="1"/>
  <c r="BN124" i="1"/>
  <c r="BO124" i="1"/>
  <c r="BP124" i="1" s="1"/>
  <c r="BS124" i="1" s="1"/>
  <c r="BR124" i="1"/>
  <c r="BU124" i="1"/>
  <c r="CG124" i="1"/>
  <c r="CK124" i="1"/>
  <c r="CO124" i="1"/>
  <c r="CS124" i="1"/>
  <c r="DD124" i="1"/>
  <c r="DF124" i="1" s="1"/>
  <c r="F125" i="1"/>
  <c r="BW125" i="1" s="1"/>
  <c r="G125" i="1"/>
  <c r="BX125" i="1" s="1"/>
  <c r="H125" i="1"/>
  <c r="BY125" i="1"/>
  <c r="I125" i="1"/>
  <c r="CA125" i="1" s="1"/>
  <c r="J125" i="1"/>
  <c r="BZ125" i="1" s="1"/>
  <c r="AM125" i="1"/>
  <c r="AO125" i="1"/>
  <c r="M124" i="10"/>
  <c r="AP125" i="1"/>
  <c r="AQ125" i="1"/>
  <c r="A125" i="1" s="1"/>
  <c r="A124" i="10" s="1"/>
  <c r="AR125" i="1"/>
  <c r="AS125" i="1" s="1"/>
  <c r="AT125" i="1"/>
  <c r="AV125" i="1"/>
  <c r="AW125" i="1"/>
  <c r="AX125" i="1"/>
  <c r="AY125" i="1"/>
  <c r="AZ125" i="1"/>
  <c r="BA125" i="1"/>
  <c r="BB125" i="1"/>
  <c r="BC125" i="1"/>
  <c r="BE125" i="1"/>
  <c r="BF125" i="1"/>
  <c r="BG125" i="1"/>
  <c r="BH125" i="1"/>
  <c r="BI125" i="1"/>
  <c r="BJ125" i="1"/>
  <c r="BK125" i="1" s="1"/>
  <c r="BN125" i="1"/>
  <c r="BP125" i="1"/>
  <c r="BR125" i="1"/>
  <c r="BT125" i="1" s="1"/>
  <c r="BU125" i="1"/>
  <c r="CG125" i="1"/>
  <c r="CK125" i="1"/>
  <c r="CO125" i="1"/>
  <c r="CS125" i="1"/>
  <c r="DD125" i="1"/>
  <c r="DF125" i="1"/>
  <c r="F126" i="1"/>
  <c r="BW126" i="1" s="1"/>
  <c r="G126" i="1"/>
  <c r="BX126" i="1" s="1"/>
  <c r="H126" i="1"/>
  <c r="BY126" i="1" s="1"/>
  <c r="I126" i="1"/>
  <c r="CA126" i="1"/>
  <c r="J126" i="1"/>
  <c r="BZ126" i="1" s="1"/>
  <c r="AM126" i="1"/>
  <c r="AO126" i="1"/>
  <c r="M126" i="10"/>
  <c r="O126" i="10" s="1"/>
  <c r="P126" i="10"/>
  <c r="V126" i="10"/>
  <c r="AP126" i="1"/>
  <c r="AQ126" i="1"/>
  <c r="A126" i="1" s="1"/>
  <c r="A126" i="10" s="1"/>
  <c r="AR126" i="1"/>
  <c r="AS126" i="1" s="1"/>
  <c r="AT126" i="1"/>
  <c r="AV126" i="1"/>
  <c r="AW126" i="1"/>
  <c r="AX126" i="1"/>
  <c r="AY126" i="1"/>
  <c r="AZ126" i="1"/>
  <c r="BA126" i="1"/>
  <c r="BB126" i="1"/>
  <c r="BC126" i="1"/>
  <c r="BE126" i="1"/>
  <c r="BF126" i="1"/>
  <c r="BG126" i="1"/>
  <c r="BH126" i="1"/>
  <c r="BI126" i="1"/>
  <c r="BJ126" i="1"/>
  <c r="BK126" i="1" s="1"/>
  <c r="BN126" i="1"/>
  <c r="BP126" i="1"/>
  <c r="BR126" i="1"/>
  <c r="BT126" i="1" s="1"/>
  <c r="BU126" i="1"/>
  <c r="CG126" i="1"/>
  <c r="CK126" i="1"/>
  <c r="CO126" i="1"/>
  <c r="CS126" i="1"/>
  <c r="DD126" i="1"/>
  <c r="DF126" i="1"/>
  <c r="F127" i="1"/>
  <c r="BW127" i="1" s="1"/>
  <c r="G127" i="1"/>
  <c r="BX127" i="1" s="1"/>
  <c r="H127" i="1"/>
  <c r="BY127" i="1" s="1"/>
  <c r="I127" i="1"/>
  <c r="CA127" i="1"/>
  <c r="J127" i="1"/>
  <c r="BZ127" i="1" s="1"/>
  <c r="AM127" i="1"/>
  <c r="AO127" i="1"/>
  <c r="M127" i="10"/>
  <c r="AP127" i="1"/>
  <c r="AQ127" i="1"/>
  <c r="A127" i="1" s="1"/>
  <c r="A127" i="10" s="1"/>
  <c r="AR127" i="1"/>
  <c r="AS127" i="1"/>
  <c r="AT127" i="1"/>
  <c r="AV127" i="1"/>
  <c r="AW127" i="1"/>
  <c r="AX127" i="1"/>
  <c r="AY127" i="1"/>
  <c r="AZ127" i="1"/>
  <c r="BA127" i="1"/>
  <c r="BB127" i="1"/>
  <c r="BC127" i="1"/>
  <c r="BE127" i="1"/>
  <c r="BF127" i="1"/>
  <c r="BG127" i="1"/>
  <c r="BH127" i="1"/>
  <c r="BI127" i="1"/>
  <c r="BJ127" i="1"/>
  <c r="BK127" i="1"/>
  <c r="BN127" i="1"/>
  <c r="BO127" i="1"/>
  <c r="BP127" i="1" s="1"/>
  <c r="BR127" i="1"/>
  <c r="BT127" i="1"/>
  <c r="BU127" i="1"/>
  <c r="CG127" i="1"/>
  <c r="CK127" i="1"/>
  <c r="CO127" i="1"/>
  <c r="CS127" i="1"/>
  <c r="DD127" i="1"/>
  <c r="DE127" i="1"/>
  <c r="F128" i="1"/>
  <c r="BW128" i="1" s="1"/>
  <c r="G128" i="1"/>
  <c r="BX128" i="1"/>
  <c r="H128" i="1"/>
  <c r="BY128" i="1" s="1"/>
  <c r="I128" i="1"/>
  <c r="CA128" i="1"/>
  <c r="J128" i="1"/>
  <c r="BZ128" i="1" s="1"/>
  <c r="AM128" i="1"/>
  <c r="AO128" i="1"/>
  <c r="M128" i="10"/>
  <c r="AP128" i="1"/>
  <c r="AQ128" i="1"/>
  <c r="A128" i="1"/>
  <c r="A128" i="10"/>
  <c r="AR128" i="1"/>
  <c r="AS128" i="1" s="1"/>
  <c r="AT128" i="1"/>
  <c r="AV128" i="1"/>
  <c r="AW128" i="1"/>
  <c r="AX128" i="1"/>
  <c r="AY128" i="1"/>
  <c r="AZ128" i="1"/>
  <c r="BA128" i="1"/>
  <c r="BB128" i="1"/>
  <c r="BC128" i="1"/>
  <c r="BE128" i="1"/>
  <c r="BF128" i="1"/>
  <c r="BG128" i="1"/>
  <c r="BH128" i="1"/>
  <c r="BI128" i="1"/>
  <c r="BJ128" i="1"/>
  <c r="BK128" i="1" s="1"/>
  <c r="BN128" i="1"/>
  <c r="BP128" i="1"/>
  <c r="BR128" i="1"/>
  <c r="BU128" i="1"/>
  <c r="CG128" i="1"/>
  <c r="CK128" i="1"/>
  <c r="CO128" i="1"/>
  <c r="CS128" i="1"/>
  <c r="DD128" i="1"/>
  <c r="F129" i="1"/>
  <c r="BW129" i="1" s="1"/>
  <c r="G129" i="1"/>
  <c r="BX129" i="1"/>
  <c r="H129" i="1"/>
  <c r="BY129" i="1" s="1"/>
  <c r="I129" i="1"/>
  <c r="CA129" i="1"/>
  <c r="J129" i="1"/>
  <c r="BZ129" i="1" s="1"/>
  <c r="AM129" i="1"/>
  <c r="AO129" i="1"/>
  <c r="M130" i="10"/>
  <c r="AP129" i="1"/>
  <c r="AQ129" i="1"/>
  <c r="A129" i="1"/>
  <c r="A130" i="10"/>
  <c r="AR129" i="1"/>
  <c r="AS129" i="1" s="1"/>
  <c r="AT129" i="1"/>
  <c r="AV129" i="1"/>
  <c r="AW129" i="1"/>
  <c r="AX129" i="1"/>
  <c r="AY129" i="1"/>
  <c r="AZ129" i="1"/>
  <c r="BA129" i="1"/>
  <c r="BB129" i="1"/>
  <c r="BC129" i="1"/>
  <c r="BE129" i="1"/>
  <c r="BF129" i="1"/>
  <c r="BG129" i="1"/>
  <c r="BH129" i="1"/>
  <c r="BI129" i="1"/>
  <c r="BJ129" i="1"/>
  <c r="BK129" i="1" s="1"/>
  <c r="BN129" i="1"/>
  <c r="BO129" i="1"/>
  <c r="BP129" i="1" s="1"/>
  <c r="BR129" i="1"/>
  <c r="BT129" i="1"/>
  <c r="BU129" i="1"/>
  <c r="CG129" i="1"/>
  <c r="CK129" i="1"/>
  <c r="CO129" i="1"/>
  <c r="CS129" i="1"/>
  <c r="DD129" i="1"/>
  <c r="F130" i="1"/>
  <c r="BW130" i="1"/>
  <c r="G130" i="1"/>
  <c r="BX130" i="1" s="1"/>
  <c r="H130" i="1"/>
  <c r="BY130" i="1"/>
  <c r="I130" i="1"/>
  <c r="CA130" i="1" s="1"/>
  <c r="J130" i="1"/>
  <c r="BZ130" i="1"/>
  <c r="AM130" i="1"/>
  <c r="AO130" i="1"/>
  <c r="M129" i="10" s="1"/>
  <c r="AP130" i="1"/>
  <c r="AQ130" i="1"/>
  <c r="A130" i="1"/>
  <c r="A129" i="10" s="1"/>
  <c r="AR130" i="1"/>
  <c r="AS130" i="1"/>
  <c r="AT130" i="1"/>
  <c r="AV130" i="1"/>
  <c r="AW130" i="1"/>
  <c r="AX130" i="1"/>
  <c r="AY130" i="1"/>
  <c r="AZ130" i="1"/>
  <c r="BA130" i="1"/>
  <c r="BB130" i="1"/>
  <c r="BC130" i="1"/>
  <c r="BE130" i="1"/>
  <c r="BF130" i="1"/>
  <c r="BG130" i="1"/>
  <c r="BH130" i="1"/>
  <c r="BI130" i="1"/>
  <c r="BJ130" i="1"/>
  <c r="BK130" i="1"/>
  <c r="BN130" i="1"/>
  <c r="BO130" i="1"/>
  <c r="BP130" i="1"/>
  <c r="BR130" i="1"/>
  <c r="BT130" i="1" s="1"/>
  <c r="BU130" i="1"/>
  <c r="CG130" i="1"/>
  <c r="CK130" i="1"/>
  <c r="CO130" i="1"/>
  <c r="CS130" i="1"/>
  <c r="DD130" i="1"/>
  <c r="F131" i="1"/>
  <c r="BW131" i="1" s="1"/>
  <c r="G131" i="1"/>
  <c r="BX131" i="1"/>
  <c r="H131" i="1"/>
  <c r="BY131" i="1" s="1"/>
  <c r="I131" i="1"/>
  <c r="CA131" i="1"/>
  <c r="J131" i="1"/>
  <c r="BZ131" i="1" s="1"/>
  <c r="AM131" i="1"/>
  <c r="AO131" i="1"/>
  <c r="M132" i="10"/>
  <c r="AP131" i="1"/>
  <c r="AQ131" i="1"/>
  <c r="A131" i="1"/>
  <c r="A132" i="10"/>
  <c r="AR131" i="1"/>
  <c r="AS131" i="1" s="1"/>
  <c r="AT131" i="1"/>
  <c r="AV131" i="1"/>
  <c r="AW131" i="1"/>
  <c r="AX131" i="1"/>
  <c r="AY131" i="1"/>
  <c r="AZ131" i="1"/>
  <c r="BA131" i="1"/>
  <c r="BB131" i="1"/>
  <c r="BC131" i="1"/>
  <c r="BE131" i="1"/>
  <c r="BF131" i="1"/>
  <c r="BG131" i="1"/>
  <c r="BH131" i="1"/>
  <c r="BI131" i="1"/>
  <c r="BJ131" i="1"/>
  <c r="BK131" i="1" s="1"/>
  <c r="BN131" i="1"/>
  <c r="BP131" i="1"/>
  <c r="BR131" i="1"/>
  <c r="BU131" i="1"/>
  <c r="CG131" i="1"/>
  <c r="CK131" i="1"/>
  <c r="CO131" i="1"/>
  <c r="CS131" i="1"/>
  <c r="DD131" i="1"/>
  <c r="F132" i="1"/>
  <c r="BW132" i="1"/>
  <c r="G132" i="1"/>
  <c r="BX132" i="1"/>
  <c r="H132" i="1"/>
  <c r="BY132" i="1"/>
  <c r="I132" i="1"/>
  <c r="CA132" i="1"/>
  <c r="J132" i="1"/>
  <c r="BZ132" i="1"/>
  <c r="AM132" i="1"/>
  <c r="AO132" i="1"/>
  <c r="M131" i="10"/>
  <c r="AP132" i="1"/>
  <c r="AQ132" i="1"/>
  <c r="A132" i="1"/>
  <c r="A131" i="10"/>
  <c r="AR132" i="1"/>
  <c r="AS132" i="1" s="1"/>
  <c r="AT132" i="1"/>
  <c r="AV132" i="1"/>
  <c r="AW132" i="1"/>
  <c r="AX132" i="1"/>
  <c r="AY132" i="1"/>
  <c r="AZ132" i="1"/>
  <c r="BA132" i="1"/>
  <c r="BB132" i="1"/>
  <c r="BC132" i="1"/>
  <c r="BE132" i="1"/>
  <c r="BF132" i="1"/>
  <c r="BG132" i="1"/>
  <c r="BH132" i="1"/>
  <c r="BI132" i="1"/>
  <c r="BJ132" i="1"/>
  <c r="BK132" i="1" s="1"/>
  <c r="BN132" i="1"/>
  <c r="BP132" i="1"/>
  <c r="BR132" i="1"/>
  <c r="BT132" i="1" s="1"/>
  <c r="BU132" i="1"/>
  <c r="CG132" i="1"/>
  <c r="CK132" i="1"/>
  <c r="CO132" i="1"/>
  <c r="CS132" i="1"/>
  <c r="DD132" i="1"/>
  <c r="F133" i="1"/>
  <c r="BW133" i="1" s="1"/>
  <c r="G133" i="1"/>
  <c r="BX133" i="1"/>
  <c r="H133" i="1"/>
  <c r="BY133" i="1" s="1"/>
  <c r="I133" i="1"/>
  <c r="CA133" i="1" s="1"/>
  <c r="J133" i="1"/>
  <c r="BZ133" i="1" s="1"/>
  <c r="AM133" i="1"/>
  <c r="AO133" i="1"/>
  <c r="M133" i="10" s="1"/>
  <c r="AP133" i="1"/>
  <c r="AQ133" i="1"/>
  <c r="A133" i="1"/>
  <c r="A133" i="10" s="1"/>
  <c r="AR133" i="1"/>
  <c r="AS133" i="1"/>
  <c r="AT133" i="1"/>
  <c r="AV133" i="1"/>
  <c r="AW133" i="1"/>
  <c r="AX133" i="1"/>
  <c r="AY133" i="1"/>
  <c r="AZ133" i="1"/>
  <c r="BA133" i="1"/>
  <c r="BB133" i="1"/>
  <c r="BC133" i="1"/>
  <c r="BE133" i="1"/>
  <c r="BF133" i="1"/>
  <c r="BG133" i="1"/>
  <c r="BH133" i="1"/>
  <c r="BI133" i="1"/>
  <c r="BJ133" i="1"/>
  <c r="BK133" i="1"/>
  <c r="BN133" i="1"/>
  <c r="BO133" i="1"/>
  <c r="BP133" i="1" s="1"/>
  <c r="BR133" i="1"/>
  <c r="BS133" i="1"/>
  <c r="BU133" i="1"/>
  <c r="CG133" i="1"/>
  <c r="CK133" i="1"/>
  <c r="CO133" i="1"/>
  <c r="CS133" i="1"/>
  <c r="DD133" i="1"/>
  <c r="DF133" i="1"/>
  <c r="F134" i="1"/>
  <c r="BW134" i="1"/>
  <c r="G134" i="1"/>
  <c r="BX134" i="1"/>
  <c r="H134" i="1"/>
  <c r="BY134" i="1"/>
  <c r="I134" i="1"/>
  <c r="CA134" i="1"/>
  <c r="J134" i="1"/>
  <c r="BZ134" i="1"/>
  <c r="AM134" i="1"/>
  <c r="AO134" i="1"/>
  <c r="M135" i="10"/>
  <c r="P135" i="10"/>
  <c r="N135" i="10" s="1"/>
  <c r="U135" i="10" s="1"/>
  <c r="AP134" i="1"/>
  <c r="AQ134" i="1"/>
  <c r="A134" i="1" s="1"/>
  <c r="A135" i="10"/>
  <c r="AR134" i="1"/>
  <c r="AS134" i="1"/>
  <c r="AT134" i="1"/>
  <c r="AV134" i="1"/>
  <c r="AW134" i="1"/>
  <c r="AX134" i="1"/>
  <c r="AY134" i="1"/>
  <c r="AZ134" i="1"/>
  <c r="BA134" i="1"/>
  <c r="BB134" i="1"/>
  <c r="BC134" i="1"/>
  <c r="BE134" i="1"/>
  <c r="BF134" i="1"/>
  <c r="BG134" i="1"/>
  <c r="BH134" i="1"/>
  <c r="BI134" i="1"/>
  <c r="BJ134" i="1"/>
  <c r="BK134" i="1"/>
  <c r="BN134" i="1"/>
  <c r="BO134" i="1"/>
  <c r="BP134" i="1" s="1"/>
  <c r="BR134" i="1"/>
  <c r="BU134" i="1"/>
  <c r="CG134" i="1"/>
  <c r="CK134" i="1"/>
  <c r="CO134" i="1"/>
  <c r="CS134" i="1"/>
  <c r="DD134" i="1"/>
  <c r="DE134" i="1" s="1"/>
  <c r="F135" i="1"/>
  <c r="BW135" i="1" s="1"/>
  <c r="G135" i="1"/>
  <c r="BX135" i="1"/>
  <c r="H135" i="1"/>
  <c r="BY135" i="1" s="1"/>
  <c r="I135" i="1"/>
  <c r="CA135" i="1"/>
  <c r="J135" i="1"/>
  <c r="BZ135" i="1" s="1"/>
  <c r="AM135" i="1"/>
  <c r="AO135" i="1"/>
  <c r="M134" i="10"/>
  <c r="AP135" i="1"/>
  <c r="AQ135" i="1"/>
  <c r="A135" i="1"/>
  <c r="A134" i="10"/>
  <c r="AR135" i="1"/>
  <c r="AS135" i="1"/>
  <c r="AT135" i="1"/>
  <c r="AV135" i="1"/>
  <c r="AW135" i="1"/>
  <c r="AX135" i="1"/>
  <c r="AY135" i="1"/>
  <c r="AZ135" i="1"/>
  <c r="BA135" i="1"/>
  <c r="BB135" i="1"/>
  <c r="BC135" i="1"/>
  <c r="BE135" i="1"/>
  <c r="BF135" i="1"/>
  <c r="BG135" i="1"/>
  <c r="BH135" i="1"/>
  <c r="BI135" i="1"/>
  <c r="BJ135" i="1"/>
  <c r="BK135" i="1"/>
  <c r="BN135" i="1"/>
  <c r="BP135" i="1"/>
  <c r="BR135" i="1"/>
  <c r="BT135" i="1"/>
  <c r="BU135" i="1"/>
  <c r="CG135" i="1"/>
  <c r="CK135" i="1"/>
  <c r="CO135" i="1"/>
  <c r="CS135" i="1"/>
  <c r="DD135" i="1"/>
  <c r="F136" i="1"/>
  <c r="BW136" i="1"/>
  <c r="G136" i="1"/>
  <c r="BX136" i="1"/>
  <c r="H136" i="1"/>
  <c r="BY136" i="1"/>
  <c r="I136" i="1"/>
  <c r="CA136" i="1"/>
  <c r="J136" i="1"/>
  <c r="BZ136" i="1"/>
  <c r="AM136" i="1"/>
  <c r="AO136" i="1"/>
  <c r="M137" i="10" s="1"/>
  <c r="P137" i="10"/>
  <c r="V137" i="10" s="1"/>
  <c r="AP136" i="1"/>
  <c r="AQ136" i="1"/>
  <c r="A136" i="1"/>
  <c r="A137" i="10" s="1"/>
  <c r="AR136" i="1"/>
  <c r="AS136" i="1" s="1"/>
  <c r="AT136" i="1"/>
  <c r="AV136" i="1"/>
  <c r="AW136" i="1"/>
  <c r="AX136" i="1"/>
  <c r="AY136" i="1"/>
  <c r="AZ136" i="1"/>
  <c r="BA136" i="1"/>
  <c r="BB136" i="1"/>
  <c r="BC136" i="1"/>
  <c r="BE136" i="1"/>
  <c r="BF136" i="1"/>
  <c r="BG136" i="1"/>
  <c r="BH136" i="1"/>
  <c r="BI136" i="1"/>
  <c r="BJ136" i="1"/>
  <c r="BK136" i="1" s="1"/>
  <c r="BN136" i="1"/>
  <c r="BO136" i="1"/>
  <c r="BP136" i="1"/>
  <c r="BR136" i="1"/>
  <c r="BU136" i="1"/>
  <c r="CG136" i="1"/>
  <c r="CK136" i="1"/>
  <c r="CO136" i="1"/>
  <c r="CS136" i="1"/>
  <c r="DD136" i="1"/>
  <c r="DF136" i="1"/>
  <c r="F137" i="1"/>
  <c r="BW137" i="1"/>
  <c r="G137" i="1"/>
  <c r="BX137" i="1"/>
  <c r="H137" i="1"/>
  <c r="BY137" i="1"/>
  <c r="I137" i="1"/>
  <c r="CA137" i="1"/>
  <c r="J137" i="1"/>
  <c r="BZ137" i="1"/>
  <c r="AM137" i="1"/>
  <c r="AO137" i="1"/>
  <c r="M136" i="10" s="1"/>
  <c r="AP137" i="1"/>
  <c r="AQ137" i="1"/>
  <c r="A137" i="1"/>
  <c r="A136" i="10" s="1"/>
  <c r="AR137" i="1"/>
  <c r="AS137" i="1" s="1"/>
  <c r="AT137" i="1"/>
  <c r="AV137" i="1"/>
  <c r="AW137" i="1"/>
  <c r="AX137" i="1"/>
  <c r="AY137" i="1"/>
  <c r="AZ137" i="1"/>
  <c r="BA137" i="1"/>
  <c r="BB137" i="1"/>
  <c r="BC137" i="1"/>
  <c r="BE137" i="1"/>
  <c r="BF137" i="1"/>
  <c r="BG137" i="1"/>
  <c r="BH137" i="1"/>
  <c r="BI137" i="1"/>
  <c r="BJ137" i="1"/>
  <c r="BK137" i="1" s="1"/>
  <c r="BN137" i="1"/>
  <c r="BP137" i="1"/>
  <c r="BR137" i="1"/>
  <c r="BT137" i="1" s="1"/>
  <c r="BU137" i="1"/>
  <c r="CG137" i="1"/>
  <c r="CK137" i="1"/>
  <c r="CO137" i="1"/>
  <c r="CS137" i="1"/>
  <c r="DD137" i="1"/>
  <c r="DE137" i="1"/>
  <c r="F138" i="1"/>
  <c r="BW138" i="1"/>
  <c r="G138" i="1"/>
  <c r="BX138" i="1"/>
  <c r="H138" i="1"/>
  <c r="BY138" i="1"/>
  <c r="I138" i="1"/>
  <c r="CA138" i="1"/>
  <c r="J138" i="1"/>
  <c r="BZ138" i="1"/>
  <c r="AM138" i="1"/>
  <c r="AO138" i="1"/>
  <c r="M139" i="10" s="1"/>
  <c r="AP138" i="1"/>
  <c r="AQ138" i="1"/>
  <c r="A138" i="1"/>
  <c r="A139" i="10" s="1"/>
  <c r="AR138" i="1"/>
  <c r="AS138" i="1" s="1"/>
  <c r="AT138" i="1"/>
  <c r="AV138" i="1"/>
  <c r="AW138" i="1"/>
  <c r="AX138" i="1"/>
  <c r="AY138" i="1"/>
  <c r="AZ138" i="1"/>
  <c r="BA138" i="1"/>
  <c r="BB138" i="1"/>
  <c r="BC138" i="1"/>
  <c r="BE138" i="1"/>
  <c r="BF138" i="1"/>
  <c r="BG138" i="1"/>
  <c r="BH138" i="1"/>
  <c r="BI138" i="1"/>
  <c r="BJ138" i="1"/>
  <c r="BK138" i="1" s="1"/>
  <c r="BN138" i="1"/>
  <c r="BP138" i="1"/>
  <c r="BR138" i="1"/>
  <c r="BU138" i="1"/>
  <c r="CG138" i="1"/>
  <c r="CK138" i="1"/>
  <c r="CO138" i="1"/>
  <c r="CS138" i="1"/>
  <c r="DD138" i="1"/>
  <c r="DE138" i="1"/>
  <c r="F139" i="1"/>
  <c r="BW139" i="1" s="1"/>
  <c r="G139" i="1"/>
  <c r="BX139" i="1"/>
  <c r="H139" i="1"/>
  <c r="BY139" i="1" s="1"/>
  <c r="I139" i="1"/>
  <c r="CA139" i="1" s="1"/>
  <c r="J139" i="1"/>
  <c r="BZ139" i="1" s="1"/>
  <c r="AM139" i="1"/>
  <c r="AO139" i="1"/>
  <c r="M138" i="10" s="1"/>
  <c r="AP139" i="1"/>
  <c r="AQ139" i="1"/>
  <c r="A139" i="1"/>
  <c r="A138" i="10" s="1"/>
  <c r="AR139" i="1"/>
  <c r="AS139" i="1"/>
  <c r="AT139" i="1"/>
  <c r="AV139" i="1"/>
  <c r="AW139" i="1"/>
  <c r="AX139" i="1"/>
  <c r="AY139" i="1"/>
  <c r="AZ139" i="1"/>
  <c r="BA139" i="1"/>
  <c r="BB139" i="1"/>
  <c r="BC139" i="1"/>
  <c r="BE139" i="1"/>
  <c r="BF139" i="1"/>
  <c r="BG139" i="1"/>
  <c r="BH139" i="1"/>
  <c r="BI139" i="1"/>
  <c r="BJ139" i="1"/>
  <c r="BK139" i="1"/>
  <c r="BN139" i="1"/>
  <c r="BO139" i="1"/>
  <c r="BP139" i="1" s="1"/>
  <c r="BR139" i="1"/>
  <c r="BS139" i="1"/>
  <c r="BU139" i="1"/>
  <c r="CG139" i="1"/>
  <c r="CK139" i="1"/>
  <c r="CO139" i="1"/>
  <c r="CS139" i="1"/>
  <c r="DD139" i="1"/>
  <c r="F140" i="1"/>
  <c r="BW140" i="1"/>
  <c r="G140" i="1"/>
  <c r="BX140" i="1" s="1"/>
  <c r="H140" i="1"/>
  <c r="BY140" i="1"/>
  <c r="I140" i="1"/>
  <c r="CA140" i="1" s="1"/>
  <c r="J140" i="1"/>
  <c r="BZ140" i="1" s="1"/>
  <c r="AM140" i="1"/>
  <c r="AO140" i="1"/>
  <c r="M140" i="10"/>
  <c r="AP140" i="1"/>
  <c r="AQ140" i="1"/>
  <c r="A140" i="1" s="1"/>
  <c r="A140" i="10"/>
  <c r="AR140" i="1"/>
  <c r="AS140" i="1" s="1"/>
  <c r="AT140" i="1"/>
  <c r="AV140" i="1"/>
  <c r="AW140" i="1"/>
  <c r="AX140" i="1"/>
  <c r="AY140" i="1"/>
  <c r="AZ140" i="1"/>
  <c r="BA140" i="1"/>
  <c r="BB140" i="1"/>
  <c r="BC140" i="1"/>
  <c r="BE140" i="1"/>
  <c r="BF140" i="1"/>
  <c r="BG140" i="1"/>
  <c r="BH140" i="1"/>
  <c r="BI140" i="1"/>
  <c r="BJ140" i="1"/>
  <c r="BK140" i="1" s="1"/>
  <c r="BN140" i="1"/>
  <c r="BP140" i="1"/>
  <c r="BR140" i="1"/>
  <c r="BT140" i="1" s="1"/>
  <c r="BU140" i="1"/>
  <c r="CG140" i="1"/>
  <c r="CK140" i="1"/>
  <c r="CO140" i="1"/>
  <c r="CS140" i="1"/>
  <c r="DD140" i="1"/>
  <c r="DE140" i="1"/>
  <c r="F141" i="1"/>
  <c r="BW141" i="1" s="1"/>
  <c r="G141" i="1"/>
  <c r="BX141" i="1"/>
  <c r="H141" i="1"/>
  <c r="BY141" i="1" s="1"/>
  <c r="I141" i="1"/>
  <c r="CA141" i="1" s="1"/>
  <c r="J141" i="1"/>
  <c r="BZ141" i="1" s="1"/>
  <c r="AM141" i="1"/>
  <c r="AO141" i="1"/>
  <c r="M141" i="10" s="1"/>
  <c r="AP141" i="1"/>
  <c r="AQ141" i="1"/>
  <c r="A141" i="1" s="1"/>
  <c r="A141" i="10" s="1"/>
  <c r="AR141" i="1"/>
  <c r="AS141" i="1"/>
  <c r="AT141" i="1"/>
  <c r="AV141" i="1"/>
  <c r="AW141" i="1"/>
  <c r="AX141" i="1"/>
  <c r="AY141" i="1"/>
  <c r="AZ141" i="1"/>
  <c r="BA141" i="1"/>
  <c r="BB141" i="1"/>
  <c r="BC141" i="1"/>
  <c r="BE141" i="1"/>
  <c r="BF141" i="1"/>
  <c r="BG141" i="1"/>
  <c r="BH141" i="1"/>
  <c r="BI141" i="1"/>
  <c r="BJ141" i="1"/>
  <c r="BK141" i="1"/>
  <c r="BN141" i="1"/>
  <c r="BP141" i="1"/>
  <c r="BR141" i="1"/>
  <c r="BT141" i="1"/>
  <c r="BU141" i="1"/>
  <c r="CG141" i="1"/>
  <c r="CK141" i="1"/>
  <c r="CO141" i="1"/>
  <c r="CS141" i="1"/>
  <c r="DD141" i="1"/>
  <c r="F142" i="1"/>
  <c r="BW142" i="1"/>
  <c r="G142" i="1"/>
  <c r="BX142" i="1" s="1"/>
  <c r="H142" i="1"/>
  <c r="BY142" i="1"/>
  <c r="I142" i="1"/>
  <c r="CA142" i="1" s="1"/>
  <c r="J142" i="1"/>
  <c r="BZ142" i="1"/>
  <c r="AM142" i="1"/>
  <c r="AO142" i="1"/>
  <c r="M142" i="10" s="1"/>
  <c r="AP142" i="1"/>
  <c r="AQ142" i="1"/>
  <c r="A142" i="1" s="1"/>
  <c r="A142" i="10" s="1"/>
  <c r="AR142" i="1"/>
  <c r="AS142" i="1"/>
  <c r="AT142" i="1"/>
  <c r="AV142" i="1"/>
  <c r="AW142" i="1"/>
  <c r="AX142" i="1"/>
  <c r="AY142" i="1"/>
  <c r="AZ142" i="1"/>
  <c r="BA142" i="1"/>
  <c r="BB142" i="1"/>
  <c r="BC142" i="1"/>
  <c r="BE142" i="1"/>
  <c r="BF142" i="1"/>
  <c r="BG142" i="1"/>
  <c r="BH142" i="1"/>
  <c r="BI142" i="1"/>
  <c r="BJ142" i="1"/>
  <c r="BK142" i="1"/>
  <c r="BN142" i="1"/>
  <c r="BO142" i="1"/>
  <c r="BP142" i="1"/>
  <c r="BR142" i="1"/>
  <c r="BU142" i="1"/>
  <c r="CG142" i="1"/>
  <c r="CK142" i="1"/>
  <c r="CO142" i="1"/>
  <c r="CS142" i="1"/>
  <c r="DD142" i="1"/>
  <c r="DE142" i="1"/>
  <c r="F143" i="1"/>
  <c r="BW143" i="1"/>
  <c r="G143" i="1"/>
  <c r="BX143" i="1"/>
  <c r="H143" i="1"/>
  <c r="BY143" i="1"/>
  <c r="I143" i="1"/>
  <c r="CA143" i="1"/>
  <c r="J143" i="1"/>
  <c r="BZ143" i="1"/>
  <c r="AM143" i="1"/>
  <c r="AO143" i="1"/>
  <c r="M143" i="10"/>
  <c r="AP143" i="1"/>
  <c r="AQ143" i="1"/>
  <c r="A143" i="1"/>
  <c r="A143" i="10"/>
  <c r="AR143" i="1"/>
  <c r="AS143" i="1" s="1"/>
  <c r="AT143" i="1"/>
  <c r="AV143" i="1"/>
  <c r="AW143" i="1"/>
  <c r="AX143" i="1"/>
  <c r="AY143" i="1"/>
  <c r="AZ143" i="1"/>
  <c r="BA143" i="1"/>
  <c r="BB143" i="1"/>
  <c r="BC143" i="1"/>
  <c r="BE143" i="1"/>
  <c r="BF143" i="1"/>
  <c r="BG143" i="1"/>
  <c r="BH143" i="1"/>
  <c r="BI143" i="1"/>
  <c r="BJ143" i="1"/>
  <c r="BK143" i="1" s="1"/>
  <c r="BN143" i="1"/>
  <c r="BO143" i="1"/>
  <c r="BP143" i="1" s="1"/>
  <c r="BR143" i="1"/>
  <c r="BU143" i="1"/>
  <c r="CG143" i="1"/>
  <c r="CK143" i="1"/>
  <c r="CO143" i="1"/>
  <c r="CS143" i="1"/>
  <c r="DD143" i="1"/>
  <c r="F144" i="1"/>
  <c r="BW144" i="1" s="1"/>
  <c r="G144" i="1"/>
  <c r="BX144" i="1"/>
  <c r="H144" i="1"/>
  <c r="BY144" i="1" s="1"/>
  <c r="I144" i="1"/>
  <c r="CA144" i="1"/>
  <c r="J144" i="1"/>
  <c r="BZ144" i="1" s="1"/>
  <c r="AM144" i="1"/>
  <c r="AO144" i="1"/>
  <c r="M144" i="10"/>
  <c r="AP144" i="1"/>
  <c r="AQ144" i="1"/>
  <c r="A144" i="1" s="1"/>
  <c r="A144" i="10" s="1"/>
  <c r="AR144" i="1"/>
  <c r="AS144" i="1"/>
  <c r="AT144" i="1"/>
  <c r="AV144" i="1"/>
  <c r="AW144" i="1"/>
  <c r="AX144" i="1"/>
  <c r="AY144" i="1"/>
  <c r="AZ144" i="1"/>
  <c r="BA144" i="1"/>
  <c r="BB144" i="1"/>
  <c r="BC144" i="1"/>
  <c r="BE144" i="1"/>
  <c r="BF144" i="1"/>
  <c r="BG144" i="1"/>
  <c r="BH144" i="1"/>
  <c r="BI144" i="1"/>
  <c r="BJ144" i="1"/>
  <c r="BK144" i="1"/>
  <c r="BN144" i="1"/>
  <c r="BP144" i="1"/>
  <c r="BR144" i="1"/>
  <c r="BT144" i="1"/>
  <c r="BU144" i="1"/>
  <c r="CG144" i="1"/>
  <c r="CK144" i="1"/>
  <c r="CO144" i="1"/>
  <c r="CS144" i="1"/>
  <c r="DD144" i="1"/>
  <c r="F145" i="1"/>
  <c r="BW145" i="1"/>
  <c r="G145" i="1"/>
  <c r="BX145" i="1"/>
  <c r="H145" i="1"/>
  <c r="BY145" i="1"/>
  <c r="I145" i="1"/>
  <c r="CA145" i="1"/>
  <c r="J145" i="1"/>
  <c r="BZ145" i="1"/>
  <c r="AM145" i="1"/>
  <c r="AO145" i="1"/>
  <c r="M146" i="10" s="1"/>
  <c r="AP145" i="1"/>
  <c r="AQ145" i="1"/>
  <c r="A145" i="1" s="1"/>
  <c r="A146" i="10" s="1"/>
  <c r="AR145" i="1"/>
  <c r="AS145" i="1"/>
  <c r="AT145" i="1"/>
  <c r="AV145" i="1"/>
  <c r="AW145" i="1"/>
  <c r="AX145" i="1"/>
  <c r="AY145" i="1"/>
  <c r="AZ145" i="1"/>
  <c r="BA145" i="1"/>
  <c r="BB145" i="1"/>
  <c r="BC145" i="1"/>
  <c r="BE145" i="1"/>
  <c r="BF145" i="1"/>
  <c r="BG145" i="1"/>
  <c r="BH145" i="1"/>
  <c r="BI145" i="1"/>
  <c r="BJ145" i="1"/>
  <c r="BK145" i="1"/>
  <c r="BN145" i="1"/>
  <c r="BO145" i="1"/>
  <c r="BP145" i="1"/>
  <c r="BR145" i="1"/>
  <c r="BT145" i="1" s="1"/>
  <c r="BU145" i="1"/>
  <c r="CG145" i="1"/>
  <c r="CK145" i="1"/>
  <c r="CO145" i="1"/>
  <c r="CS145" i="1"/>
  <c r="DD145" i="1"/>
  <c r="F146" i="1"/>
  <c r="BW146" i="1" s="1"/>
  <c r="G146" i="1"/>
  <c r="BX146" i="1"/>
  <c r="H146" i="1"/>
  <c r="BY146" i="1" s="1"/>
  <c r="I146" i="1"/>
  <c r="CA146" i="1"/>
  <c r="J146" i="1"/>
  <c r="BZ146" i="1" s="1"/>
  <c r="AM146" i="1"/>
  <c r="AO146" i="1"/>
  <c r="M145" i="10"/>
  <c r="AP146" i="1"/>
  <c r="AQ146" i="1"/>
  <c r="A146" i="1"/>
  <c r="A145" i="10"/>
  <c r="AR146" i="1"/>
  <c r="AS146" i="1" s="1"/>
  <c r="AT146" i="1"/>
  <c r="AV146" i="1"/>
  <c r="AW146" i="1"/>
  <c r="AX146" i="1"/>
  <c r="AY146" i="1"/>
  <c r="AZ146" i="1"/>
  <c r="BA146" i="1"/>
  <c r="BB146" i="1"/>
  <c r="BC146" i="1"/>
  <c r="BE146" i="1"/>
  <c r="BF146" i="1"/>
  <c r="BG146" i="1"/>
  <c r="BH146" i="1"/>
  <c r="BI146" i="1"/>
  <c r="BJ146" i="1"/>
  <c r="BK146" i="1" s="1"/>
  <c r="BN146" i="1"/>
  <c r="BP146" i="1"/>
  <c r="BR146" i="1"/>
  <c r="BT146" i="1" s="1"/>
  <c r="BU146" i="1"/>
  <c r="CG146" i="1"/>
  <c r="CK146" i="1"/>
  <c r="CO146" i="1"/>
  <c r="CS146" i="1"/>
  <c r="DD146" i="1"/>
  <c r="F147" i="1"/>
  <c r="BW147" i="1" s="1"/>
  <c r="G147" i="1"/>
  <c r="BX147" i="1"/>
  <c r="H147" i="1"/>
  <c r="BY147" i="1" s="1"/>
  <c r="I147" i="1"/>
  <c r="CA147" i="1"/>
  <c r="J147" i="1"/>
  <c r="BZ147" i="1" s="1"/>
  <c r="AM147" i="1"/>
  <c r="AO147" i="1"/>
  <c r="M147" i="10"/>
  <c r="AP147" i="1"/>
  <c r="AQ147" i="1"/>
  <c r="A147" i="1" s="1"/>
  <c r="A147" i="10" s="1"/>
  <c r="AR147" i="1"/>
  <c r="AS147" i="1"/>
  <c r="AT147" i="1"/>
  <c r="AV147" i="1"/>
  <c r="AW147" i="1"/>
  <c r="AX147" i="1"/>
  <c r="AY147" i="1"/>
  <c r="AZ147" i="1"/>
  <c r="BA147" i="1"/>
  <c r="BB147" i="1"/>
  <c r="BC147" i="1"/>
  <c r="BE147" i="1"/>
  <c r="BF147" i="1"/>
  <c r="BG147" i="1"/>
  <c r="BH147" i="1"/>
  <c r="BI147" i="1"/>
  <c r="BJ147" i="1"/>
  <c r="BK147" i="1"/>
  <c r="BN147" i="1"/>
  <c r="BO147" i="1"/>
  <c r="BP147" i="1" s="1"/>
  <c r="BR147" i="1"/>
  <c r="BT147" i="1" s="1"/>
  <c r="BU147" i="1"/>
  <c r="CG147" i="1"/>
  <c r="CK147" i="1"/>
  <c r="CO147" i="1"/>
  <c r="CS147" i="1"/>
  <c r="DD147" i="1"/>
  <c r="DE147" i="1"/>
  <c r="F148" i="1"/>
  <c r="BW148" i="1" s="1"/>
  <c r="G148" i="1"/>
  <c r="BX148" i="1"/>
  <c r="H148" i="1"/>
  <c r="BY148" i="1" s="1"/>
  <c r="I148" i="1"/>
  <c r="CA148" i="1"/>
  <c r="J148" i="1"/>
  <c r="BZ148" i="1" s="1"/>
  <c r="AM148" i="1"/>
  <c r="AO148" i="1"/>
  <c r="M148" i="10" s="1"/>
  <c r="AP148" i="1"/>
  <c r="AQ148" i="1"/>
  <c r="A148" i="1"/>
  <c r="A148" i="10" s="1"/>
  <c r="AR148" i="1"/>
  <c r="AS148" i="1" s="1"/>
  <c r="AT148" i="1"/>
  <c r="AV148" i="1"/>
  <c r="AW148" i="1"/>
  <c r="AX148" i="1"/>
  <c r="AY148" i="1"/>
  <c r="AZ148" i="1"/>
  <c r="BA148" i="1"/>
  <c r="BB148" i="1"/>
  <c r="BC148" i="1"/>
  <c r="BE148" i="1"/>
  <c r="BF148" i="1"/>
  <c r="BG148" i="1"/>
  <c r="BH148" i="1"/>
  <c r="BI148" i="1"/>
  <c r="BJ148" i="1"/>
  <c r="BK148" i="1" s="1"/>
  <c r="BN148" i="1"/>
  <c r="BP148" i="1"/>
  <c r="BR148" i="1"/>
  <c r="BT148" i="1" s="1"/>
  <c r="BU148" i="1"/>
  <c r="CG148" i="1"/>
  <c r="CK148" i="1"/>
  <c r="CO148" i="1"/>
  <c r="CS148" i="1"/>
  <c r="DD148" i="1"/>
  <c r="DF148" i="1"/>
  <c r="F149" i="1"/>
  <c r="BW149" i="1"/>
  <c r="G149" i="1"/>
  <c r="BX149" i="1"/>
  <c r="H149" i="1"/>
  <c r="BY149" i="1"/>
  <c r="I149" i="1"/>
  <c r="CA149" i="1"/>
  <c r="J149" i="1"/>
  <c r="BZ149" i="1"/>
  <c r="AM149" i="1"/>
  <c r="AO149" i="1"/>
  <c r="M149" i="10" s="1"/>
  <c r="AP149" i="1"/>
  <c r="AQ149" i="1"/>
  <c r="A149" i="1" s="1"/>
  <c r="A149" i="10" s="1"/>
  <c r="AR149" i="1"/>
  <c r="AS149" i="1"/>
  <c r="AT149" i="1"/>
  <c r="AV149" i="1"/>
  <c r="AW149" i="1"/>
  <c r="AX149" i="1"/>
  <c r="AY149" i="1"/>
  <c r="AZ149" i="1"/>
  <c r="BA149" i="1"/>
  <c r="BB149" i="1"/>
  <c r="BC149" i="1"/>
  <c r="BE149" i="1"/>
  <c r="BF149" i="1"/>
  <c r="BG149" i="1"/>
  <c r="BH149" i="1"/>
  <c r="BI149" i="1"/>
  <c r="BJ149" i="1"/>
  <c r="BK149" i="1"/>
  <c r="BN149" i="1"/>
  <c r="BP149" i="1"/>
  <c r="BR149" i="1"/>
  <c r="BT149" i="1"/>
  <c r="BU149" i="1"/>
  <c r="CG149" i="1"/>
  <c r="CK149" i="1"/>
  <c r="CO149" i="1"/>
  <c r="CS149" i="1"/>
  <c r="DD149" i="1"/>
  <c r="F150" i="1"/>
  <c r="BW150" i="1"/>
  <c r="G150" i="1"/>
  <c r="BX150" i="1" s="1"/>
  <c r="H150" i="1"/>
  <c r="BY150" i="1"/>
  <c r="I150" i="1"/>
  <c r="CA150" i="1" s="1"/>
  <c r="J150" i="1"/>
  <c r="BZ150" i="1" s="1"/>
  <c r="AM150" i="1"/>
  <c r="AO150" i="1"/>
  <c r="M150" i="10"/>
  <c r="AP150" i="1"/>
  <c r="AQ150" i="1"/>
  <c r="A150" i="1" s="1"/>
  <c r="A150" i="10"/>
  <c r="AR150" i="1"/>
  <c r="AS150" i="1" s="1"/>
  <c r="AT150" i="1"/>
  <c r="AV150" i="1"/>
  <c r="AW150" i="1"/>
  <c r="AX150" i="1"/>
  <c r="AY150" i="1"/>
  <c r="AZ150" i="1"/>
  <c r="BA150" i="1"/>
  <c r="BB150" i="1"/>
  <c r="BC150" i="1"/>
  <c r="BE150" i="1"/>
  <c r="BF150" i="1"/>
  <c r="BG150" i="1"/>
  <c r="BH150" i="1"/>
  <c r="BI150" i="1"/>
  <c r="BJ150" i="1"/>
  <c r="BK150" i="1" s="1"/>
  <c r="BN150" i="1"/>
  <c r="BO150" i="1"/>
  <c r="BP150" i="1" s="1"/>
  <c r="BR150" i="1"/>
  <c r="BU150" i="1"/>
  <c r="CG150" i="1"/>
  <c r="CK150" i="1"/>
  <c r="CO150" i="1"/>
  <c r="CS150" i="1"/>
  <c r="DD150" i="1"/>
  <c r="DF150" i="1" s="1"/>
  <c r="F151" i="1"/>
  <c r="BW151" i="1" s="1"/>
  <c r="G151" i="1"/>
  <c r="BX151" i="1"/>
  <c r="H151" i="1"/>
  <c r="BY151" i="1" s="1"/>
  <c r="I151" i="1"/>
  <c r="CA151" i="1"/>
  <c r="J151" i="1"/>
  <c r="BZ151" i="1" s="1"/>
  <c r="AM151" i="1"/>
  <c r="AO151" i="1"/>
  <c r="M152" i="10"/>
  <c r="AP151" i="1"/>
  <c r="AQ151" i="1"/>
  <c r="A151" i="1" s="1"/>
  <c r="A152" i="10" s="1"/>
  <c r="AR151" i="1"/>
  <c r="AS151" i="1"/>
  <c r="AT151" i="1"/>
  <c r="AV151" i="1"/>
  <c r="AW151" i="1"/>
  <c r="AX151" i="1"/>
  <c r="AY151" i="1"/>
  <c r="AZ151" i="1"/>
  <c r="BA151" i="1"/>
  <c r="BB151" i="1"/>
  <c r="BC151" i="1"/>
  <c r="BE151" i="1"/>
  <c r="BF151" i="1"/>
  <c r="BG151" i="1"/>
  <c r="BH151" i="1"/>
  <c r="BI151" i="1"/>
  <c r="BJ151" i="1"/>
  <c r="BK151" i="1"/>
  <c r="BN151" i="1"/>
  <c r="BP151" i="1"/>
  <c r="BR151" i="1"/>
  <c r="BU151" i="1"/>
  <c r="CG151" i="1"/>
  <c r="CK151" i="1"/>
  <c r="CO151" i="1"/>
  <c r="CS151" i="1"/>
  <c r="DD151" i="1"/>
  <c r="DF151" i="1"/>
  <c r="F152" i="1"/>
  <c r="BW152" i="1"/>
  <c r="G152" i="1"/>
  <c r="BX152" i="1"/>
  <c r="H152" i="1"/>
  <c r="BY152" i="1"/>
  <c r="I152" i="1"/>
  <c r="CA152" i="1"/>
  <c r="J152" i="1"/>
  <c r="BZ152" i="1"/>
  <c r="AM152" i="1"/>
  <c r="AO152" i="1"/>
  <c r="M151" i="10" s="1"/>
  <c r="AP152" i="1"/>
  <c r="AQ152" i="1"/>
  <c r="A152" i="1" s="1"/>
  <c r="A151" i="10" s="1"/>
  <c r="AR152" i="1"/>
  <c r="AS152" i="1"/>
  <c r="AT152" i="1"/>
  <c r="AV152" i="1"/>
  <c r="AW152" i="1"/>
  <c r="AX152" i="1"/>
  <c r="AY152" i="1"/>
  <c r="AZ152" i="1"/>
  <c r="BA152" i="1"/>
  <c r="BB152" i="1"/>
  <c r="BC152" i="1"/>
  <c r="BE152" i="1"/>
  <c r="BF152" i="1"/>
  <c r="BG152" i="1"/>
  <c r="BH152" i="1"/>
  <c r="BI152" i="1"/>
  <c r="BJ152" i="1"/>
  <c r="BK152" i="1"/>
  <c r="BN152" i="1"/>
  <c r="BO152" i="1"/>
  <c r="BP152" i="1"/>
  <c r="BR152" i="1"/>
  <c r="BT152" i="1" s="1"/>
  <c r="BU152" i="1"/>
  <c r="CG152" i="1"/>
  <c r="CK152" i="1"/>
  <c r="CO152" i="1"/>
  <c r="CS152" i="1"/>
  <c r="DD152" i="1"/>
  <c r="F153" i="1"/>
  <c r="BW153" i="1" s="1"/>
  <c r="G153" i="1"/>
  <c r="BX153" i="1"/>
  <c r="H153" i="1"/>
  <c r="BY153" i="1" s="1"/>
  <c r="I153" i="1"/>
  <c r="CA153" i="1"/>
  <c r="J153" i="1"/>
  <c r="BZ153" i="1" s="1"/>
  <c r="AM153" i="1"/>
  <c r="AO153" i="1"/>
  <c r="M153" i="10"/>
  <c r="AP153" i="1"/>
  <c r="AQ153" i="1"/>
  <c r="A153" i="1"/>
  <c r="A153" i="10"/>
  <c r="AR153" i="1"/>
  <c r="AS153" i="1" s="1"/>
  <c r="AT153" i="1"/>
  <c r="AV153" i="1"/>
  <c r="AW153" i="1"/>
  <c r="AX153" i="1"/>
  <c r="AY153" i="1"/>
  <c r="AZ153" i="1"/>
  <c r="BA153" i="1"/>
  <c r="BB153" i="1"/>
  <c r="BC153" i="1"/>
  <c r="BE153" i="1"/>
  <c r="BF153" i="1"/>
  <c r="BG153" i="1"/>
  <c r="BH153" i="1"/>
  <c r="BI153" i="1"/>
  <c r="BJ153" i="1"/>
  <c r="BK153" i="1" s="1"/>
  <c r="BN153" i="1"/>
  <c r="BP153" i="1"/>
  <c r="BR153" i="1"/>
  <c r="BT153" i="1" s="1"/>
  <c r="BU153" i="1"/>
  <c r="CG153" i="1"/>
  <c r="CK153" i="1"/>
  <c r="CO153" i="1"/>
  <c r="CS153" i="1"/>
  <c r="DD153" i="1"/>
  <c r="F154" i="1"/>
  <c r="BW154" i="1" s="1"/>
  <c r="G154" i="1"/>
  <c r="BX154" i="1"/>
  <c r="H154" i="1"/>
  <c r="BY154" i="1" s="1"/>
  <c r="I154" i="1"/>
  <c r="CA154" i="1"/>
  <c r="J154" i="1"/>
  <c r="BZ154" i="1" s="1"/>
  <c r="AM154" i="1"/>
  <c r="AO154" i="1"/>
  <c r="M154" i="10"/>
  <c r="AP154" i="1"/>
  <c r="AQ154" i="1"/>
  <c r="A154" i="1" s="1"/>
  <c r="A154" i="10" s="1"/>
  <c r="AR154" i="1"/>
  <c r="AS154" i="1"/>
  <c r="AT154" i="1"/>
  <c r="AV154" i="1"/>
  <c r="AW154" i="1"/>
  <c r="AX154" i="1"/>
  <c r="AY154" i="1"/>
  <c r="AZ154" i="1"/>
  <c r="BA154" i="1"/>
  <c r="BB154" i="1"/>
  <c r="BC154" i="1"/>
  <c r="BE154" i="1"/>
  <c r="BF154" i="1"/>
  <c r="BG154" i="1"/>
  <c r="BH154" i="1"/>
  <c r="BI154" i="1"/>
  <c r="BJ154" i="1"/>
  <c r="BK154" i="1"/>
  <c r="BN154" i="1"/>
  <c r="BO154" i="1"/>
  <c r="BP154" i="1" s="1"/>
  <c r="BR154" i="1"/>
  <c r="BU154" i="1"/>
  <c r="CG154" i="1"/>
  <c r="CK154" i="1"/>
  <c r="CO154" i="1"/>
  <c r="CT154" i="1" s="1"/>
  <c r="L154" i="10" s="1"/>
  <c r="CS154" i="1"/>
  <c r="DD154" i="1"/>
  <c r="DE154" i="1"/>
  <c r="F155" i="1"/>
  <c r="BW155" i="1" s="1"/>
  <c r="G155" i="1"/>
  <c r="BX155" i="1"/>
  <c r="H155" i="1"/>
  <c r="BY155" i="1" s="1"/>
  <c r="I155" i="1"/>
  <c r="CA155" i="1"/>
  <c r="J155" i="1"/>
  <c r="BZ155" i="1" s="1"/>
  <c r="AM155" i="1"/>
  <c r="AO155" i="1"/>
  <c r="M155" i="10" s="1"/>
  <c r="AP155" i="1"/>
  <c r="AQ155" i="1"/>
  <c r="A155" i="1"/>
  <c r="A155" i="10" s="1"/>
  <c r="AR155" i="1"/>
  <c r="AS155" i="1"/>
  <c r="AT155" i="1"/>
  <c r="AV155" i="1"/>
  <c r="AW155" i="1"/>
  <c r="AX155" i="1"/>
  <c r="AY155" i="1"/>
  <c r="AZ155" i="1"/>
  <c r="BA155" i="1"/>
  <c r="BB155" i="1"/>
  <c r="BC155" i="1"/>
  <c r="BE155" i="1"/>
  <c r="BF155" i="1"/>
  <c r="BG155" i="1"/>
  <c r="BH155" i="1"/>
  <c r="BI155" i="1"/>
  <c r="BJ155" i="1"/>
  <c r="BK155" i="1"/>
  <c r="BN155" i="1"/>
  <c r="BO155" i="1"/>
  <c r="BP155" i="1" s="1"/>
  <c r="BR155" i="1"/>
  <c r="BT155" i="1"/>
  <c r="BU155" i="1"/>
  <c r="CG155" i="1"/>
  <c r="CK155" i="1"/>
  <c r="CO155" i="1"/>
  <c r="CS155" i="1"/>
  <c r="DD155" i="1"/>
  <c r="F156" i="1"/>
  <c r="BW156" i="1"/>
  <c r="G156" i="1"/>
  <c r="BX156" i="1" s="1"/>
  <c r="H156" i="1"/>
  <c r="BY156" i="1"/>
  <c r="I156" i="1"/>
  <c r="CA156" i="1" s="1"/>
  <c r="J156" i="1"/>
  <c r="BZ156" i="1"/>
  <c r="AM156" i="1"/>
  <c r="AO156" i="1"/>
  <c r="M157" i="10"/>
  <c r="AP156" i="1"/>
  <c r="AQ156" i="1"/>
  <c r="A156" i="1" s="1"/>
  <c r="A157" i="10" s="1"/>
  <c r="AR156" i="1"/>
  <c r="AS156" i="1" s="1"/>
  <c r="AT156" i="1"/>
  <c r="AV156" i="1"/>
  <c r="AW156" i="1"/>
  <c r="AX156" i="1"/>
  <c r="AY156" i="1"/>
  <c r="AZ156" i="1"/>
  <c r="BA156" i="1"/>
  <c r="BB156" i="1"/>
  <c r="BC156" i="1"/>
  <c r="BE156" i="1"/>
  <c r="BF156" i="1"/>
  <c r="BG156" i="1"/>
  <c r="BH156" i="1"/>
  <c r="BI156" i="1"/>
  <c r="BJ156" i="1"/>
  <c r="BK156" i="1" s="1"/>
  <c r="BN156" i="1"/>
  <c r="BO156" i="1"/>
  <c r="BP156" i="1"/>
  <c r="BR156" i="1"/>
  <c r="BU156" i="1"/>
  <c r="CG156" i="1"/>
  <c r="CK156" i="1"/>
  <c r="CO156" i="1"/>
  <c r="CS156" i="1"/>
  <c r="DD156" i="1"/>
  <c r="DE156" i="1"/>
  <c r="F157" i="1"/>
  <c r="BW157" i="1" s="1"/>
  <c r="G157" i="1"/>
  <c r="BX157" i="1"/>
  <c r="H157" i="1"/>
  <c r="BY157" i="1" s="1"/>
  <c r="I157" i="1"/>
  <c r="CA157" i="1"/>
  <c r="J157" i="1"/>
  <c r="BZ157" i="1" s="1"/>
  <c r="AM157" i="1"/>
  <c r="AO157" i="1"/>
  <c r="M156" i="10" s="1"/>
  <c r="AP157" i="1"/>
  <c r="AQ157" i="1"/>
  <c r="A157" i="1"/>
  <c r="A156" i="10" s="1"/>
  <c r="AR157" i="1"/>
  <c r="AS157" i="1"/>
  <c r="AT157" i="1"/>
  <c r="AV157" i="1"/>
  <c r="AW157" i="1"/>
  <c r="AX157" i="1"/>
  <c r="AY157" i="1"/>
  <c r="AZ157" i="1"/>
  <c r="BA157" i="1"/>
  <c r="BB157" i="1"/>
  <c r="BC157" i="1"/>
  <c r="BE157" i="1"/>
  <c r="BF157" i="1"/>
  <c r="BG157" i="1"/>
  <c r="BH157" i="1"/>
  <c r="BI157" i="1"/>
  <c r="BJ157" i="1"/>
  <c r="BK157" i="1"/>
  <c r="BN157" i="1"/>
  <c r="BP157" i="1"/>
  <c r="BR157" i="1"/>
  <c r="BT157" i="1"/>
  <c r="BU157" i="1"/>
  <c r="CG157" i="1"/>
  <c r="CK157" i="1"/>
  <c r="CO157" i="1"/>
  <c r="CS157" i="1"/>
  <c r="DD157" i="1"/>
  <c r="F158" i="1"/>
  <c r="BW158" i="1"/>
  <c r="G158" i="1"/>
  <c r="BX158" i="1" s="1"/>
  <c r="H158" i="1"/>
  <c r="BY158" i="1"/>
  <c r="I158" i="1"/>
  <c r="CA158" i="1" s="1"/>
  <c r="J158" i="1"/>
  <c r="BZ158" i="1"/>
  <c r="AM158" i="1"/>
  <c r="AO158" i="1"/>
  <c r="M158" i="10" s="1"/>
  <c r="AP158" i="1"/>
  <c r="AQ158" i="1"/>
  <c r="A158" i="1" s="1"/>
  <c r="A158" i="10" s="1"/>
  <c r="AR158" i="1"/>
  <c r="AS158" i="1"/>
  <c r="AT158" i="1"/>
  <c r="AV158" i="1"/>
  <c r="AW158" i="1"/>
  <c r="AX158" i="1"/>
  <c r="AY158" i="1"/>
  <c r="AZ158" i="1"/>
  <c r="BA158" i="1"/>
  <c r="BB158" i="1"/>
  <c r="BC158" i="1"/>
  <c r="BE158" i="1"/>
  <c r="BF158" i="1"/>
  <c r="BG158" i="1"/>
  <c r="BH158" i="1"/>
  <c r="BI158" i="1"/>
  <c r="BJ158" i="1"/>
  <c r="BK158" i="1"/>
  <c r="BN158" i="1"/>
  <c r="BP158" i="1"/>
  <c r="BR158" i="1"/>
  <c r="BT158" i="1"/>
  <c r="BU158" i="1"/>
  <c r="CG158" i="1"/>
  <c r="CK158" i="1"/>
  <c r="CO158" i="1"/>
  <c r="CS158" i="1"/>
  <c r="DD158" i="1"/>
  <c r="DE158" i="1"/>
  <c r="F159" i="1"/>
  <c r="BW159" i="1" s="1"/>
  <c r="G159" i="1"/>
  <c r="BX159" i="1"/>
  <c r="H159" i="1"/>
  <c r="BY159" i="1" s="1"/>
  <c r="I159" i="1"/>
  <c r="CA159" i="1"/>
  <c r="J159" i="1"/>
  <c r="BZ159" i="1" s="1"/>
  <c r="AM159" i="1"/>
  <c r="AO159" i="1"/>
  <c r="M159" i="10"/>
  <c r="AP159" i="1"/>
  <c r="AQ159" i="1"/>
  <c r="A159" i="1"/>
  <c r="A159" i="10"/>
  <c r="AR159" i="1"/>
  <c r="AS159" i="1" s="1"/>
  <c r="AT159" i="1"/>
  <c r="AV159" i="1"/>
  <c r="AW159" i="1"/>
  <c r="AX159" i="1"/>
  <c r="AY159" i="1"/>
  <c r="AZ159" i="1"/>
  <c r="BA159" i="1"/>
  <c r="BB159" i="1"/>
  <c r="BC159" i="1"/>
  <c r="BE159" i="1"/>
  <c r="BF159" i="1"/>
  <c r="BG159" i="1"/>
  <c r="BH159" i="1"/>
  <c r="BI159" i="1"/>
  <c r="BJ159" i="1"/>
  <c r="BK159" i="1" s="1"/>
  <c r="BN159" i="1"/>
  <c r="BO159" i="1"/>
  <c r="BP159" i="1" s="1"/>
  <c r="BR159" i="1"/>
  <c r="BT159" i="1"/>
  <c r="BU159" i="1"/>
  <c r="CG159" i="1"/>
  <c r="CK159" i="1"/>
  <c r="CO159" i="1"/>
  <c r="CS159" i="1"/>
  <c r="DD159" i="1"/>
  <c r="DE159" i="1" s="1"/>
  <c r="F160" i="1"/>
  <c r="BW160" i="1"/>
  <c r="G160" i="1"/>
  <c r="BX160" i="1" s="1"/>
  <c r="H160" i="1"/>
  <c r="BY160" i="1"/>
  <c r="I160" i="1"/>
  <c r="CA160" i="1" s="1"/>
  <c r="J160" i="1"/>
  <c r="BZ160" i="1"/>
  <c r="AM160" i="1"/>
  <c r="AO160" i="1"/>
  <c r="AP160" i="1"/>
  <c r="AQ160" i="1"/>
  <c r="A160" i="1" s="1"/>
  <c r="A161" i="10" s="1"/>
  <c r="AR160" i="1"/>
  <c r="AS160" i="1"/>
  <c r="AT160" i="1"/>
  <c r="AV160" i="1"/>
  <c r="AW160" i="1"/>
  <c r="AX160" i="1"/>
  <c r="AY160" i="1"/>
  <c r="AZ160" i="1"/>
  <c r="BA160" i="1"/>
  <c r="BB160" i="1"/>
  <c r="BC160" i="1"/>
  <c r="BE160" i="1"/>
  <c r="BF160" i="1"/>
  <c r="BG160" i="1"/>
  <c r="BH160" i="1"/>
  <c r="BI160" i="1"/>
  <c r="BJ160" i="1"/>
  <c r="BK160" i="1"/>
  <c r="BN160" i="1"/>
  <c r="BO160" i="1"/>
  <c r="BP160" i="1"/>
  <c r="BR160" i="1"/>
  <c r="BT160" i="1" s="1"/>
  <c r="BU160" i="1"/>
  <c r="CG160" i="1"/>
  <c r="CK160" i="1"/>
  <c r="CO160" i="1"/>
  <c r="CS160" i="1"/>
  <c r="DD160" i="1"/>
  <c r="F161" i="1"/>
  <c r="BW161" i="1" s="1"/>
  <c r="G161" i="1"/>
  <c r="BX161" i="1"/>
  <c r="H161" i="1"/>
  <c r="BY161" i="1" s="1"/>
  <c r="I161" i="1"/>
  <c r="CA161" i="1"/>
  <c r="J161" i="1"/>
  <c r="BZ161" i="1" s="1"/>
  <c r="AM161" i="1"/>
  <c r="AO161" i="1"/>
  <c r="M160" i="10"/>
  <c r="AP161" i="1"/>
  <c r="AQ161" i="1"/>
  <c r="A161" i="1"/>
  <c r="A160" i="10"/>
  <c r="AR161" i="1"/>
  <c r="AS161" i="1" s="1"/>
  <c r="AT161" i="1"/>
  <c r="AV161" i="1"/>
  <c r="AW161" i="1"/>
  <c r="AX161" i="1"/>
  <c r="AY161" i="1"/>
  <c r="AZ161" i="1"/>
  <c r="BA161" i="1"/>
  <c r="BB161" i="1"/>
  <c r="BC161" i="1"/>
  <c r="BE161" i="1"/>
  <c r="BF161" i="1"/>
  <c r="BG161" i="1"/>
  <c r="BH161" i="1"/>
  <c r="BI161" i="1"/>
  <c r="BJ161" i="1"/>
  <c r="BK161" i="1" s="1"/>
  <c r="BN161" i="1"/>
  <c r="BP161" i="1"/>
  <c r="BR161" i="1"/>
  <c r="BT161" i="1" s="1"/>
  <c r="BU161" i="1"/>
  <c r="CG161" i="1"/>
  <c r="CK161" i="1"/>
  <c r="CO161" i="1"/>
  <c r="CS161" i="1"/>
  <c r="DD161" i="1"/>
  <c r="F162" i="1"/>
  <c r="BW162" i="1" s="1"/>
  <c r="G162" i="1"/>
  <c r="BX162" i="1"/>
  <c r="H162" i="1"/>
  <c r="BY162" i="1" s="1"/>
  <c r="I162" i="1"/>
  <c r="CA162" i="1"/>
  <c r="J162" i="1"/>
  <c r="BZ162" i="1" s="1"/>
  <c r="AM162" i="1"/>
  <c r="AO162" i="1"/>
  <c r="M162" i="10" s="1"/>
  <c r="AP162" i="1"/>
  <c r="AQ162" i="1"/>
  <c r="A162" i="1"/>
  <c r="A162" i="10" s="1"/>
  <c r="AR162" i="1"/>
  <c r="AS162" i="1"/>
  <c r="AT162" i="1"/>
  <c r="AV162" i="1"/>
  <c r="AW162" i="1"/>
  <c r="AX162" i="1"/>
  <c r="AY162" i="1"/>
  <c r="AZ162" i="1"/>
  <c r="BA162" i="1"/>
  <c r="BB162" i="1"/>
  <c r="BC162" i="1"/>
  <c r="BE162" i="1"/>
  <c r="BF162" i="1"/>
  <c r="BG162" i="1"/>
  <c r="BH162" i="1"/>
  <c r="BI162" i="1"/>
  <c r="BJ162" i="1"/>
  <c r="BK162" i="1"/>
  <c r="BN162" i="1"/>
  <c r="BO162" i="1"/>
  <c r="BP162" i="1" s="1"/>
  <c r="BR162" i="1"/>
  <c r="BS162" i="1"/>
  <c r="BU162" i="1"/>
  <c r="CG162" i="1"/>
  <c r="CK162" i="1"/>
  <c r="CO162" i="1"/>
  <c r="CS162" i="1"/>
  <c r="DD162" i="1"/>
  <c r="DF162" i="1"/>
  <c r="F163" i="1"/>
  <c r="BW163" i="1" s="1"/>
  <c r="G163" i="1"/>
  <c r="BX163" i="1"/>
  <c r="H163" i="1"/>
  <c r="BY163" i="1" s="1"/>
  <c r="I163" i="1"/>
  <c r="CA163" i="1"/>
  <c r="J163" i="1"/>
  <c r="BZ163" i="1" s="1"/>
  <c r="AM163" i="1"/>
  <c r="AO163" i="1"/>
  <c r="M164" i="10"/>
  <c r="P164" i="10"/>
  <c r="V164" i="10" s="1"/>
  <c r="AP163" i="1"/>
  <c r="AQ163" i="1"/>
  <c r="A163" i="1" s="1"/>
  <c r="A164" i="10" s="1"/>
  <c r="AR163" i="1"/>
  <c r="AS163" i="1"/>
  <c r="AT163" i="1"/>
  <c r="AV163" i="1"/>
  <c r="AW163" i="1"/>
  <c r="AX163" i="1"/>
  <c r="AY163" i="1"/>
  <c r="AZ163" i="1"/>
  <c r="BA163" i="1"/>
  <c r="BB163" i="1"/>
  <c r="BC163" i="1"/>
  <c r="BE163" i="1"/>
  <c r="BF163" i="1"/>
  <c r="BG163" i="1"/>
  <c r="BH163" i="1"/>
  <c r="BI163" i="1"/>
  <c r="BJ163" i="1"/>
  <c r="BK163" i="1"/>
  <c r="BN163" i="1"/>
  <c r="BO163" i="1"/>
  <c r="BP163" i="1"/>
  <c r="BR163" i="1"/>
  <c r="BU163" i="1"/>
  <c r="CG163" i="1"/>
  <c r="CK163" i="1"/>
  <c r="CO163" i="1"/>
  <c r="CS163" i="1"/>
  <c r="DD163" i="1"/>
  <c r="F164" i="1"/>
  <c r="BW164" i="1"/>
  <c r="G164" i="1"/>
  <c r="BX164" i="1" s="1"/>
  <c r="H164" i="1"/>
  <c r="BY164" i="1"/>
  <c r="I164" i="1"/>
  <c r="CA164" i="1" s="1"/>
  <c r="J164" i="1"/>
  <c r="BZ164" i="1"/>
  <c r="AM164" i="1"/>
  <c r="AO164" i="1"/>
  <c r="M165" i="10"/>
  <c r="AP164" i="1"/>
  <c r="AQ164" i="1"/>
  <c r="A164" i="1" s="1"/>
  <c r="A165" i="10" s="1"/>
  <c r="AR164" i="1"/>
  <c r="AS164" i="1" s="1"/>
  <c r="AT164" i="1"/>
  <c r="AV164" i="1"/>
  <c r="AW164" i="1"/>
  <c r="AX164" i="1"/>
  <c r="AY164" i="1"/>
  <c r="AZ164" i="1"/>
  <c r="BA164" i="1"/>
  <c r="BB164" i="1"/>
  <c r="BC164" i="1"/>
  <c r="BE164" i="1"/>
  <c r="BF164" i="1"/>
  <c r="BG164" i="1"/>
  <c r="BH164" i="1"/>
  <c r="BI164" i="1"/>
  <c r="BJ164" i="1"/>
  <c r="BK164" i="1" s="1"/>
  <c r="BN164" i="1"/>
  <c r="BP164" i="1"/>
  <c r="BR164" i="1"/>
  <c r="BU164" i="1"/>
  <c r="CG164" i="1"/>
  <c r="CK164" i="1"/>
  <c r="CO164" i="1"/>
  <c r="CS164" i="1"/>
  <c r="DD164" i="1"/>
  <c r="F165" i="1"/>
  <c r="BW165" i="1"/>
  <c r="G165" i="1"/>
  <c r="BX165" i="1" s="1"/>
  <c r="H165" i="1"/>
  <c r="BY165" i="1"/>
  <c r="I165" i="1"/>
  <c r="CA165" i="1" s="1"/>
  <c r="J165" i="1"/>
  <c r="BZ165" i="1"/>
  <c r="AM165" i="1"/>
  <c r="AO165" i="1"/>
  <c r="M163" i="10"/>
  <c r="AP165" i="1"/>
  <c r="AQ165" i="1"/>
  <c r="A165" i="1" s="1"/>
  <c r="A163" i="10" s="1"/>
  <c r="AR165" i="1"/>
  <c r="AS165" i="1" s="1"/>
  <c r="AT165" i="1"/>
  <c r="AV165" i="1"/>
  <c r="AW165" i="1"/>
  <c r="AX165" i="1"/>
  <c r="AY165" i="1"/>
  <c r="AZ165" i="1"/>
  <c r="BA165" i="1"/>
  <c r="BB165" i="1"/>
  <c r="BC165" i="1"/>
  <c r="BE165" i="1"/>
  <c r="BF165" i="1"/>
  <c r="BG165" i="1"/>
  <c r="BH165" i="1"/>
  <c r="BI165" i="1"/>
  <c r="BJ165" i="1"/>
  <c r="BK165" i="1" s="1"/>
  <c r="BN165" i="1"/>
  <c r="BP165" i="1"/>
  <c r="BR165" i="1"/>
  <c r="BT165" i="1" s="1"/>
  <c r="BU165" i="1"/>
  <c r="CG165" i="1"/>
  <c r="CK165" i="1"/>
  <c r="CO165" i="1"/>
  <c r="CS165" i="1"/>
  <c r="DD165" i="1"/>
  <c r="F166" i="1"/>
  <c r="BW166" i="1" s="1"/>
  <c r="G166" i="1"/>
  <c r="BX166" i="1"/>
  <c r="H166" i="1"/>
  <c r="BY166" i="1" s="1"/>
  <c r="I166" i="1"/>
  <c r="CA166" i="1"/>
  <c r="J166" i="1"/>
  <c r="BZ166" i="1" s="1"/>
  <c r="AM166" i="1"/>
  <c r="AO166" i="1"/>
  <c r="M168" i="10"/>
  <c r="AP166" i="1"/>
  <c r="AQ166" i="1"/>
  <c r="A166" i="1"/>
  <c r="A168" i="10"/>
  <c r="AR166" i="1"/>
  <c r="AS166" i="1" s="1"/>
  <c r="AT166" i="1"/>
  <c r="AV166" i="1"/>
  <c r="AW166" i="1"/>
  <c r="AX166" i="1"/>
  <c r="AY166" i="1"/>
  <c r="AZ166" i="1"/>
  <c r="BA166" i="1"/>
  <c r="BB166" i="1"/>
  <c r="BC166" i="1"/>
  <c r="BE166" i="1"/>
  <c r="BF166" i="1"/>
  <c r="BG166" i="1"/>
  <c r="BH166" i="1"/>
  <c r="BI166" i="1"/>
  <c r="BJ166" i="1"/>
  <c r="BK166" i="1" s="1"/>
  <c r="BN166" i="1"/>
  <c r="BP166" i="1"/>
  <c r="BS166" i="1" s="1"/>
  <c r="BT166" i="1"/>
  <c r="BU166" i="1"/>
  <c r="CG166" i="1"/>
  <c r="CK166" i="1"/>
  <c r="CO166" i="1"/>
  <c r="CS166" i="1"/>
  <c r="DD166" i="1"/>
  <c r="F167" i="1"/>
  <c r="BW167" i="1" s="1"/>
  <c r="G167" i="1"/>
  <c r="BX167" i="1"/>
  <c r="H167" i="1"/>
  <c r="BY167" i="1" s="1"/>
  <c r="I167" i="1"/>
  <c r="CA167" i="1"/>
  <c r="J167" i="1"/>
  <c r="BZ167" i="1" s="1"/>
  <c r="AM167" i="1"/>
  <c r="AO167" i="1"/>
  <c r="M167" i="10" s="1"/>
  <c r="AP167" i="1"/>
  <c r="AQ167" i="1"/>
  <c r="A167" i="1"/>
  <c r="A167" i="10" s="1"/>
  <c r="AR167" i="1"/>
  <c r="AS167" i="1"/>
  <c r="AT167" i="1"/>
  <c r="AV167" i="1"/>
  <c r="AW167" i="1"/>
  <c r="AX167" i="1"/>
  <c r="AY167" i="1"/>
  <c r="AZ167" i="1"/>
  <c r="BA167" i="1"/>
  <c r="BB167" i="1"/>
  <c r="BC167" i="1"/>
  <c r="BE167" i="1"/>
  <c r="BF167" i="1"/>
  <c r="BG167" i="1"/>
  <c r="BH167" i="1"/>
  <c r="BI167" i="1"/>
  <c r="BJ167" i="1"/>
  <c r="BK167" i="1"/>
  <c r="BN167" i="1"/>
  <c r="BO167" i="1"/>
  <c r="BP167" i="1" s="1"/>
  <c r="BR167" i="1"/>
  <c r="BT167" i="1"/>
  <c r="BU167" i="1"/>
  <c r="CG167" i="1"/>
  <c r="CK167" i="1"/>
  <c r="CO167" i="1"/>
  <c r="CS167" i="1"/>
  <c r="DD167" i="1"/>
  <c r="F168" i="1"/>
  <c r="BW168" i="1"/>
  <c r="G168" i="1"/>
  <c r="BX168" i="1" s="1"/>
  <c r="H168" i="1"/>
  <c r="BY168" i="1"/>
  <c r="I168" i="1"/>
  <c r="CA168" i="1" s="1"/>
  <c r="J168" i="1"/>
  <c r="BZ168" i="1"/>
  <c r="AM168" i="1"/>
  <c r="AO168" i="1"/>
  <c r="M166" i="10"/>
  <c r="AP168" i="1"/>
  <c r="AQ168" i="1"/>
  <c r="A168" i="1" s="1"/>
  <c r="A166" i="10" s="1"/>
  <c r="AR168" i="1"/>
  <c r="AS168" i="1" s="1"/>
  <c r="AT168" i="1"/>
  <c r="AV168" i="1"/>
  <c r="AW168" i="1"/>
  <c r="AX168" i="1"/>
  <c r="AY168" i="1"/>
  <c r="AZ168" i="1"/>
  <c r="BA168" i="1"/>
  <c r="BB168" i="1"/>
  <c r="BC168" i="1"/>
  <c r="BE168" i="1"/>
  <c r="BF168" i="1"/>
  <c r="BG168" i="1"/>
  <c r="BH168" i="1"/>
  <c r="BI168" i="1"/>
  <c r="BJ168" i="1"/>
  <c r="BK168" i="1" s="1"/>
  <c r="BN168" i="1"/>
  <c r="BP168" i="1"/>
  <c r="BR168" i="1"/>
  <c r="BT168" i="1" s="1"/>
  <c r="BU168" i="1"/>
  <c r="CG168" i="1"/>
  <c r="CK168" i="1"/>
  <c r="CO168" i="1"/>
  <c r="CS168" i="1"/>
  <c r="DD168" i="1"/>
  <c r="F169" i="1"/>
  <c r="BW169" i="1" s="1"/>
  <c r="G169" i="1"/>
  <c r="BX169" i="1"/>
  <c r="H169" i="1"/>
  <c r="BY169" i="1" s="1"/>
  <c r="I169" i="1"/>
  <c r="CA169" i="1"/>
  <c r="J169" i="1"/>
  <c r="BZ169" i="1" s="1"/>
  <c r="AM169" i="1"/>
  <c r="AO169" i="1"/>
  <c r="M169" i="10"/>
  <c r="AP169" i="1"/>
  <c r="AQ169" i="1"/>
  <c r="A169" i="1"/>
  <c r="A169" i="10"/>
  <c r="AR169" i="1"/>
  <c r="AS169" i="1" s="1"/>
  <c r="AT169" i="1"/>
  <c r="AV169" i="1"/>
  <c r="AW169" i="1"/>
  <c r="AX169" i="1"/>
  <c r="AY169" i="1"/>
  <c r="AZ169" i="1"/>
  <c r="BA169" i="1"/>
  <c r="BB169" i="1"/>
  <c r="BC169" i="1"/>
  <c r="BE169" i="1"/>
  <c r="BF169" i="1"/>
  <c r="BG169" i="1"/>
  <c r="BH169" i="1"/>
  <c r="BI169" i="1"/>
  <c r="BJ169" i="1"/>
  <c r="BK169" i="1" s="1"/>
  <c r="BN169" i="1"/>
  <c r="BP169" i="1"/>
  <c r="BR169" i="1"/>
  <c r="BU169" i="1"/>
  <c r="CG169" i="1"/>
  <c r="CK169" i="1"/>
  <c r="CO169" i="1"/>
  <c r="CS169" i="1"/>
  <c r="DD169" i="1"/>
  <c r="DF169" i="1"/>
  <c r="F170" i="1"/>
  <c r="BW170" i="1" s="1"/>
  <c r="G170" i="1"/>
  <c r="BX170" i="1"/>
  <c r="H170" i="1"/>
  <c r="BY170" i="1" s="1"/>
  <c r="I170" i="1"/>
  <c r="CA170" i="1"/>
  <c r="J170" i="1"/>
  <c r="BZ170" i="1" s="1"/>
  <c r="AM170" i="1"/>
  <c r="AO170" i="1"/>
  <c r="M170" i="10" s="1"/>
  <c r="AP170" i="1"/>
  <c r="AQ170" i="1"/>
  <c r="A170" i="1"/>
  <c r="A170" i="10" s="1"/>
  <c r="AR170" i="1"/>
  <c r="AS170" i="1"/>
  <c r="AT170" i="1"/>
  <c r="AV170" i="1"/>
  <c r="AW170" i="1"/>
  <c r="AX170" i="1"/>
  <c r="AY170" i="1"/>
  <c r="AZ170" i="1"/>
  <c r="BA170" i="1"/>
  <c r="BB170" i="1"/>
  <c r="BC170" i="1"/>
  <c r="BE170" i="1"/>
  <c r="BF170" i="1"/>
  <c r="BG170" i="1"/>
  <c r="BH170" i="1"/>
  <c r="BI170" i="1"/>
  <c r="BJ170" i="1"/>
  <c r="BK170" i="1"/>
  <c r="BN170" i="1"/>
  <c r="BO170" i="1"/>
  <c r="BP170" i="1" s="1"/>
  <c r="BR170" i="1"/>
  <c r="BU170" i="1"/>
  <c r="CG170" i="1"/>
  <c r="CK170" i="1"/>
  <c r="CO170" i="1"/>
  <c r="CS170" i="1"/>
  <c r="DD170" i="1"/>
  <c r="F171" i="1"/>
  <c r="BW171" i="1"/>
  <c r="G171" i="1"/>
  <c r="BX171" i="1" s="1"/>
  <c r="H171" i="1"/>
  <c r="BY171" i="1"/>
  <c r="I171" i="1"/>
  <c r="CA171" i="1" s="1"/>
  <c r="J171" i="1"/>
  <c r="BZ171" i="1"/>
  <c r="AM171" i="1"/>
  <c r="AO171" i="1"/>
  <c r="M171" i="10" s="1"/>
  <c r="AP171" i="1"/>
  <c r="AQ171" i="1"/>
  <c r="A171" i="1" s="1"/>
  <c r="A171" i="10" s="1"/>
  <c r="AR171" i="1"/>
  <c r="AS171" i="1"/>
  <c r="AT171" i="1"/>
  <c r="AV171" i="1"/>
  <c r="AW171" i="1"/>
  <c r="AX171" i="1"/>
  <c r="AY171" i="1"/>
  <c r="AZ171" i="1"/>
  <c r="BA171" i="1"/>
  <c r="BB171" i="1"/>
  <c r="BC171" i="1"/>
  <c r="BE171" i="1"/>
  <c r="BF171" i="1"/>
  <c r="BG171" i="1"/>
  <c r="BH171" i="1"/>
  <c r="BI171" i="1"/>
  <c r="BJ171" i="1"/>
  <c r="BK171" i="1"/>
  <c r="BN171" i="1"/>
  <c r="BP171" i="1"/>
  <c r="BR171" i="1"/>
  <c r="BT171" i="1"/>
  <c r="BU171" i="1"/>
  <c r="CG171" i="1"/>
  <c r="CK171" i="1"/>
  <c r="CO171" i="1"/>
  <c r="CS171" i="1"/>
  <c r="DD171" i="1"/>
  <c r="DF171" i="1"/>
  <c r="F172" i="1"/>
  <c r="BW172" i="1" s="1"/>
  <c r="G172" i="1"/>
  <c r="BX172" i="1"/>
  <c r="H172" i="1"/>
  <c r="BY172" i="1" s="1"/>
  <c r="I172" i="1"/>
  <c r="CA172" i="1"/>
  <c r="J172" i="1"/>
  <c r="BZ172" i="1" s="1"/>
  <c r="AM172" i="1"/>
  <c r="AO172" i="1"/>
  <c r="M172" i="10"/>
  <c r="AP172" i="1"/>
  <c r="AQ172" i="1"/>
  <c r="A172" i="1"/>
  <c r="A172" i="10"/>
  <c r="AR172" i="1"/>
  <c r="AS172" i="1" s="1"/>
  <c r="AT172" i="1"/>
  <c r="AV172" i="1"/>
  <c r="AW172" i="1"/>
  <c r="AX172" i="1"/>
  <c r="AY172" i="1"/>
  <c r="AZ172" i="1"/>
  <c r="BA172" i="1"/>
  <c r="BB172" i="1"/>
  <c r="BC172" i="1"/>
  <c r="BE172" i="1"/>
  <c r="BF172" i="1"/>
  <c r="BG172" i="1"/>
  <c r="BH172" i="1"/>
  <c r="BI172" i="1"/>
  <c r="BJ172" i="1"/>
  <c r="BK172" i="1" s="1"/>
  <c r="BN172" i="1"/>
  <c r="BP172" i="1"/>
  <c r="BR172" i="1"/>
  <c r="BU172" i="1"/>
  <c r="CG172" i="1"/>
  <c r="CK172" i="1"/>
  <c r="CO172" i="1"/>
  <c r="CS172" i="1"/>
  <c r="DD172" i="1"/>
  <c r="F173" i="1"/>
  <c r="BW173" i="1" s="1"/>
  <c r="G173" i="1"/>
  <c r="BX173" i="1"/>
  <c r="H173" i="1"/>
  <c r="BY173" i="1" s="1"/>
  <c r="I173" i="1"/>
  <c r="CA173" i="1"/>
  <c r="J173" i="1"/>
  <c r="BZ173" i="1" s="1"/>
  <c r="AM173" i="1"/>
  <c r="AO173" i="1"/>
  <c r="M173" i="10"/>
  <c r="AP173" i="1"/>
  <c r="AQ173" i="1"/>
  <c r="A173" i="1"/>
  <c r="A173" i="10"/>
  <c r="AR173" i="1"/>
  <c r="AS173" i="1" s="1"/>
  <c r="AT173" i="1"/>
  <c r="AV173" i="1"/>
  <c r="AW173" i="1"/>
  <c r="AX173" i="1"/>
  <c r="AY173" i="1"/>
  <c r="AZ173" i="1"/>
  <c r="BA173" i="1"/>
  <c r="BB173" i="1"/>
  <c r="BC173" i="1"/>
  <c r="BE173" i="1"/>
  <c r="BF173" i="1"/>
  <c r="BG173" i="1"/>
  <c r="BH173" i="1"/>
  <c r="BI173" i="1"/>
  <c r="BJ173" i="1"/>
  <c r="BK173" i="1" s="1"/>
  <c r="BN173" i="1"/>
  <c r="BP173" i="1"/>
  <c r="BR173" i="1"/>
  <c r="BU173" i="1"/>
  <c r="CG173" i="1"/>
  <c r="CK173" i="1"/>
  <c r="CO173" i="1"/>
  <c r="CS173" i="1"/>
  <c r="DD173" i="1"/>
  <c r="F174" i="1"/>
  <c r="BW174" i="1" s="1"/>
  <c r="G174" i="1"/>
  <c r="BX174" i="1"/>
  <c r="H174" i="1"/>
  <c r="BY174" i="1" s="1"/>
  <c r="I174" i="1"/>
  <c r="CA174" i="1"/>
  <c r="J174" i="1"/>
  <c r="BZ174" i="1" s="1"/>
  <c r="AM174" i="1"/>
  <c r="AO174" i="1"/>
  <c r="M174" i="10"/>
  <c r="AP174" i="1"/>
  <c r="AQ174" i="1"/>
  <c r="A174" i="1"/>
  <c r="A174" i="10"/>
  <c r="AR174" i="1"/>
  <c r="AS174" i="1" s="1"/>
  <c r="AT174" i="1"/>
  <c r="AV174" i="1"/>
  <c r="AW174" i="1"/>
  <c r="AX174" i="1"/>
  <c r="AY174" i="1"/>
  <c r="AZ174" i="1"/>
  <c r="BA174" i="1"/>
  <c r="BB174" i="1"/>
  <c r="BC174" i="1"/>
  <c r="BE174" i="1"/>
  <c r="BF174" i="1"/>
  <c r="BG174" i="1"/>
  <c r="BH174" i="1"/>
  <c r="BI174" i="1"/>
  <c r="BJ174" i="1"/>
  <c r="BK174" i="1" s="1"/>
  <c r="BN174" i="1"/>
  <c r="BO174" i="1"/>
  <c r="BP174" i="1" s="1"/>
  <c r="BR174" i="1"/>
  <c r="BT174" i="1"/>
  <c r="BU174" i="1"/>
  <c r="CG174" i="1"/>
  <c r="CK174" i="1"/>
  <c r="CO174" i="1"/>
  <c r="CS174" i="1"/>
  <c r="DD174" i="1"/>
  <c r="F175" i="1"/>
  <c r="BW175" i="1"/>
  <c r="G175" i="1"/>
  <c r="BX175" i="1" s="1"/>
  <c r="H175" i="1"/>
  <c r="BY175" i="1"/>
  <c r="I175" i="1"/>
  <c r="CA175" i="1" s="1"/>
  <c r="J175" i="1"/>
  <c r="BZ175" i="1"/>
  <c r="AM175" i="1"/>
  <c r="AO175" i="1"/>
  <c r="M175" i="10" s="1"/>
  <c r="AP175" i="1"/>
  <c r="AQ175" i="1"/>
  <c r="A175" i="1" s="1"/>
  <c r="A175" i="10" s="1"/>
  <c r="AR175" i="1"/>
  <c r="AS175" i="1"/>
  <c r="AT175" i="1"/>
  <c r="AV175" i="1"/>
  <c r="AW175" i="1"/>
  <c r="AX175" i="1"/>
  <c r="AY175" i="1"/>
  <c r="AZ175" i="1"/>
  <c r="BA175" i="1"/>
  <c r="BB175" i="1"/>
  <c r="BC175" i="1"/>
  <c r="BE175" i="1"/>
  <c r="BF175" i="1"/>
  <c r="BG175" i="1"/>
  <c r="BH175" i="1"/>
  <c r="BI175" i="1"/>
  <c r="BJ175" i="1"/>
  <c r="BK175" i="1"/>
  <c r="BN175" i="1"/>
  <c r="BP175" i="1"/>
  <c r="BR175" i="1"/>
  <c r="BU175" i="1"/>
  <c r="CG175" i="1"/>
  <c r="CK175" i="1"/>
  <c r="CO175" i="1"/>
  <c r="CS175" i="1"/>
  <c r="DD175" i="1"/>
  <c r="DE175" i="1" s="1"/>
  <c r="F176" i="1"/>
  <c r="BW176" i="1"/>
  <c r="G176" i="1"/>
  <c r="BX176" i="1" s="1"/>
  <c r="H176" i="1"/>
  <c r="BY176" i="1"/>
  <c r="I176" i="1"/>
  <c r="CA176" i="1" s="1"/>
  <c r="J176" i="1"/>
  <c r="BZ176" i="1"/>
  <c r="AM176" i="1"/>
  <c r="AO176" i="1"/>
  <c r="AP176" i="1"/>
  <c r="AQ176" i="1"/>
  <c r="A176" i="1" s="1"/>
  <c r="A176" i="10" s="1"/>
  <c r="AR176" i="1"/>
  <c r="AS176" i="1"/>
  <c r="AT176" i="1"/>
  <c r="AV176" i="1"/>
  <c r="AW176" i="1"/>
  <c r="AX176" i="1"/>
  <c r="AY176" i="1"/>
  <c r="AZ176" i="1"/>
  <c r="BA176" i="1"/>
  <c r="BB176" i="1"/>
  <c r="BC176" i="1"/>
  <c r="BE176" i="1"/>
  <c r="BF176" i="1"/>
  <c r="BG176" i="1"/>
  <c r="BH176" i="1"/>
  <c r="BI176" i="1"/>
  <c r="BJ176" i="1"/>
  <c r="BK176" i="1"/>
  <c r="BN176" i="1"/>
  <c r="BO176" i="1"/>
  <c r="BP176" i="1"/>
  <c r="BR176" i="1"/>
  <c r="BU176" i="1"/>
  <c r="CG176" i="1"/>
  <c r="CK176" i="1"/>
  <c r="CO176" i="1"/>
  <c r="CS176" i="1"/>
  <c r="DD176" i="1"/>
  <c r="DE176" i="1"/>
  <c r="F177" i="1"/>
  <c r="BW177" i="1" s="1"/>
  <c r="G177" i="1"/>
  <c r="BX177" i="1"/>
  <c r="H177" i="1"/>
  <c r="BY177" i="1" s="1"/>
  <c r="I177" i="1"/>
  <c r="CA177" i="1"/>
  <c r="J177" i="1"/>
  <c r="BZ177" i="1" s="1"/>
  <c r="AM177" i="1"/>
  <c r="AO177" i="1"/>
  <c r="M177" i="10"/>
  <c r="AP177" i="1"/>
  <c r="AQ177" i="1"/>
  <c r="A177" i="1"/>
  <c r="A177" i="10"/>
  <c r="AR177" i="1"/>
  <c r="AS177" i="1" s="1"/>
  <c r="AT177" i="1"/>
  <c r="AV177" i="1"/>
  <c r="AW177" i="1"/>
  <c r="AX177" i="1"/>
  <c r="AY177" i="1"/>
  <c r="AZ177" i="1"/>
  <c r="BA177" i="1"/>
  <c r="BB177" i="1"/>
  <c r="BC177" i="1"/>
  <c r="BE177" i="1"/>
  <c r="BF177" i="1"/>
  <c r="BG177" i="1"/>
  <c r="BH177" i="1"/>
  <c r="BI177" i="1"/>
  <c r="BJ177" i="1"/>
  <c r="BK177" i="1" s="1"/>
  <c r="BN177" i="1"/>
  <c r="BP177" i="1"/>
  <c r="BR177" i="1"/>
  <c r="BU177" i="1"/>
  <c r="CG177" i="1"/>
  <c r="CK177" i="1"/>
  <c r="CO177" i="1"/>
  <c r="CS177" i="1"/>
  <c r="DD177" i="1"/>
  <c r="DF177" i="1"/>
  <c r="F178" i="1"/>
  <c r="BW178" i="1" s="1"/>
  <c r="G178" i="1"/>
  <c r="BX178" i="1"/>
  <c r="H178" i="1"/>
  <c r="BY178" i="1" s="1"/>
  <c r="I178" i="1"/>
  <c r="CA178" i="1"/>
  <c r="J178" i="1"/>
  <c r="BZ178" i="1" s="1"/>
  <c r="AM178" i="1"/>
  <c r="AO178" i="1"/>
  <c r="M180" i="10" s="1"/>
  <c r="AP178" i="1"/>
  <c r="AQ178" i="1"/>
  <c r="A178" i="1"/>
  <c r="A180" i="10" s="1"/>
  <c r="AR178" i="1"/>
  <c r="AS178" i="1"/>
  <c r="AT178" i="1"/>
  <c r="AV178" i="1"/>
  <c r="AW178" i="1"/>
  <c r="AX178" i="1"/>
  <c r="AY178" i="1"/>
  <c r="AZ178" i="1"/>
  <c r="BA178" i="1"/>
  <c r="BB178" i="1"/>
  <c r="BC178" i="1"/>
  <c r="BE178" i="1"/>
  <c r="BF178" i="1"/>
  <c r="BG178" i="1"/>
  <c r="BH178" i="1"/>
  <c r="BI178" i="1"/>
  <c r="BJ178" i="1"/>
  <c r="BK178" i="1"/>
  <c r="BN178" i="1"/>
  <c r="BP178" i="1"/>
  <c r="BR178" i="1"/>
  <c r="BU178" i="1"/>
  <c r="CG178" i="1"/>
  <c r="CK178" i="1"/>
  <c r="CO178" i="1"/>
  <c r="CS178" i="1"/>
  <c r="DD178" i="1"/>
  <c r="F179" i="1"/>
  <c r="BW179" i="1" s="1"/>
  <c r="G179" i="1"/>
  <c r="BX179" i="1"/>
  <c r="H179" i="1"/>
  <c r="BY179" i="1" s="1"/>
  <c r="I179" i="1"/>
  <c r="CA179" i="1"/>
  <c r="J179" i="1"/>
  <c r="BZ179" i="1" s="1"/>
  <c r="AM179" i="1"/>
  <c r="AO179" i="1"/>
  <c r="M179" i="10" s="1"/>
  <c r="AP179" i="1"/>
  <c r="AQ179" i="1"/>
  <c r="A179" i="1"/>
  <c r="A179" i="10" s="1"/>
  <c r="AR179" i="1"/>
  <c r="AS179" i="1"/>
  <c r="AT179" i="1"/>
  <c r="AV179" i="1"/>
  <c r="AW179" i="1"/>
  <c r="AX179" i="1"/>
  <c r="AY179" i="1"/>
  <c r="AZ179" i="1"/>
  <c r="BA179" i="1"/>
  <c r="BB179" i="1"/>
  <c r="BC179" i="1"/>
  <c r="BE179" i="1"/>
  <c r="BF179" i="1"/>
  <c r="BG179" i="1"/>
  <c r="BH179" i="1"/>
  <c r="BI179" i="1"/>
  <c r="BJ179" i="1"/>
  <c r="BK179" i="1"/>
  <c r="BN179" i="1"/>
  <c r="BO179" i="1"/>
  <c r="BP179" i="1" s="1"/>
  <c r="BR179" i="1"/>
  <c r="BT179" i="1" s="1"/>
  <c r="BS179" i="1"/>
  <c r="BU179" i="1"/>
  <c r="CG179" i="1"/>
  <c r="CK179" i="1"/>
  <c r="CO179" i="1"/>
  <c r="CS179" i="1"/>
  <c r="DD179" i="1"/>
  <c r="DE179" i="1"/>
  <c r="F180" i="1"/>
  <c r="BW180" i="1" s="1"/>
  <c r="G180" i="1"/>
  <c r="BX180" i="1"/>
  <c r="H180" i="1"/>
  <c r="BY180" i="1" s="1"/>
  <c r="I180" i="1"/>
  <c r="CA180" i="1"/>
  <c r="J180" i="1"/>
  <c r="BZ180" i="1" s="1"/>
  <c r="AM180" i="1"/>
  <c r="AO180" i="1"/>
  <c r="M178" i="10" s="1"/>
  <c r="AP180" i="1"/>
  <c r="AQ180" i="1"/>
  <c r="A180" i="1"/>
  <c r="A178" i="10" s="1"/>
  <c r="AR180" i="1"/>
  <c r="AS180" i="1"/>
  <c r="AT180" i="1"/>
  <c r="AV180" i="1"/>
  <c r="AW180" i="1"/>
  <c r="AX180" i="1"/>
  <c r="AY180" i="1"/>
  <c r="AZ180" i="1"/>
  <c r="BA180" i="1"/>
  <c r="BB180" i="1"/>
  <c r="BC180" i="1"/>
  <c r="BE180" i="1"/>
  <c r="BF180" i="1"/>
  <c r="BG180" i="1"/>
  <c r="BH180" i="1"/>
  <c r="BI180" i="1"/>
  <c r="BJ180" i="1"/>
  <c r="BK180" i="1"/>
  <c r="BN180" i="1"/>
  <c r="BO180" i="1"/>
  <c r="BP180" i="1" s="1"/>
  <c r="BR180" i="1"/>
  <c r="BT180" i="1"/>
  <c r="BU180" i="1"/>
  <c r="CG180" i="1"/>
  <c r="CK180" i="1"/>
  <c r="CO180" i="1"/>
  <c r="CS180" i="1"/>
  <c r="DD180" i="1"/>
  <c r="F181" i="1"/>
  <c r="BW181" i="1"/>
  <c r="G181" i="1"/>
  <c r="BX181" i="1" s="1"/>
  <c r="H181" i="1"/>
  <c r="BY181" i="1"/>
  <c r="I181" i="1"/>
  <c r="CA181" i="1" s="1"/>
  <c r="J181" i="1"/>
  <c r="BZ181" i="1"/>
  <c r="AM181" i="1"/>
  <c r="AO181" i="1"/>
  <c r="M183" i="10"/>
  <c r="AP181" i="1"/>
  <c r="AQ181" i="1"/>
  <c r="A181" i="1" s="1"/>
  <c r="A183" i="10" s="1"/>
  <c r="AR181" i="1"/>
  <c r="AS181" i="1" s="1"/>
  <c r="AT181" i="1"/>
  <c r="AV181" i="1"/>
  <c r="AW181" i="1"/>
  <c r="AX181" i="1"/>
  <c r="AY181" i="1"/>
  <c r="AZ181" i="1"/>
  <c r="BA181" i="1"/>
  <c r="BB181" i="1"/>
  <c r="BC181" i="1"/>
  <c r="BE181" i="1"/>
  <c r="BF181" i="1"/>
  <c r="BG181" i="1"/>
  <c r="BH181" i="1"/>
  <c r="BI181" i="1"/>
  <c r="BJ181" i="1"/>
  <c r="BK181" i="1" s="1"/>
  <c r="BN181" i="1"/>
  <c r="BP181" i="1"/>
  <c r="BR181" i="1"/>
  <c r="BT181" i="1" s="1"/>
  <c r="BU181" i="1"/>
  <c r="CG181" i="1"/>
  <c r="CK181" i="1"/>
  <c r="CO181" i="1"/>
  <c r="CS181" i="1"/>
  <c r="DD181" i="1"/>
  <c r="DE181" i="1"/>
  <c r="F182" i="1"/>
  <c r="BW182" i="1" s="1"/>
  <c r="G182" i="1"/>
  <c r="BX182" i="1"/>
  <c r="H182" i="1"/>
  <c r="BY182" i="1" s="1"/>
  <c r="I182" i="1"/>
  <c r="CA182" i="1"/>
  <c r="J182" i="1"/>
  <c r="BZ182" i="1" s="1"/>
  <c r="AM182" i="1"/>
  <c r="AO182" i="1"/>
  <c r="AP182" i="1"/>
  <c r="AQ182" i="1"/>
  <c r="A182" i="1"/>
  <c r="A182" i="10"/>
  <c r="AR182" i="1"/>
  <c r="AS182" i="1" s="1"/>
  <c r="AT182" i="1"/>
  <c r="AV182" i="1"/>
  <c r="AW182" i="1"/>
  <c r="AX182" i="1"/>
  <c r="AY182" i="1"/>
  <c r="AZ182" i="1"/>
  <c r="BA182" i="1"/>
  <c r="BB182" i="1"/>
  <c r="BC182" i="1"/>
  <c r="BE182" i="1"/>
  <c r="BF182" i="1"/>
  <c r="BG182" i="1"/>
  <c r="BH182" i="1"/>
  <c r="BI182" i="1"/>
  <c r="BJ182" i="1"/>
  <c r="BK182" i="1" s="1"/>
  <c r="BN182" i="1"/>
  <c r="BO182" i="1"/>
  <c r="BP182" i="1" s="1"/>
  <c r="BR182" i="1"/>
  <c r="BU182" i="1"/>
  <c r="CG182" i="1"/>
  <c r="CK182" i="1"/>
  <c r="CO182" i="1"/>
  <c r="CS182" i="1"/>
  <c r="DD182" i="1"/>
  <c r="F183" i="1"/>
  <c r="BW183" i="1" s="1"/>
  <c r="G183" i="1"/>
  <c r="BX183" i="1"/>
  <c r="H183" i="1"/>
  <c r="BY183" i="1" s="1"/>
  <c r="I183" i="1"/>
  <c r="CA183" i="1"/>
  <c r="J183" i="1"/>
  <c r="BZ183" i="1" s="1"/>
  <c r="AM183" i="1"/>
  <c r="AO183" i="1"/>
  <c r="M181" i="10" s="1"/>
  <c r="AP183" i="1"/>
  <c r="AQ183" i="1"/>
  <c r="A183" i="1"/>
  <c r="A181" i="10" s="1"/>
  <c r="AR183" i="1"/>
  <c r="AS183" i="1"/>
  <c r="AT183" i="1"/>
  <c r="AV183" i="1"/>
  <c r="AW183" i="1"/>
  <c r="AX183" i="1"/>
  <c r="AY183" i="1"/>
  <c r="AZ183" i="1"/>
  <c r="BA183" i="1"/>
  <c r="BB183" i="1"/>
  <c r="BC183" i="1"/>
  <c r="BE183" i="1"/>
  <c r="BF183" i="1"/>
  <c r="BG183" i="1"/>
  <c r="BH183" i="1"/>
  <c r="BI183" i="1"/>
  <c r="BJ183" i="1"/>
  <c r="BK183" i="1"/>
  <c r="BN183" i="1"/>
  <c r="BO183" i="1"/>
  <c r="BP183" i="1" s="1"/>
  <c r="BR183" i="1"/>
  <c r="BT183" i="1"/>
  <c r="BU183" i="1"/>
  <c r="CG183" i="1"/>
  <c r="CK183" i="1"/>
  <c r="CO183" i="1"/>
  <c r="CS183" i="1"/>
  <c r="DD183" i="1"/>
  <c r="DF183" i="1"/>
  <c r="F184" i="1"/>
  <c r="BW184" i="1" s="1"/>
  <c r="G184" i="1"/>
  <c r="BX184" i="1"/>
  <c r="H184" i="1"/>
  <c r="BY184" i="1" s="1"/>
  <c r="I184" i="1"/>
  <c r="CA184" i="1"/>
  <c r="J184" i="1"/>
  <c r="BZ184" i="1" s="1"/>
  <c r="AM184" i="1"/>
  <c r="AO184" i="1"/>
  <c r="M185" i="10"/>
  <c r="AP184" i="1"/>
  <c r="AQ184" i="1"/>
  <c r="A184" i="1"/>
  <c r="A185" i="10"/>
  <c r="AR184" i="1"/>
  <c r="AS184" i="1" s="1"/>
  <c r="AT184" i="1"/>
  <c r="AV184" i="1"/>
  <c r="AW184" i="1"/>
  <c r="AX184" i="1"/>
  <c r="AY184" i="1"/>
  <c r="AZ184" i="1"/>
  <c r="BA184" i="1"/>
  <c r="BB184" i="1"/>
  <c r="BC184" i="1"/>
  <c r="BE184" i="1"/>
  <c r="BF184" i="1"/>
  <c r="BG184" i="1"/>
  <c r="BH184" i="1"/>
  <c r="BI184" i="1"/>
  <c r="BJ184" i="1"/>
  <c r="BK184" i="1" s="1"/>
  <c r="BN184" i="1"/>
  <c r="BO184" i="1"/>
  <c r="BP184" i="1" s="1"/>
  <c r="BR184" i="1"/>
  <c r="BU184" i="1"/>
  <c r="CG184" i="1"/>
  <c r="CK184" i="1"/>
  <c r="CO184" i="1"/>
  <c r="CS184" i="1"/>
  <c r="DD184" i="1"/>
  <c r="F185" i="1"/>
  <c r="BW185" i="1" s="1"/>
  <c r="G185" i="1"/>
  <c r="BX185" i="1"/>
  <c r="H185" i="1"/>
  <c r="BY185" i="1" s="1"/>
  <c r="I185" i="1"/>
  <c r="CA185" i="1"/>
  <c r="J185" i="1"/>
  <c r="BZ185" i="1" s="1"/>
  <c r="AM185" i="1"/>
  <c r="AO185" i="1"/>
  <c r="M186" i="10" s="1"/>
  <c r="AP185" i="1"/>
  <c r="AQ185" i="1"/>
  <c r="A185" i="1"/>
  <c r="A186" i="10" s="1"/>
  <c r="AR185" i="1"/>
  <c r="AS185" i="1"/>
  <c r="AT185" i="1"/>
  <c r="AV185" i="1"/>
  <c r="AW185" i="1"/>
  <c r="AX185" i="1"/>
  <c r="AY185" i="1"/>
  <c r="AZ185" i="1"/>
  <c r="BA185" i="1"/>
  <c r="BB185" i="1"/>
  <c r="BC185" i="1"/>
  <c r="BE185" i="1"/>
  <c r="BF185" i="1"/>
  <c r="BG185" i="1"/>
  <c r="BH185" i="1"/>
  <c r="BI185" i="1"/>
  <c r="BJ185" i="1"/>
  <c r="BK185" i="1"/>
  <c r="BN185" i="1"/>
  <c r="BO185" i="1"/>
  <c r="BP185" i="1" s="1"/>
  <c r="BR185" i="1"/>
  <c r="BT185" i="1"/>
  <c r="BU185" i="1"/>
  <c r="CG185" i="1"/>
  <c r="CK185" i="1"/>
  <c r="CO185" i="1"/>
  <c r="CS185" i="1"/>
  <c r="DD185" i="1"/>
  <c r="DE185" i="1"/>
  <c r="F186" i="1"/>
  <c r="BW186" i="1" s="1"/>
  <c r="G186" i="1"/>
  <c r="BX186" i="1"/>
  <c r="H186" i="1"/>
  <c r="BY186" i="1" s="1"/>
  <c r="I186" i="1"/>
  <c r="CA186" i="1"/>
  <c r="J186" i="1"/>
  <c r="BZ186" i="1" s="1"/>
  <c r="AM186" i="1"/>
  <c r="AO186" i="1"/>
  <c r="M184" i="10"/>
  <c r="AP186" i="1"/>
  <c r="AQ186" i="1"/>
  <c r="A186" i="1"/>
  <c r="A184" i="10"/>
  <c r="AR186" i="1"/>
  <c r="AS186" i="1" s="1"/>
  <c r="AT186" i="1"/>
  <c r="AV186" i="1"/>
  <c r="AW186" i="1"/>
  <c r="AX186" i="1"/>
  <c r="AY186" i="1"/>
  <c r="AZ186" i="1"/>
  <c r="BA186" i="1"/>
  <c r="BB186" i="1"/>
  <c r="BC186" i="1"/>
  <c r="BE186" i="1"/>
  <c r="BF186" i="1"/>
  <c r="BG186" i="1"/>
  <c r="BH186" i="1"/>
  <c r="BI186" i="1"/>
  <c r="BJ186" i="1"/>
  <c r="BK186" i="1" s="1"/>
  <c r="BN186" i="1"/>
  <c r="BO186" i="1"/>
  <c r="BP186" i="1" s="1"/>
  <c r="BR186" i="1"/>
  <c r="BU186" i="1"/>
  <c r="CG186" i="1"/>
  <c r="CK186" i="1"/>
  <c r="CO186" i="1"/>
  <c r="CS186" i="1"/>
  <c r="DD186" i="1"/>
  <c r="DF186" i="1" s="1"/>
  <c r="F187" i="1"/>
  <c r="BW187" i="1"/>
  <c r="G187" i="1"/>
  <c r="BX187" i="1" s="1"/>
  <c r="H187" i="1"/>
  <c r="BY187" i="1"/>
  <c r="I187" i="1"/>
  <c r="CA187" i="1" s="1"/>
  <c r="J187" i="1"/>
  <c r="BZ187" i="1"/>
  <c r="AM187" i="1"/>
  <c r="AO187" i="1"/>
  <c r="M188" i="10" s="1"/>
  <c r="AP187" i="1"/>
  <c r="AQ187" i="1"/>
  <c r="A187" i="1" s="1"/>
  <c r="A188" i="10" s="1"/>
  <c r="AR187" i="1"/>
  <c r="AS187" i="1"/>
  <c r="AT187" i="1"/>
  <c r="AV187" i="1"/>
  <c r="AW187" i="1"/>
  <c r="AX187" i="1"/>
  <c r="AY187" i="1"/>
  <c r="AZ187" i="1"/>
  <c r="BA187" i="1"/>
  <c r="BB187" i="1"/>
  <c r="BC187" i="1"/>
  <c r="BE187" i="1"/>
  <c r="BF187" i="1"/>
  <c r="BG187" i="1"/>
  <c r="BH187" i="1"/>
  <c r="BI187" i="1"/>
  <c r="BJ187" i="1"/>
  <c r="BK187" i="1"/>
  <c r="BN187" i="1"/>
  <c r="BO187" i="1"/>
  <c r="BP187" i="1"/>
  <c r="BR187" i="1"/>
  <c r="BT187" i="1" s="1"/>
  <c r="BU187" i="1"/>
  <c r="CG187" i="1"/>
  <c r="CK187" i="1"/>
  <c r="CO187" i="1"/>
  <c r="CS187" i="1"/>
  <c r="DD187" i="1"/>
  <c r="DE187" i="1"/>
  <c r="F188" i="1"/>
  <c r="BW188" i="1" s="1"/>
  <c r="G188" i="1"/>
  <c r="BX188" i="1"/>
  <c r="H188" i="1"/>
  <c r="BY188" i="1" s="1"/>
  <c r="I188" i="1"/>
  <c r="CA188" i="1"/>
  <c r="J188" i="1"/>
  <c r="BZ188" i="1" s="1"/>
  <c r="AM188" i="1"/>
  <c r="AO188" i="1"/>
  <c r="M187" i="10" s="1"/>
  <c r="AP188" i="1"/>
  <c r="AQ188" i="1"/>
  <c r="A188" i="1"/>
  <c r="A187" i="10" s="1"/>
  <c r="AR188" i="1"/>
  <c r="AS188" i="1"/>
  <c r="AT188" i="1"/>
  <c r="AV188" i="1"/>
  <c r="AW188" i="1"/>
  <c r="AX188" i="1"/>
  <c r="AY188" i="1"/>
  <c r="AZ188" i="1"/>
  <c r="BA188" i="1"/>
  <c r="BB188" i="1"/>
  <c r="BC188" i="1"/>
  <c r="BE188" i="1"/>
  <c r="BF188" i="1"/>
  <c r="BG188" i="1"/>
  <c r="BH188" i="1"/>
  <c r="BI188" i="1"/>
  <c r="BJ188" i="1"/>
  <c r="BK188" i="1"/>
  <c r="BN188" i="1"/>
  <c r="BO188" i="1"/>
  <c r="BP188" i="1" s="1"/>
  <c r="BR188" i="1"/>
  <c r="BU188" i="1"/>
  <c r="CG188" i="1"/>
  <c r="CK188" i="1"/>
  <c r="CO188" i="1"/>
  <c r="CS188" i="1"/>
  <c r="DD188" i="1"/>
  <c r="DF188" i="1" s="1"/>
  <c r="F189" i="1"/>
  <c r="BW189" i="1"/>
  <c r="G189" i="1"/>
  <c r="BX189" i="1" s="1"/>
  <c r="H189" i="1"/>
  <c r="BY189" i="1"/>
  <c r="I189" i="1"/>
  <c r="CA189" i="1" s="1"/>
  <c r="J189" i="1"/>
  <c r="BZ189" i="1"/>
  <c r="AM189" i="1"/>
  <c r="AO189" i="1"/>
  <c r="M190" i="10"/>
  <c r="AP189" i="1"/>
  <c r="AQ189" i="1"/>
  <c r="A189" i="1" s="1"/>
  <c r="A190" i="10" s="1"/>
  <c r="AR189" i="1"/>
  <c r="AS189" i="1" s="1"/>
  <c r="AT189" i="1"/>
  <c r="AV189" i="1"/>
  <c r="AW189" i="1"/>
  <c r="AX189" i="1"/>
  <c r="AY189" i="1"/>
  <c r="AZ189" i="1"/>
  <c r="BA189" i="1"/>
  <c r="BB189" i="1"/>
  <c r="BC189" i="1"/>
  <c r="BE189" i="1"/>
  <c r="BF189" i="1"/>
  <c r="BG189" i="1"/>
  <c r="BH189" i="1"/>
  <c r="BI189" i="1"/>
  <c r="BJ189" i="1"/>
  <c r="BK189" i="1" s="1"/>
  <c r="BN189" i="1"/>
  <c r="BO189" i="1"/>
  <c r="BP189" i="1"/>
  <c r="BR189" i="1"/>
  <c r="BU189" i="1"/>
  <c r="CG189" i="1"/>
  <c r="CK189" i="1"/>
  <c r="CO189" i="1"/>
  <c r="CS189" i="1"/>
  <c r="DD189" i="1"/>
  <c r="DE189" i="1"/>
  <c r="F190" i="1"/>
  <c r="BW190" i="1" s="1"/>
  <c r="G190" i="1"/>
  <c r="BX190" i="1"/>
  <c r="H190" i="1"/>
  <c r="BY190" i="1" s="1"/>
  <c r="I190" i="1"/>
  <c r="CA190" i="1"/>
  <c r="J190" i="1"/>
  <c r="BZ190" i="1" s="1"/>
  <c r="AM190" i="1"/>
  <c r="AO190" i="1"/>
  <c r="M189" i="10" s="1"/>
  <c r="AP190" i="1"/>
  <c r="AQ190" i="1"/>
  <c r="A190" i="1"/>
  <c r="A189" i="10" s="1"/>
  <c r="AR190" i="1"/>
  <c r="AS190" i="1"/>
  <c r="AT190" i="1"/>
  <c r="AV190" i="1"/>
  <c r="AW190" i="1"/>
  <c r="AX190" i="1"/>
  <c r="AY190" i="1"/>
  <c r="AZ190" i="1"/>
  <c r="BA190" i="1"/>
  <c r="BB190" i="1"/>
  <c r="BC190" i="1"/>
  <c r="BE190" i="1"/>
  <c r="BF190" i="1"/>
  <c r="BG190" i="1"/>
  <c r="BH190" i="1"/>
  <c r="BI190" i="1"/>
  <c r="BJ190" i="1"/>
  <c r="BK190" i="1"/>
  <c r="BN190" i="1"/>
  <c r="BP190" i="1"/>
  <c r="BR190" i="1"/>
  <c r="BU190" i="1"/>
  <c r="CG190" i="1"/>
  <c r="CK190" i="1"/>
  <c r="CO190" i="1"/>
  <c r="CS190" i="1"/>
  <c r="DD190" i="1"/>
  <c r="F191" i="1"/>
  <c r="BW191" i="1" s="1"/>
  <c r="G191" i="1"/>
  <c r="BX191" i="1"/>
  <c r="H191" i="1"/>
  <c r="BY191" i="1" s="1"/>
  <c r="I191" i="1"/>
  <c r="CA191" i="1"/>
  <c r="J191" i="1"/>
  <c r="BZ191" i="1" s="1"/>
  <c r="AM191" i="1"/>
  <c r="AO191" i="1"/>
  <c r="M191" i="10" s="1"/>
  <c r="AP191" i="1"/>
  <c r="AQ191" i="1"/>
  <c r="A191" i="1"/>
  <c r="A191" i="10" s="1"/>
  <c r="AR191" i="1"/>
  <c r="AS191" i="1"/>
  <c r="AT191" i="1"/>
  <c r="AV191" i="1"/>
  <c r="AW191" i="1"/>
  <c r="AX191" i="1"/>
  <c r="AY191" i="1"/>
  <c r="AZ191" i="1"/>
  <c r="BA191" i="1"/>
  <c r="BB191" i="1"/>
  <c r="BC191" i="1"/>
  <c r="BE191" i="1"/>
  <c r="BF191" i="1"/>
  <c r="BG191" i="1"/>
  <c r="BH191" i="1"/>
  <c r="BI191" i="1"/>
  <c r="BJ191" i="1"/>
  <c r="BK191" i="1"/>
  <c r="BN191" i="1"/>
  <c r="BP191" i="1"/>
  <c r="BR191" i="1"/>
  <c r="BU191" i="1"/>
  <c r="CG191" i="1"/>
  <c r="CK191" i="1"/>
  <c r="CO191" i="1"/>
  <c r="CS191" i="1"/>
  <c r="DD191" i="1"/>
  <c r="F192" i="1"/>
  <c r="BW192" i="1" s="1"/>
  <c r="G192" i="1"/>
  <c r="BX192" i="1"/>
  <c r="H192" i="1"/>
  <c r="BY192" i="1" s="1"/>
  <c r="I192" i="1"/>
  <c r="CA192" i="1"/>
  <c r="J192" i="1"/>
  <c r="BZ192" i="1" s="1"/>
  <c r="AM192" i="1"/>
  <c r="AO192" i="1"/>
  <c r="AP192" i="1"/>
  <c r="AQ192" i="1"/>
  <c r="A192" i="1"/>
  <c r="A192" i="10"/>
  <c r="AR192" i="1"/>
  <c r="AS192" i="1" s="1"/>
  <c r="AT192" i="1"/>
  <c r="AV192" i="1"/>
  <c r="AW192" i="1"/>
  <c r="AX192" i="1"/>
  <c r="AY192" i="1"/>
  <c r="AZ192" i="1"/>
  <c r="BA192" i="1"/>
  <c r="BB192" i="1"/>
  <c r="BC192" i="1"/>
  <c r="BE192" i="1"/>
  <c r="BF192" i="1"/>
  <c r="BG192" i="1"/>
  <c r="BH192" i="1"/>
  <c r="BI192" i="1"/>
  <c r="BJ192" i="1"/>
  <c r="BK192" i="1" s="1"/>
  <c r="BN192" i="1"/>
  <c r="BP192" i="1"/>
  <c r="BR192" i="1"/>
  <c r="BU192" i="1"/>
  <c r="CG192" i="1"/>
  <c r="CK192" i="1"/>
  <c r="CO192" i="1"/>
  <c r="CS192" i="1"/>
  <c r="DD192" i="1"/>
  <c r="F193" i="1"/>
  <c r="BW193" i="1" s="1"/>
  <c r="G193" i="1"/>
  <c r="BX193" i="1"/>
  <c r="H193" i="1"/>
  <c r="BY193" i="1" s="1"/>
  <c r="I193" i="1"/>
  <c r="CA193" i="1"/>
  <c r="J193" i="1"/>
  <c r="BZ193" i="1" s="1"/>
  <c r="AM193" i="1"/>
  <c r="AO193" i="1"/>
  <c r="M194" i="10" s="1"/>
  <c r="O194" i="10" s="1"/>
  <c r="AP193" i="1"/>
  <c r="AQ193" i="1"/>
  <c r="A193" i="1"/>
  <c r="A194" i="10" s="1"/>
  <c r="AR193" i="1"/>
  <c r="AS193" i="1" s="1"/>
  <c r="AT193" i="1"/>
  <c r="AV193" i="1"/>
  <c r="AW193" i="1"/>
  <c r="AX193" i="1"/>
  <c r="AY193" i="1"/>
  <c r="AZ193" i="1"/>
  <c r="BA193" i="1"/>
  <c r="BB193" i="1"/>
  <c r="BC193" i="1"/>
  <c r="BE193" i="1"/>
  <c r="BF193" i="1"/>
  <c r="BG193" i="1"/>
  <c r="BH193" i="1"/>
  <c r="BI193" i="1"/>
  <c r="BJ193" i="1"/>
  <c r="BK193" i="1" s="1"/>
  <c r="BN193" i="1"/>
  <c r="BP193" i="1"/>
  <c r="BR193" i="1"/>
  <c r="BT193" i="1" s="1"/>
  <c r="BU193" i="1"/>
  <c r="CG193" i="1"/>
  <c r="CK193" i="1"/>
  <c r="CO193" i="1"/>
  <c r="CS193" i="1"/>
  <c r="DD193" i="1"/>
  <c r="F194" i="1"/>
  <c r="BW194" i="1" s="1"/>
  <c r="G194" i="1"/>
  <c r="BX194" i="1" s="1"/>
  <c r="H194" i="1"/>
  <c r="BY194" i="1" s="1"/>
  <c r="I194" i="1"/>
  <c r="CA194" i="1" s="1"/>
  <c r="J194" i="1"/>
  <c r="BZ194" i="1" s="1"/>
  <c r="AM194" i="1"/>
  <c r="AO194" i="1"/>
  <c r="M195" i="10" s="1"/>
  <c r="AP194" i="1"/>
  <c r="AQ194" i="1"/>
  <c r="A194" i="1"/>
  <c r="A195" i="10" s="1"/>
  <c r="AR194" i="1"/>
  <c r="AS194" i="1"/>
  <c r="AT194" i="1"/>
  <c r="AV194" i="1"/>
  <c r="AW194" i="1"/>
  <c r="AX194" i="1"/>
  <c r="AY194" i="1"/>
  <c r="AZ194" i="1"/>
  <c r="BA194" i="1"/>
  <c r="BB194" i="1"/>
  <c r="BC194" i="1"/>
  <c r="BE194" i="1"/>
  <c r="BF194" i="1"/>
  <c r="BG194" i="1"/>
  <c r="BH194" i="1"/>
  <c r="BI194" i="1"/>
  <c r="BJ194" i="1"/>
  <c r="BK194" i="1"/>
  <c r="BN194" i="1"/>
  <c r="BO194" i="1"/>
  <c r="BP194" i="1" s="1"/>
  <c r="BR194" i="1"/>
  <c r="BU194" i="1"/>
  <c r="CG194" i="1"/>
  <c r="CK194" i="1"/>
  <c r="CO194" i="1"/>
  <c r="CS194" i="1"/>
  <c r="DD194" i="1"/>
  <c r="F195" i="1"/>
  <c r="BW195" i="1"/>
  <c r="G195" i="1"/>
  <c r="BX195" i="1" s="1"/>
  <c r="H195" i="1"/>
  <c r="BY195" i="1"/>
  <c r="I195" i="1"/>
  <c r="CA195" i="1" s="1"/>
  <c r="J195" i="1"/>
  <c r="BZ195" i="1"/>
  <c r="AM195" i="1"/>
  <c r="AO195" i="1"/>
  <c r="M193" i="10" s="1"/>
  <c r="AP195" i="1"/>
  <c r="AQ195" i="1"/>
  <c r="A195" i="1"/>
  <c r="A193" i="10" s="1"/>
  <c r="AR195" i="1"/>
  <c r="AS195" i="1" s="1"/>
  <c r="AT195" i="1"/>
  <c r="AV195" i="1"/>
  <c r="AW195" i="1"/>
  <c r="AX195" i="1"/>
  <c r="AY195" i="1"/>
  <c r="AZ195" i="1"/>
  <c r="BA195" i="1"/>
  <c r="BB195" i="1"/>
  <c r="BC195" i="1"/>
  <c r="BE195" i="1"/>
  <c r="BF195" i="1"/>
  <c r="BG195" i="1"/>
  <c r="BH195" i="1"/>
  <c r="BI195" i="1"/>
  <c r="BJ195" i="1"/>
  <c r="BK195" i="1" s="1"/>
  <c r="BN195" i="1"/>
  <c r="BO195" i="1"/>
  <c r="BP195" i="1"/>
  <c r="BR195" i="1"/>
  <c r="BU195" i="1"/>
  <c r="CG195" i="1"/>
  <c r="CK195" i="1"/>
  <c r="CO195" i="1"/>
  <c r="CS195" i="1"/>
  <c r="DD195" i="1"/>
  <c r="F196" i="1"/>
  <c r="BW196" i="1" s="1"/>
  <c r="G196" i="1"/>
  <c r="BX196" i="1" s="1"/>
  <c r="H196" i="1"/>
  <c r="BY196" i="1" s="1"/>
  <c r="I196" i="1"/>
  <c r="CA196" i="1" s="1"/>
  <c r="J196" i="1"/>
  <c r="BZ196" i="1"/>
  <c r="AM196" i="1"/>
  <c r="AO196" i="1"/>
  <c r="M196" i="10"/>
  <c r="AP196" i="1"/>
  <c r="AQ196" i="1"/>
  <c r="A196" i="1" s="1"/>
  <c r="A196" i="10" s="1"/>
  <c r="AR196" i="1"/>
  <c r="AS196" i="1"/>
  <c r="AT196" i="1"/>
  <c r="AV196" i="1"/>
  <c r="AW196" i="1"/>
  <c r="AX196" i="1"/>
  <c r="AY196" i="1"/>
  <c r="AZ196" i="1"/>
  <c r="BA196" i="1"/>
  <c r="BB196" i="1"/>
  <c r="BC196" i="1"/>
  <c r="BE196" i="1"/>
  <c r="BF196" i="1"/>
  <c r="BG196" i="1"/>
  <c r="BH196" i="1"/>
  <c r="BI196" i="1"/>
  <c r="BJ196" i="1"/>
  <c r="BK196" i="1"/>
  <c r="BN196" i="1"/>
  <c r="BP196" i="1"/>
  <c r="BR196" i="1"/>
  <c r="BT196" i="1"/>
  <c r="BU196" i="1"/>
  <c r="CG196" i="1"/>
  <c r="CK196" i="1"/>
  <c r="CO196" i="1"/>
  <c r="CS196" i="1"/>
  <c r="DD196" i="1"/>
  <c r="F197" i="1"/>
  <c r="BW197" i="1"/>
  <c r="G197" i="1"/>
  <c r="BX197" i="1"/>
  <c r="H197" i="1"/>
  <c r="BY197" i="1"/>
  <c r="I197" i="1"/>
  <c r="CA197" i="1"/>
  <c r="J197" i="1"/>
  <c r="BZ197" i="1"/>
  <c r="AM197" i="1"/>
  <c r="AO197" i="1"/>
  <c r="M197" i="10"/>
  <c r="AP197" i="1"/>
  <c r="AQ197" i="1"/>
  <c r="A197" i="1"/>
  <c r="A197" i="10"/>
  <c r="AR197" i="1"/>
  <c r="AS197" i="1" s="1"/>
  <c r="AT197" i="1"/>
  <c r="AV197" i="1"/>
  <c r="AW197" i="1"/>
  <c r="AX197" i="1"/>
  <c r="AY197" i="1"/>
  <c r="AZ197" i="1"/>
  <c r="BA197" i="1"/>
  <c r="BB197" i="1"/>
  <c r="BC197" i="1"/>
  <c r="BE197" i="1"/>
  <c r="BF197" i="1"/>
  <c r="BG197" i="1"/>
  <c r="BH197" i="1"/>
  <c r="BI197" i="1"/>
  <c r="BJ197" i="1"/>
  <c r="BK197" i="1" s="1"/>
  <c r="BS197" i="1"/>
  <c r="BT197" i="1"/>
  <c r="BU197" i="1"/>
  <c r="CG197" i="1"/>
  <c r="CK197" i="1"/>
  <c r="CO197" i="1"/>
  <c r="CS197" i="1"/>
  <c r="DD197" i="1"/>
  <c r="F198" i="1"/>
  <c r="BW198" i="1" s="1"/>
  <c r="G198" i="1"/>
  <c r="BX198" i="1" s="1"/>
  <c r="H198" i="1"/>
  <c r="BY198" i="1"/>
  <c r="I198" i="1"/>
  <c r="CA198" i="1" s="1"/>
  <c r="J198" i="1"/>
  <c r="BZ198" i="1"/>
  <c r="AM198" i="1"/>
  <c r="AO198" i="1"/>
  <c r="M199" i="10"/>
  <c r="AP198" i="1"/>
  <c r="AQ198" i="1"/>
  <c r="A198" i="1" s="1"/>
  <c r="A199" i="10" s="1"/>
  <c r="AR198" i="1"/>
  <c r="AS198" i="1"/>
  <c r="AT198" i="1"/>
  <c r="AV198" i="1"/>
  <c r="AW198" i="1"/>
  <c r="AX198" i="1"/>
  <c r="AY198" i="1"/>
  <c r="AZ198" i="1"/>
  <c r="BA198" i="1"/>
  <c r="BB198" i="1"/>
  <c r="BC198" i="1"/>
  <c r="BE198" i="1"/>
  <c r="BF198" i="1"/>
  <c r="BG198" i="1"/>
  <c r="BH198" i="1"/>
  <c r="BI198" i="1"/>
  <c r="BJ198" i="1"/>
  <c r="BK198" i="1"/>
  <c r="BN198" i="1"/>
  <c r="BO198" i="1"/>
  <c r="BP198" i="1" s="1"/>
  <c r="BS198" i="1" s="1"/>
  <c r="BR198" i="1"/>
  <c r="BT198" i="1" s="1"/>
  <c r="BU198" i="1"/>
  <c r="CG198" i="1"/>
  <c r="CK198" i="1"/>
  <c r="CO198" i="1"/>
  <c r="CS198" i="1"/>
  <c r="DD198" i="1"/>
  <c r="DF198" i="1" s="1"/>
  <c r="F199" i="1"/>
  <c r="BW199" i="1"/>
  <c r="G199" i="1"/>
  <c r="BX199" i="1" s="1"/>
  <c r="H199" i="1"/>
  <c r="BY199" i="1"/>
  <c r="I199" i="1"/>
  <c r="CA199" i="1" s="1"/>
  <c r="J199" i="1"/>
  <c r="BZ199" i="1"/>
  <c r="AM199" i="1"/>
  <c r="AO199" i="1"/>
  <c r="M198" i="10" s="1"/>
  <c r="AP199" i="1"/>
  <c r="AQ199" i="1"/>
  <c r="A199" i="1" s="1"/>
  <c r="A198" i="10" s="1"/>
  <c r="AR199" i="1"/>
  <c r="AS199" i="1"/>
  <c r="AT199" i="1"/>
  <c r="AV199" i="1"/>
  <c r="AW199" i="1"/>
  <c r="AX199" i="1"/>
  <c r="AY199" i="1"/>
  <c r="AZ199" i="1"/>
  <c r="BA199" i="1"/>
  <c r="BB199" i="1"/>
  <c r="BC199" i="1"/>
  <c r="BE199" i="1"/>
  <c r="BF199" i="1"/>
  <c r="BG199" i="1"/>
  <c r="BH199" i="1"/>
  <c r="BI199" i="1"/>
  <c r="BJ199" i="1"/>
  <c r="BK199" i="1"/>
  <c r="BN199" i="1"/>
  <c r="BO199" i="1"/>
  <c r="BP199" i="1"/>
  <c r="BR199" i="1"/>
  <c r="BT199" i="1"/>
  <c r="BU199" i="1"/>
  <c r="CG199" i="1"/>
  <c r="CK199" i="1"/>
  <c r="CO199" i="1"/>
  <c r="CS199" i="1"/>
  <c r="DD199" i="1"/>
  <c r="DF199" i="1"/>
  <c r="F200" i="1"/>
  <c r="BW200" i="1" s="1"/>
  <c r="G200" i="1"/>
  <c r="BX200" i="1" s="1"/>
  <c r="H200" i="1"/>
  <c r="BY200" i="1" s="1"/>
  <c r="I200" i="1"/>
  <c r="CA200" i="1" s="1"/>
  <c r="J200" i="1"/>
  <c r="BZ200" i="1" s="1"/>
  <c r="AM200" i="1"/>
  <c r="AO200" i="1"/>
  <c r="M200" i="10" s="1"/>
  <c r="O200" i="10" s="1"/>
  <c r="AP200" i="1"/>
  <c r="AQ200" i="1"/>
  <c r="A200" i="1"/>
  <c r="A200" i="10" s="1"/>
  <c r="AR200" i="1"/>
  <c r="AS200" i="1"/>
  <c r="AT200" i="1"/>
  <c r="AV200" i="1"/>
  <c r="AW200" i="1"/>
  <c r="AX200" i="1"/>
  <c r="AY200" i="1"/>
  <c r="AZ200" i="1"/>
  <c r="BA200" i="1"/>
  <c r="BB200" i="1"/>
  <c r="BC200" i="1"/>
  <c r="BE200" i="1"/>
  <c r="BF200" i="1"/>
  <c r="BG200" i="1"/>
  <c r="BH200" i="1"/>
  <c r="BI200" i="1"/>
  <c r="BJ200" i="1"/>
  <c r="BK200" i="1"/>
  <c r="BN200" i="1"/>
  <c r="BO200" i="1"/>
  <c r="BP200" i="1" s="1"/>
  <c r="BS200" i="1" s="1"/>
  <c r="BR200" i="1"/>
  <c r="BU200" i="1"/>
  <c r="CG200" i="1"/>
  <c r="CK200" i="1"/>
  <c r="CO200" i="1"/>
  <c r="CS200" i="1"/>
  <c r="DD200" i="1"/>
  <c r="DF200" i="1"/>
  <c r="F201" i="1"/>
  <c r="BW201" i="1"/>
  <c r="G201" i="1"/>
  <c r="BX201" i="1"/>
  <c r="H201" i="1"/>
  <c r="BY201" i="1"/>
  <c r="I201" i="1"/>
  <c r="CA201" i="1"/>
  <c r="J201" i="1"/>
  <c r="BZ201" i="1"/>
  <c r="AM201" i="1"/>
  <c r="AO201" i="1"/>
  <c r="M201" i="10"/>
  <c r="AP201" i="1"/>
  <c r="AQ201" i="1"/>
  <c r="A201" i="1"/>
  <c r="A201" i="10"/>
  <c r="AR201" i="1"/>
  <c r="AS201" i="1" s="1"/>
  <c r="AT201" i="1"/>
  <c r="AV201" i="1"/>
  <c r="AW201" i="1"/>
  <c r="AX201" i="1"/>
  <c r="AY201" i="1"/>
  <c r="AZ201" i="1"/>
  <c r="BA201" i="1"/>
  <c r="BB201" i="1"/>
  <c r="BC201" i="1"/>
  <c r="BE201" i="1"/>
  <c r="BF201" i="1"/>
  <c r="BG201" i="1"/>
  <c r="BH201" i="1"/>
  <c r="BI201" i="1"/>
  <c r="BJ201" i="1"/>
  <c r="BK201" i="1" s="1"/>
  <c r="BN201" i="1"/>
  <c r="BO201" i="1"/>
  <c r="BP201" i="1" s="1"/>
  <c r="BR201" i="1"/>
  <c r="BT201" i="1"/>
  <c r="BU201" i="1"/>
  <c r="CG201" i="1"/>
  <c r="CK201" i="1"/>
  <c r="CO201" i="1"/>
  <c r="CT201" i="1" s="1"/>
  <c r="CS201" i="1"/>
  <c r="DD201" i="1"/>
  <c r="DF201" i="1" s="1"/>
  <c r="F202" i="1"/>
  <c r="BW202" i="1"/>
  <c r="G202" i="1"/>
  <c r="BX202" i="1" s="1"/>
  <c r="H202" i="1"/>
  <c r="BY202" i="1"/>
  <c r="I202" i="1"/>
  <c r="CA202" i="1" s="1"/>
  <c r="J202" i="1"/>
  <c r="BZ202" i="1" s="1"/>
  <c r="AM202" i="1"/>
  <c r="AO202" i="1"/>
  <c r="AP202" i="1"/>
  <c r="AQ202" i="1"/>
  <c r="A202" i="1"/>
  <c r="A202" i="10" s="1"/>
  <c r="AR202" i="1"/>
  <c r="AS202" i="1" s="1"/>
  <c r="AT202" i="1"/>
  <c r="AV202" i="1"/>
  <c r="AW202" i="1"/>
  <c r="AX202" i="1"/>
  <c r="AY202" i="1"/>
  <c r="AZ202" i="1"/>
  <c r="BA202" i="1"/>
  <c r="BB202" i="1"/>
  <c r="BC202" i="1"/>
  <c r="BE202" i="1"/>
  <c r="BF202" i="1"/>
  <c r="BG202" i="1"/>
  <c r="BH202" i="1"/>
  <c r="BI202" i="1"/>
  <c r="BJ202" i="1"/>
  <c r="BK202" i="1" s="1"/>
  <c r="BN202" i="1"/>
  <c r="BO202" i="1"/>
  <c r="BP202" i="1"/>
  <c r="BR202" i="1"/>
  <c r="BT202" i="1" s="1"/>
  <c r="BU202" i="1"/>
  <c r="CG202" i="1"/>
  <c r="CT202" i="1" s="1"/>
  <c r="CV202" i="1" s="1"/>
  <c r="CW202" i="1" s="1"/>
  <c r="H202" i="10" s="1"/>
  <c r="CK202" i="1"/>
  <c r="CO202" i="1"/>
  <c r="CS202" i="1"/>
  <c r="DD202" i="1"/>
  <c r="F203" i="1"/>
  <c r="BW203" i="1" s="1"/>
  <c r="G203" i="1"/>
  <c r="BX203" i="1"/>
  <c r="H203" i="1"/>
  <c r="BY203" i="1" s="1"/>
  <c r="I203" i="1"/>
  <c r="CA203" i="1"/>
  <c r="J203" i="1"/>
  <c r="BZ203" i="1" s="1"/>
  <c r="AM203" i="1"/>
  <c r="AO203" i="1"/>
  <c r="M203" i="10" s="1"/>
  <c r="AP203" i="1"/>
  <c r="AQ203" i="1"/>
  <c r="A203" i="1"/>
  <c r="A203" i="10" s="1"/>
  <c r="AR203" i="1"/>
  <c r="AS203" i="1" s="1"/>
  <c r="AT203" i="1"/>
  <c r="AV203" i="1"/>
  <c r="AW203" i="1"/>
  <c r="AX203" i="1"/>
  <c r="AY203" i="1"/>
  <c r="AZ203" i="1"/>
  <c r="BA203" i="1"/>
  <c r="BB203" i="1"/>
  <c r="BC203" i="1"/>
  <c r="BE203" i="1"/>
  <c r="BF203" i="1"/>
  <c r="BG203" i="1"/>
  <c r="BH203" i="1"/>
  <c r="BI203" i="1"/>
  <c r="BJ203" i="1"/>
  <c r="BK203" i="1" s="1"/>
  <c r="BN203" i="1"/>
  <c r="BP203" i="1"/>
  <c r="BR203" i="1"/>
  <c r="BU203" i="1"/>
  <c r="CG203" i="1"/>
  <c r="CK203" i="1"/>
  <c r="CO203" i="1"/>
  <c r="CS203" i="1"/>
  <c r="DD203" i="1"/>
  <c r="DE203" i="1"/>
  <c r="F204" i="1"/>
  <c r="BW204" i="1" s="1"/>
  <c r="G204" i="1"/>
  <c r="BX204" i="1" s="1"/>
  <c r="H204" i="1"/>
  <c r="BY204" i="1" s="1"/>
  <c r="I204" i="1"/>
  <c r="CA204" i="1" s="1"/>
  <c r="J204" i="1"/>
  <c r="BZ204" i="1" s="1"/>
  <c r="AM204" i="1"/>
  <c r="AO204" i="1"/>
  <c r="M206" i="10" s="1"/>
  <c r="AP204" i="1"/>
  <c r="AQ204" i="1"/>
  <c r="A204" i="1"/>
  <c r="A206" i="10" s="1"/>
  <c r="AR204" i="1"/>
  <c r="AS204" i="1"/>
  <c r="AT204" i="1"/>
  <c r="AV204" i="1"/>
  <c r="AW204" i="1"/>
  <c r="AX204" i="1"/>
  <c r="AY204" i="1"/>
  <c r="AZ204" i="1"/>
  <c r="BA204" i="1"/>
  <c r="BB204" i="1"/>
  <c r="BC204" i="1"/>
  <c r="BE204" i="1"/>
  <c r="BF204" i="1"/>
  <c r="BG204" i="1"/>
  <c r="BH204" i="1"/>
  <c r="BI204" i="1"/>
  <c r="BJ204" i="1"/>
  <c r="BK204" i="1"/>
  <c r="BN204" i="1"/>
  <c r="BO204" i="1"/>
  <c r="BP204" i="1" s="1"/>
  <c r="BR204" i="1"/>
  <c r="BU204" i="1"/>
  <c r="CG204" i="1"/>
  <c r="CK204" i="1"/>
  <c r="CO204" i="1"/>
  <c r="CS204" i="1"/>
  <c r="DD204" i="1"/>
  <c r="DE204" i="1" s="1"/>
  <c r="F205" i="1"/>
  <c r="BW205" i="1" s="1"/>
  <c r="G205" i="1"/>
  <c r="BX205" i="1" s="1"/>
  <c r="H205" i="1"/>
  <c r="BY205" i="1" s="1"/>
  <c r="I205" i="1"/>
  <c r="CA205" i="1" s="1"/>
  <c r="J205" i="1"/>
  <c r="BZ205" i="1"/>
  <c r="AM205" i="1"/>
  <c r="AO205" i="1"/>
  <c r="AP205" i="1"/>
  <c r="AQ205" i="1"/>
  <c r="A205" i="1" s="1"/>
  <c r="A204" i="10" s="1"/>
  <c r="AR205" i="1"/>
  <c r="AS205" i="1"/>
  <c r="AT205" i="1"/>
  <c r="AV205" i="1"/>
  <c r="AW205" i="1"/>
  <c r="AX205" i="1"/>
  <c r="AY205" i="1"/>
  <c r="AZ205" i="1"/>
  <c r="BA205" i="1"/>
  <c r="BB205" i="1"/>
  <c r="BC205" i="1"/>
  <c r="BE205" i="1"/>
  <c r="BF205" i="1"/>
  <c r="BG205" i="1"/>
  <c r="BH205" i="1"/>
  <c r="BI205" i="1"/>
  <c r="BJ205" i="1"/>
  <c r="BK205" i="1"/>
  <c r="BN205" i="1"/>
  <c r="BO205" i="1"/>
  <c r="BP205" i="1"/>
  <c r="BR205" i="1"/>
  <c r="BU205" i="1"/>
  <c r="CG205" i="1"/>
  <c r="CK205" i="1"/>
  <c r="CO205" i="1"/>
  <c r="CS205" i="1"/>
  <c r="CT205" i="1" s="1"/>
  <c r="DD205" i="1"/>
  <c r="F206" i="1"/>
  <c r="BW206" i="1"/>
  <c r="G206" i="1"/>
  <c r="BX206" i="1" s="1"/>
  <c r="H206" i="1"/>
  <c r="BY206" i="1" s="1"/>
  <c r="I206" i="1"/>
  <c r="CA206" i="1" s="1"/>
  <c r="J206" i="1"/>
  <c r="BZ206" i="1" s="1"/>
  <c r="AM206" i="1"/>
  <c r="AO206" i="1"/>
  <c r="M205" i="10"/>
  <c r="AP206" i="1"/>
  <c r="AQ206" i="1"/>
  <c r="A206" i="1" s="1"/>
  <c r="A205" i="10"/>
  <c r="AR206" i="1"/>
  <c r="AS206" i="1" s="1"/>
  <c r="AT206" i="1"/>
  <c r="AV206" i="1"/>
  <c r="AW206" i="1"/>
  <c r="AX206" i="1"/>
  <c r="AY206" i="1"/>
  <c r="AZ206" i="1"/>
  <c r="BA206" i="1"/>
  <c r="BB206" i="1"/>
  <c r="BC206" i="1"/>
  <c r="BE206" i="1"/>
  <c r="BF206" i="1"/>
  <c r="BG206" i="1"/>
  <c r="BH206" i="1"/>
  <c r="BI206" i="1"/>
  <c r="BJ206" i="1"/>
  <c r="BK206" i="1" s="1"/>
  <c r="BN206" i="1"/>
  <c r="BP206" i="1"/>
  <c r="BR206" i="1"/>
  <c r="BU206" i="1"/>
  <c r="CG206" i="1"/>
  <c r="CK206" i="1"/>
  <c r="CO206" i="1"/>
  <c r="CS206" i="1"/>
  <c r="DD206" i="1"/>
  <c r="F207" i="1"/>
  <c r="BW207" i="1" s="1"/>
  <c r="G207" i="1"/>
  <c r="BX207" i="1"/>
  <c r="H207" i="1"/>
  <c r="BY207" i="1" s="1"/>
  <c r="I207" i="1"/>
  <c r="CA207" i="1"/>
  <c r="J207" i="1"/>
  <c r="BZ207" i="1" s="1"/>
  <c r="AM207" i="1"/>
  <c r="AO207" i="1"/>
  <c r="M207" i="10"/>
  <c r="O207" i="10" s="1"/>
  <c r="AP207" i="1"/>
  <c r="AQ207" i="1"/>
  <c r="A207" i="1"/>
  <c r="A207" i="10"/>
  <c r="AR207" i="1"/>
  <c r="AS207" i="1" s="1"/>
  <c r="AT207" i="1"/>
  <c r="AV207" i="1"/>
  <c r="AW207" i="1"/>
  <c r="AX207" i="1"/>
  <c r="AY207" i="1"/>
  <c r="AZ207" i="1"/>
  <c r="BA207" i="1"/>
  <c r="BB207" i="1"/>
  <c r="BC207" i="1"/>
  <c r="BE207" i="1"/>
  <c r="BF207" i="1"/>
  <c r="BG207" i="1"/>
  <c r="BH207" i="1"/>
  <c r="BI207" i="1"/>
  <c r="BJ207" i="1"/>
  <c r="BK207" i="1" s="1"/>
  <c r="BN207" i="1"/>
  <c r="BP207" i="1"/>
  <c r="BR207" i="1"/>
  <c r="BT207" i="1" s="1"/>
  <c r="BU207" i="1"/>
  <c r="CG207" i="1"/>
  <c r="CK207" i="1"/>
  <c r="CO207" i="1"/>
  <c r="CS207" i="1"/>
  <c r="CT207" i="1" s="1"/>
  <c r="DD207" i="1"/>
  <c r="F208" i="1"/>
  <c r="BW208" i="1" s="1"/>
  <c r="G208" i="1"/>
  <c r="BX208" i="1"/>
  <c r="H208" i="1"/>
  <c r="BY208" i="1" s="1"/>
  <c r="I208" i="1"/>
  <c r="CA208" i="1"/>
  <c r="J208" i="1"/>
  <c r="BZ208" i="1" s="1"/>
  <c r="AM208" i="1"/>
  <c r="AO208" i="1"/>
  <c r="AP208" i="1"/>
  <c r="AQ208" i="1"/>
  <c r="A208" i="1"/>
  <c r="A209" i="10" s="1"/>
  <c r="AR208" i="1"/>
  <c r="AS208" i="1" s="1"/>
  <c r="AT208" i="1"/>
  <c r="AV208" i="1"/>
  <c r="AW208" i="1"/>
  <c r="AX208" i="1"/>
  <c r="AY208" i="1"/>
  <c r="AZ208" i="1"/>
  <c r="BA208" i="1"/>
  <c r="BB208" i="1"/>
  <c r="BC208" i="1"/>
  <c r="BE208" i="1"/>
  <c r="BF208" i="1"/>
  <c r="BG208" i="1"/>
  <c r="BH208" i="1"/>
  <c r="BI208" i="1"/>
  <c r="BJ208" i="1"/>
  <c r="BK208" i="1" s="1"/>
  <c r="BN208" i="1"/>
  <c r="BO208" i="1"/>
  <c r="BR208" i="1"/>
  <c r="BU208" i="1"/>
  <c r="CG208" i="1"/>
  <c r="CK208" i="1"/>
  <c r="CO208" i="1"/>
  <c r="CS208" i="1"/>
  <c r="DD208" i="1"/>
  <c r="F209" i="1"/>
  <c r="BW209" i="1" s="1"/>
  <c r="G209" i="1"/>
  <c r="BX209" i="1"/>
  <c r="H209" i="1"/>
  <c r="BY209" i="1" s="1"/>
  <c r="I209" i="1"/>
  <c r="CA209" i="1"/>
  <c r="J209" i="1"/>
  <c r="BZ209" i="1" s="1"/>
  <c r="AM209" i="1"/>
  <c r="AO209" i="1"/>
  <c r="M208" i="10"/>
  <c r="O208" i="10" s="1"/>
  <c r="AP209" i="1"/>
  <c r="AQ209" i="1"/>
  <c r="A209" i="1"/>
  <c r="A208" i="10"/>
  <c r="AR209" i="1"/>
  <c r="AS209" i="1" s="1"/>
  <c r="AT209" i="1"/>
  <c r="AV209" i="1"/>
  <c r="AW209" i="1"/>
  <c r="AX209" i="1"/>
  <c r="AY209" i="1"/>
  <c r="AZ209" i="1"/>
  <c r="BA209" i="1"/>
  <c r="BB209" i="1"/>
  <c r="BC209" i="1"/>
  <c r="BE209" i="1"/>
  <c r="BF209" i="1"/>
  <c r="BG209" i="1"/>
  <c r="BH209" i="1"/>
  <c r="BI209" i="1"/>
  <c r="BJ209" i="1"/>
  <c r="BK209" i="1" s="1"/>
  <c r="BN209" i="1"/>
  <c r="BO209" i="1"/>
  <c r="BP209" i="1"/>
  <c r="BR209" i="1"/>
  <c r="BU209" i="1"/>
  <c r="CG209" i="1"/>
  <c r="CK209" i="1"/>
  <c r="CO209" i="1"/>
  <c r="CS209" i="1"/>
  <c r="DD209" i="1"/>
  <c r="F210" i="1"/>
  <c r="BW210" i="1" s="1"/>
  <c r="G210" i="1"/>
  <c r="BX210" i="1" s="1"/>
  <c r="H210" i="1"/>
  <c r="BY210" i="1" s="1"/>
  <c r="I210" i="1"/>
  <c r="CA210" i="1"/>
  <c r="J210" i="1"/>
  <c r="BZ210" i="1" s="1"/>
  <c r="AM210" i="1"/>
  <c r="AO210" i="1"/>
  <c r="M210" i="10"/>
  <c r="AP210" i="1"/>
  <c r="AQ210" i="1"/>
  <c r="A210" i="1"/>
  <c r="A210" i="10"/>
  <c r="AR210" i="1"/>
  <c r="AS210" i="1"/>
  <c r="AT210" i="1"/>
  <c r="AV210" i="1"/>
  <c r="AW210" i="1"/>
  <c r="AX210" i="1"/>
  <c r="AY210" i="1"/>
  <c r="AZ210" i="1"/>
  <c r="BA210" i="1"/>
  <c r="BB210" i="1"/>
  <c r="BC210" i="1"/>
  <c r="BE210" i="1"/>
  <c r="BF210" i="1"/>
  <c r="BG210" i="1"/>
  <c r="BH210" i="1"/>
  <c r="BI210" i="1"/>
  <c r="BJ210" i="1"/>
  <c r="BK210" i="1"/>
  <c r="BN210" i="1"/>
  <c r="BO210" i="1"/>
  <c r="BP210" i="1" s="1"/>
  <c r="BR210" i="1"/>
  <c r="BU210" i="1"/>
  <c r="CG210" i="1"/>
  <c r="CK210" i="1"/>
  <c r="CO210" i="1"/>
  <c r="CS210" i="1"/>
  <c r="DD210" i="1"/>
  <c r="DF210" i="1" s="1"/>
  <c r="F211" i="1"/>
  <c r="BW211" i="1" s="1"/>
  <c r="G211" i="1"/>
  <c r="BX211" i="1" s="1"/>
  <c r="H211" i="1"/>
  <c r="BY211" i="1"/>
  <c r="I211" i="1"/>
  <c r="CA211" i="1" s="1"/>
  <c r="J211" i="1"/>
  <c r="BZ211" i="1"/>
  <c r="AM211" i="1"/>
  <c r="AO211" i="1"/>
  <c r="M213" i="10"/>
  <c r="AP211" i="1"/>
  <c r="AQ211" i="1"/>
  <c r="A211" i="1" s="1"/>
  <c r="A213" i="10" s="1"/>
  <c r="AR211" i="1"/>
  <c r="AS211" i="1"/>
  <c r="AT211" i="1"/>
  <c r="AV211" i="1"/>
  <c r="AW211" i="1"/>
  <c r="AX211" i="1"/>
  <c r="AY211" i="1"/>
  <c r="AZ211" i="1"/>
  <c r="BA211" i="1"/>
  <c r="BB211" i="1"/>
  <c r="BC211" i="1"/>
  <c r="BE211" i="1"/>
  <c r="BF211" i="1"/>
  <c r="BG211" i="1"/>
  <c r="BH211" i="1"/>
  <c r="BI211" i="1"/>
  <c r="BJ211" i="1"/>
  <c r="BK211" i="1"/>
  <c r="BN211" i="1"/>
  <c r="BP211" i="1"/>
  <c r="BR211" i="1"/>
  <c r="BT211" i="1"/>
  <c r="BU211" i="1"/>
  <c r="CG211" i="1"/>
  <c r="CK211" i="1"/>
  <c r="CO211" i="1"/>
  <c r="CS211" i="1"/>
  <c r="DD211" i="1"/>
  <c r="DF211" i="1" s="1"/>
  <c r="F212" i="1"/>
  <c r="BW212" i="1" s="1"/>
  <c r="G212" i="1"/>
  <c r="BX212" i="1" s="1"/>
  <c r="H212" i="1"/>
  <c r="BY212" i="1" s="1"/>
  <c r="I212" i="1"/>
  <c r="CA212" i="1"/>
  <c r="J212" i="1"/>
  <c r="BZ212" i="1" s="1"/>
  <c r="AM212" i="1"/>
  <c r="AO212" i="1"/>
  <c r="M211" i="10"/>
  <c r="AP212" i="1"/>
  <c r="AQ212" i="1"/>
  <c r="A212" i="1"/>
  <c r="A211" i="10"/>
  <c r="AR212" i="1"/>
  <c r="AS212" i="1"/>
  <c r="AT212" i="1"/>
  <c r="AV212" i="1"/>
  <c r="AW212" i="1"/>
  <c r="AX212" i="1"/>
  <c r="AY212" i="1"/>
  <c r="AZ212" i="1"/>
  <c r="BA212" i="1"/>
  <c r="BB212" i="1"/>
  <c r="BC212" i="1"/>
  <c r="BE212" i="1"/>
  <c r="BF212" i="1"/>
  <c r="BG212" i="1"/>
  <c r="BH212" i="1"/>
  <c r="BI212" i="1"/>
  <c r="BJ212" i="1"/>
  <c r="BK212" i="1"/>
  <c r="BN212" i="1"/>
  <c r="BP212" i="1"/>
  <c r="BR212" i="1"/>
  <c r="BT212" i="1"/>
  <c r="BU212" i="1"/>
  <c r="CG212" i="1"/>
  <c r="CK212" i="1"/>
  <c r="CO212" i="1"/>
  <c r="CS212" i="1"/>
  <c r="DD212" i="1"/>
  <c r="F213" i="1"/>
  <c r="BW213" i="1"/>
  <c r="G213" i="1"/>
  <c r="BX213" i="1"/>
  <c r="H213" i="1"/>
  <c r="BY213" i="1"/>
  <c r="I213" i="1"/>
  <c r="CA213" i="1"/>
  <c r="J213" i="1"/>
  <c r="BZ213" i="1"/>
  <c r="AM213" i="1"/>
  <c r="AO213" i="1"/>
  <c r="M212" i="10" s="1"/>
  <c r="AP213" i="1"/>
  <c r="AQ213" i="1"/>
  <c r="A213" i="1"/>
  <c r="A212" i="10" s="1"/>
  <c r="AR213" i="1"/>
  <c r="AS213" i="1" s="1"/>
  <c r="AT213" i="1"/>
  <c r="AV213" i="1"/>
  <c r="AW213" i="1"/>
  <c r="AX213" i="1"/>
  <c r="AY213" i="1"/>
  <c r="AZ213" i="1"/>
  <c r="BA213" i="1"/>
  <c r="BB213" i="1"/>
  <c r="BC213" i="1"/>
  <c r="BE213" i="1"/>
  <c r="BF213" i="1"/>
  <c r="BG213" i="1"/>
  <c r="BH213" i="1"/>
  <c r="BI213" i="1"/>
  <c r="BJ213" i="1"/>
  <c r="BK213" i="1" s="1"/>
  <c r="BN213" i="1"/>
  <c r="BO213" i="1"/>
  <c r="BP213" i="1"/>
  <c r="BR213" i="1"/>
  <c r="BT213" i="1" s="1"/>
  <c r="BU213" i="1"/>
  <c r="CG213" i="1"/>
  <c r="CT213" i="1" s="1"/>
  <c r="CK213" i="1"/>
  <c r="CO213" i="1"/>
  <c r="CS213" i="1"/>
  <c r="DD213" i="1"/>
  <c r="F214" i="1"/>
  <c r="BW214" i="1" s="1"/>
  <c r="G214" i="1"/>
  <c r="BX214" i="1"/>
  <c r="H214" i="1"/>
  <c r="BY214" i="1" s="1"/>
  <c r="I214" i="1"/>
  <c r="CA214" i="1"/>
  <c r="J214" i="1"/>
  <c r="BZ214" i="1" s="1"/>
  <c r="AM214" i="1"/>
  <c r="AO214" i="1"/>
  <c r="M214" i="10" s="1"/>
  <c r="AP214" i="1"/>
  <c r="AQ214" i="1"/>
  <c r="A214" i="1"/>
  <c r="A214" i="10" s="1"/>
  <c r="AR214" i="1"/>
  <c r="AS214" i="1" s="1"/>
  <c r="AT214" i="1"/>
  <c r="AV214" i="1"/>
  <c r="AW214" i="1"/>
  <c r="AX214" i="1"/>
  <c r="AY214" i="1"/>
  <c r="AZ214" i="1"/>
  <c r="BA214" i="1"/>
  <c r="BB214" i="1"/>
  <c r="BC214" i="1"/>
  <c r="BE214" i="1"/>
  <c r="BF214" i="1"/>
  <c r="BG214" i="1"/>
  <c r="BH214" i="1"/>
  <c r="BI214" i="1"/>
  <c r="BJ214" i="1"/>
  <c r="BK214" i="1" s="1"/>
  <c r="BN214" i="1"/>
  <c r="BO214" i="1"/>
  <c r="BP214" i="1"/>
  <c r="BR214" i="1"/>
  <c r="BU214" i="1"/>
  <c r="CG214" i="1"/>
  <c r="CK214" i="1"/>
  <c r="CO214" i="1"/>
  <c r="CS214" i="1"/>
  <c r="DD214" i="1"/>
  <c r="F215" i="1"/>
  <c r="BW215" i="1" s="1"/>
  <c r="G215" i="1"/>
  <c r="BX215" i="1" s="1"/>
  <c r="H215" i="1"/>
  <c r="BY215" i="1" s="1"/>
  <c r="I215" i="1"/>
  <c r="CA215" i="1" s="1"/>
  <c r="J215" i="1"/>
  <c r="BZ215" i="1" s="1"/>
  <c r="AM215" i="1"/>
  <c r="AO215" i="1"/>
  <c r="M215" i="10" s="1"/>
  <c r="AP215" i="1"/>
  <c r="AQ215" i="1"/>
  <c r="A215" i="1"/>
  <c r="A215" i="10" s="1"/>
  <c r="AR215" i="1"/>
  <c r="AS215" i="1"/>
  <c r="AT215" i="1"/>
  <c r="AV215" i="1"/>
  <c r="AW215" i="1"/>
  <c r="AX215" i="1"/>
  <c r="AY215" i="1"/>
  <c r="AZ215" i="1"/>
  <c r="BA215" i="1"/>
  <c r="BB215" i="1"/>
  <c r="BC215" i="1"/>
  <c r="BE215" i="1"/>
  <c r="BF215" i="1"/>
  <c r="BG215" i="1"/>
  <c r="BH215" i="1"/>
  <c r="BI215" i="1"/>
  <c r="BJ215" i="1"/>
  <c r="BK215" i="1"/>
  <c r="BN215" i="1"/>
  <c r="BP215" i="1"/>
  <c r="BR215" i="1"/>
  <c r="BT215" i="1"/>
  <c r="BU215" i="1"/>
  <c r="CG215" i="1"/>
  <c r="CK215" i="1"/>
  <c r="CO215" i="1"/>
  <c r="CS215" i="1"/>
  <c r="DD215" i="1"/>
  <c r="DE215" i="1" s="1"/>
  <c r="F216" i="1"/>
  <c r="BW216" i="1"/>
  <c r="G216" i="1"/>
  <c r="BX216" i="1" s="1"/>
  <c r="H216" i="1"/>
  <c r="BY216" i="1" s="1"/>
  <c r="I216" i="1"/>
  <c r="CA216" i="1" s="1"/>
  <c r="J216" i="1"/>
  <c r="BZ216" i="1" s="1"/>
  <c r="AM216" i="1"/>
  <c r="AO216" i="1"/>
  <c r="M217" i="10"/>
  <c r="AP216" i="1"/>
  <c r="AQ216" i="1"/>
  <c r="A216" i="1" s="1"/>
  <c r="A217" i="10"/>
  <c r="AR216" i="1"/>
  <c r="AS216" i="1" s="1"/>
  <c r="AT216" i="1"/>
  <c r="AV216" i="1"/>
  <c r="AW216" i="1"/>
  <c r="AX216" i="1"/>
  <c r="AY216" i="1"/>
  <c r="AZ216" i="1"/>
  <c r="BA216" i="1"/>
  <c r="BB216" i="1"/>
  <c r="BC216" i="1"/>
  <c r="BE216" i="1"/>
  <c r="BF216" i="1"/>
  <c r="BG216" i="1"/>
  <c r="BH216" i="1"/>
  <c r="BI216" i="1"/>
  <c r="BJ216" i="1"/>
  <c r="BK216" i="1" s="1"/>
  <c r="BN216" i="1"/>
  <c r="BO216" i="1"/>
  <c r="BP216" i="1"/>
  <c r="BR216" i="1"/>
  <c r="BU216" i="1"/>
  <c r="CG216" i="1"/>
  <c r="CK216" i="1"/>
  <c r="CO216" i="1"/>
  <c r="CS216" i="1"/>
  <c r="DD216" i="1"/>
  <c r="DF216" i="1"/>
  <c r="F217" i="1"/>
  <c r="BW217" i="1" s="1"/>
  <c r="G217" i="1"/>
  <c r="BX217" i="1"/>
  <c r="H217" i="1"/>
  <c r="BY217" i="1" s="1"/>
  <c r="I217" i="1"/>
  <c r="CA217" i="1" s="1"/>
  <c r="J217" i="1"/>
  <c r="BZ217" i="1" s="1"/>
  <c r="AM217" i="1"/>
  <c r="AO217" i="1"/>
  <c r="M216" i="10" s="1"/>
  <c r="AP217" i="1"/>
  <c r="AQ217" i="1"/>
  <c r="A217" i="1" s="1"/>
  <c r="A216" i="10" s="1"/>
  <c r="AR217" i="1"/>
  <c r="AS217" i="1"/>
  <c r="AT217" i="1"/>
  <c r="AV217" i="1"/>
  <c r="AW217" i="1"/>
  <c r="AX217" i="1"/>
  <c r="AY217" i="1"/>
  <c r="AZ217" i="1"/>
  <c r="BA217" i="1"/>
  <c r="BB217" i="1"/>
  <c r="BC217" i="1"/>
  <c r="BE217" i="1"/>
  <c r="BF217" i="1"/>
  <c r="BG217" i="1"/>
  <c r="BH217" i="1"/>
  <c r="BI217" i="1"/>
  <c r="BJ217" i="1"/>
  <c r="BK217" i="1"/>
  <c r="BN217" i="1"/>
  <c r="BP217" i="1"/>
  <c r="BR217" i="1"/>
  <c r="BT217" i="1"/>
  <c r="BU217" i="1"/>
  <c r="CG217" i="1"/>
  <c r="CK217" i="1"/>
  <c r="CO217" i="1"/>
  <c r="CS217" i="1"/>
  <c r="DD217" i="1"/>
  <c r="F218" i="1"/>
  <c r="BW218" i="1"/>
  <c r="G218" i="1"/>
  <c r="BX218" i="1" s="1"/>
  <c r="H218" i="1"/>
  <c r="BY218" i="1"/>
  <c r="I218" i="1"/>
  <c r="CA218" i="1" s="1"/>
  <c r="J218" i="1"/>
  <c r="BZ218" i="1"/>
  <c r="AM218" i="1"/>
  <c r="AO218" i="1"/>
  <c r="M218" i="10" s="1"/>
  <c r="AP218" i="1"/>
  <c r="AQ218" i="1"/>
  <c r="A218" i="1" s="1"/>
  <c r="A218" i="10" s="1"/>
  <c r="AR218" i="1"/>
  <c r="AS218" i="1"/>
  <c r="AT218" i="1"/>
  <c r="AV218" i="1"/>
  <c r="AW218" i="1"/>
  <c r="AX218" i="1"/>
  <c r="AY218" i="1"/>
  <c r="AZ218" i="1"/>
  <c r="BA218" i="1"/>
  <c r="BB218" i="1"/>
  <c r="BC218" i="1"/>
  <c r="BE218" i="1"/>
  <c r="BF218" i="1"/>
  <c r="BG218" i="1"/>
  <c r="BH218" i="1"/>
  <c r="BI218" i="1"/>
  <c r="BJ218" i="1"/>
  <c r="BK218" i="1"/>
  <c r="BN218" i="1"/>
  <c r="BO218" i="1"/>
  <c r="BP218" i="1"/>
  <c r="BR218" i="1"/>
  <c r="BU218" i="1"/>
  <c r="CG218" i="1"/>
  <c r="CK218" i="1"/>
  <c r="CO218" i="1"/>
  <c r="CS218" i="1"/>
  <c r="CT218" i="1" s="1"/>
  <c r="DD218" i="1"/>
  <c r="DE218" i="1"/>
  <c r="F219" i="1"/>
  <c r="BW219" i="1"/>
  <c r="G219" i="1"/>
  <c r="BX219" i="1"/>
  <c r="H219" i="1"/>
  <c r="BY219" i="1"/>
  <c r="I219" i="1"/>
  <c r="CA219" i="1"/>
  <c r="J219" i="1"/>
  <c r="BZ219" i="1"/>
  <c r="AM219" i="1"/>
  <c r="AO219" i="1"/>
  <c r="M219" i="10"/>
  <c r="AP219" i="1"/>
  <c r="AQ219" i="1"/>
  <c r="A219" i="1"/>
  <c r="A219" i="10"/>
  <c r="AR219" i="1"/>
  <c r="AS219" i="1" s="1"/>
  <c r="AT219" i="1"/>
  <c r="AV219" i="1"/>
  <c r="AW219" i="1"/>
  <c r="AX219" i="1"/>
  <c r="AY219" i="1"/>
  <c r="AZ219" i="1"/>
  <c r="BA219" i="1"/>
  <c r="BB219" i="1"/>
  <c r="BC219" i="1"/>
  <c r="BE219" i="1"/>
  <c r="BF219" i="1"/>
  <c r="BG219" i="1"/>
  <c r="BH219" i="1"/>
  <c r="BI219" i="1"/>
  <c r="BJ219" i="1"/>
  <c r="BK219" i="1" s="1"/>
  <c r="BN219" i="1"/>
  <c r="BP219" i="1"/>
  <c r="BR219" i="1"/>
  <c r="BU219" i="1"/>
  <c r="CG219" i="1"/>
  <c r="CT219" i="1" s="1"/>
  <c r="CK219" i="1"/>
  <c r="CO219" i="1"/>
  <c r="CS219" i="1"/>
  <c r="DD219" i="1"/>
  <c r="F220" i="1"/>
  <c r="BW220" i="1" s="1"/>
  <c r="G220" i="1"/>
  <c r="BX220" i="1"/>
  <c r="H220" i="1"/>
  <c r="BY220" i="1" s="1"/>
  <c r="I220" i="1"/>
  <c r="CA220" i="1"/>
  <c r="J220" i="1"/>
  <c r="BZ220" i="1" s="1"/>
  <c r="AM220" i="1"/>
  <c r="AO220" i="1"/>
  <c r="M220" i="10" s="1"/>
  <c r="AP220" i="1"/>
  <c r="AQ220" i="1"/>
  <c r="A220" i="1"/>
  <c r="A220" i="10" s="1"/>
  <c r="AR220" i="1"/>
  <c r="AS220" i="1" s="1"/>
  <c r="AT220" i="1"/>
  <c r="AV220" i="1"/>
  <c r="AW220" i="1"/>
  <c r="AX220" i="1"/>
  <c r="AY220" i="1"/>
  <c r="AZ220" i="1"/>
  <c r="BA220" i="1"/>
  <c r="BB220" i="1"/>
  <c r="BC220" i="1"/>
  <c r="BE220" i="1"/>
  <c r="BF220" i="1"/>
  <c r="BG220" i="1"/>
  <c r="BH220" i="1"/>
  <c r="BI220" i="1"/>
  <c r="BJ220" i="1"/>
  <c r="BK220" i="1" s="1"/>
  <c r="BN220" i="1"/>
  <c r="BO220" i="1"/>
  <c r="BP220" i="1"/>
  <c r="BR220" i="1"/>
  <c r="BU220" i="1"/>
  <c r="CG220" i="1"/>
  <c r="CK220" i="1"/>
  <c r="CO220" i="1"/>
  <c r="CS220" i="1"/>
  <c r="DD220" i="1"/>
  <c r="F221" i="1"/>
  <c r="BW221" i="1" s="1"/>
  <c r="G221" i="1"/>
  <c r="BX221" i="1" s="1"/>
  <c r="H221" i="1"/>
  <c r="BY221" i="1" s="1"/>
  <c r="I221" i="1"/>
  <c r="CA221" i="1" s="1"/>
  <c r="J221" i="1"/>
  <c r="BZ221" i="1" s="1"/>
  <c r="AM221" i="1"/>
  <c r="AO221" i="1"/>
  <c r="M221" i="10" s="1"/>
  <c r="P221" i="10"/>
  <c r="V221" i="10"/>
  <c r="AP221" i="1"/>
  <c r="AQ221" i="1"/>
  <c r="A221" i="1" s="1"/>
  <c r="A221" i="10" s="1"/>
  <c r="AR221" i="1"/>
  <c r="AS221" i="1"/>
  <c r="AT221" i="1"/>
  <c r="AV221" i="1"/>
  <c r="AW221" i="1"/>
  <c r="AX221" i="1"/>
  <c r="AY221" i="1"/>
  <c r="AZ221" i="1"/>
  <c r="BA221" i="1"/>
  <c r="BB221" i="1"/>
  <c r="BC221" i="1"/>
  <c r="BE221" i="1"/>
  <c r="BF221" i="1"/>
  <c r="BG221" i="1"/>
  <c r="BH221" i="1"/>
  <c r="BI221" i="1"/>
  <c r="BJ221" i="1"/>
  <c r="BK221" i="1"/>
  <c r="BN221" i="1"/>
  <c r="BO221" i="1"/>
  <c r="BP221" i="1"/>
  <c r="BR221" i="1"/>
  <c r="BU221" i="1"/>
  <c r="CG221" i="1"/>
  <c r="CK221" i="1"/>
  <c r="CO221" i="1"/>
  <c r="CS221" i="1"/>
  <c r="DD221" i="1"/>
  <c r="F222" i="1"/>
  <c r="BW222" i="1"/>
  <c r="G222" i="1"/>
  <c r="BX222" i="1"/>
  <c r="H222" i="1"/>
  <c r="BY222" i="1"/>
  <c r="I222" i="1"/>
  <c r="CA222" i="1"/>
  <c r="J222" i="1"/>
  <c r="BZ222" i="1"/>
  <c r="AM222" i="1"/>
  <c r="AO222" i="1"/>
  <c r="AP222" i="1"/>
  <c r="AQ222" i="1"/>
  <c r="A222" i="1" s="1"/>
  <c r="A223" i="10" s="1"/>
  <c r="AR222" i="1"/>
  <c r="AS222" i="1"/>
  <c r="AT222" i="1"/>
  <c r="AV222" i="1"/>
  <c r="AW222" i="1"/>
  <c r="AX222" i="1"/>
  <c r="AY222" i="1"/>
  <c r="AZ222" i="1"/>
  <c r="BA222" i="1"/>
  <c r="BB222" i="1"/>
  <c r="BC222" i="1"/>
  <c r="BE222" i="1"/>
  <c r="BF222" i="1"/>
  <c r="BG222" i="1"/>
  <c r="BH222" i="1"/>
  <c r="BI222" i="1"/>
  <c r="BJ222" i="1"/>
  <c r="BK222" i="1"/>
  <c r="BN222" i="1"/>
  <c r="BO222" i="1"/>
  <c r="BP222" i="1" s="1"/>
  <c r="BR222" i="1"/>
  <c r="BU222" i="1"/>
  <c r="CG222" i="1"/>
  <c r="CK222" i="1"/>
  <c r="CO222" i="1"/>
  <c r="CS222" i="1"/>
  <c r="DD222" i="1"/>
  <c r="F223" i="1"/>
  <c r="BW223" i="1"/>
  <c r="G223" i="1"/>
  <c r="BX223" i="1"/>
  <c r="H223" i="1"/>
  <c r="BY223" i="1"/>
  <c r="I223" i="1"/>
  <c r="CA223" i="1"/>
  <c r="J223" i="1"/>
  <c r="BZ223" i="1"/>
  <c r="AM223" i="1"/>
  <c r="AO223" i="1"/>
  <c r="M222" i="10" s="1"/>
  <c r="AP223" i="1"/>
  <c r="AQ223" i="1"/>
  <c r="A223" i="1"/>
  <c r="A222" i="10" s="1"/>
  <c r="AR223" i="1"/>
  <c r="AS223" i="1" s="1"/>
  <c r="AT223" i="1"/>
  <c r="AV223" i="1"/>
  <c r="AW223" i="1"/>
  <c r="AX223" i="1"/>
  <c r="AY223" i="1"/>
  <c r="AZ223" i="1"/>
  <c r="BA223" i="1"/>
  <c r="BB223" i="1"/>
  <c r="BC223" i="1"/>
  <c r="BE223" i="1"/>
  <c r="BF223" i="1"/>
  <c r="BG223" i="1"/>
  <c r="BH223" i="1"/>
  <c r="BI223" i="1"/>
  <c r="BJ223" i="1"/>
  <c r="BK223" i="1" s="1"/>
  <c r="BN223" i="1"/>
  <c r="BO223" i="1"/>
  <c r="BP223" i="1" s="1"/>
  <c r="BR223" i="1"/>
  <c r="BT223" i="1"/>
  <c r="BU223" i="1"/>
  <c r="CG223" i="1"/>
  <c r="CK223" i="1"/>
  <c r="CO223" i="1"/>
  <c r="CS223" i="1"/>
  <c r="DD223" i="1"/>
  <c r="DF223" i="1" s="1"/>
  <c r="F224" i="1"/>
  <c r="BW224" i="1"/>
  <c r="G224" i="1"/>
  <c r="BX224" i="1" s="1"/>
  <c r="H224" i="1"/>
  <c r="BY224" i="1" s="1"/>
  <c r="I224" i="1"/>
  <c r="CA224" i="1" s="1"/>
  <c r="J224" i="1"/>
  <c r="BZ224" i="1" s="1"/>
  <c r="AM224" i="1"/>
  <c r="AO224" i="1"/>
  <c r="M225" i="10"/>
  <c r="AP224" i="1"/>
  <c r="AQ224" i="1"/>
  <c r="A224" i="1" s="1"/>
  <c r="A225" i="10"/>
  <c r="AR224" i="1"/>
  <c r="AS224" i="1" s="1"/>
  <c r="AT224" i="1"/>
  <c r="AV224" i="1"/>
  <c r="AW224" i="1"/>
  <c r="AX224" i="1"/>
  <c r="AY224" i="1"/>
  <c r="AZ224" i="1"/>
  <c r="BA224" i="1"/>
  <c r="BB224" i="1"/>
  <c r="BC224" i="1"/>
  <c r="BE224" i="1"/>
  <c r="BF224" i="1"/>
  <c r="BG224" i="1"/>
  <c r="BH224" i="1"/>
  <c r="BI224" i="1"/>
  <c r="BJ224" i="1"/>
  <c r="BK224" i="1" s="1"/>
  <c r="BN224" i="1"/>
  <c r="BO224" i="1"/>
  <c r="BP224" i="1"/>
  <c r="BR224" i="1"/>
  <c r="BU224" i="1"/>
  <c r="CG224" i="1"/>
  <c r="CK224" i="1"/>
  <c r="CO224" i="1"/>
  <c r="CS224" i="1"/>
  <c r="DD224" i="1"/>
  <c r="F225" i="1"/>
  <c r="BW225" i="1" s="1"/>
  <c r="G225" i="1"/>
  <c r="BX225" i="1"/>
  <c r="H225" i="1"/>
  <c r="BY225" i="1" s="1"/>
  <c r="I225" i="1"/>
  <c r="CA225" i="1"/>
  <c r="J225" i="1"/>
  <c r="BZ225" i="1" s="1"/>
  <c r="AM225" i="1"/>
  <c r="AO225" i="1"/>
  <c r="M224" i="10"/>
  <c r="P224" i="10"/>
  <c r="N224" i="10" s="1"/>
  <c r="U224" i="10" s="1"/>
  <c r="AP225" i="1"/>
  <c r="AQ225" i="1"/>
  <c r="A225" i="1" s="1"/>
  <c r="A224" i="10" s="1"/>
  <c r="AR225" i="1"/>
  <c r="AS225" i="1"/>
  <c r="AT225" i="1"/>
  <c r="AV225" i="1"/>
  <c r="AW225" i="1"/>
  <c r="AX225" i="1"/>
  <c r="AY225" i="1"/>
  <c r="AZ225" i="1"/>
  <c r="BA225" i="1"/>
  <c r="BB225" i="1"/>
  <c r="BC225" i="1"/>
  <c r="BE225" i="1"/>
  <c r="BF225" i="1"/>
  <c r="BG225" i="1"/>
  <c r="BH225" i="1"/>
  <c r="BI225" i="1"/>
  <c r="BJ225" i="1"/>
  <c r="BK225" i="1"/>
  <c r="BN225" i="1"/>
  <c r="BP225" i="1"/>
  <c r="BR225" i="1"/>
  <c r="BT225" i="1"/>
  <c r="BU225" i="1"/>
  <c r="CG225" i="1"/>
  <c r="CK225" i="1"/>
  <c r="CO225" i="1"/>
  <c r="CS225" i="1"/>
  <c r="DD225" i="1"/>
  <c r="DF225" i="1" s="1"/>
  <c r="F226" i="1"/>
  <c r="BW226" i="1" s="1"/>
  <c r="G226" i="1"/>
  <c r="BX226" i="1" s="1"/>
  <c r="H226" i="1"/>
  <c r="BY226" i="1" s="1"/>
  <c r="I226" i="1"/>
  <c r="CA226" i="1"/>
  <c r="J226" i="1"/>
  <c r="BZ226" i="1" s="1"/>
  <c r="AM226" i="1"/>
  <c r="AO226" i="1"/>
  <c r="M227" i="10"/>
  <c r="AP226" i="1"/>
  <c r="AQ226" i="1"/>
  <c r="A226" i="1"/>
  <c r="A227" i="10"/>
  <c r="AR226" i="1"/>
  <c r="AS226" i="1"/>
  <c r="AT226" i="1"/>
  <c r="AV226" i="1"/>
  <c r="AW226" i="1"/>
  <c r="AX226" i="1"/>
  <c r="AY226" i="1"/>
  <c r="AZ226" i="1"/>
  <c r="BA226" i="1"/>
  <c r="BB226" i="1"/>
  <c r="BC226" i="1"/>
  <c r="BE226" i="1"/>
  <c r="BF226" i="1"/>
  <c r="BG226" i="1"/>
  <c r="BH226" i="1"/>
  <c r="BI226" i="1"/>
  <c r="BJ226" i="1"/>
  <c r="BK226" i="1"/>
  <c r="BN226" i="1"/>
  <c r="BO226" i="1"/>
  <c r="BP226" i="1" s="1"/>
  <c r="BR226" i="1"/>
  <c r="BT226" i="1" s="1"/>
  <c r="BU226" i="1"/>
  <c r="CG226" i="1"/>
  <c r="CK226" i="1"/>
  <c r="CO226" i="1"/>
  <c r="CS226" i="1"/>
  <c r="DD226" i="1"/>
  <c r="DE226" i="1"/>
  <c r="F227" i="1"/>
  <c r="BW227" i="1"/>
  <c r="G227" i="1"/>
  <c r="BX227" i="1"/>
  <c r="H227" i="1"/>
  <c r="BY227" i="1"/>
  <c r="I227" i="1"/>
  <c r="CA227" i="1"/>
  <c r="J227" i="1"/>
  <c r="BZ227" i="1"/>
  <c r="AM227" i="1"/>
  <c r="AO227" i="1"/>
  <c r="M226" i="10" s="1"/>
  <c r="AP227" i="1"/>
  <c r="AQ227" i="1"/>
  <c r="A227" i="1"/>
  <c r="A226" i="10" s="1"/>
  <c r="AR227" i="1"/>
  <c r="AS227" i="1" s="1"/>
  <c r="AT227" i="1"/>
  <c r="AV227" i="1"/>
  <c r="AW227" i="1"/>
  <c r="AX227" i="1"/>
  <c r="AY227" i="1"/>
  <c r="AZ227" i="1"/>
  <c r="BA227" i="1"/>
  <c r="BB227" i="1"/>
  <c r="BC227" i="1"/>
  <c r="BE227" i="1"/>
  <c r="BF227" i="1"/>
  <c r="BG227" i="1"/>
  <c r="BH227" i="1"/>
  <c r="BI227" i="1"/>
  <c r="BJ227" i="1"/>
  <c r="BK227" i="1" s="1"/>
  <c r="BN227" i="1"/>
  <c r="BO227" i="1"/>
  <c r="BR227" i="1"/>
  <c r="BT227" i="1"/>
  <c r="BU227" i="1"/>
  <c r="CG227" i="1"/>
  <c r="CK227" i="1"/>
  <c r="CO227" i="1"/>
  <c r="CS227" i="1"/>
  <c r="DD227" i="1"/>
  <c r="DE227" i="1" s="1"/>
  <c r="F228" i="1"/>
  <c r="BW228" i="1"/>
  <c r="G228" i="1"/>
  <c r="BX228" i="1" s="1"/>
  <c r="H228" i="1"/>
  <c r="BY228" i="1" s="1"/>
  <c r="I228" i="1"/>
  <c r="CA228" i="1" s="1"/>
  <c r="J228" i="1"/>
  <c r="BZ228" i="1" s="1"/>
  <c r="AM228" i="1"/>
  <c r="AO228" i="1"/>
  <c r="M228" i="10"/>
  <c r="P228" i="10"/>
  <c r="N228" i="10" s="1"/>
  <c r="U228" i="10" s="1"/>
  <c r="AP228" i="1"/>
  <c r="AQ228" i="1"/>
  <c r="A228" i="1" s="1"/>
  <c r="A228" i="10" s="1"/>
  <c r="AR228" i="1"/>
  <c r="AS228" i="1"/>
  <c r="AT228" i="1"/>
  <c r="AV228" i="1"/>
  <c r="AW228" i="1"/>
  <c r="AX228" i="1"/>
  <c r="AY228" i="1"/>
  <c r="AZ228" i="1"/>
  <c r="BA228" i="1"/>
  <c r="BB228" i="1"/>
  <c r="BC228" i="1"/>
  <c r="BE228" i="1"/>
  <c r="BF228" i="1"/>
  <c r="BG228" i="1"/>
  <c r="BH228" i="1"/>
  <c r="BI228" i="1"/>
  <c r="BJ228" i="1"/>
  <c r="BK228" i="1"/>
  <c r="BN228" i="1"/>
  <c r="BO228" i="1"/>
  <c r="BP228" i="1"/>
  <c r="BR228" i="1"/>
  <c r="BT228" i="1"/>
  <c r="BU228" i="1"/>
  <c r="CG228" i="1"/>
  <c r="CK228" i="1"/>
  <c r="CO228" i="1"/>
  <c r="CS228" i="1"/>
  <c r="DD228" i="1"/>
  <c r="F229" i="1"/>
  <c r="BW229" i="1"/>
  <c r="G229" i="1"/>
  <c r="BX229" i="1"/>
  <c r="H229" i="1"/>
  <c r="BY229" i="1"/>
  <c r="I229" i="1"/>
  <c r="CA229" i="1"/>
  <c r="J229" i="1"/>
  <c r="BZ229" i="1"/>
  <c r="AM229" i="1"/>
  <c r="AO229" i="1"/>
  <c r="M229" i="10"/>
  <c r="AP229" i="1"/>
  <c r="AQ229" i="1"/>
  <c r="A229" i="1"/>
  <c r="A229" i="10"/>
  <c r="AR229" i="1"/>
  <c r="AS229" i="1" s="1"/>
  <c r="AT229" i="1"/>
  <c r="AV229" i="1"/>
  <c r="AW229" i="1"/>
  <c r="AX229" i="1"/>
  <c r="AY229" i="1"/>
  <c r="AZ229" i="1"/>
  <c r="BA229" i="1"/>
  <c r="BB229" i="1"/>
  <c r="BC229" i="1"/>
  <c r="BE229" i="1"/>
  <c r="BF229" i="1"/>
  <c r="BG229" i="1"/>
  <c r="BH229" i="1"/>
  <c r="BI229" i="1"/>
  <c r="BJ229" i="1"/>
  <c r="BK229" i="1" s="1"/>
  <c r="BN229" i="1"/>
  <c r="BO229" i="1"/>
  <c r="BP229" i="1" s="1"/>
  <c r="BS229" i="1" s="1"/>
  <c r="BR229" i="1"/>
  <c r="BT229" i="1"/>
  <c r="BU229" i="1"/>
  <c r="CG229" i="1"/>
  <c r="CK229" i="1"/>
  <c r="CO229" i="1"/>
  <c r="CS229" i="1"/>
  <c r="DD229" i="1"/>
  <c r="DE229" i="1" s="1"/>
  <c r="F230" i="1"/>
  <c r="BW230" i="1"/>
  <c r="G230" i="1"/>
  <c r="BX230" i="1" s="1"/>
  <c r="H230" i="1"/>
  <c r="BY230" i="1"/>
  <c r="I230" i="1"/>
  <c r="CA230" i="1" s="1"/>
  <c r="J230" i="1"/>
  <c r="BZ230" i="1" s="1"/>
  <c r="AM230" i="1"/>
  <c r="AO230" i="1"/>
  <c r="M230" i="10"/>
  <c r="AP230" i="1"/>
  <c r="AQ230" i="1"/>
  <c r="A230" i="1" s="1"/>
  <c r="A230" i="10"/>
  <c r="AR230" i="1"/>
  <c r="AS230" i="1" s="1"/>
  <c r="AT230" i="1"/>
  <c r="AV230" i="1"/>
  <c r="AW230" i="1"/>
  <c r="AX230" i="1"/>
  <c r="AY230" i="1"/>
  <c r="AZ230" i="1"/>
  <c r="BA230" i="1"/>
  <c r="BB230" i="1"/>
  <c r="BC230" i="1"/>
  <c r="BE230" i="1"/>
  <c r="BF230" i="1"/>
  <c r="BG230" i="1"/>
  <c r="BH230" i="1"/>
  <c r="BI230" i="1"/>
  <c r="BJ230" i="1"/>
  <c r="BK230" i="1" s="1"/>
  <c r="BN230" i="1"/>
  <c r="BO230" i="1"/>
  <c r="BP230" i="1" s="1"/>
  <c r="BR230" i="1"/>
  <c r="BU230" i="1"/>
  <c r="CG230" i="1"/>
  <c r="CK230" i="1"/>
  <c r="CO230" i="1"/>
  <c r="CS230" i="1"/>
  <c r="DD230" i="1"/>
  <c r="DE230" i="1" s="1"/>
  <c r="F231" i="1"/>
  <c r="BW231" i="1" s="1"/>
  <c r="G231" i="1"/>
  <c r="BX231" i="1"/>
  <c r="H231" i="1"/>
  <c r="BY231" i="1" s="1"/>
  <c r="I231" i="1"/>
  <c r="CA231" i="1"/>
  <c r="J231" i="1"/>
  <c r="BZ231" i="1" s="1"/>
  <c r="AM231" i="1"/>
  <c r="AO231" i="1"/>
  <c r="AP231" i="1"/>
  <c r="AQ231" i="1"/>
  <c r="A231" i="1"/>
  <c r="A231" i="10" s="1"/>
  <c r="AR231" i="1"/>
  <c r="AS231" i="1" s="1"/>
  <c r="AT231" i="1"/>
  <c r="AV231" i="1"/>
  <c r="AW231" i="1"/>
  <c r="AX231" i="1"/>
  <c r="AY231" i="1"/>
  <c r="AZ231" i="1"/>
  <c r="BA231" i="1"/>
  <c r="BB231" i="1"/>
  <c r="BC231" i="1"/>
  <c r="BE231" i="1"/>
  <c r="BF231" i="1"/>
  <c r="BG231" i="1"/>
  <c r="BH231" i="1"/>
  <c r="BI231" i="1"/>
  <c r="BJ231" i="1"/>
  <c r="BK231" i="1" s="1"/>
  <c r="BN231" i="1"/>
  <c r="BO231" i="1"/>
  <c r="BP231" i="1" s="1"/>
  <c r="BS231" i="1" s="1"/>
  <c r="BR231" i="1"/>
  <c r="BU231" i="1"/>
  <c r="CG231" i="1"/>
  <c r="CK231" i="1"/>
  <c r="CO231" i="1"/>
  <c r="CS231" i="1"/>
  <c r="DD231" i="1"/>
  <c r="F232" i="1"/>
  <c r="BW232" i="1" s="1"/>
  <c r="G232" i="1"/>
  <c r="BX232" i="1"/>
  <c r="H232" i="1"/>
  <c r="BY232" i="1" s="1"/>
  <c r="I232" i="1"/>
  <c r="CA232" i="1" s="1"/>
  <c r="J232" i="1"/>
  <c r="BZ232" i="1" s="1"/>
  <c r="AM232" i="1"/>
  <c r="AO232" i="1"/>
  <c r="M232" i="10" s="1"/>
  <c r="AP232" i="1"/>
  <c r="AQ232" i="1"/>
  <c r="A232" i="1" s="1"/>
  <c r="A232" i="10" s="1"/>
  <c r="AR232" i="1"/>
  <c r="AS232" i="1"/>
  <c r="AT232" i="1"/>
  <c r="AV232" i="1"/>
  <c r="AW232" i="1"/>
  <c r="AX232" i="1"/>
  <c r="AY232" i="1"/>
  <c r="AZ232" i="1"/>
  <c r="BA232" i="1"/>
  <c r="BB232" i="1"/>
  <c r="BC232" i="1"/>
  <c r="BE232" i="1"/>
  <c r="BF232" i="1"/>
  <c r="BG232" i="1"/>
  <c r="BH232" i="1"/>
  <c r="BI232" i="1"/>
  <c r="BJ232" i="1"/>
  <c r="BK232" i="1"/>
  <c r="BN232" i="1"/>
  <c r="BO232" i="1"/>
  <c r="BP232" i="1"/>
  <c r="BR232" i="1"/>
  <c r="BU232" i="1"/>
  <c r="CG232" i="1"/>
  <c r="CK232" i="1"/>
  <c r="CO232" i="1"/>
  <c r="CS232" i="1"/>
  <c r="DD232" i="1"/>
  <c r="F233" i="1"/>
  <c r="BW233" i="1"/>
  <c r="G233" i="1"/>
  <c r="BX233" i="1" s="1"/>
  <c r="H233" i="1"/>
  <c r="BY233" i="1"/>
  <c r="I233" i="1"/>
  <c r="CA233" i="1" s="1"/>
  <c r="J233" i="1"/>
  <c r="BZ233" i="1"/>
  <c r="AM233" i="1"/>
  <c r="AO233" i="1"/>
  <c r="M233" i="10"/>
  <c r="AP233" i="1"/>
  <c r="AQ233" i="1"/>
  <c r="A233" i="1" s="1"/>
  <c r="A233" i="10" s="1"/>
  <c r="AR233" i="1"/>
  <c r="AS233" i="1" s="1"/>
  <c r="AT233" i="1"/>
  <c r="AV233" i="1"/>
  <c r="AW233" i="1"/>
  <c r="AX233" i="1"/>
  <c r="AY233" i="1"/>
  <c r="AZ233" i="1"/>
  <c r="BA233" i="1"/>
  <c r="BB233" i="1"/>
  <c r="BC233" i="1"/>
  <c r="BE233" i="1"/>
  <c r="BF233" i="1"/>
  <c r="BG233" i="1"/>
  <c r="BH233" i="1"/>
  <c r="BI233" i="1"/>
  <c r="BJ233" i="1"/>
  <c r="BK233" i="1" s="1"/>
  <c r="BN233" i="1"/>
  <c r="BO233" i="1"/>
  <c r="BP233" i="1"/>
  <c r="BR233" i="1"/>
  <c r="BU233" i="1"/>
  <c r="CG233" i="1"/>
  <c r="CK233" i="1"/>
  <c r="CO233" i="1"/>
  <c r="CS233" i="1"/>
  <c r="DD233" i="1"/>
  <c r="F234" i="1"/>
  <c r="BW234" i="1" s="1"/>
  <c r="G234" i="1"/>
  <c r="BX234" i="1"/>
  <c r="H234" i="1"/>
  <c r="BY234" i="1" s="1"/>
  <c r="I234" i="1"/>
  <c r="CA234" i="1"/>
  <c r="J234" i="1"/>
  <c r="BZ234" i="1" s="1"/>
  <c r="AM234" i="1"/>
  <c r="AO234" i="1"/>
  <c r="AP234" i="1"/>
  <c r="AQ234" i="1"/>
  <c r="A234" i="1" s="1"/>
  <c r="A234" i="10" s="1"/>
  <c r="AR234" i="1"/>
  <c r="AS234" i="1" s="1"/>
  <c r="AT234" i="1"/>
  <c r="AV234" i="1"/>
  <c r="AW234" i="1"/>
  <c r="AX234" i="1"/>
  <c r="AY234" i="1"/>
  <c r="AZ234" i="1"/>
  <c r="BA234" i="1"/>
  <c r="BB234" i="1"/>
  <c r="BC234" i="1"/>
  <c r="BE234" i="1"/>
  <c r="BF234" i="1"/>
  <c r="BG234" i="1"/>
  <c r="BH234" i="1"/>
  <c r="BI234" i="1"/>
  <c r="BJ234" i="1"/>
  <c r="BK234" i="1" s="1"/>
  <c r="BN234" i="1"/>
  <c r="BO234" i="1"/>
  <c r="BP234" i="1"/>
  <c r="BR234" i="1"/>
  <c r="BT234" i="1" s="1"/>
  <c r="BU234" i="1"/>
  <c r="CG234" i="1"/>
  <c r="CK234" i="1"/>
  <c r="CO234" i="1"/>
  <c r="CS234" i="1"/>
  <c r="DD234" i="1"/>
  <c r="F235" i="1"/>
  <c r="BW235" i="1" s="1"/>
  <c r="G235" i="1"/>
  <c r="BX235" i="1"/>
  <c r="H235" i="1"/>
  <c r="BY235" i="1" s="1"/>
  <c r="I235" i="1"/>
  <c r="CA235" i="1"/>
  <c r="J235" i="1"/>
  <c r="BZ235" i="1" s="1"/>
  <c r="AM235" i="1"/>
  <c r="AO235" i="1"/>
  <c r="M236" i="10" s="1"/>
  <c r="AP235" i="1"/>
  <c r="AQ235" i="1"/>
  <c r="A235" i="1"/>
  <c r="A236" i="10" s="1"/>
  <c r="AR235" i="1"/>
  <c r="AS235" i="1"/>
  <c r="AT235" i="1"/>
  <c r="AV235" i="1"/>
  <c r="AW235" i="1"/>
  <c r="AX235" i="1"/>
  <c r="AY235" i="1"/>
  <c r="AZ235" i="1"/>
  <c r="BA235" i="1"/>
  <c r="BB235" i="1"/>
  <c r="BC235" i="1"/>
  <c r="BE235" i="1"/>
  <c r="BF235" i="1"/>
  <c r="BG235" i="1"/>
  <c r="BH235" i="1"/>
  <c r="BI235" i="1"/>
  <c r="BJ235" i="1"/>
  <c r="BK235" i="1"/>
  <c r="BN235" i="1"/>
  <c r="BP235" i="1"/>
  <c r="BR235" i="1"/>
  <c r="BU235" i="1"/>
  <c r="CG235" i="1"/>
  <c r="CT235" i="1" s="1"/>
  <c r="CK235" i="1"/>
  <c r="CO235" i="1"/>
  <c r="CS235" i="1"/>
  <c r="DD235" i="1"/>
  <c r="F236" i="1"/>
  <c r="BW236" i="1"/>
  <c r="G236" i="1"/>
  <c r="BX236" i="1" s="1"/>
  <c r="H236" i="1"/>
  <c r="BY236" i="1"/>
  <c r="I236" i="1"/>
  <c r="CA236" i="1" s="1"/>
  <c r="J236" i="1"/>
  <c r="BZ236" i="1"/>
  <c r="AM236" i="1"/>
  <c r="AO236" i="1"/>
  <c r="M235" i="10" s="1"/>
  <c r="AP236" i="1"/>
  <c r="AQ236" i="1"/>
  <c r="A236" i="1" s="1"/>
  <c r="A235" i="10" s="1"/>
  <c r="AR236" i="1"/>
  <c r="AS236" i="1"/>
  <c r="AT236" i="1"/>
  <c r="AV236" i="1"/>
  <c r="AW236" i="1"/>
  <c r="AX236" i="1"/>
  <c r="AY236" i="1"/>
  <c r="AZ236" i="1"/>
  <c r="BA236" i="1"/>
  <c r="BB236" i="1"/>
  <c r="BC236" i="1"/>
  <c r="BE236" i="1"/>
  <c r="BF236" i="1"/>
  <c r="BG236" i="1"/>
  <c r="BH236" i="1"/>
  <c r="BI236" i="1"/>
  <c r="BJ236" i="1"/>
  <c r="BK236" i="1"/>
  <c r="BN236" i="1"/>
  <c r="BO236" i="1"/>
  <c r="BP236" i="1"/>
  <c r="BR236" i="1"/>
  <c r="BU236" i="1"/>
  <c r="CG236" i="1"/>
  <c r="CK236" i="1"/>
  <c r="CO236" i="1"/>
  <c r="CS236" i="1"/>
  <c r="DD236" i="1"/>
  <c r="DF236" i="1"/>
  <c r="F237" i="1"/>
  <c r="BW237" i="1" s="1"/>
  <c r="G237" i="1"/>
  <c r="BX237" i="1"/>
  <c r="H237" i="1"/>
  <c r="BY237" i="1" s="1"/>
  <c r="I237" i="1"/>
  <c r="CA237" i="1"/>
  <c r="J237" i="1"/>
  <c r="BZ237" i="1" s="1"/>
  <c r="AM237" i="1"/>
  <c r="AO237" i="1"/>
  <c r="M237" i="10"/>
  <c r="AP237" i="1"/>
  <c r="AQ237" i="1"/>
  <c r="A237" i="1"/>
  <c r="A237" i="10"/>
  <c r="AR237" i="1"/>
  <c r="AS237" i="1" s="1"/>
  <c r="AT237" i="1"/>
  <c r="AV237" i="1"/>
  <c r="AW237" i="1"/>
  <c r="AX237" i="1"/>
  <c r="AY237" i="1"/>
  <c r="AZ237" i="1"/>
  <c r="BA237" i="1"/>
  <c r="BB237" i="1"/>
  <c r="BC237" i="1"/>
  <c r="BE237" i="1"/>
  <c r="BF237" i="1"/>
  <c r="BG237" i="1"/>
  <c r="BH237" i="1"/>
  <c r="BI237" i="1"/>
  <c r="BJ237" i="1"/>
  <c r="BK237" i="1" s="1"/>
  <c r="BN237" i="1"/>
  <c r="BO237" i="1"/>
  <c r="BP237" i="1" s="1"/>
  <c r="BR237" i="1"/>
  <c r="BT237" i="1"/>
  <c r="BU237" i="1"/>
  <c r="CG237" i="1"/>
  <c r="CK237" i="1"/>
  <c r="CO237" i="1"/>
  <c r="CS237" i="1"/>
  <c r="CT237" i="1" s="1"/>
  <c r="CV237" i="1" s="1"/>
  <c r="CW237" i="1" s="1"/>
  <c r="H237" i="10" s="1"/>
  <c r="DD237" i="1"/>
  <c r="F238" i="1"/>
  <c r="BW238" i="1"/>
  <c r="G238" i="1"/>
  <c r="BX238" i="1" s="1"/>
  <c r="H238" i="1"/>
  <c r="BY238" i="1"/>
  <c r="I238" i="1"/>
  <c r="CA238" i="1" s="1"/>
  <c r="J238" i="1"/>
  <c r="BZ238" i="1"/>
  <c r="AM238" i="1"/>
  <c r="AO238" i="1"/>
  <c r="M238" i="10" s="1"/>
  <c r="AP238" i="1"/>
  <c r="AQ238" i="1"/>
  <c r="A238" i="1" s="1"/>
  <c r="A238" i="10" s="1"/>
  <c r="AR238" i="1"/>
  <c r="AS238" i="1"/>
  <c r="AT238" i="1"/>
  <c r="AV238" i="1"/>
  <c r="AW238" i="1"/>
  <c r="AX238" i="1"/>
  <c r="AY238" i="1"/>
  <c r="AZ238" i="1"/>
  <c r="BA238" i="1"/>
  <c r="BB238" i="1"/>
  <c r="BC238" i="1"/>
  <c r="BE238" i="1"/>
  <c r="BF238" i="1"/>
  <c r="BG238" i="1"/>
  <c r="BH238" i="1"/>
  <c r="BI238" i="1"/>
  <c r="BJ238" i="1"/>
  <c r="BK238" i="1"/>
  <c r="BN238" i="1"/>
  <c r="BO238" i="1"/>
  <c r="BP238" i="1"/>
  <c r="BR238" i="1"/>
  <c r="BT238" i="1" s="1"/>
  <c r="BU238" i="1"/>
  <c r="CG238" i="1"/>
  <c r="CK238" i="1"/>
  <c r="CO238" i="1"/>
  <c r="CS238" i="1"/>
  <c r="DD238" i="1"/>
  <c r="DE238" i="1"/>
  <c r="F239" i="1"/>
  <c r="BW239" i="1" s="1"/>
  <c r="G239" i="1"/>
  <c r="BX239" i="1"/>
  <c r="H239" i="1"/>
  <c r="BY239" i="1" s="1"/>
  <c r="I239" i="1"/>
  <c r="CA239" i="1"/>
  <c r="J239" i="1"/>
  <c r="BZ239" i="1" s="1"/>
  <c r="AM239" i="1"/>
  <c r="AO239" i="1"/>
  <c r="M239" i="10" s="1"/>
  <c r="AP239" i="1"/>
  <c r="AQ239" i="1"/>
  <c r="A239" i="1"/>
  <c r="A239" i="10" s="1"/>
  <c r="AR239" i="1"/>
  <c r="AS239" i="1"/>
  <c r="AT239" i="1"/>
  <c r="AV239" i="1"/>
  <c r="AW239" i="1"/>
  <c r="AX239" i="1"/>
  <c r="AY239" i="1"/>
  <c r="AZ239" i="1"/>
  <c r="BA239" i="1"/>
  <c r="BB239" i="1"/>
  <c r="BC239" i="1"/>
  <c r="BE239" i="1"/>
  <c r="BF239" i="1"/>
  <c r="BG239" i="1"/>
  <c r="BH239" i="1"/>
  <c r="BI239" i="1"/>
  <c r="BJ239" i="1"/>
  <c r="BK239" i="1"/>
  <c r="BN239" i="1"/>
  <c r="BO239" i="1"/>
  <c r="BP239" i="1" s="1"/>
  <c r="BR239" i="1"/>
  <c r="BT239" i="1"/>
  <c r="BU239" i="1"/>
  <c r="CG239" i="1"/>
  <c r="CK239" i="1"/>
  <c r="CO239" i="1"/>
  <c r="CT239" i="1" s="1"/>
  <c r="CS239" i="1"/>
  <c r="DD239" i="1"/>
  <c r="F240" i="1"/>
  <c r="BW240" i="1"/>
  <c r="G240" i="1"/>
  <c r="BX240" i="1" s="1"/>
  <c r="H240" i="1"/>
  <c r="BY240" i="1"/>
  <c r="I240" i="1"/>
  <c r="CA240" i="1" s="1"/>
  <c r="J240" i="1"/>
  <c r="BZ240" i="1"/>
  <c r="AM240" i="1"/>
  <c r="AO240" i="1"/>
  <c r="M240" i="10"/>
  <c r="AP240" i="1"/>
  <c r="AQ240" i="1"/>
  <c r="A240" i="1" s="1"/>
  <c r="A240" i="10" s="1"/>
  <c r="AR240" i="1"/>
  <c r="AS240" i="1" s="1"/>
  <c r="AT240" i="1"/>
  <c r="AV240" i="1"/>
  <c r="AW240" i="1"/>
  <c r="AX240" i="1"/>
  <c r="AY240" i="1"/>
  <c r="AZ240" i="1"/>
  <c r="BA240" i="1"/>
  <c r="BB240" i="1"/>
  <c r="BC240" i="1"/>
  <c r="BE240" i="1"/>
  <c r="BF240" i="1"/>
  <c r="BG240" i="1"/>
  <c r="BH240" i="1"/>
  <c r="BI240" i="1"/>
  <c r="BJ240" i="1"/>
  <c r="BK240" i="1" s="1"/>
  <c r="BN240" i="1"/>
  <c r="BO240" i="1"/>
  <c r="BR240" i="1"/>
  <c r="BT240" i="1" s="1"/>
  <c r="BU240" i="1"/>
  <c r="CG240" i="1"/>
  <c r="CK240" i="1"/>
  <c r="CO240" i="1"/>
  <c r="CS240" i="1"/>
  <c r="DD240" i="1"/>
  <c r="DE240" i="1"/>
  <c r="F241" i="1"/>
  <c r="BW241" i="1" s="1"/>
  <c r="G241" i="1"/>
  <c r="BX241" i="1"/>
  <c r="H241" i="1"/>
  <c r="BY241" i="1" s="1"/>
  <c r="I241" i="1"/>
  <c r="CA241" i="1"/>
  <c r="J241" i="1"/>
  <c r="BZ241" i="1" s="1"/>
  <c r="AM241" i="1"/>
  <c r="AO241" i="1"/>
  <c r="M244" i="10" s="1"/>
  <c r="P244" i="10"/>
  <c r="V244" i="10"/>
  <c r="AP241" i="1"/>
  <c r="AQ241" i="1"/>
  <c r="A241" i="1" s="1"/>
  <c r="A244" i="10" s="1"/>
  <c r="AR241" i="1"/>
  <c r="AS241" i="1" s="1"/>
  <c r="AT241" i="1"/>
  <c r="AV241" i="1"/>
  <c r="AW241" i="1"/>
  <c r="AX241" i="1"/>
  <c r="AY241" i="1"/>
  <c r="AZ241" i="1"/>
  <c r="BA241" i="1"/>
  <c r="BB241" i="1"/>
  <c r="BC241" i="1"/>
  <c r="BE241" i="1"/>
  <c r="BF241" i="1"/>
  <c r="BG241" i="1"/>
  <c r="BH241" i="1"/>
  <c r="BI241" i="1"/>
  <c r="BJ241" i="1"/>
  <c r="BK241" i="1" s="1"/>
  <c r="BN241" i="1"/>
  <c r="BO241" i="1"/>
  <c r="BP241" i="1"/>
  <c r="BR241" i="1"/>
  <c r="BT241" i="1" s="1"/>
  <c r="BU241" i="1"/>
  <c r="CG241" i="1"/>
  <c r="CT241" i="1" s="1"/>
  <c r="CK241" i="1"/>
  <c r="CO241" i="1"/>
  <c r="CS241" i="1"/>
  <c r="DD241" i="1"/>
  <c r="F242" i="1"/>
  <c r="BW242" i="1" s="1"/>
  <c r="G242" i="1"/>
  <c r="BX242" i="1"/>
  <c r="H242" i="1"/>
  <c r="BY242" i="1" s="1"/>
  <c r="I242" i="1"/>
  <c r="CA242" i="1"/>
  <c r="J242" i="1"/>
  <c r="BZ242" i="1" s="1"/>
  <c r="AM242" i="1"/>
  <c r="AO242" i="1"/>
  <c r="M242" i="10" s="1"/>
  <c r="AP242" i="1"/>
  <c r="AQ242" i="1"/>
  <c r="A242" i="1"/>
  <c r="A242" i="10" s="1"/>
  <c r="AR242" i="1"/>
  <c r="AS242" i="1"/>
  <c r="AT242" i="1"/>
  <c r="AV242" i="1"/>
  <c r="AW242" i="1"/>
  <c r="AX242" i="1"/>
  <c r="AY242" i="1"/>
  <c r="AZ242" i="1"/>
  <c r="BA242" i="1"/>
  <c r="BB242" i="1"/>
  <c r="BC242" i="1"/>
  <c r="BE242" i="1"/>
  <c r="BF242" i="1"/>
  <c r="BG242" i="1"/>
  <c r="BH242" i="1"/>
  <c r="BI242" i="1"/>
  <c r="BJ242" i="1"/>
  <c r="BK242" i="1"/>
  <c r="BN242" i="1"/>
  <c r="BP242" i="1"/>
  <c r="BR242" i="1"/>
  <c r="BU242" i="1"/>
  <c r="CG242" i="1"/>
  <c r="CK242" i="1"/>
  <c r="CO242" i="1"/>
  <c r="CS242" i="1"/>
  <c r="DD242" i="1"/>
  <c r="F243" i="1"/>
  <c r="BW243" i="1" s="1"/>
  <c r="G243" i="1"/>
  <c r="BX243" i="1"/>
  <c r="H243" i="1"/>
  <c r="BY243" i="1" s="1"/>
  <c r="I243" i="1"/>
  <c r="CA243" i="1"/>
  <c r="J243" i="1"/>
  <c r="BZ243" i="1" s="1"/>
  <c r="AM243" i="1"/>
  <c r="AO243" i="1"/>
  <c r="AP243" i="1"/>
  <c r="AQ243" i="1"/>
  <c r="A243" i="1"/>
  <c r="A243" i="10" s="1"/>
  <c r="AR243" i="1"/>
  <c r="AS243" i="1"/>
  <c r="AT243" i="1"/>
  <c r="AV243" i="1"/>
  <c r="AW243" i="1"/>
  <c r="AX243" i="1"/>
  <c r="AY243" i="1"/>
  <c r="AZ243" i="1"/>
  <c r="BA243" i="1"/>
  <c r="BB243" i="1"/>
  <c r="BC243" i="1"/>
  <c r="BE243" i="1"/>
  <c r="BF243" i="1"/>
  <c r="BG243" i="1"/>
  <c r="BH243" i="1"/>
  <c r="BI243" i="1"/>
  <c r="BJ243" i="1"/>
  <c r="BK243" i="1"/>
  <c r="BN243" i="1"/>
  <c r="BO243" i="1"/>
  <c r="BP243" i="1" s="1"/>
  <c r="BR243" i="1"/>
  <c r="BU243" i="1"/>
  <c r="CG243" i="1"/>
  <c r="CK243" i="1"/>
  <c r="CO243" i="1"/>
  <c r="CS243" i="1"/>
  <c r="DD243" i="1"/>
  <c r="F244" i="1"/>
  <c r="BW244" i="1"/>
  <c r="G244" i="1"/>
  <c r="BX244" i="1" s="1"/>
  <c r="H244" i="1"/>
  <c r="BY244" i="1"/>
  <c r="I244" i="1"/>
  <c r="CA244" i="1" s="1"/>
  <c r="J244" i="1"/>
  <c r="BZ244" i="1"/>
  <c r="AM244" i="1"/>
  <c r="AO244" i="1"/>
  <c r="M241" i="10" s="1"/>
  <c r="O241" i="10" s="1"/>
  <c r="AP244" i="1"/>
  <c r="AQ244" i="1"/>
  <c r="A244" i="1" s="1"/>
  <c r="A241" i="10" s="1"/>
  <c r="AR244" i="1"/>
  <c r="AS244" i="1"/>
  <c r="AT244" i="1"/>
  <c r="AV244" i="1"/>
  <c r="AW244" i="1"/>
  <c r="AX244" i="1"/>
  <c r="AY244" i="1"/>
  <c r="AZ244" i="1"/>
  <c r="BA244" i="1"/>
  <c r="BB244" i="1"/>
  <c r="BC244" i="1"/>
  <c r="BE244" i="1"/>
  <c r="BF244" i="1"/>
  <c r="BG244" i="1"/>
  <c r="BH244" i="1"/>
  <c r="BI244" i="1"/>
  <c r="BJ244" i="1"/>
  <c r="BK244" i="1"/>
  <c r="BN244" i="1"/>
  <c r="BO244" i="1"/>
  <c r="BP244" i="1"/>
  <c r="BR244" i="1"/>
  <c r="BT244" i="1" s="1"/>
  <c r="BU244" i="1"/>
  <c r="CG244" i="1"/>
  <c r="CK244" i="1"/>
  <c r="CO244" i="1"/>
  <c r="CS244" i="1"/>
  <c r="DD244" i="1"/>
  <c r="F245" i="1"/>
  <c r="BW245" i="1" s="1"/>
  <c r="G245" i="1"/>
  <c r="BX245" i="1"/>
  <c r="H245" i="1"/>
  <c r="BY245" i="1" s="1"/>
  <c r="I245" i="1"/>
  <c r="CA245" i="1"/>
  <c r="J245" i="1"/>
  <c r="BZ245" i="1" s="1"/>
  <c r="AM245" i="1"/>
  <c r="AO245" i="1"/>
  <c r="M246" i="10"/>
  <c r="O246" i="10" s="1"/>
  <c r="AP245" i="1"/>
  <c r="AQ245" i="1"/>
  <c r="A245" i="1"/>
  <c r="A246" i="10"/>
  <c r="AR245" i="1"/>
  <c r="AS245" i="1" s="1"/>
  <c r="AT245" i="1"/>
  <c r="AV245" i="1"/>
  <c r="AW245" i="1"/>
  <c r="AX245" i="1"/>
  <c r="AY245" i="1"/>
  <c r="AZ245" i="1"/>
  <c r="BA245" i="1"/>
  <c r="BB245" i="1"/>
  <c r="BC245" i="1"/>
  <c r="BE245" i="1"/>
  <c r="BF245" i="1"/>
  <c r="BG245" i="1"/>
  <c r="BH245" i="1"/>
  <c r="BI245" i="1"/>
  <c r="BJ245" i="1"/>
  <c r="BK245" i="1" s="1"/>
  <c r="BN245" i="1"/>
  <c r="BO245" i="1"/>
  <c r="BP245" i="1" s="1"/>
  <c r="BR245" i="1"/>
  <c r="BU245" i="1"/>
  <c r="CG245" i="1"/>
  <c r="CK245" i="1"/>
  <c r="CO245" i="1"/>
  <c r="CS245" i="1"/>
  <c r="DD245" i="1"/>
  <c r="DF245" i="1" s="1"/>
  <c r="F246" i="1"/>
  <c r="BW246" i="1"/>
  <c r="G246" i="1"/>
  <c r="BX246" i="1" s="1"/>
  <c r="H246" i="1"/>
  <c r="BY246" i="1"/>
  <c r="I246" i="1"/>
  <c r="CA246" i="1" s="1"/>
  <c r="J246" i="1"/>
  <c r="BZ246" i="1"/>
  <c r="AM246" i="1"/>
  <c r="AO246" i="1"/>
  <c r="M245" i="10" s="1"/>
  <c r="AP246" i="1"/>
  <c r="AQ246" i="1"/>
  <c r="A246" i="1" s="1"/>
  <c r="A245" i="10" s="1"/>
  <c r="AR246" i="1"/>
  <c r="AS246" i="1"/>
  <c r="AT246" i="1"/>
  <c r="AV246" i="1"/>
  <c r="AW246" i="1"/>
  <c r="AX246" i="1"/>
  <c r="AY246" i="1"/>
  <c r="AZ246" i="1"/>
  <c r="BA246" i="1"/>
  <c r="BB246" i="1"/>
  <c r="BC246" i="1"/>
  <c r="BE246" i="1"/>
  <c r="BF246" i="1"/>
  <c r="BG246" i="1"/>
  <c r="BH246" i="1"/>
  <c r="BI246" i="1"/>
  <c r="BJ246" i="1"/>
  <c r="BK246" i="1"/>
  <c r="BN246" i="1"/>
  <c r="BO246" i="1"/>
  <c r="BP246" i="1"/>
  <c r="BR246" i="1"/>
  <c r="BT246" i="1" s="1"/>
  <c r="BU246" i="1"/>
  <c r="CG246" i="1"/>
  <c r="CK246" i="1"/>
  <c r="CO246" i="1"/>
  <c r="CS246" i="1"/>
  <c r="DD246" i="1"/>
  <c r="DE246" i="1"/>
  <c r="F247" i="1"/>
  <c r="BW247" i="1" s="1"/>
  <c r="G247" i="1"/>
  <c r="BX247" i="1"/>
  <c r="H247" i="1"/>
  <c r="BY247" i="1" s="1"/>
  <c r="I247" i="1"/>
  <c r="CA247" i="1"/>
  <c r="J247" i="1"/>
  <c r="BZ247" i="1" s="1"/>
  <c r="AM247" i="1"/>
  <c r="AO247" i="1"/>
  <c r="M247" i="10" s="1"/>
  <c r="AP247" i="1"/>
  <c r="AQ247" i="1"/>
  <c r="A247" i="1"/>
  <c r="A247" i="10" s="1"/>
  <c r="AR247" i="1"/>
  <c r="AS247" i="1"/>
  <c r="AT247" i="1"/>
  <c r="AV247" i="1"/>
  <c r="AW247" i="1"/>
  <c r="AX247" i="1"/>
  <c r="AY247" i="1"/>
  <c r="AZ247" i="1"/>
  <c r="BA247" i="1"/>
  <c r="BB247" i="1"/>
  <c r="BC247" i="1"/>
  <c r="BE247" i="1"/>
  <c r="BF247" i="1"/>
  <c r="BG247" i="1"/>
  <c r="BH247" i="1"/>
  <c r="BI247" i="1"/>
  <c r="BJ247" i="1"/>
  <c r="BK247" i="1"/>
  <c r="BN247" i="1"/>
  <c r="BO247" i="1"/>
  <c r="BP247" i="1" s="1"/>
  <c r="BR247" i="1"/>
  <c r="BU247" i="1"/>
  <c r="CG247" i="1"/>
  <c r="CK247" i="1"/>
  <c r="CO247" i="1"/>
  <c r="CS247" i="1"/>
  <c r="CT247" i="1" s="1"/>
  <c r="DD247" i="1"/>
  <c r="F248" i="1"/>
  <c r="BW248" i="1"/>
  <c r="G248" i="1"/>
  <c r="BX248" i="1" s="1"/>
  <c r="H248" i="1"/>
  <c r="BY248" i="1"/>
  <c r="I248" i="1"/>
  <c r="CA248" i="1" s="1"/>
  <c r="J248" i="1"/>
  <c r="BZ248" i="1"/>
  <c r="AM248" i="1"/>
  <c r="AO248" i="1"/>
  <c r="M248" i="10" s="1"/>
  <c r="AP248" i="1"/>
  <c r="AQ248" i="1"/>
  <c r="A248" i="1" s="1"/>
  <c r="A248" i="10" s="1"/>
  <c r="AR248" i="1"/>
  <c r="AS248" i="1"/>
  <c r="AT248" i="1"/>
  <c r="AV248" i="1"/>
  <c r="AW248" i="1"/>
  <c r="AX248" i="1"/>
  <c r="AY248" i="1"/>
  <c r="AZ248" i="1"/>
  <c r="BA248" i="1"/>
  <c r="BB248" i="1"/>
  <c r="BC248" i="1"/>
  <c r="BE248" i="1"/>
  <c r="BF248" i="1"/>
  <c r="BG248" i="1"/>
  <c r="BH248" i="1"/>
  <c r="BI248" i="1"/>
  <c r="BJ248" i="1"/>
  <c r="BK248" i="1"/>
  <c r="BN248" i="1"/>
  <c r="BP248" i="1"/>
  <c r="BR248" i="1"/>
  <c r="BT248" i="1"/>
  <c r="BU248" i="1"/>
  <c r="CG248" i="1"/>
  <c r="CK248" i="1"/>
  <c r="CO248" i="1"/>
  <c r="CS248" i="1"/>
  <c r="DD248" i="1"/>
  <c r="DE248" i="1"/>
  <c r="F249" i="1"/>
  <c r="BW249" i="1" s="1"/>
  <c r="G249" i="1"/>
  <c r="BX249" i="1"/>
  <c r="H249" i="1"/>
  <c r="BY249" i="1" s="1"/>
  <c r="I249" i="1"/>
  <c r="CA249" i="1"/>
  <c r="J249" i="1"/>
  <c r="BZ249" i="1" s="1"/>
  <c r="AM249" i="1"/>
  <c r="AO249" i="1"/>
  <c r="AP249" i="1"/>
  <c r="AQ249" i="1"/>
  <c r="A249" i="1" s="1"/>
  <c r="A249" i="10" s="1"/>
  <c r="AR249" i="1"/>
  <c r="AS249" i="1" s="1"/>
  <c r="AT249" i="1"/>
  <c r="AV249" i="1"/>
  <c r="AW249" i="1"/>
  <c r="AX249" i="1"/>
  <c r="AY249" i="1"/>
  <c r="AZ249" i="1"/>
  <c r="BA249" i="1"/>
  <c r="BB249" i="1"/>
  <c r="BC249" i="1"/>
  <c r="BE249" i="1"/>
  <c r="BF249" i="1"/>
  <c r="BG249" i="1"/>
  <c r="BH249" i="1"/>
  <c r="BI249" i="1"/>
  <c r="BJ249" i="1"/>
  <c r="BK249" i="1" s="1"/>
  <c r="BN249" i="1"/>
  <c r="BP249" i="1"/>
  <c r="BR249" i="1"/>
  <c r="BU249" i="1"/>
  <c r="CG249" i="1"/>
  <c r="CK249" i="1"/>
  <c r="CO249" i="1"/>
  <c r="CS249" i="1"/>
  <c r="DD249" i="1"/>
  <c r="F250" i="1"/>
  <c r="BW250" i="1" s="1"/>
  <c r="G250" i="1"/>
  <c r="BX250" i="1"/>
  <c r="H250" i="1"/>
  <c r="BY250" i="1" s="1"/>
  <c r="I250" i="1"/>
  <c r="CA250" i="1"/>
  <c r="J250" i="1"/>
  <c r="BZ250" i="1" s="1"/>
  <c r="AM250" i="1"/>
  <c r="AO250" i="1"/>
  <c r="AP250" i="1"/>
  <c r="AQ250" i="1"/>
  <c r="A250" i="1" s="1"/>
  <c r="A251" i="10" s="1"/>
  <c r="AR250" i="1"/>
  <c r="AS250" i="1" s="1"/>
  <c r="AT250" i="1"/>
  <c r="AV250" i="1"/>
  <c r="AW250" i="1"/>
  <c r="AX250" i="1"/>
  <c r="AY250" i="1"/>
  <c r="AZ250" i="1"/>
  <c r="BA250" i="1"/>
  <c r="BB250" i="1"/>
  <c r="BC250" i="1"/>
  <c r="BE250" i="1"/>
  <c r="BF250" i="1"/>
  <c r="BG250" i="1"/>
  <c r="BH250" i="1"/>
  <c r="BI250" i="1"/>
  <c r="BJ250" i="1"/>
  <c r="BK250" i="1" s="1"/>
  <c r="BN250" i="1"/>
  <c r="BP250" i="1"/>
  <c r="BR250" i="1"/>
  <c r="BU250" i="1"/>
  <c r="CG250" i="1"/>
  <c r="CK250" i="1"/>
  <c r="CO250" i="1"/>
  <c r="CS250" i="1"/>
  <c r="DD250" i="1"/>
  <c r="DE250" i="1"/>
  <c r="F251" i="1"/>
  <c r="BW251" i="1" s="1"/>
  <c r="G251" i="1"/>
  <c r="BX251" i="1"/>
  <c r="H251" i="1"/>
  <c r="BY251" i="1" s="1"/>
  <c r="I251" i="1"/>
  <c r="CA251" i="1"/>
  <c r="J251" i="1"/>
  <c r="BZ251" i="1" s="1"/>
  <c r="AM251" i="1"/>
  <c r="AO251" i="1"/>
  <c r="AP251" i="1"/>
  <c r="AQ251" i="1"/>
  <c r="A251" i="1"/>
  <c r="A252" i="10" s="1"/>
  <c r="AR251" i="1"/>
  <c r="AS251" i="1"/>
  <c r="AT251" i="1"/>
  <c r="AV251" i="1"/>
  <c r="AW251" i="1"/>
  <c r="AX251" i="1"/>
  <c r="AY251" i="1"/>
  <c r="AZ251" i="1"/>
  <c r="BA251" i="1"/>
  <c r="BB251" i="1"/>
  <c r="BC251" i="1"/>
  <c r="BE251" i="1"/>
  <c r="BF251" i="1"/>
  <c r="BG251" i="1"/>
  <c r="BH251" i="1"/>
  <c r="BI251" i="1"/>
  <c r="BJ251" i="1"/>
  <c r="BK251" i="1"/>
  <c r="BN251" i="1"/>
  <c r="BO251" i="1"/>
  <c r="BP251" i="1" s="1"/>
  <c r="BR251" i="1"/>
  <c r="BT251" i="1"/>
  <c r="BU251" i="1"/>
  <c r="CG251" i="1"/>
  <c r="CK251" i="1"/>
  <c r="CO251" i="1"/>
  <c r="CS251" i="1"/>
  <c r="DD251" i="1"/>
  <c r="F252" i="1"/>
  <c r="BW252" i="1"/>
  <c r="G252" i="1"/>
  <c r="BX252" i="1" s="1"/>
  <c r="H252" i="1"/>
  <c r="BY252" i="1"/>
  <c r="I252" i="1"/>
  <c r="CA252" i="1" s="1"/>
  <c r="J252" i="1"/>
  <c r="BZ252" i="1"/>
  <c r="AM252" i="1"/>
  <c r="AO252" i="1"/>
  <c r="M250" i="10"/>
  <c r="AP252" i="1"/>
  <c r="AQ252" i="1"/>
  <c r="A252" i="1" s="1"/>
  <c r="A250" i="10" s="1"/>
  <c r="AR252" i="1"/>
  <c r="AS252" i="1" s="1"/>
  <c r="AT252" i="1"/>
  <c r="AV252" i="1"/>
  <c r="AW252" i="1"/>
  <c r="AX252" i="1"/>
  <c r="AY252" i="1"/>
  <c r="AZ252" i="1"/>
  <c r="BA252" i="1"/>
  <c r="BB252" i="1"/>
  <c r="BC252" i="1"/>
  <c r="BE252" i="1"/>
  <c r="BF252" i="1"/>
  <c r="BG252" i="1"/>
  <c r="BH252" i="1"/>
  <c r="BI252" i="1"/>
  <c r="BJ252" i="1"/>
  <c r="BK252" i="1" s="1"/>
  <c r="BN252" i="1"/>
  <c r="BP252" i="1"/>
  <c r="BR252" i="1"/>
  <c r="BU252" i="1"/>
  <c r="CG252" i="1"/>
  <c r="CK252" i="1"/>
  <c r="CO252" i="1"/>
  <c r="CS252" i="1"/>
  <c r="DD252" i="1"/>
  <c r="F253" i="1"/>
  <c r="BW253" i="1"/>
  <c r="G253" i="1"/>
  <c r="BX253" i="1" s="1"/>
  <c r="H253" i="1"/>
  <c r="BY253" i="1"/>
  <c r="I253" i="1"/>
  <c r="CA253" i="1" s="1"/>
  <c r="J253" i="1"/>
  <c r="BZ253" i="1"/>
  <c r="AM253" i="1"/>
  <c r="AO253" i="1"/>
  <c r="M255" i="10"/>
  <c r="AP253" i="1"/>
  <c r="AQ253" i="1"/>
  <c r="A253" i="1" s="1"/>
  <c r="A255" i="10" s="1"/>
  <c r="AR253" i="1"/>
  <c r="AS253" i="1" s="1"/>
  <c r="AT253" i="1"/>
  <c r="AV253" i="1"/>
  <c r="AW253" i="1"/>
  <c r="AX253" i="1"/>
  <c r="AY253" i="1"/>
  <c r="AZ253" i="1"/>
  <c r="BA253" i="1"/>
  <c r="BB253" i="1"/>
  <c r="BC253" i="1"/>
  <c r="BE253" i="1"/>
  <c r="BF253" i="1"/>
  <c r="BG253" i="1"/>
  <c r="BH253" i="1"/>
  <c r="BI253" i="1"/>
  <c r="BJ253" i="1"/>
  <c r="BK253" i="1" s="1"/>
  <c r="BN253" i="1"/>
  <c r="BO253" i="1"/>
  <c r="BP253" i="1"/>
  <c r="BR253" i="1"/>
  <c r="BU253" i="1"/>
  <c r="CG253" i="1"/>
  <c r="CK253" i="1"/>
  <c r="CO253" i="1"/>
  <c r="CS253" i="1"/>
  <c r="DD253" i="1"/>
  <c r="F254" i="1"/>
  <c r="BW254" i="1" s="1"/>
  <c r="G254" i="1"/>
  <c r="BX254" i="1"/>
  <c r="H254" i="1"/>
  <c r="BY254" i="1" s="1"/>
  <c r="I254" i="1"/>
  <c r="CA254" i="1"/>
  <c r="J254" i="1"/>
  <c r="BZ254" i="1" s="1"/>
  <c r="AM254" i="1"/>
  <c r="AO254" i="1"/>
  <c r="AP254" i="1"/>
  <c r="AQ254" i="1"/>
  <c r="A254" i="1" s="1"/>
  <c r="A254" i="10" s="1"/>
  <c r="AR254" i="1"/>
  <c r="AS254" i="1" s="1"/>
  <c r="AT254" i="1"/>
  <c r="AV254" i="1"/>
  <c r="AW254" i="1"/>
  <c r="AX254" i="1"/>
  <c r="AY254" i="1"/>
  <c r="AZ254" i="1"/>
  <c r="BA254" i="1"/>
  <c r="BB254" i="1"/>
  <c r="BC254" i="1"/>
  <c r="BE254" i="1"/>
  <c r="BF254" i="1"/>
  <c r="BG254" i="1"/>
  <c r="BH254" i="1"/>
  <c r="BI254" i="1"/>
  <c r="BJ254" i="1"/>
  <c r="BK254" i="1" s="1"/>
  <c r="BN254" i="1"/>
  <c r="BP254" i="1"/>
  <c r="BR254" i="1"/>
  <c r="BT254" i="1" s="1"/>
  <c r="BU254" i="1"/>
  <c r="CG254" i="1"/>
  <c r="CK254" i="1"/>
  <c r="CO254" i="1"/>
  <c r="CS254" i="1"/>
  <c r="DD254" i="1"/>
  <c r="F255" i="1"/>
  <c r="BW255" i="1" s="1"/>
  <c r="G255" i="1"/>
  <c r="BX255" i="1"/>
  <c r="H255" i="1"/>
  <c r="BY255" i="1" s="1"/>
  <c r="I255" i="1"/>
  <c r="CA255" i="1"/>
  <c r="J255" i="1"/>
  <c r="BZ255" i="1" s="1"/>
  <c r="AM255" i="1"/>
  <c r="AO255" i="1"/>
  <c r="M253" i="10"/>
  <c r="AP255" i="1"/>
  <c r="AQ255" i="1"/>
  <c r="A255" i="1"/>
  <c r="A253" i="10"/>
  <c r="AR255" i="1"/>
  <c r="AS255" i="1" s="1"/>
  <c r="AT255" i="1"/>
  <c r="AV255" i="1"/>
  <c r="AW255" i="1"/>
  <c r="AX255" i="1"/>
  <c r="AY255" i="1"/>
  <c r="AZ255" i="1"/>
  <c r="BA255" i="1"/>
  <c r="BB255" i="1"/>
  <c r="BC255" i="1"/>
  <c r="BE255" i="1"/>
  <c r="BF255" i="1"/>
  <c r="BG255" i="1"/>
  <c r="BH255" i="1"/>
  <c r="BI255" i="1"/>
  <c r="BJ255" i="1"/>
  <c r="BK255" i="1" s="1"/>
  <c r="BN255" i="1"/>
  <c r="BO255" i="1"/>
  <c r="BR255" i="1"/>
  <c r="BT255" i="1"/>
  <c r="BU255" i="1"/>
  <c r="CG255" i="1"/>
  <c r="CK255" i="1"/>
  <c r="CO255" i="1"/>
  <c r="CS255" i="1"/>
  <c r="DD255" i="1"/>
  <c r="F256" i="1"/>
  <c r="BW256" i="1"/>
  <c r="G256" i="1"/>
  <c r="BX256" i="1" s="1"/>
  <c r="H256" i="1"/>
  <c r="BY256" i="1"/>
  <c r="I256" i="1"/>
  <c r="CA256" i="1" s="1"/>
  <c r="J256" i="1"/>
  <c r="BZ256" i="1"/>
  <c r="AM256" i="1"/>
  <c r="AO256" i="1"/>
  <c r="M256" i="10" s="1"/>
  <c r="AP256" i="1"/>
  <c r="AQ256" i="1"/>
  <c r="A256" i="1" s="1"/>
  <c r="A256" i="10" s="1"/>
  <c r="AR256" i="1"/>
  <c r="AS256" i="1"/>
  <c r="AT256" i="1"/>
  <c r="AV256" i="1"/>
  <c r="AW256" i="1"/>
  <c r="AX256" i="1"/>
  <c r="AY256" i="1"/>
  <c r="AZ256" i="1"/>
  <c r="BA256" i="1"/>
  <c r="BB256" i="1"/>
  <c r="BC256" i="1"/>
  <c r="BE256" i="1"/>
  <c r="BF256" i="1"/>
  <c r="BG256" i="1"/>
  <c r="BH256" i="1"/>
  <c r="BI256" i="1"/>
  <c r="BJ256" i="1"/>
  <c r="BK256" i="1"/>
  <c r="BN256" i="1"/>
  <c r="BO256" i="1"/>
  <c r="BP256" i="1"/>
  <c r="BR256" i="1"/>
  <c r="BT256" i="1" s="1"/>
  <c r="BU256" i="1"/>
  <c r="CG256" i="1"/>
  <c r="CK256" i="1"/>
  <c r="CO256" i="1"/>
  <c r="CS256" i="1"/>
  <c r="DD256" i="1"/>
  <c r="DE256" i="1"/>
  <c r="F257" i="1"/>
  <c r="BW257" i="1" s="1"/>
  <c r="G257" i="1"/>
  <c r="BX257" i="1"/>
  <c r="H257" i="1"/>
  <c r="BY257" i="1" s="1"/>
  <c r="I257" i="1"/>
  <c r="CA257" i="1"/>
  <c r="J257" i="1"/>
  <c r="BZ257" i="1" s="1"/>
  <c r="AM257" i="1"/>
  <c r="AO257" i="1"/>
  <c r="M258" i="10" s="1"/>
  <c r="AP257" i="1"/>
  <c r="AQ257" i="1"/>
  <c r="A257" i="1"/>
  <c r="A258" i="10" s="1"/>
  <c r="AR257" i="1"/>
  <c r="AS257" i="1"/>
  <c r="AT257" i="1"/>
  <c r="AV257" i="1"/>
  <c r="AW257" i="1"/>
  <c r="AX257" i="1"/>
  <c r="AY257" i="1"/>
  <c r="AZ257" i="1"/>
  <c r="BA257" i="1"/>
  <c r="BB257" i="1"/>
  <c r="BC257" i="1"/>
  <c r="BE257" i="1"/>
  <c r="BF257" i="1"/>
  <c r="BG257" i="1"/>
  <c r="BH257" i="1"/>
  <c r="BI257" i="1"/>
  <c r="BJ257" i="1"/>
  <c r="BK257" i="1"/>
  <c r="BN257" i="1"/>
  <c r="BO257" i="1"/>
  <c r="BP257" i="1" s="1"/>
  <c r="BR257" i="1"/>
  <c r="BT257" i="1"/>
  <c r="BU257" i="1"/>
  <c r="CG257" i="1"/>
  <c r="CK257" i="1"/>
  <c r="CO257" i="1"/>
  <c r="CS257" i="1"/>
  <c r="DD257" i="1"/>
  <c r="DF257" i="1"/>
  <c r="F258" i="1"/>
  <c r="BW258" i="1" s="1"/>
  <c r="G258" i="1"/>
  <c r="BX258" i="1"/>
  <c r="H258" i="1"/>
  <c r="BY258" i="1" s="1"/>
  <c r="I258" i="1"/>
  <c r="CA258" i="1"/>
  <c r="J258" i="1"/>
  <c r="BZ258" i="1" s="1"/>
  <c r="AM258" i="1"/>
  <c r="AO258" i="1"/>
  <c r="M257" i="10"/>
  <c r="O257" i="10" s="1"/>
  <c r="AP258" i="1"/>
  <c r="AQ258" i="1"/>
  <c r="A258" i="1"/>
  <c r="A257" i="10"/>
  <c r="AR258" i="1"/>
  <c r="AS258" i="1" s="1"/>
  <c r="AT258" i="1"/>
  <c r="AV258" i="1"/>
  <c r="AW258" i="1"/>
  <c r="AX258" i="1"/>
  <c r="AY258" i="1"/>
  <c r="AZ258" i="1"/>
  <c r="BA258" i="1"/>
  <c r="BB258" i="1"/>
  <c r="BC258" i="1"/>
  <c r="BE258" i="1"/>
  <c r="BF258" i="1"/>
  <c r="BG258" i="1"/>
  <c r="BH258" i="1"/>
  <c r="BI258" i="1"/>
  <c r="BJ258" i="1"/>
  <c r="BK258" i="1" s="1"/>
  <c r="BN258" i="1"/>
  <c r="BO258" i="1"/>
  <c r="BP258" i="1" s="1"/>
  <c r="BR258" i="1"/>
  <c r="BT258" i="1"/>
  <c r="BU258" i="1"/>
  <c r="CG258" i="1"/>
  <c r="CK258" i="1"/>
  <c r="CO258" i="1"/>
  <c r="CS258" i="1"/>
  <c r="DD258" i="1"/>
  <c r="DE258" i="1" s="1"/>
  <c r="F259" i="1"/>
  <c r="BW259" i="1"/>
  <c r="G259" i="1"/>
  <c r="BX259" i="1" s="1"/>
  <c r="H259" i="1"/>
  <c r="BY259" i="1"/>
  <c r="I259" i="1"/>
  <c r="CA259" i="1" s="1"/>
  <c r="J259" i="1"/>
  <c r="BZ259" i="1"/>
  <c r="AM259" i="1"/>
  <c r="AO259" i="1"/>
  <c r="M260" i="10"/>
  <c r="AP259" i="1"/>
  <c r="AQ259" i="1"/>
  <c r="A259" i="1" s="1"/>
  <c r="A260" i="10" s="1"/>
  <c r="AR259" i="1"/>
  <c r="AS259" i="1" s="1"/>
  <c r="AT259" i="1"/>
  <c r="AV259" i="1"/>
  <c r="AW259" i="1"/>
  <c r="AX259" i="1"/>
  <c r="AY259" i="1"/>
  <c r="AZ259" i="1"/>
  <c r="BA259" i="1"/>
  <c r="BB259" i="1"/>
  <c r="BC259" i="1"/>
  <c r="BE259" i="1"/>
  <c r="BF259" i="1"/>
  <c r="BG259" i="1"/>
  <c r="BH259" i="1"/>
  <c r="BI259" i="1"/>
  <c r="BJ259" i="1"/>
  <c r="BK259" i="1" s="1"/>
  <c r="BN259" i="1"/>
  <c r="BO259" i="1"/>
  <c r="BR259" i="1"/>
  <c r="BT259" i="1" s="1"/>
  <c r="BU259" i="1"/>
  <c r="CG259" i="1"/>
  <c r="CK259" i="1"/>
  <c r="CO259" i="1"/>
  <c r="CS259" i="1"/>
  <c r="DD259" i="1"/>
  <c r="F260" i="1"/>
  <c r="BW260" i="1" s="1"/>
  <c r="G260" i="1"/>
  <c r="BX260" i="1"/>
  <c r="H260" i="1"/>
  <c r="BY260" i="1" s="1"/>
  <c r="I260" i="1"/>
  <c r="CA260" i="1"/>
  <c r="J260" i="1"/>
  <c r="BZ260" i="1" s="1"/>
  <c r="AM260" i="1"/>
  <c r="AO260" i="1"/>
  <c r="M259" i="10"/>
  <c r="AP260" i="1"/>
  <c r="AQ260" i="1"/>
  <c r="A260" i="1"/>
  <c r="A259" i="10"/>
  <c r="AR260" i="1"/>
  <c r="AS260" i="1" s="1"/>
  <c r="AT260" i="1"/>
  <c r="AV260" i="1"/>
  <c r="AW260" i="1"/>
  <c r="AX260" i="1"/>
  <c r="AY260" i="1"/>
  <c r="AZ260" i="1"/>
  <c r="BA260" i="1"/>
  <c r="BB260" i="1"/>
  <c r="BC260" i="1"/>
  <c r="BE260" i="1"/>
  <c r="BF260" i="1"/>
  <c r="BG260" i="1"/>
  <c r="BH260" i="1"/>
  <c r="BI260" i="1"/>
  <c r="BJ260" i="1"/>
  <c r="BK260" i="1" s="1"/>
  <c r="BN260" i="1"/>
  <c r="BP260" i="1"/>
  <c r="BS260" i="1" s="1"/>
  <c r="BR260" i="1"/>
  <c r="BT260" i="1" s="1"/>
  <c r="BU260" i="1"/>
  <c r="CG260" i="1"/>
  <c r="CK260" i="1"/>
  <c r="CO260" i="1"/>
  <c r="CS260" i="1"/>
  <c r="DD260" i="1"/>
  <c r="DF260" i="1" s="1"/>
  <c r="F261" i="1"/>
  <c r="BW261" i="1"/>
  <c r="G261" i="1"/>
  <c r="BX261" i="1" s="1"/>
  <c r="H261" i="1"/>
  <c r="BY261" i="1"/>
  <c r="I261" i="1"/>
  <c r="CA261" i="1" s="1"/>
  <c r="J261" i="1"/>
  <c r="BZ261" i="1"/>
  <c r="AM261" i="1"/>
  <c r="AO261" i="1"/>
  <c r="AP261" i="1"/>
  <c r="AQ261" i="1"/>
  <c r="A261" i="1"/>
  <c r="A261" i="10" s="1"/>
  <c r="AR261" i="1"/>
  <c r="AS261" i="1"/>
  <c r="AT261" i="1"/>
  <c r="AV261" i="1"/>
  <c r="AW261" i="1"/>
  <c r="AX261" i="1"/>
  <c r="AY261" i="1"/>
  <c r="AZ261" i="1"/>
  <c r="BA261" i="1"/>
  <c r="BB261" i="1"/>
  <c r="BC261" i="1"/>
  <c r="BE261" i="1"/>
  <c r="BF261" i="1"/>
  <c r="BG261" i="1"/>
  <c r="BH261" i="1"/>
  <c r="BI261" i="1"/>
  <c r="BJ261" i="1"/>
  <c r="BK261" i="1"/>
  <c r="BN261" i="1"/>
  <c r="BP261" i="1"/>
  <c r="BR261" i="1"/>
  <c r="BU261" i="1"/>
  <c r="CG261" i="1"/>
  <c r="CK261" i="1"/>
  <c r="CO261" i="1"/>
  <c r="CS261" i="1"/>
  <c r="DD261" i="1"/>
  <c r="DF261" i="1" s="1"/>
  <c r="F262" i="1"/>
  <c r="BW262" i="1"/>
  <c r="G262" i="1"/>
  <c r="BX262" i="1" s="1"/>
  <c r="H262" i="1"/>
  <c r="BY262" i="1"/>
  <c r="I262" i="1"/>
  <c r="CA262" i="1" s="1"/>
  <c r="J262" i="1"/>
  <c r="BZ262" i="1"/>
  <c r="AM262" i="1"/>
  <c r="AO262" i="1"/>
  <c r="M262" i="10" s="1"/>
  <c r="AP262" i="1"/>
  <c r="AQ262" i="1"/>
  <c r="A262" i="1" s="1"/>
  <c r="A262" i="10" s="1"/>
  <c r="AR262" i="1"/>
  <c r="AS262" i="1"/>
  <c r="AT262" i="1"/>
  <c r="AV262" i="1"/>
  <c r="AW262" i="1"/>
  <c r="AX262" i="1"/>
  <c r="AY262" i="1"/>
  <c r="AZ262" i="1"/>
  <c r="BA262" i="1"/>
  <c r="BB262" i="1"/>
  <c r="BC262" i="1"/>
  <c r="BE262" i="1"/>
  <c r="BF262" i="1"/>
  <c r="BG262" i="1"/>
  <c r="BH262" i="1"/>
  <c r="BI262" i="1"/>
  <c r="BJ262" i="1"/>
  <c r="BK262" i="1"/>
  <c r="BN262" i="1"/>
  <c r="BP262" i="1"/>
  <c r="BR262" i="1"/>
  <c r="BU262" i="1"/>
  <c r="CG262" i="1"/>
  <c r="CK262" i="1"/>
  <c r="CO262" i="1"/>
  <c r="CS262" i="1"/>
  <c r="DD262" i="1"/>
  <c r="F263" i="1"/>
  <c r="BW263" i="1"/>
  <c r="G263" i="1"/>
  <c r="BX263" i="1" s="1"/>
  <c r="H263" i="1"/>
  <c r="BY263" i="1"/>
  <c r="I263" i="1"/>
  <c r="CA263" i="1" s="1"/>
  <c r="J263" i="1"/>
  <c r="BZ263" i="1"/>
  <c r="AM263" i="1"/>
  <c r="AO263" i="1"/>
  <c r="M265" i="10" s="1"/>
  <c r="O265" i="10" s="1"/>
  <c r="AP263" i="1"/>
  <c r="AQ263" i="1"/>
  <c r="A263" i="1" s="1"/>
  <c r="A265" i="10" s="1"/>
  <c r="AR263" i="1"/>
  <c r="AS263" i="1"/>
  <c r="AT263" i="1"/>
  <c r="AV263" i="1"/>
  <c r="AW263" i="1"/>
  <c r="AX263" i="1"/>
  <c r="AY263" i="1"/>
  <c r="AZ263" i="1"/>
  <c r="BA263" i="1"/>
  <c r="BB263" i="1"/>
  <c r="BC263" i="1"/>
  <c r="BE263" i="1"/>
  <c r="BF263" i="1"/>
  <c r="BG263" i="1"/>
  <c r="BH263" i="1"/>
  <c r="BI263" i="1"/>
  <c r="BJ263" i="1"/>
  <c r="BK263" i="1"/>
  <c r="BN263" i="1"/>
  <c r="BO263" i="1"/>
  <c r="BP263" i="1"/>
  <c r="BR263" i="1"/>
  <c r="BU263" i="1"/>
  <c r="CG263" i="1"/>
  <c r="CK263" i="1"/>
  <c r="CO263" i="1"/>
  <c r="CT263" i="1" s="1"/>
  <c r="CS263" i="1"/>
  <c r="DD263" i="1"/>
  <c r="F264" i="1"/>
  <c r="BW264" i="1"/>
  <c r="G264" i="1"/>
  <c r="BX264" i="1" s="1"/>
  <c r="H264" i="1"/>
  <c r="BY264" i="1"/>
  <c r="I264" i="1"/>
  <c r="CA264" i="1" s="1"/>
  <c r="J264" i="1"/>
  <c r="BZ264" i="1"/>
  <c r="AM264" i="1"/>
  <c r="AO264" i="1"/>
  <c r="M263" i="10"/>
  <c r="AP264" i="1"/>
  <c r="AQ264" i="1"/>
  <c r="A264" i="1" s="1"/>
  <c r="A263" i="10" s="1"/>
  <c r="AR264" i="1"/>
  <c r="AS264" i="1" s="1"/>
  <c r="AT264" i="1"/>
  <c r="AV264" i="1"/>
  <c r="AW264" i="1"/>
  <c r="AX264" i="1"/>
  <c r="AY264" i="1"/>
  <c r="AZ264" i="1"/>
  <c r="BA264" i="1"/>
  <c r="BB264" i="1"/>
  <c r="BC264" i="1"/>
  <c r="BE264" i="1"/>
  <c r="BF264" i="1"/>
  <c r="BG264" i="1"/>
  <c r="BH264" i="1"/>
  <c r="BI264" i="1"/>
  <c r="BJ264" i="1"/>
  <c r="BK264" i="1" s="1"/>
  <c r="BN264" i="1"/>
  <c r="BP264" i="1"/>
  <c r="BR264" i="1"/>
  <c r="BU264" i="1"/>
  <c r="CG264" i="1"/>
  <c r="CK264" i="1"/>
  <c r="CO264" i="1"/>
  <c r="CS264" i="1"/>
  <c r="DD264" i="1"/>
  <c r="DF264" i="1"/>
  <c r="F265" i="1"/>
  <c r="BW265" i="1" s="1"/>
  <c r="G265" i="1"/>
  <c r="BX265" i="1"/>
  <c r="H265" i="1"/>
  <c r="BY265" i="1" s="1"/>
  <c r="I265" i="1"/>
  <c r="CA265" i="1"/>
  <c r="J265" i="1"/>
  <c r="BZ265" i="1" s="1"/>
  <c r="AM265" i="1"/>
  <c r="AO265" i="1"/>
  <c r="M264" i="10"/>
  <c r="AP265" i="1"/>
  <c r="AQ265" i="1"/>
  <c r="A265" i="1"/>
  <c r="A264" i="10"/>
  <c r="AR265" i="1"/>
  <c r="AS265" i="1" s="1"/>
  <c r="AT265" i="1"/>
  <c r="AV265" i="1"/>
  <c r="AW265" i="1"/>
  <c r="AX265" i="1"/>
  <c r="AY265" i="1"/>
  <c r="AZ265" i="1"/>
  <c r="BA265" i="1"/>
  <c r="BB265" i="1"/>
  <c r="BC265" i="1"/>
  <c r="BE265" i="1"/>
  <c r="BF265" i="1"/>
  <c r="BG265" i="1"/>
  <c r="BH265" i="1"/>
  <c r="BI265" i="1"/>
  <c r="BJ265" i="1"/>
  <c r="BK265" i="1" s="1"/>
  <c r="BN265" i="1"/>
  <c r="BP265" i="1"/>
  <c r="BR265" i="1"/>
  <c r="BU265" i="1"/>
  <c r="CG265" i="1"/>
  <c r="CK265" i="1"/>
  <c r="CO265" i="1"/>
  <c r="CS265" i="1"/>
  <c r="DD265" i="1"/>
  <c r="DE265" i="1"/>
  <c r="F266" i="1"/>
  <c r="BW266" i="1" s="1"/>
  <c r="G266" i="1"/>
  <c r="BX266" i="1"/>
  <c r="H266" i="1"/>
  <c r="BY266" i="1" s="1"/>
  <c r="I266" i="1"/>
  <c r="CA266" i="1"/>
  <c r="J266" i="1"/>
  <c r="BZ266" i="1" s="1"/>
  <c r="AM266" i="1"/>
  <c r="AO266" i="1"/>
  <c r="M266" i="10" s="1"/>
  <c r="AP266" i="1"/>
  <c r="AQ266" i="1"/>
  <c r="A266" i="1"/>
  <c r="A266" i="10" s="1"/>
  <c r="AR266" i="1"/>
  <c r="AS266" i="1"/>
  <c r="AT266" i="1"/>
  <c r="AV266" i="1"/>
  <c r="AW266" i="1"/>
  <c r="AX266" i="1"/>
  <c r="AY266" i="1"/>
  <c r="AZ266" i="1"/>
  <c r="BA266" i="1"/>
  <c r="BB266" i="1"/>
  <c r="BC266" i="1"/>
  <c r="BE266" i="1"/>
  <c r="BF266" i="1"/>
  <c r="BG266" i="1"/>
  <c r="BH266" i="1"/>
  <c r="BI266" i="1"/>
  <c r="BJ266" i="1"/>
  <c r="BK266" i="1"/>
  <c r="BN266" i="1"/>
  <c r="BO266" i="1"/>
  <c r="BP266" i="1" s="1"/>
  <c r="BR266" i="1"/>
  <c r="BT266" i="1"/>
  <c r="BU266" i="1"/>
  <c r="CG266" i="1"/>
  <c r="CK266" i="1"/>
  <c r="CO266" i="1"/>
  <c r="CS266" i="1"/>
  <c r="DD266" i="1"/>
  <c r="F267" i="1"/>
  <c r="BW267" i="1"/>
  <c r="G267" i="1"/>
  <c r="BX267" i="1" s="1"/>
  <c r="H267" i="1"/>
  <c r="BY267" i="1"/>
  <c r="I267" i="1"/>
  <c r="CA267" i="1" s="1"/>
  <c r="J267" i="1"/>
  <c r="BZ267" i="1"/>
  <c r="AM267" i="1"/>
  <c r="AO267" i="1"/>
  <c r="AP267" i="1"/>
  <c r="AQ267" i="1"/>
  <c r="A267" i="1" s="1"/>
  <c r="A267" i="10" s="1"/>
  <c r="AR267" i="1"/>
  <c r="AS267" i="1"/>
  <c r="AT267" i="1"/>
  <c r="AV267" i="1"/>
  <c r="AW267" i="1"/>
  <c r="AX267" i="1"/>
  <c r="AY267" i="1"/>
  <c r="AZ267" i="1"/>
  <c r="BA267" i="1"/>
  <c r="BB267" i="1"/>
  <c r="BC267" i="1"/>
  <c r="BE267" i="1"/>
  <c r="BF267" i="1"/>
  <c r="BG267" i="1"/>
  <c r="BH267" i="1"/>
  <c r="BI267" i="1"/>
  <c r="BJ267" i="1"/>
  <c r="BK267" i="1"/>
  <c r="BN267" i="1"/>
  <c r="BO267" i="1"/>
  <c r="BP267" i="1"/>
  <c r="BR267" i="1"/>
  <c r="BU267" i="1"/>
  <c r="CG267" i="1"/>
  <c r="CK267" i="1"/>
  <c r="CO267" i="1"/>
  <c r="CS267" i="1"/>
  <c r="DD267" i="1"/>
  <c r="F268" i="1"/>
  <c r="BW268" i="1"/>
  <c r="G268" i="1"/>
  <c r="BX268" i="1" s="1"/>
  <c r="H268" i="1"/>
  <c r="BY268" i="1"/>
  <c r="I268" i="1"/>
  <c r="CA268" i="1" s="1"/>
  <c r="J268" i="1"/>
  <c r="BZ268" i="1"/>
  <c r="AM268" i="1"/>
  <c r="AO268" i="1"/>
  <c r="M268" i="10"/>
  <c r="AP268" i="1"/>
  <c r="AQ268" i="1"/>
  <c r="A268" i="1" s="1"/>
  <c r="A268" i="10" s="1"/>
  <c r="AR268" i="1"/>
  <c r="AS268" i="1" s="1"/>
  <c r="AT268" i="1"/>
  <c r="AV268" i="1"/>
  <c r="AW268" i="1"/>
  <c r="AX268" i="1"/>
  <c r="AY268" i="1"/>
  <c r="AZ268" i="1"/>
  <c r="BA268" i="1"/>
  <c r="BB268" i="1"/>
  <c r="BC268" i="1"/>
  <c r="BE268" i="1"/>
  <c r="BF268" i="1"/>
  <c r="BG268" i="1"/>
  <c r="BH268" i="1"/>
  <c r="BI268" i="1"/>
  <c r="BJ268" i="1"/>
  <c r="BK268" i="1" s="1"/>
  <c r="BN268" i="1"/>
  <c r="BO268" i="1"/>
  <c r="BP268" i="1"/>
  <c r="BR268" i="1"/>
  <c r="BU268" i="1"/>
  <c r="CG268" i="1"/>
  <c r="CK268" i="1"/>
  <c r="CO268" i="1"/>
  <c r="CS268" i="1"/>
  <c r="DD268" i="1"/>
  <c r="DE268" i="1"/>
  <c r="F269" i="1"/>
  <c r="BW269" i="1" s="1"/>
  <c r="G269" i="1"/>
  <c r="BX269" i="1"/>
  <c r="H269" i="1"/>
  <c r="BY269" i="1" s="1"/>
  <c r="I269" i="1"/>
  <c r="CA269" i="1"/>
  <c r="J269" i="1"/>
  <c r="BZ269" i="1" s="1"/>
  <c r="AM269" i="1"/>
  <c r="AO269" i="1"/>
  <c r="M270" i="10" s="1"/>
  <c r="AP269" i="1"/>
  <c r="AQ269" i="1"/>
  <c r="A269" i="1"/>
  <c r="A270" i="10" s="1"/>
  <c r="AR269" i="1"/>
  <c r="AS269" i="1"/>
  <c r="AT269" i="1"/>
  <c r="AV269" i="1"/>
  <c r="AW269" i="1"/>
  <c r="AX269" i="1"/>
  <c r="AY269" i="1"/>
  <c r="AZ269" i="1"/>
  <c r="BA269" i="1"/>
  <c r="BB269" i="1"/>
  <c r="BC269" i="1"/>
  <c r="BE269" i="1"/>
  <c r="BF269" i="1"/>
  <c r="BG269" i="1"/>
  <c r="BH269" i="1"/>
  <c r="BI269" i="1"/>
  <c r="BJ269" i="1"/>
  <c r="BK269" i="1"/>
  <c r="BN269" i="1"/>
  <c r="BO269" i="1"/>
  <c r="BP269" i="1" s="1"/>
  <c r="BR269" i="1"/>
  <c r="BU269" i="1"/>
  <c r="CG269" i="1"/>
  <c r="CK269" i="1"/>
  <c r="CO269" i="1"/>
  <c r="CS269" i="1"/>
  <c r="DD269" i="1"/>
  <c r="F270" i="1"/>
  <c r="BW270" i="1"/>
  <c r="G270" i="1"/>
  <c r="BX270" i="1" s="1"/>
  <c r="H270" i="1"/>
  <c r="BY270" i="1"/>
  <c r="I270" i="1"/>
  <c r="CA270" i="1" s="1"/>
  <c r="J270" i="1"/>
  <c r="BZ270" i="1"/>
  <c r="AM270" i="1"/>
  <c r="AO270" i="1"/>
  <c r="AP270" i="1"/>
  <c r="AQ270" i="1"/>
  <c r="A270" i="1"/>
  <c r="A269" i="10" s="1"/>
  <c r="AR270" i="1"/>
  <c r="AS270" i="1"/>
  <c r="AT270" i="1"/>
  <c r="AV270" i="1"/>
  <c r="AW270" i="1"/>
  <c r="AX270" i="1"/>
  <c r="AY270" i="1"/>
  <c r="AZ270" i="1"/>
  <c r="BA270" i="1"/>
  <c r="BB270" i="1"/>
  <c r="BC270" i="1"/>
  <c r="BE270" i="1"/>
  <c r="BF270" i="1"/>
  <c r="BG270" i="1"/>
  <c r="BH270" i="1"/>
  <c r="BI270" i="1"/>
  <c r="BJ270" i="1"/>
  <c r="BK270" i="1"/>
  <c r="BN270" i="1"/>
  <c r="BO270" i="1"/>
  <c r="BP270" i="1" s="1"/>
  <c r="BR270" i="1"/>
  <c r="BU270" i="1"/>
  <c r="CG270" i="1"/>
  <c r="CK270" i="1"/>
  <c r="CO270" i="1"/>
  <c r="CS270" i="1"/>
  <c r="DD270" i="1"/>
  <c r="DE270" i="1" s="1"/>
  <c r="F271" i="1"/>
  <c r="BW271" i="1"/>
  <c r="G271" i="1"/>
  <c r="BX271" i="1" s="1"/>
  <c r="H271" i="1"/>
  <c r="BY271" i="1"/>
  <c r="I271" i="1"/>
  <c r="CA271" i="1" s="1"/>
  <c r="J271" i="1"/>
  <c r="BZ271" i="1"/>
  <c r="AM271" i="1"/>
  <c r="AO271" i="1"/>
  <c r="M274" i="10"/>
  <c r="AP271" i="1"/>
  <c r="AQ271" i="1"/>
  <c r="A271" i="1" s="1"/>
  <c r="A274" i="10" s="1"/>
  <c r="AR271" i="1"/>
  <c r="AS271" i="1" s="1"/>
  <c r="AT271" i="1"/>
  <c r="AV271" i="1"/>
  <c r="AW271" i="1"/>
  <c r="AX271" i="1"/>
  <c r="AY271" i="1"/>
  <c r="AZ271" i="1"/>
  <c r="BA271" i="1"/>
  <c r="BB271" i="1"/>
  <c r="BC271" i="1"/>
  <c r="BE271" i="1"/>
  <c r="BF271" i="1"/>
  <c r="BG271" i="1"/>
  <c r="BH271" i="1"/>
  <c r="BI271" i="1"/>
  <c r="BJ271" i="1"/>
  <c r="BK271" i="1" s="1"/>
  <c r="BN271" i="1"/>
  <c r="BP271" i="1"/>
  <c r="BR271" i="1"/>
  <c r="BU271" i="1"/>
  <c r="CG271" i="1"/>
  <c r="CK271" i="1"/>
  <c r="CO271" i="1"/>
  <c r="CT271" i="1" s="1"/>
  <c r="CS271" i="1"/>
  <c r="DD271" i="1"/>
  <c r="F272" i="1"/>
  <c r="BW272" i="1"/>
  <c r="G272" i="1"/>
  <c r="BX272" i="1" s="1"/>
  <c r="H272" i="1"/>
  <c r="BY272" i="1"/>
  <c r="I272" i="1"/>
  <c r="CA272" i="1" s="1"/>
  <c r="J272" i="1"/>
  <c r="BZ272" i="1"/>
  <c r="AM272" i="1"/>
  <c r="AO272" i="1"/>
  <c r="M272" i="10"/>
  <c r="AP272" i="1"/>
  <c r="AQ272" i="1"/>
  <c r="A272" i="1" s="1"/>
  <c r="A272" i="10" s="1"/>
  <c r="AR272" i="1"/>
  <c r="AS272" i="1" s="1"/>
  <c r="AT272" i="1"/>
  <c r="AV272" i="1"/>
  <c r="AW272" i="1"/>
  <c r="AX272" i="1"/>
  <c r="AY272" i="1"/>
  <c r="AZ272" i="1"/>
  <c r="BA272" i="1"/>
  <c r="BB272" i="1"/>
  <c r="BC272" i="1"/>
  <c r="BE272" i="1"/>
  <c r="BF272" i="1"/>
  <c r="BG272" i="1"/>
  <c r="BH272" i="1"/>
  <c r="BI272" i="1"/>
  <c r="BJ272" i="1"/>
  <c r="BK272" i="1" s="1"/>
  <c r="BN272" i="1"/>
  <c r="BO272" i="1"/>
  <c r="BP272" i="1"/>
  <c r="BR272" i="1"/>
  <c r="BT272" i="1" s="1"/>
  <c r="BU272" i="1"/>
  <c r="CG272" i="1"/>
  <c r="CK272" i="1"/>
  <c r="CO272" i="1"/>
  <c r="CS272" i="1"/>
  <c r="DD272" i="1"/>
  <c r="F273" i="1"/>
  <c r="BW273" i="1" s="1"/>
  <c r="G273" i="1"/>
  <c r="BX273" i="1"/>
  <c r="H273" i="1"/>
  <c r="BY273" i="1" s="1"/>
  <c r="I273" i="1"/>
  <c r="CA273" i="1"/>
  <c r="J273" i="1"/>
  <c r="BZ273" i="1" s="1"/>
  <c r="AM273" i="1"/>
  <c r="AO273" i="1"/>
  <c r="M273" i="10" s="1"/>
  <c r="AP273" i="1"/>
  <c r="AQ273" i="1"/>
  <c r="A273" i="1"/>
  <c r="A273" i="10" s="1"/>
  <c r="AR273" i="1"/>
  <c r="AS273" i="1"/>
  <c r="AT273" i="1"/>
  <c r="AV273" i="1"/>
  <c r="AW273" i="1"/>
  <c r="AX273" i="1"/>
  <c r="AY273" i="1"/>
  <c r="AZ273" i="1"/>
  <c r="BA273" i="1"/>
  <c r="BB273" i="1"/>
  <c r="BC273" i="1"/>
  <c r="BE273" i="1"/>
  <c r="BF273" i="1"/>
  <c r="BG273" i="1"/>
  <c r="BH273" i="1"/>
  <c r="BI273" i="1"/>
  <c r="BJ273" i="1"/>
  <c r="BK273" i="1"/>
  <c r="BN273" i="1"/>
  <c r="BP273" i="1"/>
  <c r="BR273" i="1"/>
  <c r="BU273" i="1"/>
  <c r="CG273" i="1"/>
  <c r="CT273" i="1" s="1"/>
  <c r="CK273" i="1"/>
  <c r="CO273" i="1"/>
  <c r="CS273" i="1"/>
  <c r="DD273" i="1"/>
  <c r="F274" i="1"/>
  <c r="BW274" i="1" s="1"/>
  <c r="G274" i="1"/>
  <c r="BX274" i="1"/>
  <c r="H274" i="1"/>
  <c r="BY274" i="1" s="1"/>
  <c r="I274" i="1"/>
  <c r="CA274" i="1"/>
  <c r="J274" i="1"/>
  <c r="BZ274" i="1" s="1"/>
  <c r="AM274" i="1"/>
  <c r="AO274" i="1"/>
  <c r="M271" i="10" s="1"/>
  <c r="AP274" i="1"/>
  <c r="AQ274" i="1"/>
  <c r="A274" i="1"/>
  <c r="A271" i="10" s="1"/>
  <c r="AR274" i="1"/>
  <c r="AS274" i="1"/>
  <c r="AT274" i="1"/>
  <c r="AV274" i="1"/>
  <c r="AW274" i="1"/>
  <c r="AX274" i="1"/>
  <c r="AY274" i="1"/>
  <c r="AZ274" i="1"/>
  <c r="BA274" i="1"/>
  <c r="BB274" i="1"/>
  <c r="BC274" i="1"/>
  <c r="BE274" i="1"/>
  <c r="BF274" i="1"/>
  <c r="BG274" i="1"/>
  <c r="BH274" i="1"/>
  <c r="BI274" i="1"/>
  <c r="BJ274" i="1"/>
  <c r="BK274" i="1"/>
  <c r="BN274" i="1"/>
  <c r="BO274" i="1"/>
  <c r="BP274" i="1" s="1"/>
  <c r="BS274" i="1" s="1"/>
  <c r="BR274" i="1"/>
  <c r="BU274" i="1"/>
  <c r="CG274" i="1"/>
  <c r="CK274" i="1"/>
  <c r="CO274" i="1"/>
  <c r="CS274" i="1"/>
  <c r="DD274" i="1"/>
  <c r="DE274" i="1" s="1"/>
  <c r="F275" i="1"/>
  <c r="BW275" i="1"/>
  <c r="G275" i="1"/>
  <c r="BX275" i="1" s="1"/>
  <c r="H275" i="1"/>
  <c r="BY275" i="1"/>
  <c r="I275" i="1"/>
  <c r="CA275" i="1" s="1"/>
  <c r="J275" i="1"/>
  <c r="BZ275" i="1"/>
  <c r="AM275" i="1"/>
  <c r="AO275" i="1"/>
  <c r="M276" i="10"/>
  <c r="AP275" i="1"/>
  <c r="AQ275" i="1"/>
  <c r="A275" i="1" s="1"/>
  <c r="A276" i="10" s="1"/>
  <c r="AR275" i="1"/>
  <c r="AS275" i="1" s="1"/>
  <c r="AT275" i="1"/>
  <c r="AV275" i="1"/>
  <c r="AW275" i="1"/>
  <c r="AX275" i="1"/>
  <c r="AY275" i="1"/>
  <c r="AZ275" i="1"/>
  <c r="BA275" i="1"/>
  <c r="BB275" i="1"/>
  <c r="BC275" i="1"/>
  <c r="BE275" i="1"/>
  <c r="BF275" i="1"/>
  <c r="BG275" i="1"/>
  <c r="BH275" i="1"/>
  <c r="BI275" i="1"/>
  <c r="BJ275" i="1"/>
  <c r="BK275" i="1" s="1"/>
  <c r="BN275" i="1"/>
  <c r="BP275" i="1"/>
  <c r="BR275" i="1"/>
  <c r="BU275" i="1"/>
  <c r="CG275" i="1"/>
  <c r="CK275" i="1"/>
  <c r="CO275" i="1"/>
  <c r="CS275" i="1"/>
  <c r="DD275" i="1"/>
  <c r="F276" i="1"/>
  <c r="BW276" i="1"/>
  <c r="G276" i="1"/>
  <c r="BX276" i="1" s="1"/>
  <c r="H276" i="1"/>
  <c r="BY276" i="1"/>
  <c r="I276" i="1"/>
  <c r="CA276" i="1" s="1"/>
  <c r="J276" i="1"/>
  <c r="BZ276" i="1"/>
  <c r="AM276" i="1"/>
  <c r="AO276" i="1"/>
  <c r="M275" i="10"/>
  <c r="AP276" i="1"/>
  <c r="AQ276" i="1"/>
  <c r="A276" i="1" s="1"/>
  <c r="A275" i="10" s="1"/>
  <c r="AR276" i="1"/>
  <c r="AS276" i="1" s="1"/>
  <c r="AT276" i="1"/>
  <c r="AV276" i="1"/>
  <c r="AW276" i="1"/>
  <c r="AX276" i="1"/>
  <c r="AY276" i="1"/>
  <c r="AZ276" i="1"/>
  <c r="BA276" i="1"/>
  <c r="BB276" i="1"/>
  <c r="BC276" i="1"/>
  <c r="BE276" i="1"/>
  <c r="BF276" i="1"/>
  <c r="BG276" i="1"/>
  <c r="BH276" i="1"/>
  <c r="BI276" i="1"/>
  <c r="BJ276" i="1"/>
  <c r="BK276" i="1" s="1"/>
  <c r="BN276" i="1"/>
  <c r="BO276" i="1"/>
  <c r="BP276" i="1"/>
  <c r="BR276" i="1"/>
  <c r="BU276" i="1"/>
  <c r="CG276" i="1"/>
  <c r="CK276" i="1"/>
  <c r="CO276" i="1"/>
  <c r="CS276" i="1"/>
  <c r="DD276" i="1"/>
  <c r="F277" i="1"/>
  <c r="BW277" i="1" s="1"/>
  <c r="G277" i="1"/>
  <c r="BX277" i="1"/>
  <c r="H277" i="1"/>
  <c r="BY277" i="1" s="1"/>
  <c r="I277" i="1"/>
  <c r="CA277" i="1"/>
  <c r="J277" i="1"/>
  <c r="BZ277" i="1" s="1"/>
  <c r="AM277" i="1"/>
  <c r="AO277" i="1"/>
  <c r="M277" i="10"/>
  <c r="AP277" i="1"/>
  <c r="AQ277" i="1"/>
  <c r="A277" i="1"/>
  <c r="A277" i="10"/>
  <c r="AR277" i="1"/>
  <c r="AS277" i="1" s="1"/>
  <c r="AT277" i="1"/>
  <c r="AV277" i="1"/>
  <c r="AW277" i="1"/>
  <c r="AX277" i="1"/>
  <c r="AY277" i="1"/>
  <c r="AZ277" i="1"/>
  <c r="BA277" i="1"/>
  <c r="BB277" i="1"/>
  <c r="BC277" i="1"/>
  <c r="BE277" i="1"/>
  <c r="BF277" i="1"/>
  <c r="BG277" i="1"/>
  <c r="BH277" i="1"/>
  <c r="BI277" i="1"/>
  <c r="BJ277" i="1"/>
  <c r="BK277" i="1" s="1"/>
  <c r="BN277" i="1"/>
  <c r="BP277" i="1"/>
  <c r="BS277" i="1" s="1"/>
  <c r="BR277" i="1"/>
  <c r="BT277" i="1" s="1"/>
  <c r="BU277" i="1"/>
  <c r="CG277" i="1"/>
  <c r="CK277" i="1"/>
  <c r="CO277" i="1"/>
  <c r="CS277" i="1"/>
  <c r="DD277" i="1"/>
  <c r="F278" i="1"/>
  <c r="BW278" i="1" s="1"/>
  <c r="G278" i="1"/>
  <c r="BX278" i="1"/>
  <c r="H278" i="1"/>
  <c r="BY278" i="1" s="1"/>
  <c r="I278" i="1"/>
  <c r="CA278" i="1"/>
  <c r="J278" i="1"/>
  <c r="BZ278" i="1" s="1"/>
  <c r="AM278" i="1"/>
  <c r="AO278" i="1"/>
  <c r="M278" i="10" s="1"/>
  <c r="O278" i="10" s="1"/>
  <c r="AP278" i="1"/>
  <c r="AQ278" i="1"/>
  <c r="A278" i="1"/>
  <c r="A278" i="10" s="1"/>
  <c r="AR278" i="1"/>
  <c r="AS278" i="1"/>
  <c r="AT278" i="1"/>
  <c r="AV278" i="1"/>
  <c r="AW278" i="1"/>
  <c r="AX278" i="1"/>
  <c r="AY278" i="1"/>
  <c r="AZ278" i="1"/>
  <c r="BA278" i="1"/>
  <c r="BB278" i="1"/>
  <c r="BC278" i="1"/>
  <c r="BE278" i="1"/>
  <c r="BF278" i="1"/>
  <c r="BG278" i="1"/>
  <c r="BH278" i="1"/>
  <c r="BI278" i="1"/>
  <c r="BJ278" i="1"/>
  <c r="BK278" i="1"/>
  <c r="BN278" i="1"/>
  <c r="BP278" i="1"/>
  <c r="BR278" i="1"/>
  <c r="BT278" i="1"/>
  <c r="BU278" i="1"/>
  <c r="CG278" i="1"/>
  <c r="CK278" i="1"/>
  <c r="CO278" i="1"/>
  <c r="CS278" i="1"/>
  <c r="DD278" i="1"/>
  <c r="DE278" i="1" s="1"/>
  <c r="F279" i="1"/>
  <c r="BW279" i="1"/>
  <c r="G279" i="1"/>
  <c r="BX279" i="1" s="1"/>
  <c r="H279" i="1"/>
  <c r="BY279" i="1"/>
  <c r="I279" i="1"/>
  <c r="CA279" i="1" s="1"/>
  <c r="J279" i="1"/>
  <c r="BZ279" i="1"/>
  <c r="AM279" i="1"/>
  <c r="AO279" i="1"/>
  <c r="M280" i="10"/>
  <c r="AP279" i="1"/>
  <c r="AQ279" i="1"/>
  <c r="A279" i="1" s="1"/>
  <c r="A280" i="10" s="1"/>
  <c r="AR279" i="1"/>
  <c r="AS279" i="1" s="1"/>
  <c r="AT279" i="1"/>
  <c r="AV279" i="1"/>
  <c r="AW279" i="1"/>
  <c r="AX279" i="1"/>
  <c r="AY279" i="1"/>
  <c r="AZ279" i="1"/>
  <c r="BA279" i="1"/>
  <c r="BB279" i="1"/>
  <c r="BC279" i="1"/>
  <c r="BE279" i="1"/>
  <c r="BF279" i="1"/>
  <c r="BG279" i="1"/>
  <c r="BH279" i="1"/>
  <c r="BI279" i="1"/>
  <c r="BJ279" i="1"/>
  <c r="BK279" i="1" s="1"/>
  <c r="BN279" i="1"/>
  <c r="BO279" i="1"/>
  <c r="BP279" i="1"/>
  <c r="BR279" i="1"/>
  <c r="BT279" i="1" s="1"/>
  <c r="BU279" i="1"/>
  <c r="CG279" i="1"/>
  <c r="CK279" i="1"/>
  <c r="CO279" i="1"/>
  <c r="CS279" i="1"/>
  <c r="DD279" i="1"/>
  <c r="F280" i="1"/>
  <c r="BW280" i="1" s="1"/>
  <c r="G280" i="1"/>
  <c r="BX280" i="1"/>
  <c r="H280" i="1"/>
  <c r="BY280" i="1" s="1"/>
  <c r="I280" i="1"/>
  <c r="CA280" i="1"/>
  <c r="J280" i="1"/>
  <c r="BZ280" i="1" s="1"/>
  <c r="AM280" i="1"/>
  <c r="AO280" i="1"/>
  <c r="M279" i="10" s="1"/>
  <c r="AP280" i="1"/>
  <c r="AQ280" i="1"/>
  <c r="A280" i="1"/>
  <c r="A279" i="10" s="1"/>
  <c r="AR280" i="1"/>
  <c r="AS280" i="1"/>
  <c r="AT280" i="1"/>
  <c r="AV280" i="1"/>
  <c r="AW280" i="1"/>
  <c r="AX280" i="1"/>
  <c r="AY280" i="1"/>
  <c r="AZ280" i="1"/>
  <c r="BA280" i="1"/>
  <c r="BB280" i="1"/>
  <c r="BC280" i="1"/>
  <c r="BE280" i="1"/>
  <c r="BF280" i="1"/>
  <c r="BG280" i="1"/>
  <c r="BH280" i="1"/>
  <c r="BI280" i="1"/>
  <c r="BJ280" i="1"/>
  <c r="BK280" i="1"/>
  <c r="BN280" i="1"/>
  <c r="BO280" i="1"/>
  <c r="BP280" i="1" s="1"/>
  <c r="BR280" i="1"/>
  <c r="BT280" i="1"/>
  <c r="BU280" i="1"/>
  <c r="CG280" i="1"/>
  <c r="CK280" i="1"/>
  <c r="CO280" i="1"/>
  <c r="CT280" i="1" s="1"/>
  <c r="CU280" i="1" s="1"/>
  <c r="CZ280" i="1" s="1"/>
  <c r="CS280" i="1"/>
  <c r="DD280" i="1"/>
  <c r="DF280" i="1"/>
  <c r="F281" i="1"/>
  <c r="BW281" i="1" s="1"/>
  <c r="G281" i="1"/>
  <c r="BX281" i="1"/>
  <c r="H281" i="1"/>
  <c r="BY281" i="1" s="1"/>
  <c r="I281" i="1"/>
  <c r="CA281" i="1"/>
  <c r="J281" i="1"/>
  <c r="BZ281" i="1" s="1"/>
  <c r="AM281" i="1"/>
  <c r="AO281" i="1"/>
  <c r="M282" i="10"/>
  <c r="AP281" i="1"/>
  <c r="AQ281" i="1"/>
  <c r="A281" i="1"/>
  <c r="A282" i="10"/>
  <c r="AR281" i="1"/>
  <c r="AS281" i="1" s="1"/>
  <c r="AT281" i="1"/>
  <c r="AV281" i="1"/>
  <c r="AW281" i="1"/>
  <c r="AX281" i="1"/>
  <c r="AY281" i="1"/>
  <c r="AZ281" i="1"/>
  <c r="BA281" i="1"/>
  <c r="BB281" i="1"/>
  <c r="BC281" i="1"/>
  <c r="BE281" i="1"/>
  <c r="BF281" i="1"/>
  <c r="BG281" i="1"/>
  <c r="BH281" i="1"/>
  <c r="BI281" i="1"/>
  <c r="BJ281" i="1"/>
  <c r="BK281" i="1" s="1"/>
  <c r="BN281" i="1"/>
  <c r="BP281" i="1"/>
  <c r="BR281" i="1"/>
  <c r="BU281" i="1"/>
  <c r="CG281" i="1"/>
  <c r="CK281" i="1"/>
  <c r="CO281" i="1"/>
  <c r="CS281" i="1"/>
  <c r="DD281" i="1"/>
  <c r="F282" i="1"/>
  <c r="BW282" i="1" s="1"/>
  <c r="G282" i="1"/>
  <c r="BX282" i="1"/>
  <c r="H282" i="1"/>
  <c r="BY282" i="1" s="1"/>
  <c r="I282" i="1"/>
  <c r="CA282" i="1"/>
  <c r="J282" i="1"/>
  <c r="BZ282" i="1" s="1"/>
  <c r="AM282" i="1"/>
  <c r="AO282" i="1"/>
  <c r="M281" i="10"/>
  <c r="O281" i="10" s="1"/>
  <c r="AP282" i="1"/>
  <c r="AQ282" i="1"/>
  <c r="A282" i="1"/>
  <c r="A281" i="10"/>
  <c r="AR282" i="1"/>
  <c r="AS282" i="1" s="1"/>
  <c r="AT282" i="1"/>
  <c r="AV282" i="1"/>
  <c r="AW282" i="1"/>
  <c r="AX282" i="1"/>
  <c r="AY282" i="1"/>
  <c r="AZ282" i="1"/>
  <c r="BA282" i="1"/>
  <c r="BB282" i="1"/>
  <c r="BC282" i="1"/>
  <c r="BE282" i="1"/>
  <c r="BF282" i="1"/>
  <c r="BG282" i="1"/>
  <c r="BH282" i="1"/>
  <c r="BI282" i="1"/>
  <c r="BJ282" i="1"/>
  <c r="BK282" i="1" s="1"/>
  <c r="BN282" i="1"/>
  <c r="BO282" i="1"/>
  <c r="BP282" i="1" s="1"/>
  <c r="BR282" i="1"/>
  <c r="BU282" i="1"/>
  <c r="CG282" i="1"/>
  <c r="CK282" i="1"/>
  <c r="CO282" i="1"/>
  <c r="CS282" i="1"/>
  <c r="DD282" i="1"/>
  <c r="F283" i="1"/>
  <c r="BW283" i="1" s="1"/>
  <c r="G283" i="1"/>
  <c r="BX283" i="1"/>
  <c r="H283" i="1"/>
  <c r="BY283" i="1" s="1"/>
  <c r="I283" i="1"/>
  <c r="CA283" i="1"/>
  <c r="J283" i="1"/>
  <c r="BZ283" i="1" s="1"/>
  <c r="AM283" i="1"/>
  <c r="AO283" i="1"/>
  <c r="M283" i="10" s="1"/>
  <c r="AP283" i="1"/>
  <c r="AQ283" i="1"/>
  <c r="A283" i="1"/>
  <c r="A283" i="10" s="1"/>
  <c r="AR283" i="1"/>
  <c r="AS283" i="1"/>
  <c r="AT283" i="1"/>
  <c r="AV283" i="1"/>
  <c r="AW283" i="1"/>
  <c r="AX283" i="1"/>
  <c r="AY283" i="1"/>
  <c r="AZ283" i="1"/>
  <c r="BA283" i="1"/>
  <c r="BB283" i="1"/>
  <c r="BC283" i="1"/>
  <c r="BE283" i="1"/>
  <c r="BF283" i="1"/>
  <c r="BG283" i="1"/>
  <c r="BH283" i="1"/>
  <c r="BI283" i="1"/>
  <c r="BJ283" i="1"/>
  <c r="BK283" i="1"/>
  <c r="BN283" i="1"/>
  <c r="BO283" i="1"/>
  <c r="BP283" i="1" s="1"/>
  <c r="BR283" i="1"/>
  <c r="BT283" i="1"/>
  <c r="BU283" i="1"/>
  <c r="CG283" i="1"/>
  <c r="CK283" i="1"/>
  <c r="CO283" i="1"/>
  <c r="CS283" i="1"/>
  <c r="DD283" i="1"/>
  <c r="F284" i="1"/>
  <c r="BW284" i="1"/>
  <c r="G284" i="1"/>
  <c r="BX284" i="1" s="1"/>
  <c r="H284" i="1"/>
  <c r="BY284" i="1"/>
  <c r="I284" i="1"/>
  <c r="CA284" i="1" s="1"/>
  <c r="J284" i="1"/>
  <c r="BZ284" i="1"/>
  <c r="AM284" i="1"/>
  <c r="AO284" i="1"/>
  <c r="M285" i="10"/>
  <c r="AP284" i="1"/>
  <c r="AQ284" i="1"/>
  <c r="A284" i="1" s="1"/>
  <c r="A285" i="10" s="1"/>
  <c r="AR284" i="1"/>
  <c r="AS284" i="1" s="1"/>
  <c r="AT284" i="1"/>
  <c r="AV284" i="1"/>
  <c r="AW284" i="1"/>
  <c r="AX284" i="1"/>
  <c r="AY284" i="1"/>
  <c r="AZ284" i="1"/>
  <c r="BA284" i="1"/>
  <c r="BB284" i="1"/>
  <c r="BC284" i="1"/>
  <c r="BE284" i="1"/>
  <c r="BF284" i="1"/>
  <c r="BG284" i="1"/>
  <c r="BH284" i="1"/>
  <c r="BI284" i="1"/>
  <c r="BJ284" i="1"/>
  <c r="BK284" i="1" s="1"/>
  <c r="BN284" i="1"/>
  <c r="BP284" i="1"/>
  <c r="BR284" i="1"/>
  <c r="BT284" i="1" s="1"/>
  <c r="BU284" i="1"/>
  <c r="CG284" i="1"/>
  <c r="CK284" i="1"/>
  <c r="CT284" i="1" s="1"/>
  <c r="CO284" i="1"/>
  <c r="CS284" i="1"/>
  <c r="DD284" i="1"/>
  <c r="F285" i="1"/>
  <c r="BW285" i="1" s="1"/>
  <c r="G285" i="1"/>
  <c r="BX285" i="1"/>
  <c r="H285" i="1"/>
  <c r="BY285" i="1" s="1"/>
  <c r="I285" i="1"/>
  <c r="CA285" i="1"/>
  <c r="J285" i="1"/>
  <c r="BZ285" i="1" s="1"/>
  <c r="AM285" i="1"/>
  <c r="AO285" i="1"/>
  <c r="M284" i="10"/>
  <c r="AP285" i="1"/>
  <c r="AQ285" i="1"/>
  <c r="A285" i="1"/>
  <c r="A284" i="10"/>
  <c r="AR285" i="1"/>
  <c r="AS285" i="1" s="1"/>
  <c r="AT285" i="1"/>
  <c r="AV285" i="1"/>
  <c r="AW285" i="1"/>
  <c r="AX285" i="1"/>
  <c r="AY285" i="1"/>
  <c r="AZ285" i="1"/>
  <c r="BA285" i="1"/>
  <c r="BB285" i="1"/>
  <c r="BC285" i="1"/>
  <c r="BE285" i="1"/>
  <c r="BF285" i="1"/>
  <c r="BG285" i="1"/>
  <c r="BH285" i="1"/>
  <c r="BI285" i="1"/>
  <c r="BJ285" i="1"/>
  <c r="BK285" i="1" s="1"/>
  <c r="BN285" i="1"/>
  <c r="BO285" i="1"/>
  <c r="BP285" i="1" s="1"/>
  <c r="BR285" i="1"/>
  <c r="BU285" i="1"/>
  <c r="CG285" i="1"/>
  <c r="CK285" i="1"/>
  <c r="CO285" i="1"/>
  <c r="CS285" i="1"/>
  <c r="DD285" i="1"/>
  <c r="F286" i="1"/>
  <c r="BW286" i="1" s="1"/>
  <c r="G286" i="1"/>
  <c r="BX286" i="1"/>
  <c r="H286" i="1"/>
  <c r="BY286" i="1" s="1"/>
  <c r="I286" i="1"/>
  <c r="CA286" i="1"/>
  <c r="J286" i="1"/>
  <c r="BZ286" i="1" s="1"/>
  <c r="AM286" i="1"/>
  <c r="AO286" i="1"/>
  <c r="M286" i="10" s="1"/>
  <c r="AP286" i="1"/>
  <c r="AQ286" i="1"/>
  <c r="A286" i="1"/>
  <c r="A286" i="10" s="1"/>
  <c r="AR286" i="1"/>
  <c r="AS286" i="1"/>
  <c r="AT286" i="1"/>
  <c r="AV286" i="1"/>
  <c r="AW286" i="1"/>
  <c r="AX286" i="1"/>
  <c r="AY286" i="1"/>
  <c r="AZ286" i="1"/>
  <c r="BA286" i="1"/>
  <c r="BB286" i="1"/>
  <c r="BC286" i="1"/>
  <c r="BE286" i="1"/>
  <c r="BF286" i="1"/>
  <c r="BG286" i="1"/>
  <c r="BH286" i="1"/>
  <c r="BI286" i="1"/>
  <c r="BJ286" i="1"/>
  <c r="BK286" i="1"/>
  <c r="BN286" i="1"/>
  <c r="BP286" i="1"/>
  <c r="BR286" i="1"/>
  <c r="BU286" i="1"/>
  <c r="CG286" i="1"/>
  <c r="CK286" i="1"/>
  <c r="CO286" i="1"/>
  <c r="CS286" i="1"/>
  <c r="DD286" i="1"/>
  <c r="F287" i="1"/>
  <c r="BW287" i="1" s="1"/>
  <c r="G287" i="1"/>
  <c r="BX287" i="1"/>
  <c r="H287" i="1"/>
  <c r="BY287" i="1" s="1"/>
  <c r="I287" i="1"/>
  <c r="CA287" i="1"/>
  <c r="J287" i="1"/>
  <c r="BZ287" i="1" s="1"/>
  <c r="AM287" i="1"/>
  <c r="AO287" i="1"/>
  <c r="M287" i="10" s="1"/>
  <c r="AP287" i="1"/>
  <c r="AQ287" i="1"/>
  <c r="A287" i="1"/>
  <c r="A287" i="10" s="1"/>
  <c r="AR287" i="1"/>
  <c r="AS287" i="1"/>
  <c r="AT287" i="1"/>
  <c r="AV287" i="1"/>
  <c r="AW287" i="1"/>
  <c r="AX287" i="1"/>
  <c r="AY287" i="1"/>
  <c r="AZ287" i="1"/>
  <c r="BA287" i="1"/>
  <c r="BB287" i="1"/>
  <c r="BC287" i="1"/>
  <c r="BE287" i="1"/>
  <c r="BF287" i="1"/>
  <c r="BG287" i="1"/>
  <c r="BH287" i="1"/>
  <c r="BI287" i="1"/>
  <c r="BJ287" i="1"/>
  <c r="BK287" i="1"/>
  <c r="BN287" i="1"/>
  <c r="BP287" i="1"/>
  <c r="BR287" i="1"/>
  <c r="BU287" i="1"/>
  <c r="CG287" i="1"/>
  <c r="CT287" i="1" s="1"/>
  <c r="CV287" i="1" s="1"/>
  <c r="CW287" i="1" s="1"/>
  <c r="H287" i="10" s="1"/>
  <c r="CK287" i="1"/>
  <c r="CO287" i="1"/>
  <c r="CS287" i="1"/>
  <c r="DD287" i="1"/>
  <c r="F288" i="1"/>
  <c r="BW288" i="1" s="1"/>
  <c r="G288" i="1"/>
  <c r="BX288" i="1"/>
  <c r="H288" i="1"/>
  <c r="BY288" i="1" s="1"/>
  <c r="I288" i="1"/>
  <c r="CA288" i="1"/>
  <c r="J288" i="1"/>
  <c r="BZ288" i="1" s="1"/>
  <c r="AM288" i="1"/>
  <c r="AO288" i="1"/>
  <c r="M288" i="10" s="1"/>
  <c r="AP288" i="1"/>
  <c r="AQ288" i="1"/>
  <c r="A288" i="1"/>
  <c r="A288" i="10" s="1"/>
  <c r="AR288" i="1"/>
  <c r="AS288" i="1"/>
  <c r="AT288" i="1"/>
  <c r="AV288" i="1"/>
  <c r="AW288" i="1"/>
  <c r="AX288" i="1"/>
  <c r="AY288" i="1"/>
  <c r="AZ288" i="1"/>
  <c r="BA288" i="1"/>
  <c r="BB288" i="1"/>
  <c r="BC288" i="1"/>
  <c r="BE288" i="1"/>
  <c r="BF288" i="1"/>
  <c r="BG288" i="1"/>
  <c r="BH288" i="1"/>
  <c r="BI288" i="1"/>
  <c r="BJ288" i="1"/>
  <c r="BK288" i="1"/>
  <c r="BN288" i="1"/>
  <c r="BO288" i="1"/>
  <c r="BR288" i="1"/>
  <c r="BT288" i="1"/>
  <c r="BU288" i="1"/>
  <c r="CG288" i="1"/>
  <c r="CK288" i="1"/>
  <c r="CO288" i="1"/>
  <c r="CS288" i="1"/>
  <c r="DD288" i="1"/>
  <c r="DE288" i="1" s="1"/>
  <c r="F289" i="1"/>
  <c r="BW289" i="1"/>
  <c r="G289" i="1"/>
  <c r="BX289" i="1" s="1"/>
  <c r="H289" i="1"/>
  <c r="BY289" i="1"/>
  <c r="I289" i="1"/>
  <c r="CA289" i="1" s="1"/>
  <c r="J289" i="1"/>
  <c r="BZ289" i="1"/>
  <c r="AM289" i="1"/>
  <c r="AO289" i="1"/>
  <c r="M289" i="10"/>
  <c r="AP289" i="1"/>
  <c r="AQ289" i="1"/>
  <c r="A289" i="1" s="1"/>
  <c r="A289" i="10" s="1"/>
  <c r="AR289" i="1"/>
  <c r="AS289" i="1" s="1"/>
  <c r="AT289" i="1"/>
  <c r="AV289" i="1"/>
  <c r="AW289" i="1"/>
  <c r="AX289" i="1"/>
  <c r="AY289" i="1"/>
  <c r="AZ289" i="1"/>
  <c r="BA289" i="1"/>
  <c r="BB289" i="1"/>
  <c r="BC289" i="1"/>
  <c r="BE289" i="1"/>
  <c r="BF289" i="1"/>
  <c r="BG289" i="1"/>
  <c r="BH289" i="1"/>
  <c r="BI289" i="1"/>
  <c r="BJ289" i="1"/>
  <c r="BK289" i="1" s="1"/>
  <c r="BN289" i="1"/>
  <c r="BP289" i="1"/>
  <c r="BR289" i="1"/>
  <c r="BU289" i="1"/>
  <c r="CG289" i="1"/>
  <c r="CK289" i="1"/>
  <c r="CO289" i="1"/>
  <c r="CS289" i="1"/>
  <c r="DD289" i="1"/>
  <c r="DE289" i="1"/>
  <c r="F290" i="1"/>
  <c r="BW290" i="1" s="1"/>
  <c r="G290" i="1"/>
  <c r="BX290" i="1"/>
  <c r="H290" i="1"/>
  <c r="BY290" i="1" s="1"/>
  <c r="I290" i="1"/>
  <c r="CA290" i="1"/>
  <c r="J290" i="1"/>
  <c r="BZ290" i="1" s="1"/>
  <c r="AM290" i="1"/>
  <c r="AO290" i="1"/>
  <c r="AP290" i="1"/>
  <c r="AQ290" i="1"/>
  <c r="A290" i="1"/>
  <c r="A291" i="10" s="1"/>
  <c r="AR290" i="1"/>
  <c r="AS290" i="1"/>
  <c r="AT290" i="1"/>
  <c r="AV290" i="1"/>
  <c r="AW290" i="1"/>
  <c r="AX290" i="1"/>
  <c r="AY290" i="1"/>
  <c r="AZ290" i="1"/>
  <c r="BA290" i="1"/>
  <c r="BB290" i="1"/>
  <c r="BC290" i="1"/>
  <c r="BE290" i="1"/>
  <c r="BF290" i="1"/>
  <c r="BG290" i="1"/>
  <c r="BH290" i="1"/>
  <c r="BI290" i="1"/>
  <c r="BJ290" i="1"/>
  <c r="BK290" i="1"/>
  <c r="BN290" i="1"/>
  <c r="BO290" i="1"/>
  <c r="BP290" i="1" s="1"/>
  <c r="BR290" i="1"/>
  <c r="BU290" i="1"/>
  <c r="CG290" i="1"/>
  <c r="CK290" i="1"/>
  <c r="CO290" i="1"/>
  <c r="CS290" i="1"/>
  <c r="DD290" i="1"/>
  <c r="F291" i="1"/>
  <c r="BW291" i="1"/>
  <c r="G291" i="1"/>
  <c r="BX291" i="1" s="1"/>
  <c r="H291" i="1"/>
  <c r="BY291" i="1"/>
  <c r="I291" i="1"/>
  <c r="CA291" i="1" s="1"/>
  <c r="J291" i="1"/>
  <c r="BZ291" i="1"/>
  <c r="AM291" i="1"/>
  <c r="AO291" i="1"/>
  <c r="M292" i="10" s="1"/>
  <c r="O292" i="10" s="1"/>
  <c r="AP291" i="1"/>
  <c r="AQ291" i="1"/>
  <c r="A291" i="1" s="1"/>
  <c r="A292" i="10" s="1"/>
  <c r="AR291" i="1"/>
  <c r="AS291" i="1"/>
  <c r="AT291" i="1"/>
  <c r="AV291" i="1"/>
  <c r="AW291" i="1"/>
  <c r="AX291" i="1"/>
  <c r="AY291" i="1"/>
  <c r="AZ291" i="1"/>
  <c r="BA291" i="1"/>
  <c r="BB291" i="1"/>
  <c r="BC291" i="1"/>
  <c r="BE291" i="1"/>
  <c r="BF291" i="1"/>
  <c r="BG291" i="1"/>
  <c r="BH291" i="1"/>
  <c r="BI291" i="1"/>
  <c r="BJ291" i="1"/>
  <c r="BK291" i="1"/>
  <c r="BN291" i="1"/>
  <c r="BO291" i="1"/>
  <c r="BP291" i="1"/>
  <c r="BR291" i="1"/>
  <c r="BS291" i="1" s="1"/>
  <c r="BU291" i="1"/>
  <c r="CG291" i="1"/>
  <c r="CK291" i="1"/>
  <c r="CO291" i="1"/>
  <c r="CT291" i="1" s="1"/>
  <c r="CS291" i="1"/>
  <c r="DD291" i="1"/>
  <c r="DF291" i="1"/>
  <c r="F292" i="1"/>
  <c r="BW292" i="1" s="1"/>
  <c r="G292" i="1"/>
  <c r="BX292" i="1"/>
  <c r="H292" i="1"/>
  <c r="BY292" i="1" s="1"/>
  <c r="I292" i="1"/>
  <c r="CA292" i="1"/>
  <c r="J292" i="1"/>
  <c r="BZ292" i="1" s="1"/>
  <c r="AM292" i="1"/>
  <c r="AO292" i="1"/>
  <c r="AP292" i="1"/>
  <c r="AQ292" i="1"/>
  <c r="A292" i="1" s="1"/>
  <c r="A290" i="10" s="1"/>
  <c r="AR292" i="1"/>
  <c r="AS292" i="1" s="1"/>
  <c r="AT292" i="1"/>
  <c r="AV292" i="1"/>
  <c r="AW292" i="1"/>
  <c r="AX292" i="1"/>
  <c r="AY292" i="1"/>
  <c r="AZ292" i="1"/>
  <c r="BA292" i="1"/>
  <c r="BB292" i="1"/>
  <c r="BC292" i="1"/>
  <c r="BE292" i="1"/>
  <c r="BF292" i="1"/>
  <c r="BG292" i="1"/>
  <c r="BH292" i="1"/>
  <c r="BI292" i="1"/>
  <c r="BJ292" i="1"/>
  <c r="BK292" i="1" s="1"/>
  <c r="BN292" i="1"/>
  <c r="BP292" i="1"/>
  <c r="BR292" i="1"/>
  <c r="BU292" i="1"/>
  <c r="CG292" i="1"/>
  <c r="CK292" i="1"/>
  <c r="CO292" i="1"/>
  <c r="CS292" i="1"/>
  <c r="DD292" i="1"/>
  <c r="DF292" i="1"/>
  <c r="F293" i="1"/>
  <c r="BW293" i="1" s="1"/>
  <c r="G293" i="1"/>
  <c r="BX293" i="1"/>
  <c r="H293" i="1"/>
  <c r="BY293" i="1" s="1"/>
  <c r="I293" i="1"/>
  <c r="CA293" i="1"/>
  <c r="J293" i="1"/>
  <c r="BZ293" i="1" s="1"/>
  <c r="AM293" i="1"/>
  <c r="AO293" i="1"/>
  <c r="M293" i="10"/>
  <c r="AP293" i="1"/>
  <c r="AQ293" i="1"/>
  <c r="A293" i="1"/>
  <c r="A293" i="10"/>
  <c r="AR293" i="1"/>
  <c r="AS293" i="1" s="1"/>
  <c r="AT293" i="1"/>
  <c r="AV293" i="1"/>
  <c r="AW293" i="1"/>
  <c r="AX293" i="1"/>
  <c r="AY293" i="1"/>
  <c r="AZ293" i="1"/>
  <c r="BA293" i="1"/>
  <c r="BB293" i="1"/>
  <c r="BC293" i="1"/>
  <c r="BE293" i="1"/>
  <c r="BF293" i="1"/>
  <c r="BG293" i="1"/>
  <c r="BH293" i="1"/>
  <c r="BI293" i="1"/>
  <c r="BJ293" i="1"/>
  <c r="BK293" i="1" s="1"/>
  <c r="BN293" i="1"/>
  <c r="BP293" i="1"/>
  <c r="BS293" i="1" s="1"/>
  <c r="BR293" i="1"/>
  <c r="BU293" i="1"/>
  <c r="CG293" i="1"/>
  <c r="CK293" i="1"/>
  <c r="CT293" i="1" s="1"/>
  <c r="CO293" i="1"/>
  <c r="CS293" i="1"/>
  <c r="DD293" i="1"/>
  <c r="DF293" i="1"/>
  <c r="F294" i="1"/>
  <c r="BW294" i="1" s="1"/>
  <c r="G294" i="1"/>
  <c r="BX294" i="1"/>
  <c r="H294" i="1"/>
  <c r="BY294" i="1" s="1"/>
  <c r="I294" i="1"/>
  <c r="CA294" i="1"/>
  <c r="J294" i="1"/>
  <c r="BZ294" i="1" s="1"/>
  <c r="AM294" i="1"/>
  <c r="AO294" i="1"/>
  <c r="M294" i="10" s="1"/>
  <c r="AP294" i="1"/>
  <c r="AQ294" i="1"/>
  <c r="A294" i="1"/>
  <c r="A294" i="10" s="1"/>
  <c r="AR294" i="1"/>
  <c r="AS294" i="1"/>
  <c r="AT294" i="1"/>
  <c r="AV294" i="1"/>
  <c r="AW294" i="1"/>
  <c r="AX294" i="1"/>
  <c r="AY294" i="1"/>
  <c r="AZ294" i="1"/>
  <c r="BA294" i="1"/>
  <c r="BB294" i="1"/>
  <c r="BC294" i="1"/>
  <c r="BE294" i="1"/>
  <c r="BF294" i="1"/>
  <c r="BG294" i="1"/>
  <c r="BH294" i="1"/>
  <c r="BI294" i="1"/>
  <c r="BJ294" i="1"/>
  <c r="BK294" i="1"/>
  <c r="BN294" i="1"/>
  <c r="BO294" i="1"/>
  <c r="BR294" i="1"/>
  <c r="BU294" i="1"/>
  <c r="CG294" i="1"/>
  <c r="CK294" i="1"/>
  <c r="CO294" i="1"/>
  <c r="CS294" i="1"/>
  <c r="DD294" i="1"/>
  <c r="F295" i="1"/>
  <c r="BW295" i="1" s="1"/>
  <c r="G295" i="1"/>
  <c r="BX295" i="1"/>
  <c r="H295" i="1"/>
  <c r="BY295" i="1" s="1"/>
  <c r="I295" i="1"/>
  <c r="CA295" i="1"/>
  <c r="J295" i="1"/>
  <c r="BZ295" i="1" s="1"/>
  <c r="AM295" i="1"/>
  <c r="AO295" i="1"/>
  <c r="M295" i="10" s="1"/>
  <c r="O295" i="10" s="1"/>
  <c r="AP295" i="1"/>
  <c r="AQ295" i="1"/>
  <c r="A295" i="1"/>
  <c r="A295" i="10" s="1"/>
  <c r="AR295" i="1"/>
  <c r="AS295" i="1"/>
  <c r="AT295" i="1"/>
  <c r="AV295" i="1"/>
  <c r="AW295" i="1"/>
  <c r="AX295" i="1"/>
  <c r="AY295" i="1"/>
  <c r="AZ295" i="1"/>
  <c r="BA295" i="1"/>
  <c r="BB295" i="1"/>
  <c r="BC295" i="1"/>
  <c r="BE295" i="1"/>
  <c r="BF295" i="1"/>
  <c r="BG295" i="1"/>
  <c r="BH295" i="1"/>
  <c r="BI295" i="1"/>
  <c r="BJ295" i="1"/>
  <c r="BK295" i="1"/>
  <c r="BN295" i="1"/>
  <c r="BP295" i="1"/>
  <c r="BR295" i="1"/>
  <c r="BT295" i="1"/>
  <c r="BU295" i="1"/>
  <c r="CG295" i="1"/>
  <c r="CK295" i="1"/>
  <c r="CO295" i="1"/>
  <c r="CS295" i="1"/>
  <c r="DD295" i="1"/>
  <c r="F296" i="1"/>
  <c r="BW296" i="1"/>
  <c r="G296" i="1"/>
  <c r="BX296" i="1" s="1"/>
  <c r="H296" i="1"/>
  <c r="BY296" i="1"/>
  <c r="I296" i="1"/>
  <c r="CA296" i="1" s="1"/>
  <c r="J296" i="1"/>
  <c r="BZ296" i="1"/>
  <c r="AM296" i="1"/>
  <c r="AO296" i="1"/>
  <c r="M296" i="10" s="1"/>
  <c r="AP296" i="1"/>
  <c r="AQ296" i="1"/>
  <c r="A296" i="1" s="1"/>
  <c r="A296" i="10" s="1"/>
  <c r="AR296" i="1"/>
  <c r="AS296" i="1"/>
  <c r="AT296" i="1"/>
  <c r="AV296" i="1"/>
  <c r="AW296" i="1"/>
  <c r="AX296" i="1"/>
  <c r="AY296" i="1"/>
  <c r="AZ296" i="1"/>
  <c r="BA296" i="1"/>
  <c r="BB296" i="1"/>
  <c r="BC296" i="1"/>
  <c r="BE296" i="1"/>
  <c r="BF296" i="1"/>
  <c r="BG296" i="1"/>
  <c r="BH296" i="1"/>
  <c r="BI296" i="1"/>
  <c r="BJ296" i="1"/>
  <c r="BK296" i="1"/>
  <c r="BN296" i="1"/>
  <c r="BO296" i="1"/>
  <c r="BP296" i="1"/>
  <c r="BR296" i="1"/>
  <c r="BT296" i="1" s="1"/>
  <c r="BU296" i="1"/>
  <c r="CG296" i="1"/>
  <c r="CK296" i="1"/>
  <c r="CT296" i="1" s="1"/>
  <c r="CO296" i="1"/>
  <c r="CS296" i="1"/>
  <c r="DD296" i="1"/>
  <c r="DE296" i="1"/>
  <c r="F297" i="1"/>
  <c r="BW297" i="1" s="1"/>
  <c r="G297" i="1"/>
  <c r="BX297" i="1"/>
  <c r="H297" i="1"/>
  <c r="BY297" i="1" s="1"/>
  <c r="I297" i="1"/>
  <c r="CA297" i="1"/>
  <c r="J297" i="1"/>
  <c r="BZ297" i="1" s="1"/>
  <c r="AM297" i="1"/>
  <c r="AO297" i="1"/>
  <c r="P297" i="10"/>
  <c r="N297" i="10" s="1"/>
  <c r="U297" i="10" s="1"/>
  <c r="AP297" i="1"/>
  <c r="AQ297" i="1"/>
  <c r="A297" i="1" s="1"/>
  <c r="A297" i="10" s="1"/>
  <c r="AR297" i="1"/>
  <c r="AS297" i="1" s="1"/>
  <c r="AT297" i="1"/>
  <c r="AV297" i="1"/>
  <c r="AW297" i="1"/>
  <c r="AX297" i="1"/>
  <c r="AY297" i="1"/>
  <c r="AZ297" i="1"/>
  <c r="BA297" i="1"/>
  <c r="BB297" i="1"/>
  <c r="BC297" i="1"/>
  <c r="BE297" i="1"/>
  <c r="BF297" i="1"/>
  <c r="BG297" i="1"/>
  <c r="BH297" i="1"/>
  <c r="BI297" i="1"/>
  <c r="BJ297" i="1"/>
  <c r="BK297" i="1" s="1"/>
  <c r="BN297" i="1"/>
  <c r="BP297" i="1"/>
  <c r="BR297" i="1"/>
  <c r="BT297" i="1" s="1"/>
  <c r="BU297" i="1"/>
  <c r="CG297" i="1"/>
  <c r="CK297" i="1"/>
  <c r="CO297" i="1"/>
  <c r="CS297" i="1"/>
  <c r="DD297" i="1"/>
  <c r="DF297" i="1"/>
  <c r="F298" i="1"/>
  <c r="BW298" i="1" s="1"/>
  <c r="G298" i="1"/>
  <c r="BX298" i="1"/>
  <c r="H298" i="1"/>
  <c r="BY298" i="1" s="1"/>
  <c r="I298" i="1"/>
  <c r="CA298" i="1"/>
  <c r="J298" i="1"/>
  <c r="BZ298" i="1" s="1"/>
  <c r="AM298" i="1"/>
  <c r="AO298" i="1"/>
  <c r="AP298" i="1"/>
  <c r="AQ298" i="1"/>
  <c r="A298" i="1"/>
  <c r="A301" i="10"/>
  <c r="AR298" i="1"/>
  <c r="AS298" i="1" s="1"/>
  <c r="AT298" i="1"/>
  <c r="AV298" i="1"/>
  <c r="AW298" i="1"/>
  <c r="AX298" i="1"/>
  <c r="AY298" i="1"/>
  <c r="AZ298" i="1"/>
  <c r="BA298" i="1"/>
  <c r="BB298" i="1"/>
  <c r="BC298" i="1"/>
  <c r="BE298" i="1"/>
  <c r="BF298" i="1"/>
  <c r="BG298" i="1"/>
  <c r="BH298" i="1"/>
  <c r="BI298" i="1"/>
  <c r="BJ298" i="1"/>
  <c r="BK298" i="1" s="1"/>
  <c r="BN298" i="1"/>
  <c r="BO298" i="1"/>
  <c r="BP298" i="1" s="1"/>
  <c r="BR298" i="1"/>
  <c r="BU298" i="1"/>
  <c r="CG298" i="1"/>
  <c r="CT298" i="1" s="1"/>
  <c r="CK298" i="1"/>
  <c r="CO298" i="1"/>
  <c r="CS298" i="1"/>
  <c r="DD298" i="1"/>
  <c r="DE298" i="1" s="1"/>
  <c r="F299" i="1"/>
  <c r="BW299" i="1" s="1"/>
  <c r="G299" i="1"/>
  <c r="BX299" i="1"/>
  <c r="H299" i="1"/>
  <c r="BY299" i="1" s="1"/>
  <c r="I299" i="1"/>
  <c r="CA299" i="1"/>
  <c r="J299" i="1"/>
  <c r="BZ299" i="1" s="1"/>
  <c r="AM299" i="1"/>
  <c r="AO299" i="1"/>
  <c r="M299" i="10" s="1"/>
  <c r="AP299" i="1"/>
  <c r="AQ299" i="1"/>
  <c r="A299" i="1"/>
  <c r="A299" i="10" s="1"/>
  <c r="AR299" i="1"/>
  <c r="AS299" i="1"/>
  <c r="AT299" i="1"/>
  <c r="AV299" i="1"/>
  <c r="AW299" i="1"/>
  <c r="AX299" i="1"/>
  <c r="AY299" i="1"/>
  <c r="AZ299" i="1"/>
  <c r="BA299" i="1"/>
  <c r="BB299" i="1"/>
  <c r="BC299" i="1"/>
  <c r="BE299" i="1"/>
  <c r="BF299" i="1"/>
  <c r="BG299" i="1"/>
  <c r="BH299" i="1"/>
  <c r="BI299" i="1"/>
  <c r="BJ299" i="1"/>
  <c r="BK299" i="1"/>
  <c r="BN299" i="1"/>
  <c r="BP299" i="1"/>
  <c r="BR299" i="1"/>
  <c r="BT299" i="1"/>
  <c r="BU299" i="1"/>
  <c r="CG299" i="1"/>
  <c r="CK299" i="1"/>
  <c r="CO299" i="1"/>
  <c r="CS299" i="1"/>
  <c r="DD299" i="1"/>
  <c r="DF299" i="1" s="1"/>
  <c r="F300" i="1"/>
  <c r="BW300" i="1"/>
  <c r="G300" i="1"/>
  <c r="BX300" i="1" s="1"/>
  <c r="H300" i="1"/>
  <c r="BY300" i="1"/>
  <c r="I300" i="1"/>
  <c r="CA300" i="1" s="1"/>
  <c r="J300" i="1"/>
  <c r="BZ300" i="1"/>
  <c r="AM300" i="1"/>
  <c r="AO300" i="1"/>
  <c r="M300" i="10"/>
  <c r="AP300" i="1"/>
  <c r="AQ300" i="1"/>
  <c r="A300" i="1" s="1"/>
  <c r="A300" i="10" s="1"/>
  <c r="AR300" i="1"/>
  <c r="AS300" i="1" s="1"/>
  <c r="AT300" i="1"/>
  <c r="AV300" i="1"/>
  <c r="AW300" i="1"/>
  <c r="AX300" i="1"/>
  <c r="AY300" i="1"/>
  <c r="AZ300" i="1"/>
  <c r="BA300" i="1"/>
  <c r="BB300" i="1"/>
  <c r="BC300" i="1"/>
  <c r="BE300" i="1"/>
  <c r="BF300" i="1"/>
  <c r="BG300" i="1"/>
  <c r="BH300" i="1"/>
  <c r="BI300" i="1"/>
  <c r="BJ300" i="1"/>
  <c r="BK300" i="1" s="1"/>
  <c r="BN300" i="1"/>
  <c r="BO300" i="1"/>
  <c r="BP300" i="1"/>
  <c r="BS300" i="1" s="1"/>
  <c r="BR300" i="1"/>
  <c r="BT300" i="1" s="1"/>
  <c r="BU300" i="1"/>
  <c r="CG300" i="1"/>
  <c r="CK300" i="1"/>
  <c r="CO300" i="1"/>
  <c r="CS300" i="1"/>
  <c r="DD300" i="1"/>
  <c r="DF300" i="1" s="1"/>
  <c r="F301" i="1"/>
  <c r="BW301" i="1"/>
  <c r="G301" i="1"/>
  <c r="BX301" i="1" s="1"/>
  <c r="H301" i="1"/>
  <c r="BY301" i="1"/>
  <c r="I301" i="1"/>
  <c r="CA301" i="1" s="1"/>
  <c r="J301" i="1"/>
  <c r="BZ301" i="1"/>
  <c r="AM301" i="1"/>
  <c r="AO301" i="1"/>
  <c r="M298" i="10" s="1"/>
  <c r="AP301" i="1"/>
  <c r="AQ301" i="1"/>
  <c r="A301" i="1" s="1"/>
  <c r="A298" i="10" s="1"/>
  <c r="AR301" i="1"/>
  <c r="AS301" i="1"/>
  <c r="AT301" i="1"/>
  <c r="AV301" i="1"/>
  <c r="AW301" i="1"/>
  <c r="AX301" i="1"/>
  <c r="AY301" i="1"/>
  <c r="AZ301" i="1"/>
  <c r="BA301" i="1"/>
  <c r="BB301" i="1"/>
  <c r="BC301" i="1"/>
  <c r="BE301" i="1"/>
  <c r="BF301" i="1"/>
  <c r="BG301" i="1"/>
  <c r="BH301" i="1"/>
  <c r="BI301" i="1"/>
  <c r="BJ301" i="1"/>
  <c r="BK301" i="1"/>
  <c r="BN301" i="1"/>
  <c r="BP301" i="1"/>
  <c r="BR301" i="1"/>
  <c r="BT301" i="1"/>
  <c r="BU301" i="1"/>
  <c r="CG301" i="1"/>
  <c r="CK301" i="1"/>
  <c r="CO301" i="1"/>
  <c r="CS301" i="1"/>
  <c r="DD301" i="1"/>
  <c r="DE301" i="1"/>
  <c r="F302" i="1"/>
  <c r="BW302" i="1" s="1"/>
  <c r="G302" i="1"/>
  <c r="BX302" i="1"/>
  <c r="H302" i="1"/>
  <c r="BY302" i="1" s="1"/>
  <c r="I302" i="1"/>
  <c r="CA302" i="1"/>
  <c r="J302" i="1"/>
  <c r="BZ302" i="1" s="1"/>
  <c r="AM302" i="1"/>
  <c r="AO302" i="1"/>
  <c r="M304" i="10"/>
  <c r="AP302" i="1"/>
  <c r="AQ302" i="1"/>
  <c r="A302" i="1"/>
  <c r="A304" i="10"/>
  <c r="AR302" i="1"/>
  <c r="AS302" i="1" s="1"/>
  <c r="AT302" i="1"/>
  <c r="AV302" i="1"/>
  <c r="AW302" i="1"/>
  <c r="AX302" i="1"/>
  <c r="AY302" i="1"/>
  <c r="AZ302" i="1"/>
  <c r="BA302" i="1"/>
  <c r="BB302" i="1"/>
  <c r="BC302" i="1"/>
  <c r="BE302" i="1"/>
  <c r="BF302" i="1"/>
  <c r="BG302" i="1"/>
  <c r="BH302" i="1"/>
  <c r="BI302" i="1"/>
  <c r="BJ302" i="1"/>
  <c r="BK302" i="1" s="1"/>
  <c r="BN302" i="1"/>
  <c r="BP302" i="1"/>
  <c r="BS302" i="1" s="1"/>
  <c r="BR302" i="1"/>
  <c r="BU302" i="1"/>
  <c r="CG302" i="1"/>
  <c r="CK302" i="1"/>
  <c r="CT302" i="1" s="1"/>
  <c r="CO302" i="1"/>
  <c r="CS302" i="1"/>
  <c r="DD302" i="1"/>
  <c r="F303" i="1"/>
  <c r="BW303" i="1" s="1"/>
  <c r="G303" i="1"/>
  <c r="BX303" i="1"/>
  <c r="H303" i="1"/>
  <c r="BY303" i="1" s="1"/>
  <c r="I303" i="1"/>
  <c r="CA303" i="1"/>
  <c r="J303" i="1"/>
  <c r="BZ303" i="1" s="1"/>
  <c r="AM303" i="1"/>
  <c r="AO303" i="1"/>
  <c r="M302" i="10"/>
  <c r="AP303" i="1"/>
  <c r="AQ303" i="1"/>
  <c r="A303" i="1"/>
  <c r="A302" i="10"/>
  <c r="AR303" i="1"/>
  <c r="AS303" i="1" s="1"/>
  <c r="AT303" i="1"/>
  <c r="AV303" i="1"/>
  <c r="AW303" i="1"/>
  <c r="AX303" i="1"/>
  <c r="AY303" i="1"/>
  <c r="AZ303" i="1"/>
  <c r="BA303" i="1"/>
  <c r="BB303" i="1"/>
  <c r="BC303" i="1"/>
  <c r="BE303" i="1"/>
  <c r="BF303" i="1"/>
  <c r="BG303" i="1"/>
  <c r="BH303" i="1"/>
  <c r="BI303" i="1"/>
  <c r="BJ303" i="1"/>
  <c r="BK303" i="1" s="1"/>
  <c r="BN303" i="1"/>
  <c r="BO303" i="1"/>
  <c r="BP303" i="1" s="1"/>
  <c r="BR303" i="1"/>
  <c r="BT303" i="1"/>
  <c r="BU303" i="1"/>
  <c r="CG303" i="1"/>
  <c r="CK303" i="1"/>
  <c r="CO303" i="1"/>
  <c r="CS303" i="1"/>
  <c r="DD303" i="1"/>
  <c r="F304" i="1"/>
  <c r="BW304" i="1"/>
  <c r="G304" i="1"/>
  <c r="BX304" i="1" s="1"/>
  <c r="H304" i="1"/>
  <c r="BY304" i="1"/>
  <c r="I304" i="1"/>
  <c r="CA304" i="1" s="1"/>
  <c r="J304" i="1"/>
  <c r="BZ304" i="1"/>
  <c r="AM304" i="1"/>
  <c r="AO304" i="1"/>
  <c r="M303" i="10" s="1"/>
  <c r="P303" i="10"/>
  <c r="N303" i="10"/>
  <c r="U303" i="10" s="1"/>
  <c r="AP304" i="1"/>
  <c r="AQ304" i="1"/>
  <c r="A304" i="1"/>
  <c r="A303" i="10" s="1"/>
  <c r="AR304" i="1"/>
  <c r="AS304" i="1"/>
  <c r="AT304" i="1"/>
  <c r="AV304" i="1"/>
  <c r="AW304" i="1"/>
  <c r="AX304" i="1"/>
  <c r="AY304" i="1"/>
  <c r="AZ304" i="1"/>
  <c r="BA304" i="1"/>
  <c r="BB304" i="1"/>
  <c r="BC304" i="1"/>
  <c r="BE304" i="1"/>
  <c r="BF304" i="1"/>
  <c r="BG304" i="1"/>
  <c r="BH304" i="1"/>
  <c r="BI304" i="1"/>
  <c r="BJ304" i="1"/>
  <c r="BK304" i="1"/>
  <c r="BN304" i="1"/>
  <c r="BO304" i="1"/>
  <c r="BP304" i="1" s="1"/>
  <c r="BR304" i="1"/>
  <c r="BT304" i="1"/>
  <c r="BU304" i="1"/>
  <c r="CG304" i="1"/>
  <c r="CK304" i="1"/>
  <c r="CO304" i="1"/>
  <c r="CT304" i="1" s="1"/>
  <c r="L303" i="10" s="1"/>
  <c r="CS304" i="1"/>
  <c r="DD304" i="1"/>
  <c r="F305" i="1"/>
  <c r="BW305" i="1"/>
  <c r="G305" i="1"/>
  <c r="BX305" i="1" s="1"/>
  <c r="H305" i="1"/>
  <c r="BY305" i="1"/>
  <c r="I305" i="1"/>
  <c r="CA305" i="1" s="1"/>
  <c r="J305" i="1"/>
  <c r="BZ305" i="1"/>
  <c r="AM305" i="1"/>
  <c r="AO305" i="1"/>
  <c r="M306" i="10"/>
  <c r="AP305" i="1"/>
  <c r="AQ305" i="1"/>
  <c r="A305" i="1" s="1"/>
  <c r="A306" i="10" s="1"/>
  <c r="AR305" i="1"/>
  <c r="AS305" i="1" s="1"/>
  <c r="AT305" i="1"/>
  <c r="AV305" i="1"/>
  <c r="AW305" i="1"/>
  <c r="AX305" i="1"/>
  <c r="AY305" i="1"/>
  <c r="AZ305" i="1"/>
  <c r="BA305" i="1"/>
  <c r="BB305" i="1"/>
  <c r="BC305" i="1"/>
  <c r="BE305" i="1"/>
  <c r="BF305" i="1"/>
  <c r="BG305" i="1"/>
  <c r="BH305" i="1"/>
  <c r="BI305" i="1"/>
  <c r="BJ305" i="1"/>
  <c r="BK305" i="1" s="1"/>
  <c r="BN305" i="1"/>
  <c r="BP305" i="1"/>
  <c r="BR305" i="1"/>
  <c r="BU305" i="1"/>
  <c r="CG305" i="1"/>
  <c r="CK305" i="1"/>
  <c r="CO305" i="1"/>
  <c r="CS305" i="1"/>
  <c r="DD305" i="1"/>
  <c r="F306" i="1"/>
  <c r="BW306" i="1"/>
  <c r="G306" i="1"/>
  <c r="BX306" i="1" s="1"/>
  <c r="H306" i="1"/>
  <c r="BY306" i="1"/>
  <c r="I306" i="1"/>
  <c r="CA306" i="1" s="1"/>
  <c r="J306" i="1"/>
  <c r="BZ306" i="1"/>
  <c r="AM306" i="1"/>
  <c r="AO306" i="1"/>
  <c r="M305" i="10"/>
  <c r="AP306" i="1"/>
  <c r="AQ306" i="1"/>
  <c r="A306" i="1" s="1"/>
  <c r="A305" i="10" s="1"/>
  <c r="AR306" i="1"/>
  <c r="AS306" i="1" s="1"/>
  <c r="AT306" i="1"/>
  <c r="AV306" i="1"/>
  <c r="AW306" i="1"/>
  <c r="AX306" i="1"/>
  <c r="AY306" i="1"/>
  <c r="AZ306" i="1"/>
  <c r="BA306" i="1"/>
  <c r="BB306" i="1"/>
  <c r="BC306" i="1"/>
  <c r="BE306" i="1"/>
  <c r="BF306" i="1"/>
  <c r="BG306" i="1"/>
  <c r="BH306" i="1"/>
  <c r="BI306" i="1"/>
  <c r="BJ306" i="1"/>
  <c r="BK306" i="1" s="1"/>
  <c r="BN306" i="1"/>
  <c r="BO306" i="1"/>
  <c r="BP306" i="1"/>
  <c r="BS306" i="1" s="1"/>
  <c r="BR306" i="1"/>
  <c r="BT306" i="1" s="1"/>
  <c r="BU306" i="1"/>
  <c r="CG306" i="1"/>
  <c r="CK306" i="1"/>
  <c r="CO306" i="1"/>
  <c r="CS306" i="1"/>
  <c r="DD306" i="1"/>
  <c r="DE306" i="1" s="1"/>
  <c r="F307" i="1"/>
  <c r="BW307" i="1"/>
  <c r="G307" i="1"/>
  <c r="BX307" i="1" s="1"/>
  <c r="H307" i="1"/>
  <c r="BY307" i="1"/>
  <c r="I307" i="1"/>
  <c r="CA307" i="1" s="1"/>
  <c r="J307" i="1"/>
  <c r="BZ307" i="1"/>
  <c r="AM307" i="1"/>
  <c r="AO307" i="1"/>
  <c r="AP307" i="1"/>
  <c r="AQ307" i="1"/>
  <c r="A307" i="1"/>
  <c r="A307" i="10" s="1"/>
  <c r="AR307" i="1"/>
  <c r="AS307" i="1"/>
  <c r="AT307" i="1"/>
  <c r="AV307" i="1"/>
  <c r="AW307" i="1"/>
  <c r="AX307" i="1"/>
  <c r="AY307" i="1"/>
  <c r="AZ307" i="1"/>
  <c r="BA307" i="1"/>
  <c r="BB307" i="1"/>
  <c r="BC307" i="1"/>
  <c r="BE307" i="1"/>
  <c r="BF307" i="1"/>
  <c r="BG307" i="1"/>
  <c r="BH307" i="1"/>
  <c r="BI307" i="1"/>
  <c r="BJ307" i="1"/>
  <c r="BK307" i="1"/>
  <c r="BN307" i="1"/>
  <c r="BO307" i="1"/>
  <c r="BP307" i="1" s="1"/>
  <c r="BS307" i="1" s="1"/>
  <c r="BR307" i="1"/>
  <c r="BU307" i="1"/>
  <c r="CG307" i="1"/>
  <c r="CK307" i="1"/>
  <c r="CO307" i="1"/>
  <c r="CS307" i="1"/>
  <c r="DD307" i="1"/>
  <c r="DE307" i="1" s="1"/>
  <c r="F308" i="1"/>
  <c r="BW308" i="1"/>
  <c r="G308" i="1"/>
  <c r="BX308" i="1" s="1"/>
  <c r="H308" i="1"/>
  <c r="BY308" i="1"/>
  <c r="I308" i="1"/>
  <c r="CA308" i="1" s="1"/>
  <c r="J308" i="1"/>
  <c r="BZ308" i="1"/>
  <c r="AM308" i="1"/>
  <c r="AO308" i="1"/>
  <c r="M309" i="10"/>
  <c r="AP308" i="1"/>
  <c r="AQ308" i="1"/>
  <c r="A308" i="1" s="1"/>
  <c r="A309" i="10" s="1"/>
  <c r="AR308" i="1"/>
  <c r="AS308" i="1" s="1"/>
  <c r="AT308" i="1"/>
  <c r="AV308" i="1"/>
  <c r="AW308" i="1"/>
  <c r="AX308" i="1"/>
  <c r="AY308" i="1"/>
  <c r="AZ308" i="1"/>
  <c r="BA308" i="1"/>
  <c r="BB308" i="1"/>
  <c r="BC308" i="1"/>
  <c r="BE308" i="1"/>
  <c r="BF308" i="1"/>
  <c r="BG308" i="1"/>
  <c r="BH308" i="1"/>
  <c r="BI308" i="1"/>
  <c r="BJ308" i="1"/>
  <c r="BK308" i="1" s="1"/>
  <c r="BN308" i="1"/>
  <c r="BP308" i="1"/>
  <c r="BR308" i="1"/>
  <c r="BT308" i="1" s="1"/>
  <c r="BU308" i="1"/>
  <c r="CG308" i="1"/>
  <c r="CK308" i="1"/>
  <c r="CO308" i="1"/>
  <c r="CS308" i="1"/>
  <c r="DD308" i="1"/>
  <c r="F309" i="1"/>
  <c r="BW309" i="1" s="1"/>
  <c r="G309" i="1"/>
  <c r="BX309" i="1"/>
  <c r="H309" i="1"/>
  <c r="BY309" i="1" s="1"/>
  <c r="I309" i="1"/>
  <c r="CA309" i="1"/>
  <c r="J309" i="1"/>
  <c r="BZ309" i="1" s="1"/>
  <c r="AM309" i="1"/>
  <c r="AO309" i="1"/>
  <c r="AP309" i="1"/>
  <c r="AQ309" i="1"/>
  <c r="A309" i="1" s="1"/>
  <c r="A308" i="10" s="1"/>
  <c r="AR309" i="1"/>
  <c r="AS309" i="1" s="1"/>
  <c r="AT309" i="1"/>
  <c r="AV309" i="1"/>
  <c r="AW309" i="1"/>
  <c r="AX309" i="1"/>
  <c r="AY309" i="1"/>
  <c r="AZ309" i="1"/>
  <c r="BA309" i="1"/>
  <c r="BB309" i="1"/>
  <c r="BC309" i="1"/>
  <c r="BE309" i="1"/>
  <c r="BF309" i="1"/>
  <c r="BG309" i="1"/>
  <c r="BH309" i="1"/>
  <c r="BI309" i="1"/>
  <c r="BJ309" i="1"/>
  <c r="BK309" i="1" s="1"/>
  <c r="BN309" i="1"/>
  <c r="BO309" i="1"/>
  <c r="BP309" i="1"/>
  <c r="BR309" i="1"/>
  <c r="BT309" i="1" s="1"/>
  <c r="BU309" i="1"/>
  <c r="CG309" i="1"/>
  <c r="CK309" i="1"/>
  <c r="CO309" i="1"/>
  <c r="CS309" i="1"/>
  <c r="DD309" i="1"/>
  <c r="F310" i="1"/>
  <c r="BW310" i="1" s="1"/>
  <c r="G310" i="1"/>
  <c r="BX310" i="1"/>
  <c r="H310" i="1"/>
  <c r="BY310" i="1" s="1"/>
  <c r="I310" i="1"/>
  <c r="CA310" i="1"/>
  <c r="J310" i="1"/>
  <c r="BZ310" i="1" s="1"/>
  <c r="AM310" i="1"/>
  <c r="AO310" i="1"/>
  <c r="M310" i="10" s="1"/>
  <c r="AP310" i="1"/>
  <c r="AQ310" i="1"/>
  <c r="A310" i="1"/>
  <c r="A310" i="10" s="1"/>
  <c r="AR310" i="1"/>
  <c r="AS310" i="1"/>
  <c r="AT310" i="1"/>
  <c r="AV310" i="1"/>
  <c r="AW310" i="1"/>
  <c r="AX310" i="1"/>
  <c r="AY310" i="1"/>
  <c r="AZ310" i="1"/>
  <c r="BA310" i="1"/>
  <c r="BB310" i="1"/>
  <c r="BC310" i="1"/>
  <c r="BE310" i="1"/>
  <c r="BF310" i="1"/>
  <c r="BG310" i="1"/>
  <c r="BH310" i="1"/>
  <c r="BI310" i="1"/>
  <c r="BJ310" i="1"/>
  <c r="BK310" i="1"/>
  <c r="BN310" i="1"/>
  <c r="BO310" i="1"/>
  <c r="BP310" i="1" s="1"/>
  <c r="BR310" i="1"/>
  <c r="BU310" i="1"/>
  <c r="CG310" i="1"/>
  <c r="CK310" i="1"/>
  <c r="CO310" i="1"/>
  <c r="CS310" i="1"/>
  <c r="CT310" i="1" s="1"/>
  <c r="CU310" i="1" s="1"/>
  <c r="DD310" i="1"/>
  <c r="F311" i="1"/>
  <c r="BW311" i="1"/>
  <c r="G311" i="1"/>
  <c r="BX311" i="1" s="1"/>
  <c r="H311" i="1"/>
  <c r="BY311" i="1"/>
  <c r="I311" i="1"/>
  <c r="CA311" i="1" s="1"/>
  <c r="J311" i="1"/>
  <c r="BZ311" i="1"/>
  <c r="AM311" i="1"/>
  <c r="AO311" i="1"/>
  <c r="AP311" i="1"/>
  <c r="AQ311" i="1"/>
  <c r="A311" i="1"/>
  <c r="AR311" i="1"/>
  <c r="AS311" i="1" s="1"/>
  <c r="AT311" i="1"/>
  <c r="AV311" i="1"/>
  <c r="AW311" i="1"/>
  <c r="AX311" i="1"/>
  <c r="AY311" i="1"/>
  <c r="AZ311" i="1"/>
  <c r="BA311" i="1"/>
  <c r="BB311" i="1"/>
  <c r="BC311" i="1"/>
  <c r="BE311" i="1"/>
  <c r="BF311" i="1"/>
  <c r="BG311" i="1"/>
  <c r="BH311" i="1"/>
  <c r="BI311" i="1"/>
  <c r="BJ311" i="1"/>
  <c r="BK311" i="1" s="1"/>
  <c r="BN311" i="1"/>
  <c r="BO311" i="1"/>
  <c r="BP311" i="1" s="1"/>
  <c r="BS311" i="1" s="1"/>
  <c r="BR311" i="1"/>
  <c r="BT311" i="1"/>
  <c r="BU311" i="1"/>
  <c r="CG311" i="1"/>
  <c r="CK311" i="1"/>
  <c r="CO311" i="1"/>
  <c r="CS311" i="1"/>
  <c r="DD311" i="1"/>
  <c r="F312" i="1"/>
  <c r="BW312" i="1"/>
  <c r="G312" i="1"/>
  <c r="BX312" i="1" s="1"/>
  <c r="H312" i="1"/>
  <c r="BY312" i="1"/>
  <c r="I312" i="1"/>
  <c r="CA312" i="1" s="1"/>
  <c r="J312" i="1"/>
  <c r="BZ312" i="1"/>
  <c r="AM312" i="1"/>
  <c r="AO312" i="1"/>
  <c r="AP312" i="1"/>
  <c r="AQ312" i="1"/>
  <c r="A312" i="1"/>
  <c r="A312" i="10" s="1"/>
  <c r="AR312" i="1"/>
  <c r="AS312" i="1"/>
  <c r="AT312" i="1"/>
  <c r="AV312" i="1"/>
  <c r="AW312" i="1"/>
  <c r="AX312" i="1"/>
  <c r="AY312" i="1"/>
  <c r="AZ312" i="1"/>
  <c r="BA312" i="1"/>
  <c r="BB312" i="1"/>
  <c r="BC312" i="1"/>
  <c r="BE312" i="1"/>
  <c r="BF312" i="1"/>
  <c r="BG312" i="1"/>
  <c r="BH312" i="1"/>
  <c r="BI312" i="1"/>
  <c r="BJ312" i="1"/>
  <c r="BK312" i="1"/>
  <c r="BN312" i="1"/>
  <c r="BO312" i="1"/>
  <c r="BP312" i="1" s="1"/>
  <c r="BR312" i="1"/>
  <c r="BT312" i="1" s="1"/>
  <c r="BS312" i="1"/>
  <c r="BU312" i="1"/>
  <c r="CG312" i="1"/>
  <c r="CK312" i="1"/>
  <c r="CO312" i="1"/>
  <c r="CS312" i="1"/>
  <c r="DD312" i="1"/>
  <c r="DE312" i="1"/>
  <c r="F313" i="1"/>
  <c r="BW313" i="1" s="1"/>
  <c r="G313" i="1"/>
  <c r="BX313" i="1"/>
  <c r="H313" i="1"/>
  <c r="BY313" i="1" s="1"/>
  <c r="I313" i="1"/>
  <c r="CA313" i="1"/>
  <c r="J313" i="1"/>
  <c r="BZ313" i="1" s="1"/>
  <c r="AM313" i="1"/>
  <c r="AO313" i="1"/>
  <c r="M316" i="10" s="1"/>
  <c r="AP313" i="1"/>
  <c r="AQ313" i="1"/>
  <c r="A313" i="1"/>
  <c r="A316" i="10" s="1"/>
  <c r="AR313" i="1"/>
  <c r="AS313" i="1"/>
  <c r="AT313" i="1"/>
  <c r="AV313" i="1"/>
  <c r="AW313" i="1"/>
  <c r="AX313" i="1"/>
  <c r="AY313" i="1"/>
  <c r="AZ313" i="1"/>
  <c r="BA313" i="1"/>
  <c r="BB313" i="1"/>
  <c r="BC313" i="1"/>
  <c r="BE313" i="1"/>
  <c r="BF313" i="1"/>
  <c r="BG313" i="1"/>
  <c r="BH313" i="1"/>
  <c r="BI313" i="1"/>
  <c r="BJ313" i="1"/>
  <c r="BK313" i="1"/>
  <c r="BN313" i="1"/>
  <c r="BO313" i="1"/>
  <c r="BP313" i="1" s="1"/>
  <c r="BR313" i="1"/>
  <c r="BU313" i="1"/>
  <c r="CG313" i="1"/>
  <c r="CK313" i="1"/>
  <c r="CO313" i="1"/>
  <c r="CS313" i="1"/>
  <c r="CT313" i="1" s="1"/>
  <c r="L316" i="10" s="1"/>
  <c r="DD313" i="1"/>
  <c r="F314" i="1"/>
  <c r="BW314" i="1"/>
  <c r="G314" i="1"/>
  <c r="BX314" i="1" s="1"/>
  <c r="H314" i="1"/>
  <c r="BY314" i="1"/>
  <c r="I314" i="1"/>
  <c r="CA314" i="1" s="1"/>
  <c r="J314" i="1"/>
  <c r="BZ314" i="1"/>
  <c r="AM314" i="1"/>
  <c r="AO314" i="1"/>
  <c r="M314" i="10" s="1"/>
  <c r="AP314" i="1"/>
  <c r="AQ314" i="1"/>
  <c r="A314" i="1" s="1"/>
  <c r="A314" i="10" s="1"/>
  <c r="AR314" i="1"/>
  <c r="AS314" i="1"/>
  <c r="AT314" i="1"/>
  <c r="AV314" i="1"/>
  <c r="AW314" i="1"/>
  <c r="AX314" i="1"/>
  <c r="AY314" i="1"/>
  <c r="AZ314" i="1"/>
  <c r="BA314" i="1"/>
  <c r="BB314" i="1"/>
  <c r="BC314" i="1"/>
  <c r="BE314" i="1"/>
  <c r="BF314" i="1"/>
  <c r="BG314" i="1"/>
  <c r="BH314" i="1"/>
  <c r="BI314" i="1"/>
  <c r="BJ314" i="1"/>
  <c r="BK314" i="1"/>
  <c r="BN314" i="1"/>
  <c r="BO314" i="1"/>
  <c r="BP314" i="1"/>
  <c r="BR314" i="1"/>
  <c r="BT314" i="1" s="1"/>
  <c r="BU314" i="1"/>
  <c r="CG314" i="1"/>
  <c r="CK314" i="1"/>
  <c r="CO314" i="1"/>
  <c r="CS314" i="1"/>
  <c r="DD314" i="1"/>
  <c r="F315" i="1"/>
  <c r="BW315" i="1" s="1"/>
  <c r="G315" i="1"/>
  <c r="BX315" i="1"/>
  <c r="H315" i="1"/>
  <c r="BY315" i="1" s="1"/>
  <c r="I315" i="1"/>
  <c r="CA315" i="1"/>
  <c r="J315" i="1"/>
  <c r="BZ315" i="1" s="1"/>
  <c r="AM315" i="1"/>
  <c r="AO315" i="1"/>
  <c r="M315" i="10"/>
  <c r="AP315" i="1"/>
  <c r="AQ315" i="1"/>
  <c r="A315" i="1"/>
  <c r="A315" i="10"/>
  <c r="AR315" i="1"/>
  <c r="AS315" i="1" s="1"/>
  <c r="AT315" i="1"/>
  <c r="AV315" i="1"/>
  <c r="AW315" i="1"/>
  <c r="AX315" i="1"/>
  <c r="AY315" i="1"/>
  <c r="AZ315" i="1"/>
  <c r="BA315" i="1"/>
  <c r="BB315" i="1"/>
  <c r="BC315" i="1"/>
  <c r="BE315" i="1"/>
  <c r="BF315" i="1"/>
  <c r="BG315" i="1"/>
  <c r="BH315" i="1"/>
  <c r="BI315" i="1"/>
  <c r="BJ315" i="1"/>
  <c r="BK315" i="1" s="1"/>
  <c r="BN315" i="1"/>
  <c r="BO315" i="1"/>
  <c r="BR315" i="1"/>
  <c r="BT315" i="1" s="1"/>
  <c r="BU315" i="1"/>
  <c r="CG315" i="1"/>
  <c r="CT315" i="1" s="1"/>
  <c r="CK315" i="1"/>
  <c r="CO315" i="1"/>
  <c r="CS315" i="1"/>
  <c r="DD315" i="1"/>
  <c r="F316" i="1"/>
  <c r="BW316" i="1" s="1"/>
  <c r="G316" i="1"/>
  <c r="BX316" i="1"/>
  <c r="H316" i="1"/>
  <c r="BY316" i="1" s="1"/>
  <c r="I316" i="1"/>
  <c r="CA316" i="1"/>
  <c r="J316" i="1"/>
  <c r="BZ316" i="1" s="1"/>
  <c r="AM316" i="1"/>
  <c r="AO316" i="1"/>
  <c r="AP316" i="1"/>
  <c r="AQ316" i="1"/>
  <c r="A316" i="1"/>
  <c r="A317" i="10"/>
  <c r="AR316" i="1"/>
  <c r="AS316" i="1" s="1"/>
  <c r="AT316" i="1"/>
  <c r="AV316" i="1"/>
  <c r="AW316" i="1"/>
  <c r="AX316" i="1"/>
  <c r="AY316" i="1"/>
  <c r="AZ316" i="1"/>
  <c r="BA316" i="1"/>
  <c r="BB316" i="1"/>
  <c r="BC316" i="1"/>
  <c r="BE316" i="1"/>
  <c r="BF316" i="1"/>
  <c r="BG316" i="1"/>
  <c r="BH316" i="1"/>
  <c r="BI316" i="1"/>
  <c r="BJ316" i="1"/>
  <c r="BK316" i="1" s="1"/>
  <c r="BN316" i="1"/>
  <c r="BO316" i="1"/>
  <c r="BP316" i="1" s="1"/>
  <c r="BS316" i="1" s="1"/>
  <c r="BR316" i="1"/>
  <c r="BT316" i="1"/>
  <c r="BU316" i="1"/>
  <c r="CG316" i="1"/>
  <c r="CK316" i="1"/>
  <c r="CT316" i="1" s="1"/>
  <c r="CO316" i="1"/>
  <c r="CS316" i="1"/>
  <c r="DD316" i="1"/>
  <c r="DF316" i="1" s="1"/>
  <c r="F317" i="1"/>
  <c r="BW317" i="1"/>
  <c r="G317" i="1"/>
  <c r="BX317" i="1" s="1"/>
  <c r="H317" i="1"/>
  <c r="BY317" i="1"/>
  <c r="I317" i="1"/>
  <c r="CA317" i="1" s="1"/>
  <c r="J317" i="1"/>
  <c r="BZ317" i="1"/>
  <c r="AM317" i="1"/>
  <c r="AO317" i="1"/>
  <c r="M318" i="10" s="1"/>
  <c r="AP317" i="1"/>
  <c r="AQ317" i="1"/>
  <c r="A317" i="1" s="1"/>
  <c r="A318" i="10" s="1"/>
  <c r="AR317" i="1"/>
  <c r="AS317" i="1"/>
  <c r="AT317" i="1"/>
  <c r="AV317" i="1"/>
  <c r="AW317" i="1"/>
  <c r="AX317" i="1"/>
  <c r="AY317" i="1"/>
  <c r="AZ317" i="1"/>
  <c r="BA317" i="1"/>
  <c r="BB317" i="1"/>
  <c r="BC317" i="1"/>
  <c r="BE317" i="1"/>
  <c r="BF317" i="1"/>
  <c r="BG317" i="1"/>
  <c r="BH317" i="1"/>
  <c r="BI317" i="1"/>
  <c r="BJ317" i="1"/>
  <c r="BK317" i="1"/>
  <c r="BN317" i="1"/>
  <c r="BO317" i="1"/>
  <c r="BP317" i="1"/>
  <c r="BR317" i="1"/>
  <c r="BU317" i="1"/>
  <c r="CG317" i="1"/>
  <c r="CK317" i="1"/>
  <c r="CO317" i="1"/>
  <c r="CS317" i="1"/>
  <c r="DD317" i="1"/>
  <c r="F318" i="1"/>
  <c r="BW318" i="1"/>
  <c r="G318" i="1"/>
  <c r="BX318" i="1" s="1"/>
  <c r="H318" i="1"/>
  <c r="BY318" i="1"/>
  <c r="I318" i="1"/>
  <c r="CA318" i="1" s="1"/>
  <c r="J318" i="1"/>
  <c r="BZ318" i="1"/>
  <c r="AM318" i="1"/>
  <c r="AO318" i="1"/>
  <c r="M319" i="10"/>
  <c r="AP318" i="1"/>
  <c r="AQ318" i="1"/>
  <c r="A318" i="1" s="1"/>
  <c r="A319" i="10" s="1"/>
  <c r="AR318" i="1"/>
  <c r="AS318" i="1" s="1"/>
  <c r="AT318" i="1"/>
  <c r="AV318" i="1"/>
  <c r="AW318" i="1"/>
  <c r="AX318" i="1"/>
  <c r="AY318" i="1"/>
  <c r="AZ318" i="1"/>
  <c r="BA318" i="1"/>
  <c r="BB318" i="1"/>
  <c r="BC318" i="1"/>
  <c r="BE318" i="1"/>
  <c r="BF318" i="1"/>
  <c r="BG318" i="1"/>
  <c r="BH318" i="1"/>
  <c r="BI318" i="1"/>
  <c r="BJ318" i="1"/>
  <c r="BK318" i="1" s="1"/>
  <c r="BN318" i="1"/>
  <c r="BO318" i="1"/>
  <c r="BP318" i="1"/>
  <c r="BR318" i="1"/>
  <c r="BU318" i="1"/>
  <c r="CG318" i="1"/>
  <c r="CK318" i="1"/>
  <c r="CO318" i="1"/>
  <c r="CS318" i="1"/>
  <c r="DD318" i="1"/>
  <c r="DE318" i="1"/>
  <c r="F319" i="1"/>
  <c r="BW319" i="1" s="1"/>
  <c r="G319" i="1"/>
  <c r="BX319" i="1"/>
  <c r="H319" i="1"/>
  <c r="BY319" i="1" s="1"/>
  <c r="I319" i="1"/>
  <c r="CA319" i="1"/>
  <c r="J319" i="1"/>
  <c r="BZ319" i="1" s="1"/>
  <c r="AM319" i="1"/>
  <c r="AO319" i="1"/>
  <c r="P322" i="10"/>
  <c r="W322" i="10"/>
  <c r="AP319" i="1"/>
  <c r="AQ319" i="1"/>
  <c r="A319" i="1" s="1"/>
  <c r="A322" i="10" s="1"/>
  <c r="AR319" i="1"/>
  <c r="AS319" i="1" s="1"/>
  <c r="AT319" i="1"/>
  <c r="AV319" i="1"/>
  <c r="AW319" i="1"/>
  <c r="AX319" i="1"/>
  <c r="AY319" i="1"/>
  <c r="AZ319" i="1"/>
  <c r="BA319" i="1"/>
  <c r="BB319" i="1"/>
  <c r="BC319" i="1"/>
  <c r="BE319" i="1"/>
  <c r="BF319" i="1"/>
  <c r="BG319" i="1"/>
  <c r="BH319" i="1"/>
  <c r="BI319" i="1"/>
  <c r="BJ319" i="1"/>
  <c r="BK319" i="1" s="1"/>
  <c r="BN319" i="1"/>
  <c r="BO319" i="1"/>
  <c r="BP319" i="1"/>
  <c r="BR319" i="1"/>
  <c r="BU319" i="1"/>
  <c r="CG319" i="1"/>
  <c r="CK319" i="1"/>
  <c r="CO319" i="1"/>
  <c r="CS319" i="1"/>
  <c r="DD319" i="1"/>
  <c r="DE319" i="1"/>
  <c r="F320" i="1"/>
  <c r="BW320" i="1" s="1"/>
  <c r="G320" i="1"/>
  <c r="BX320" i="1"/>
  <c r="H320" i="1"/>
  <c r="BY320" i="1" s="1"/>
  <c r="I320" i="1"/>
  <c r="CA320" i="1"/>
  <c r="J320" i="1"/>
  <c r="BZ320" i="1" s="1"/>
  <c r="AM320" i="1"/>
  <c r="AO320" i="1"/>
  <c r="AP320" i="1"/>
  <c r="AQ320" i="1"/>
  <c r="A320" i="1"/>
  <c r="A320" i="10" s="1"/>
  <c r="AR320" i="1"/>
  <c r="AS320" i="1"/>
  <c r="AT320" i="1"/>
  <c r="AV320" i="1"/>
  <c r="AW320" i="1"/>
  <c r="AX320" i="1"/>
  <c r="AY320" i="1"/>
  <c r="AZ320" i="1"/>
  <c r="BA320" i="1"/>
  <c r="BB320" i="1"/>
  <c r="BC320" i="1"/>
  <c r="BE320" i="1"/>
  <c r="BF320" i="1"/>
  <c r="BG320" i="1"/>
  <c r="BH320" i="1"/>
  <c r="BI320" i="1"/>
  <c r="BJ320" i="1"/>
  <c r="BK320" i="1"/>
  <c r="BN320" i="1"/>
  <c r="BO320" i="1"/>
  <c r="BP320" i="1" s="1"/>
  <c r="BR320" i="1"/>
  <c r="BU320" i="1"/>
  <c r="CG320" i="1"/>
  <c r="CK320" i="1"/>
  <c r="CO320" i="1"/>
  <c r="CS320" i="1"/>
  <c r="DD320" i="1"/>
  <c r="DE320" i="1" s="1"/>
  <c r="F321" i="1"/>
  <c r="BW321" i="1"/>
  <c r="G321" i="1"/>
  <c r="BX321" i="1" s="1"/>
  <c r="H321" i="1"/>
  <c r="BY321" i="1"/>
  <c r="I321" i="1"/>
  <c r="CA321" i="1" s="1"/>
  <c r="J321" i="1"/>
  <c r="BZ321" i="1"/>
  <c r="AM321" i="1"/>
  <c r="AO321" i="1"/>
  <c r="AP321" i="1"/>
  <c r="AQ321" i="1"/>
  <c r="A321" i="1" s="1"/>
  <c r="A321" i="10" s="1"/>
  <c r="AR321" i="1"/>
  <c r="AS321" i="1"/>
  <c r="AT321" i="1"/>
  <c r="AV321" i="1"/>
  <c r="AW321" i="1"/>
  <c r="AX321" i="1"/>
  <c r="AY321" i="1"/>
  <c r="AZ321" i="1"/>
  <c r="BA321" i="1"/>
  <c r="BB321" i="1"/>
  <c r="BC321" i="1"/>
  <c r="BE321" i="1"/>
  <c r="BF321" i="1"/>
  <c r="BG321" i="1"/>
  <c r="BH321" i="1"/>
  <c r="BI321" i="1"/>
  <c r="BJ321" i="1"/>
  <c r="BK321" i="1"/>
  <c r="BN321" i="1"/>
  <c r="BO321" i="1"/>
  <c r="BP321" i="1"/>
  <c r="BR321" i="1"/>
  <c r="BU321" i="1"/>
  <c r="CG321" i="1"/>
  <c r="CK321" i="1"/>
  <c r="CO321" i="1"/>
  <c r="CS321" i="1"/>
  <c r="DD321" i="1"/>
  <c r="DF321" i="1"/>
  <c r="F322" i="1"/>
  <c r="BW322" i="1" s="1"/>
  <c r="G322" i="1"/>
  <c r="BX322" i="1"/>
  <c r="H322" i="1"/>
  <c r="BY322" i="1" s="1"/>
  <c r="I322" i="1"/>
  <c r="CA322" i="1"/>
  <c r="J322" i="1"/>
  <c r="BZ322" i="1" s="1"/>
  <c r="AM322" i="1"/>
  <c r="AO322" i="1"/>
  <c r="AP322" i="1"/>
  <c r="AQ322" i="1"/>
  <c r="A322" i="1"/>
  <c r="A324" i="10"/>
  <c r="AR322" i="1"/>
  <c r="AS322" i="1" s="1"/>
  <c r="AT322" i="1"/>
  <c r="AV322" i="1"/>
  <c r="AW322" i="1"/>
  <c r="AX322" i="1"/>
  <c r="AY322" i="1"/>
  <c r="AZ322" i="1"/>
  <c r="BA322" i="1"/>
  <c r="BB322" i="1"/>
  <c r="BC322" i="1"/>
  <c r="BE322" i="1"/>
  <c r="BF322" i="1"/>
  <c r="BG322" i="1"/>
  <c r="BH322" i="1"/>
  <c r="BI322" i="1"/>
  <c r="BJ322" i="1"/>
  <c r="BK322" i="1" s="1"/>
  <c r="BN322" i="1"/>
  <c r="BO322" i="1"/>
  <c r="BP322" i="1" s="1"/>
  <c r="BR322" i="1"/>
  <c r="BT322" i="1"/>
  <c r="BU322" i="1"/>
  <c r="CG322" i="1"/>
  <c r="CK322" i="1"/>
  <c r="CO322" i="1"/>
  <c r="CS322" i="1"/>
  <c r="DD322" i="1"/>
  <c r="DE322" i="1" s="1"/>
  <c r="F323" i="1"/>
  <c r="BW323" i="1"/>
  <c r="G323" i="1"/>
  <c r="BX323" i="1" s="1"/>
  <c r="H323" i="1"/>
  <c r="BY323" i="1"/>
  <c r="I323" i="1"/>
  <c r="CA323" i="1" s="1"/>
  <c r="J323" i="1"/>
  <c r="BZ323" i="1"/>
  <c r="AM323" i="1"/>
  <c r="AO323" i="1"/>
  <c r="M323" i="10"/>
  <c r="P323" i="10"/>
  <c r="V323" i="10" s="1"/>
  <c r="CG323" i="1"/>
  <c r="CK323" i="1"/>
  <c r="CO323" i="1"/>
  <c r="CS323" i="1"/>
  <c r="BO323" i="1"/>
  <c r="BP323" i="1"/>
  <c r="AP323" i="1"/>
  <c r="AQ323" i="1"/>
  <c r="A323" i="1" s="1"/>
  <c r="A323" i="10" s="1"/>
  <c r="AR323" i="1"/>
  <c r="AS323" i="1" s="1"/>
  <c r="AT323" i="1"/>
  <c r="AV323" i="1"/>
  <c r="AW323" i="1"/>
  <c r="AX323" i="1"/>
  <c r="AY323" i="1"/>
  <c r="AZ323" i="1"/>
  <c r="BA323" i="1"/>
  <c r="BB323" i="1"/>
  <c r="BC323" i="1"/>
  <c r="BE323" i="1"/>
  <c r="BF323" i="1"/>
  <c r="BG323" i="1"/>
  <c r="BH323" i="1"/>
  <c r="BI323" i="1"/>
  <c r="BJ323" i="1"/>
  <c r="BK323" i="1" s="1"/>
  <c r="BN323" i="1"/>
  <c r="BR323" i="1"/>
  <c r="BT323" i="1"/>
  <c r="BU323" i="1"/>
  <c r="DD323" i="1"/>
  <c r="F324" i="1"/>
  <c r="BW324" i="1"/>
  <c r="G324" i="1"/>
  <c r="BX324" i="1" s="1"/>
  <c r="H324" i="1"/>
  <c r="BY324" i="1"/>
  <c r="I324" i="1"/>
  <c r="CA324" i="1" s="1"/>
  <c r="J324" i="1"/>
  <c r="BZ324" i="1"/>
  <c r="AM324" i="1"/>
  <c r="AO324" i="1"/>
  <c r="M325" i="10"/>
  <c r="AP324" i="1"/>
  <c r="AQ324" i="1"/>
  <c r="A324" i="1" s="1"/>
  <c r="A325" i="10" s="1"/>
  <c r="AR324" i="1"/>
  <c r="AS324" i="1" s="1"/>
  <c r="AT324" i="1"/>
  <c r="AV324" i="1"/>
  <c r="AW324" i="1"/>
  <c r="AX324" i="1"/>
  <c r="AY324" i="1"/>
  <c r="AZ324" i="1"/>
  <c r="BA324" i="1"/>
  <c r="BB324" i="1"/>
  <c r="BC324" i="1"/>
  <c r="BE324" i="1"/>
  <c r="BF324" i="1"/>
  <c r="BG324" i="1"/>
  <c r="BH324" i="1"/>
  <c r="BI324" i="1"/>
  <c r="BJ324" i="1"/>
  <c r="BK324" i="1" s="1"/>
  <c r="BN324" i="1"/>
  <c r="BO324" i="1"/>
  <c r="BR324" i="1"/>
  <c r="BT324" i="1" s="1"/>
  <c r="BU324" i="1"/>
  <c r="CG324" i="1"/>
  <c r="CK324" i="1"/>
  <c r="CO324" i="1"/>
  <c r="CS324" i="1"/>
  <c r="DD324" i="1"/>
  <c r="F325" i="1"/>
  <c r="BW325" i="1" s="1"/>
  <c r="G325" i="1"/>
  <c r="BX325" i="1"/>
  <c r="H325" i="1"/>
  <c r="BY325" i="1" s="1"/>
  <c r="I325" i="1"/>
  <c r="CA325" i="1"/>
  <c r="J325" i="1"/>
  <c r="BZ325" i="1" s="1"/>
  <c r="AM325" i="1"/>
  <c r="AO325" i="1"/>
  <c r="M326" i="10"/>
  <c r="AP325" i="1"/>
  <c r="AQ325" i="1"/>
  <c r="A325" i="1"/>
  <c r="A326" i="10"/>
  <c r="AR325" i="1"/>
  <c r="AS325" i="1" s="1"/>
  <c r="AT325" i="1"/>
  <c r="AV325" i="1"/>
  <c r="AW325" i="1"/>
  <c r="AX325" i="1"/>
  <c r="AY325" i="1"/>
  <c r="AZ325" i="1"/>
  <c r="BA325" i="1"/>
  <c r="BB325" i="1"/>
  <c r="BC325" i="1"/>
  <c r="BE325" i="1"/>
  <c r="BF325" i="1"/>
  <c r="BG325" i="1"/>
  <c r="BH325" i="1"/>
  <c r="BI325" i="1"/>
  <c r="BJ325" i="1"/>
  <c r="BK325" i="1" s="1"/>
  <c r="BN325" i="1"/>
  <c r="BO325" i="1"/>
  <c r="BP325" i="1" s="1"/>
  <c r="BR325" i="1"/>
  <c r="BU325" i="1"/>
  <c r="CG325" i="1"/>
  <c r="CT325" i="1" s="1"/>
  <c r="CK325" i="1"/>
  <c r="CO325" i="1"/>
  <c r="CS325" i="1"/>
  <c r="DD325" i="1"/>
  <c r="F326" i="1"/>
  <c r="BW326" i="1"/>
  <c r="G326" i="1"/>
  <c r="BX326" i="1" s="1"/>
  <c r="H326" i="1"/>
  <c r="BY326" i="1"/>
  <c r="I326" i="1"/>
  <c r="CA326" i="1" s="1"/>
  <c r="J326" i="1"/>
  <c r="BZ326" i="1"/>
  <c r="AM326" i="1"/>
  <c r="AO326" i="1"/>
  <c r="M327" i="10" s="1"/>
  <c r="AP326" i="1"/>
  <c r="AQ326" i="1"/>
  <c r="A326" i="1" s="1"/>
  <c r="A327" i="10" s="1"/>
  <c r="AR326" i="1"/>
  <c r="AS326" i="1" s="1"/>
  <c r="AT326" i="1"/>
  <c r="AV326" i="1"/>
  <c r="AW326" i="1"/>
  <c r="AX326" i="1"/>
  <c r="AY326" i="1"/>
  <c r="AZ326" i="1"/>
  <c r="BA326" i="1"/>
  <c r="BB326" i="1"/>
  <c r="BC326" i="1"/>
  <c r="BE326" i="1"/>
  <c r="BF326" i="1"/>
  <c r="BG326" i="1"/>
  <c r="BH326" i="1"/>
  <c r="BI326" i="1"/>
  <c r="BJ326" i="1"/>
  <c r="BK326" i="1" s="1"/>
  <c r="BN326" i="1"/>
  <c r="BO326" i="1"/>
  <c r="BP326" i="1"/>
  <c r="BR326" i="1"/>
  <c r="BU326" i="1"/>
  <c r="CG326" i="1"/>
  <c r="CK326" i="1"/>
  <c r="CO326" i="1"/>
  <c r="CS326" i="1"/>
  <c r="DD326" i="1"/>
  <c r="DF326" i="1"/>
  <c r="F327" i="1"/>
  <c r="BW327" i="1" s="1"/>
  <c r="G327" i="1"/>
  <c r="BX327" i="1"/>
  <c r="H327" i="1"/>
  <c r="BY327" i="1" s="1"/>
  <c r="I327" i="1"/>
  <c r="CA327" i="1"/>
  <c r="J327" i="1"/>
  <c r="BZ327" i="1" s="1"/>
  <c r="AM327" i="1"/>
  <c r="AO327" i="1"/>
  <c r="M328" i="10"/>
  <c r="P328" i="10"/>
  <c r="V328" i="10" s="1"/>
  <c r="AP327" i="1"/>
  <c r="AQ327" i="1"/>
  <c r="A327" i="1"/>
  <c r="A328" i="10" s="1"/>
  <c r="AR327" i="1"/>
  <c r="AS327" i="1" s="1"/>
  <c r="AT327" i="1"/>
  <c r="AV327" i="1"/>
  <c r="AW327" i="1"/>
  <c r="AX327" i="1"/>
  <c r="AY327" i="1"/>
  <c r="AZ327" i="1"/>
  <c r="BA327" i="1"/>
  <c r="BB327" i="1"/>
  <c r="BC327" i="1"/>
  <c r="BE327" i="1"/>
  <c r="BF327" i="1"/>
  <c r="BG327" i="1"/>
  <c r="BH327" i="1"/>
  <c r="BI327" i="1"/>
  <c r="BJ327" i="1"/>
  <c r="BK327" i="1" s="1"/>
  <c r="BN327" i="1"/>
  <c r="BO327" i="1"/>
  <c r="BP327" i="1"/>
  <c r="BR327" i="1"/>
  <c r="BT327" i="1"/>
  <c r="BU327" i="1"/>
  <c r="CG327" i="1"/>
  <c r="CK327" i="1"/>
  <c r="CO327" i="1"/>
  <c r="CS327" i="1"/>
  <c r="DD327" i="1"/>
  <c r="F328" i="1"/>
  <c r="BW328" i="1"/>
  <c r="G328" i="1"/>
  <c r="BX328" i="1"/>
  <c r="H328" i="1"/>
  <c r="BY328" i="1"/>
  <c r="I328" i="1"/>
  <c r="CA328" i="1"/>
  <c r="J328" i="1"/>
  <c r="BZ328" i="1"/>
  <c r="AM328" i="1"/>
  <c r="AO328" i="1"/>
  <c r="AP328" i="1"/>
  <c r="AQ328" i="1"/>
  <c r="A328" i="1" s="1"/>
  <c r="A329" i="10"/>
  <c r="AR328" i="1"/>
  <c r="AS328" i="1" s="1"/>
  <c r="AT328" i="1"/>
  <c r="AV328" i="1"/>
  <c r="AW328" i="1"/>
  <c r="AX328" i="1"/>
  <c r="AY328" i="1"/>
  <c r="AZ328" i="1"/>
  <c r="BA328" i="1"/>
  <c r="BB328" i="1"/>
  <c r="BC328" i="1"/>
  <c r="BE328" i="1"/>
  <c r="BF328" i="1"/>
  <c r="BG328" i="1"/>
  <c r="BH328" i="1"/>
  <c r="BI328" i="1"/>
  <c r="BJ328" i="1"/>
  <c r="BK328" i="1" s="1"/>
  <c r="BN328" i="1"/>
  <c r="BO328" i="1"/>
  <c r="BP328" i="1" s="1"/>
  <c r="BR328" i="1"/>
  <c r="BT328" i="1" s="1"/>
  <c r="BU328" i="1"/>
  <c r="CG328" i="1"/>
  <c r="CT328" i="1" s="1"/>
  <c r="CK328" i="1"/>
  <c r="CO328" i="1"/>
  <c r="CS328" i="1"/>
  <c r="DD328" i="1"/>
  <c r="F329" i="1"/>
  <c r="BW329" i="1"/>
  <c r="G329" i="1"/>
  <c r="BX329" i="1" s="1"/>
  <c r="H329" i="1"/>
  <c r="BY329" i="1"/>
  <c r="I329" i="1"/>
  <c r="CA329" i="1" s="1"/>
  <c r="J329" i="1"/>
  <c r="BZ329" i="1"/>
  <c r="AM329" i="1"/>
  <c r="AO329" i="1"/>
  <c r="M330" i="10" s="1"/>
  <c r="AP329" i="1"/>
  <c r="AQ329" i="1"/>
  <c r="A329" i="1"/>
  <c r="A330" i="10" s="1"/>
  <c r="AR329" i="1"/>
  <c r="AS329" i="1" s="1"/>
  <c r="AT329" i="1"/>
  <c r="AV329" i="1"/>
  <c r="AW329" i="1"/>
  <c r="AX329" i="1"/>
  <c r="AY329" i="1"/>
  <c r="AZ329" i="1"/>
  <c r="BA329" i="1"/>
  <c r="BB329" i="1"/>
  <c r="BC329" i="1"/>
  <c r="BE329" i="1"/>
  <c r="BF329" i="1"/>
  <c r="BG329" i="1"/>
  <c r="BH329" i="1"/>
  <c r="BI329" i="1"/>
  <c r="BJ329" i="1"/>
  <c r="BK329" i="1" s="1"/>
  <c r="BN329" i="1"/>
  <c r="BO329" i="1"/>
  <c r="BP329" i="1"/>
  <c r="BR329" i="1"/>
  <c r="BU329" i="1"/>
  <c r="CG329" i="1"/>
  <c r="CK329" i="1"/>
  <c r="CO329" i="1"/>
  <c r="CS329" i="1"/>
  <c r="DD329" i="1"/>
  <c r="DF329" i="1"/>
  <c r="F330" i="1"/>
  <c r="BW330" i="1"/>
  <c r="G330" i="1"/>
  <c r="BX330" i="1"/>
  <c r="H330" i="1"/>
  <c r="BY330" i="1"/>
  <c r="I330" i="1"/>
  <c r="CA330" i="1"/>
  <c r="J330" i="1"/>
  <c r="BZ330" i="1"/>
  <c r="AM330" i="1"/>
  <c r="AO330" i="1"/>
  <c r="M331" i="10" s="1"/>
  <c r="O331" i="10" s="1"/>
  <c r="AP330" i="1"/>
  <c r="AQ330" i="1"/>
  <c r="A330" i="1"/>
  <c r="A331" i="10" s="1"/>
  <c r="AR330" i="1"/>
  <c r="AS330" i="1" s="1"/>
  <c r="AT330" i="1"/>
  <c r="AV330" i="1"/>
  <c r="AW330" i="1"/>
  <c r="AX330" i="1"/>
  <c r="AY330" i="1"/>
  <c r="AZ330" i="1"/>
  <c r="BA330" i="1"/>
  <c r="BB330" i="1"/>
  <c r="BC330" i="1"/>
  <c r="BE330" i="1"/>
  <c r="BF330" i="1"/>
  <c r="BG330" i="1"/>
  <c r="BH330" i="1"/>
  <c r="BI330" i="1"/>
  <c r="BJ330" i="1"/>
  <c r="BK330" i="1" s="1"/>
  <c r="BN330" i="1"/>
  <c r="BO330" i="1"/>
  <c r="BP330" i="1" s="1"/>
  <c r="BR330" i="1"/>
  <c r="BU330" i="1"/>
  <c r="CG330" i="1"/>
  <c r="CT330" i="1" s="1"/>
  <c r="CK330" i="1"/>
  <c r="CO330" i="1"/>
  <c r="CS330" i="1"/>
  <c r="DD330" i="1"/>
  <c r="F331" i="1"/>
  <c r="BW331" i="1" s="1"/>
  <c r="G331" i="1"/>
  <c r="BX331" i="1"/>
  <c r="H331" i="1"/>
  <c r="BY331" i="1" s="1"/>
  <c r="I331" i="1"/>
  <c r="CA331" i="1" s="1"/>
  <c r="J331" i="1"/>
  <c r="BZ331" i="1" s="1"/>
  <c r="AM331" i="1"/>
  <c r="AO331" i="1"/>
  <c r="M332" i="10" s="1"/>
  <c r="O332" i="10" s="1"/>
  <c r="AP331" i="1"/>
  <c r="AQ331" i="1"/>
  <c r="A331" i="1" s="1"/>
  <c r="A332" i="10" s="1"/>
  <c r="AR331" i="1"/>
  <c r="AS331" i="1"/>
  <c r="AT331" i="1"/>
  <c r="AV331" i="1"/>
  <c r="AW331" i="1"/>
  <c r="AX331" i="1"/>
  <c r="AY331" i="1"/>
  <c r="AZ331" i="1"/>
  <c r="BA331" i="1"/>
  <c r="BB331" i="1"/>
  <c r="BC331" i="1"/>
  <c r="BE331" i="1"/>
  <c r="BF331" i="1"/>
  <c r="BG331" i="1"/>
  <c r="BH331" i="1"/>
  <c r="BI331" i="1"/>
  <c r="BJ331" i="1"/>
  <c r="BK331" i="1"/>
  <c r="BN331" i="1"/>
  <c r="BO331" i="1"/>
  <c r="BP331" i="1" s="1"/>
  <c r="BR331" i="1"/>
  <c r="BU331" i="1"/>
  <c r="CG331" i="1"/>
  <c r="CK331" i="1"/>
  <c r="CO331" i="1"/>
  <c r="CS331" i="1"/>
  <c r="CT331" i="1" s="1"/>
  <c r="L332" i="10" s="1"/>
  <c r="DD331" i="1"/>
  <c r="F332" i="1"/>
  <c r="BW332" i="1"/>
  <c r="G332" i="1"/>
  <c r="BX332" i="1" s="1"/>
  <c r="H332" i="1"/>
  <c r="BY332" i="1"/>
  <c r="I332" i="1"/>
  <c r="CA332" i="1" s="1"/>
  <c r="J332" i="1"/>
  <c r="BZ332" i="1"/>
  <c r="AM332" i="1"/>
  <c r="AO332" i="1"/>
  <c r="M333" i="10" s="1"/>
  <c r="AP332" i="1"/>
  <c r="AQ332" i="1"/>
  <c r="A332" i="1"/>
  <c r="A333" i="10" s="1"/>
  <c r="AR332" i="1"/>
  <c r="AS332" i="1" s="1"/>
  <c r="AT332" i="1"/>
  <c r="AV332" i="1"/>
  <c r="AW332" i="1"/>
  <c r="AX332" i="1"/>
  <c r="AY332" i="1"/>
  <c r="AZ332" i="1"/>
  <c r="BA332" i="1"/>
  <c r="BB332" i="1"/>
  <c r="BC332" i="1"/>
  <c r="BE332" i="1"/>
  <c r="BF332" i="1"/>
  <c r="BG332" i="1"/>
  <c r="BH332" i="1"/>
  <c r="BI332" i="1"/>
  <c r="BJ332" i="1"/>
  <c r="BK332" i="1" s="1"/>
  <c r="BN332" i="1"/>
  <c r="BO332" i="1"/>
  <c r="BP332" i="1"/>
  <c r="BR332" i="1"/>
  <c r="BU332" i="1"/>
  <c r="CG332" i="1"/>
  <c r="CK332" i="1"/>
  <c r="CO332" i="1"/>
  <c r="CS332" i="1"/>
  <c r="DD332" i="1"/>
  <c r="F333" i="1"/>
  <c r="BW333" i="1" s="1"/>
  <c r="G333" i="1"/>
  <c r="BX333" i="1" s="1"/>
  <c r="H333" i="1"/>
  <c r="BY333" i="1" s="1"/>
  <c r="I333" i="1"/>
  <c r="CA333" i="1" s="1"/>
  <c r="J333" i="1"/>
  <c r="BZ333" i="1"/>
  <c r="AM333" i="1"/>
  <c r="AO333" i="1"/>
  <c r="M334" i="10"/>
  <c r="AP333" i="1"/>
  <c r="AQ333" i="1"/>
  <c r="A333" i="1" s="1"/>
  <c r="A334" i="10" s="1"/>
  <c r="AR333" i="1"/>
  <c r="AS333" i="1"/>
  <c r="AT333" i="1"/>
  <c r="AV333" i="1"/>
  <c r="AW333" i="1"/>
  <c r="AX333" i="1"/>
  <c r="AY333" i="1"/>
  <c r="AZ333" i="1"/>
  <c r="BA333" i="1"/>
  <c r="BB333" i="1"/>
  <c r="BC333" i="1"/>
  <c r="BE333" i="1"/>
  <c r="BF333" i="1"/>
  <c r="BG333" i="1"/>
  <c r="BH333" i="1"/>
  <c r="BI333" i="1"/>
  <c r="BJ333" i="1"/>
  <c r="BK333" i="1"/>
  <c r="BN333" i="1"/>
  <c r="BO333" i="1"/>
  <c r="BP333" i="1"/>
  <c r="BR333" i="1"/>
  <c r="BT333" i="1" s="1"/>
  <c r="BU333" i="1"/>
  <c r="CG333" i="1"/>
  <c r="CK333" i="1"/>
  <c r="CO333" i="1"/>
  <c r="CS333" i="1"/>
  <c r="DD333" i="1"/>
  <c r="F334" i="1"/>
  <c r="BW334" i="1" s="1"/>
  <c r="G334" i="1"/>
  <c r="BX334" i="1" s="1"/>
  <c r="H334" i="1"/>
  <c r="BY334" i="1" s="1"/>
  <c r="I334" i="1"/>
  <c r="CA334" i="1"/>
  <c r="J334" i="1"/>
  <c r="BZ334" i="1" s="1"/>
  <c r="AM334" i="1"/>
  <c r="AO334" i="1"/>
  <c r="M335" i="10"/>
  <c r="O335" i="10" s="1"/>
  <c r="AP334" i="1"/>
  <c r="AQ334" i="1"/>
  <c r="A334" i="1"/>
  <c r="A335" i="10"/>
  <c r="AR334" i="1"/>
  <c r="AS334" i="1"/>
  <c r="AT334" i="1"/>
  <c r="AV334" i="1"/>
  <c r="AW334" i="1"/>
  <c r="AX334" i="1"/>
  <c r="AY334" i="1"/>
  <c r="AZ334" i="1"/>
  <c r="BA334" i="1"/>
  <c r="BB334" i="1"/>
  <c r="BC334" i="1"/>
  <c r="BE334" i="1"/>
  <c r="BF334" i="1"/>
  <c r="BG334" i="1"/>
  <c r="BH334" i="1"/>
  <c r="BI334" i="1"/>
  <c r="BJ334" i="1"/>
  <c r="BK334" i="1"/>
  <c r="BN334" i="1"/>
  <c r="BO334" i="1"/>
  <c r="BR334" i="1"/>
  <c r="BT334" i="1" s="1"/>
  <c r="BU334" i="1"/>
  <c r="CG334" i="1"/>
  <c r="CK334" i="1"/>
  <c r="CO334" i="1"/>
  <c r="CS334" i="1"/>
  <c r="DD334" i="1"/>
  <c r="DF334" i="1"/>
  <c r="F335" i="1"/>
  <c r="BW335" i="1"/>
  <c r="G335" i="1"/>
  <c r="BX335" i="1"/>
  <c r="H335" i="1"/>
  <c r="BY335" i="1"/>
  <c r="I335" i="1"/>
  <c r="CA335" i="1"/>
  <c r="J335" i="1"/>
  <c r="BZ335" i="1"/>
  <c r="AM335" i="1"/>
  <c r="AO335" i="1"/>
  <c r="AP335" i="1"/>
  <c r="AQ335" i="1"/>
  <c r="A335" i="1" s="1"/>
  <c r="A336" i="10"/>
  <c r="AR335" i="1"/>
  <c r="AS335" i="1" s="1"/>
  <c r="AT335" i="1"/>
  <c r="AV335" i="1"/>
  <c r="AW335" i="1"/>
  <c r="AX335" i="1"/>
  <c r="AY335" i="1"/>
  <c r="AZ335" i="1"/>
  <c r="BA335" i="1"/>
  <c r="BB335" i="1"/>
  <c r="BC335" i="1"/>
  <c r="BE335" i="1"/>
  <c r="BF335" i="1"/>
  <c r="BG335" i="1"/>
  <c r="BH335" i="1"/>
  <c r="BI335" i="1"/>
  <c r="BJ335" i="1"/>
  <c r="BK335" i="1" s="1"/>
  <c r="BN335" i="1"/>
  <c r="BO335" i="1"/>
  <c r="BP335" i="1" s="1"/>
  <c r="BR335" i="1"/>
  <c r="BU335" i="1"/>
  <c r="CG335" i="1"/>
  <c r="CT335" i="1" s="1"/>
  <c r="CK335" i="1"/>
  <c r="CO335" i="1"/>
  <c r="CS335" i="1"/>
  <c r="DD335" i="1"/>
  <c r="F336" i="1"/>
  <c r="BW336" i="1" s="1"/>
  <c r="G336" i="1"/>
  <c r="BX336" i="1"/>
  <c r="H336" i="1"/>
  <c r="BY336" i="1" s="1"/>
  <c r="I336" i="1"/>
  <c r="CA336" i="1"/>
  <c r="J336" i="1"/>
  <c r="BZ336" i="1" s="1"/>
  <c r="AM336" i="1"/>
  <c r="AO336" i="1"/>
  <c r="M337" i="10"/>
  <c r="AP336" i="1"/>
  <c r="AQ336" i="1"/>
  <c r="A336" i="1" s="1"/>
  <c r="A337" i="10" s="1"/>
  <c r="AR336" i="1"/>
  <c r="AS336" i="1"/>
  <c r="AT336" i="1"/>
  <c r="AV336" i="1"/>
  <c r="AW336" i="1"/>
  <c r="AX336" i="1"/>
  <c r="AY336" i="1"/>
  <c r="AZ336" i="1"/>
  <c r="BA336" i="1"/>
  <c r="BB336" i="1"/>
  <c r="BC336" i="1"/>
  <c r="BE336" i="1"/>
  <c r="BF336" i="1"/>
  <c r="BG336" i="1"/>
  <c r="BH336" i="1"/>
  <c r="BI336" i="1"/>
  <c r="BJ336" i="1"/>
  <c r="BK336" i="1"/>
  <c r="BN336" i="1"/>
  <c r="BO336" i="1"/>
  <c r="BP336" i="1" s="1"/>
  <c r="BR336" i="1"/>
  <c r="BU336" i="1"/>
  <c r="CG336" i="1"/>
  <c r="CK336" i="1"/>
  <c r="CO336" i="1"/>
  <c r="CT336" i="1" s="1"/>
  <c r="CS336" i="1"/>
  <c r="DD336" i="1"/>
  <c r="DF336" i="1" s="1"/>
  <c r="F337" i="1"/>
  <c r="BW337" i="1"/>
  <c r="G337" i="1"/>
  <c r="BX337" i="1" s="1"/>
  <c r="H337" i="1"/>
  <c r="BY337" i="1"/>
  <c r="I337" i="1"/>
  <c r="CA337" i="1" s="1"/>
  <c r="J337" i="1"/>
  <c r="BZ337" i="1" s="1"/>
  <c r="AM337" i="1"/>
  <c r="AO337" i="1"/>
  <c r="M338" i="10"/>
  <c r="AP337" i="1"/>
  <c r="AQ337" i="1"/>
  <c r="A337" i="1" s="1"/>
  <c r="A338" i="10"/>
  <c r="AR337" i="1"/>
  <c r="AS337" i="1" s="1"/>
  <c r="AT337" i="1"/>
  <c r="AV337" i="1"/>
  <c r="AW337" i="1"/>
  <c r="AX337" i="1"/>
  <c r="AY337" i="1"/>
  <c r="AZ337" i="1"/>
  <c r="BA337" i="1"/>
  <c r="BB337" i="1"/>
  <c r="BC337" i="1"/>
  <c r="BE337" i="1"/>
  <c r="BF337" i="1"/>
  <c r="BG337" i="1"/>
  <c r="BH337" i="1"/>
  <c r="BI337" i="1"/>
  <c r="BJ337" i="1"/>
  <c r="BK337" i="1" s="1"/>
  <c r="BN337" i="1"/>
  <c r="BO337" i="1"/>
  <c r="BP337" i="1" s="1"/>
  <c r="BR337" i="1"/>
  <c r="BU337" i="1"/>
  <c r="CG337" i="1"/>
  <c r="CK337" i="1"/>
  <c r="CO337" i="1"/>
  <c r="CS337" i="1"/>
  <c r="DD337" i="1"/>
  <c r="F338" i="1"/>
  <c r="BW338" i="1" s="1"/>
  <c r="G338" i="1"/>
  <c r="BX338" i="1"/>
  <c r="H338" i="1"/>
  <c r="BY338" i="1" s="1"/>
  <c r="I338" i="1"/>
  <c r="CA338" i="1"/>
  <c r="J338" i="1"/>
  <c r="BZ338" i="1" s="1"/>
  <c r="AM338" i="1"/>
  <c r="AO338" i="1"/>
  <c r="M339" i="10" s="1"/>
  <c r="AP338" i="1"/>
  <c r="AQ338" i="1"/>
  <c r="A338" i="1"/>
  <c r="A339" i="10" s="1"/>
  <c r="AR338" i="1"/>
  <c r="AS338" i="1" s="1"/>
  <c r="AT338" i="1"/>
  <c r="AV338" i="1"/>
  <c r="AW338" i="1"/>
  <c r="AX338" i="1"/>
  <c r="AY338" i="1"/>
  <c r="AZ338" i="1"/>
  <c r="BA338" i="1"/>
  <c r="BB338" i="1"/>
  <c r="BC338" i="1"/>
  <c r="BE338" i="1"/>
  <c r="BF338" i="1"/>
  <c r="BG338" i="1"/>
  <c r="BH338" i="1"/>
  <c r="BI338" i="1"/>
  <c r="BJ338" i="1"/>
  <c r="BK338" i="1" s="1"/>
  <c r="BN338" i="1"/>
  <c r="BO338" i="1"/>
  <c r="BP338" i="1"/>
  <c r="BS338" i="1" s="1"/>
  <c r="BR338" i="1"/>
  <c r="BT338" i="1"/>
  <c r="BU338" i="1"/>
  <c r="CG338" i="1"/>
  <c r="CT338" i="1" s="1"/>
  <c r="CK338" i="1"/>
  <c r="CO338" i="1"/>
  <c r="CS338" i="1"/>
  <c r="DD338" i="1"/>
  <c r="F339" i="1"/>
  <c r="BW339" i="1" s="1"/>
  <c r="G339" i="1"/>
  <c r="BX339" i="1" s="1"/>
  <c r="H339" i="1"/>
  <c r="BY339" i="1" s="1"/>
  <c r="I339" i="1"/>
  <c r="CA339" i="1" s="1"/>
  <c r="J339" i="1"/>
  <c r="BZ339" i="1"/>
  <c r="AM339" i="1"/>
  <c r="AO339" i="1"/>
  <c r="M340" i="10"/>
  <c r="AP339" i="1"/>
  <c r="AQ339" i="1"/>
  <c r="A339" i="1" s="1"/>
  <c r="A340" i="10" s="1"/>
  <c r="AR339" i="1"/>
  <c r="AS339" i="1"/>
  <c r="AT339" i="1"/>
  <c r="AV339" i="1"/>
  <c r="AW339" i="1"/>
  <c r="AX339" i="1"/>
  <c r="AY339" i="1"/>
  <c r="AZ339" i="1"/>
  <c r="BA339" i="1"/>
  <c r="BB339" i="1"/>
  <c r="BC339" i="1"/>
  <c r="BE339" i="1"/>
  <c r="BF339" i="1"/>
  <c r="BG339" i="1"/>
  <c r="BH339" i="1"/>
  <c r="BI339" i="1"/>
  <c r="BJ339" i="1"/>
  <c r="BK339" i="1"/>
  <c r="BN339" i="1"/>
  <c r="BO339" i="1"/>
  <c r="BP339" i="1"/>
  <c r="BR339" i="1"/>
  <c r="BT339" i="1" s="1"/>
  <c r="BU339" i="1"/>
  <c r="CG339" i="1"/>
  <c r="CK339" i="1"/>
  <c r="CO339" i="1"/>
  <c r="CS339" i="1"/>
  <c r="DD339" i="1"/>
  <c r="F340" i="1"/>
  <c r="BW340" i="1" s="1"/>
  <c r="G340" i="1"/>
  <c r="BX340" i="1" s="1"/>
  <c r="H340" i="1"/>
  <c r="BY340" i="1" s="1"/>
  <c r="I340" i="1"/>
  <c r="CA340" i="1"/>
  <c r="J340" i="1"/>
  <c r="BZ340" i="1" s="1"/>
  <c r="AM340" i="1"/>
  <c r="AO340" i="1"/>
  <c r="M341" i="10"/>
  <c r="O341" i="10" s="1"/>
  <c r="AP340" i="1"/>
  <c r="AQ340" i="1"/>
  <c r="A340" i="1"/>
  <c r="A341" i="10"/>
  <c r="AR340" i="1"/>
  <c r="AS340" i="1"/>
  <c r="AT340" i="1"/>
  <c r="AV340" i="1"/>
  <c r="AW340" i="1"/>
  <c r="AX340" i="1"/>
  <c r="AY340" i="1"/>
  <c r="AZ340" i="1"/>
  <c r="BA340" i="1"/>
  <c r="BB340" i="1"/>
  <c r="BC340" i="1"/>
  <c r="BE340" i="1"/>
  <c r="BF340" i="1"/>
  <c r="BG340" i="1"/>
  <c r="BH340" i="1"/>
  <c r="BI340" i="1"/>
  <c r="BJ340" i="1"/>
  <c r="BK340" i="1"/>
  <c r="BN340" i="1"/>
  <c r="BO340" i="1"/>
  <c r="BP340" i="1" s="1"/>
  <c r="BS340" i="1" s="1"/>
  <c r="BR340" i="1"/>
  <c r="BT340" i="1" s="1"/>
  <c r="BU340" i="1"/>
  <c r="CG340" i="1"/>
  <c r="CK340" i="1"/>
  <c r="CO340" i="1"/>
  <c r="CS340" i="1"/>
  <c r="DD340" i="1"/>
  <c r="F341" i="1"/>
  <c r="BW341" i="1" s="1"/>
  <c r="G341" i="1"/>
  <c r="BX341" i="1" s="1"/>
  <c r="H341" i="1"/>
  <c r="BY341" i="1" s="1"/>
  <c r="I341" i="1"/>
  <c r="CA341" i="1" s="1"/>
  <c r="J341" i="1"/>
  <c r="BZ341" i="1"/>
  <c r="AM341" i="1"/>
  <c r="AO341" i="1"/>
  <c r="AP341" i="1"/>
  <c r="AQ341" i="1"/>
  <c r="A341" i="1" s="1"/>
  <c r="A342" i="10" s="1"/>
  <c r="AR341" i="1"/>
  <c r="AS341" i="1"/>
  <c r="AT341" i="1"/>
  <c r="AV341" i="1"/>
  <c r="AW341" i="1"/>
  <c r="AX341" i="1"/>
  <c r="AY341" i="1"/>
  <c r="AZ341" i="1"/>
  <c r="BA341" i="1"/>
  <c r="BB341" i="1"/>
  <c r="BC341" i="1"/>
  <c r="BE341" i="1"/>
  <c r="BF341" i="1"/>
  <c r="BG341" i="1"/>
  <c r="BH341" i="1"/>
  <c r="BI341" i="1"/>
  <c r="BJ341" i="1"/>
  <c r="BK341" i="1"/>
  <c r="BN341" i="1"/>
  <c r="BO341" i="1"/>
  <c r="BP341" i="1"/>
  <c r="BR341" i="1"/>
  <c r="BT341" i="1"/>
  <c r="BU341" i="1"/>
  <c r="CG341" i="1"/>
  <c r="CK341" i="1"/>
  <c r="CO341" i="1"/>
  <c r="CT341" i="1" s="1"/>
  <c r="CS341" i="1"/>
  <c r="DD341" i="1"/>
  <c r="F342" i="1"/>
  <c r="BW342" i="1"/>
  <c r="G342" i="1"/>
  <c r="BX342" i="1"/>
  <c r="H342" i="1"/>
  <c r="BY342" i="1"/>
  <c r="I342" i="1"/>
  <c r="CA342" i="1"/>
  <c r="J342" i="1"/>
  <c r="BZ342" i="1"/>
  <c r="AM342" i="1"/>
  <c r="AO342" i="1"/>
  <c r="M343" i="10"/>
  <c r="AP342" i="1"/>
  <c r="AQ342" i="1"/>
  <c r="A342" i="1"/>
  <c r="A343" i="10"/>
  <c r="AR342" i="1"/>
  <c r="AS342" i="1" s="1"/>
  <c r="AT342" i="1"/>
  <c r="AV342" i="1"/>
  <c r="AW342" i="1"/>
  <c r="AX342" i="1"/>
  <c r="AY342" i="1"/>
  <c r="AZ342" i="1"/>
  <c r="BA342" i="1"/>
  <c r="BB342" i="1"/>
  <c r="BC342" i="1"/>
  <c r="BE342" i="1"/>
  <c r="BF342" i="1"/>
  <c r="BG342" i="1"/>
  <c r="BH342" i="1"/>
  <c r="BI342" i="1"/>
  <c r="BJ342" i="1"/>
  <c r="BK342" i="1" s="1"/>
  <c r="BN342" i="1"/>
  <c r="BO342" i="1"/>
  <c r="BP342" i="1" s="1"/>
  <c r="BR342" i="1"/>
  <c r="BU342" i="1"/>
  <c r="CG342" i="1"/>
  <c r="CK342" i="1"/>
  <c r="CO342" i="1"/>
  <c r="CS342" i="1"/>
  <c r="DD342" i="1"/>
  <c r="F343" i="1"/>
  <c r="BW343" i="1" s="1"/>
  <c r="G343" i="1"/>
  <c r="BX343" i="1"/>
  <c r="H343" i="1"/>
  <c r="BY343" i="1" s="1"/>
  <c r="I343" i="1"/>
  <c r="CA343" i="1"/>
  <c r="J343" i="1"/>
  <c r="BZ343" i="1" s="1"/>
  <c r="AM343" i="1"/>
  <c r="AO343" i="1"/>
  <c r="M344" i="10"/>
  <c r="AP343" i="1"/>
  <c r="AQ343" i="1"/>
  <c r="A343" i="1" s="1"/>
  <c r="A344" i="10" s="1"/>
  <c r="AR343" i="1"/>
  <c r="AS343" i="1"/>
  <c r="AT343" i="1"/>
  <c r="AV343" i="1"/>
  <c r="AW343" i="1"/>
  <c r="AX343" i="1"/>
  <c r="AY343" i="1"/>
  <c r="AZ343" i="1"/>
  <c r="BA343" i="1"/>
  <c r="BB343" i="1"/>
  <c r="BC343" i="1"/>
  <c r="BE343" i="1"/>
  <c r="BF343" i="1"/>
  <c r="BG343" i="1"/>
  <c r="BH343" i="1"/>
  <c r="BI343" i="1"/>
  <c r="BJ343" i="1"/>
  <c r="BK343" i="1"/>
  <c r="BN343" i="1"/>
  <c r="BO343" i="1"/>
  <c r="BR343" i="1"/>
  <c r="BT343" i="1"/>
  <c r="BU343" i="1"/>
  <c r="CG343" i="1"/>
  <c r="CK343" i="1"/>
  <c r="CO343" i="1"/>
  <c r="CS343" i="1"/>
  <c r="DD343" i="1"/>
  <c r="DF343" i="1" s="1"/>
  <c r="F344" i="1"/>
  <c r="BW344" i="1" s="1"/>
  <c r="G344" i="1"/>
  <c r="BX344" i="1" s="1"/>
  <c r="H344" i="1"/>
  <c r="BY344" i="1"/>
  <c r="I344" i="1"/>
  <c r="CA344" i="1" s="1"/>
  <c r="J344" i="1"/>
  <c r="BZ344" i="1"/>
  <c r="AM344" i="1"/>
  <c r="AO344" i="1"/>
  <c r="M345" i="10"/>
  <c r="P345" i="10"/>
  <c r="W345" i="10"/>
  <c r="AP344" i="1"/>
  <c r="AQ344" i="1"/>
  <c r="A344" i="1"/>
  <c r="A345" i="10"/>
  <c r="AR344" i="1"/>
  <c r="AS344" i="1"/>
  <c r="AT344" i="1"/>
  <c r="AV344" i="1"/>
  <c r="AW344" i="1"/>
  <c r="AX344" i="1"/>
  <c r="AY344" i="1"/>
  <c r="AZ344" i="1"/>
  <c r="BA344" i="1"/>
  <c r="BB344" i="1"/>
  <c r="BC344" i="1"/>
  <c r="BE344" i="1"/>
  <c r="BF344" i="1"/>
  <c r="BG344" i="1"/>
  <c r="BH344" i="1"/>
  <c r="BI344" i="1"/>
  <c r="BJ344" i="1"/>
  <c r="BK344" i="1"/>
  <c r="BN344" i="1"/>
  <c r="BO344" i="1"/>
  <c r="BR344" i="1"/>
  <c r="BU344" i="1"/>
  <c r="CG344" i="1"/>
  <c r="CK344" i="1"/>
  <c r="CO344" i="1"/>
  <c r="CS344" i="1"/>
  <c r="DD344" i="1"/>
  <c r="F345" i="1"/>
  <c r="BW345" i="1"/>
  <c r="G345" i="1"/>
  <c r="BX345" i="1"/>
  <c r="H345" i="1"/>
  <c r="BY345" i="1"/>
  <c r="I345" i="1"/>
  <c r="CA345" i="1"/>
  <c r="J345" i="1"/>
  <c r="BZ345" i="1"/>
  <c r="AM345" i="1"/>
  <c r="AO345" i="1"/>
  <c r="M346" i="10" s="1"/>
  <c r="AP345" i="1"/>
  <c r="AQ345" i="1"/>
  <c r="A345" i="1" s="1"/>
  <c r="A346" i="10" s="1"/>
  <c r="AR345" i="1"/>
  <c r="AS345" i="1"/>
  <c r="AT345" i="1"/>
  <c r="AV345" i="1"/>
  <c r="AW345" i="1"/>
  <c r="AX345" i="1"/>
  <c r="AY345" i="1"/>
  <c r="AZ345" i="1"/>
  <c r="BA345" i="1"/>
  <c r="BB345" i="1"/>
  <c r="BC345" i="1"/>
  <c r="BE345" i="1"/>
  <c r="BF345" i="1"/>
  <c r="BG345" i="1"/>
  <c r="BH345" i="1"/>
  <c r="BI345" i="1"/>
  <c r="BJ345" i="1"/>
  <c r="BK345" i="1"/>
  <c r="BN345" i="1"/>
  <c r="BO345" i="1"/>
  <c r="BP345" i="1"/>
  <c r="BR345" i="1"/>
  <c r="BU345" i="1"/>
  <c r="CG345" i="1"/>
  <c r="CK345" i="1"/>
  <c r="CO345" i="1"/>
  <c r="CS345" i="1"/>
  <c r="DD345" i="1"/>
  <c r="DE345" i="1"/>
  <c r="F346" i="1"/>
  <c r="BW346" i="1" s="1"/>
  <c r="G346" i="1"/>
  <c r="BX346" i="1"/>
  <c r="H346" i="1"/>
  <c r="BY346" i="1" s="1"/>
  <c r="I346" i="1"/>
  <c r="CA346" i="1"/>
  <c r="J346" i="1"/>
  <c r="BZ346" i="1" s="1"/>
  <c r="AM346" i="1"/>
  <c r="AO346" i="1"/>
  <c r="M348" i="10"/>
  <c r="O348" i="10" s="1"/>
  <c r="AP346" i="1"/>
  <c r="AQ346" i="1"/>
  <c r="A346" i="1"/>
  <c r="A348" i="10"/>
  <c r="AR346" i="1"/>
  <c r="AS346" i="1" s="1"/>
  <c r="AT346" i="1"/>
  <c r="AV346" i="1"/>
  <c r="AW346" i="1"/>
  <c r="AX346" i="1"/>
  <c r="AY346" i="1"/>
  <c r="AZ346" i="1"/>
  <c r="BA346" i="1"/>
  <c r="BB346" i="1"/>
  <c r="BC346" i="1"/>
  <c r="BE346" i="1"/>
  <c r="BF346" i="1"/>
  <c r="BG346" i="1"/>
  <c r="BH346" i="1"/>
  <c r="BI346" i="1"/>
  <c r="BJ346" i="1"/>
  <c r="BK346" i="1" s="1"/>
  <c r="BN346" i="1"/>
  <c r="BO346" i="1"/>
  <c r="BR346" i="1"/>
  <c r="BT346" i="1" s="1"/>
  <c r="BU346" i="1"/>
  <c r="CG346" i="1"/>
  <c r="CK346" i="1"/>
  <c r="CO346" i="1"/>
  <c r="CS346" i="1"/>
  <c r="CT346" i="1" s="1"/>
  <c r="DD346" i="1"/>
  <c r="F347" i="1"/>
  <c r="BW347" i="1" s="1"/>
  <c r="G347" i="1"/>
  <c r="BX347" i="1"/>
  <c r="H347" i="1"/>
  <c r="BY347" i="1" s="1"/>
  <c r="I347" i="1"/>
  <c r="CA347" i="1"/>
  <c r="J347" i="1"/>
  <c r="BZ347" i="1" s="1"/>
  <c r="AM347" i="1"/>
  <c r="AO347" i="1"/>
  <c r="AP347" i="1"/>
  <c r="AQ347" i="1"/>
  <c r="A347" i="1"/>
  <c r="A347" i="10" s="1"/>
  <c r="AR347" i="1"/>
  <c r="AS347" i="1" s="1"/>
  <c r="AT347" i="1"/>
  <c r="AV347" i="1"/>
  <c r="AW347" i="1"/>
  <c r="AX347" i="1"/>
  <c r="AY347" i="1"/>
  <c r="AZ347" i="1"/>
  <c r="BA347" i="1"/>
  <c r="BB347" i="1"/>
  <c r="BC347" i="1"/>
  <c r="BE347" i="1"/>
  <c r="BF347" i="1"/>
  <c r="BG347" i="1"/>
  <c r="BH347" i="1"/>
  <c r="BI347" i="1"/>
  <c r="BJ347" i="1"/>
  <c r="BK347" i="1" s="1"/>
  <c r="BN347" i="1"/>
  <c r="BO347" i="1"/>
  <c r="BP347" i="1" s="1"/>
  <c r="BR347" i="1"/>
  <c r="BU347" i="1"/>
  <c r="CG347" i="1"/>
  <c r="CK347" i="1"/>
  <c r="CO347" i="1"/>
  <c r="CS347" i="1"/>
  <c r="DD347" i="1"/>
  <c r="DF347" i="1" s="1"/>
  <c r="F348" i="1"/>
  <c r="BW348" i="1" s="1"/>
  <c r="G348" i="1"/>
  <c r="BX348" i="1"/>
  <c r="H348" i="1"/>
  <c r="BY348" i="1" s="1"/>
  <c r="I348" i="1"/>
  <c r="CA348" i="1" s="1"/>
  <c r="J348" i="1"/>
  <c r="BZ348" i="1" s="1"/>
  <c r="AM348" i="1"/>
  <c r="AO348" i="1"/>
  <c r="M350" i="10" s="1"/>
  <c r="AP348" i="1"/>
  <c r="AQ348" i="1"/>
  <c r="A348" i="1" s="1"/>
  <c r="A350" i="10" s="1"/>
  <c r="AR348" i="1"/>
  <c r="AS348" i="1"/>
  <c r="AT348" i="1"/>
  <c r="AV348" i="1"/>
  <c r="AW348" i="1"/>
  <c r="AX348" i="1"/>
  <c r="AY348" i="1"/>
  <c r="AZ348" i="1"/>
  <c r="BA348" i="1"/>
  <c r="BB348" i="1"/>
  <c r="BC348" i="1"/>
  <c r="BE348" i="1"/>
  <c r="BF348" i="1"/>
  <c r="BG348" i="1"/>
  <c r="BH348" i="1"/>
  <c r="BI348" i="1"/>
  <c r="BJ348" i="1"/>
  <c r="BK348" i="1"/>
  <c r="BN348" i="1"/>
  <c r="BO348" i="1"/>
  <c r="BP348" i="1" s="1"/>
  <c r="BR348" i="1"/>
  <c r="BU348" i="1"/>
  <c r="CG348" i="1"/>
  <c r="CK348" i="1"/>
  <c r="CO348" i="1"/>
  <c r="CS348" i="1"/>
  <c r="DD348" i="1"/>
  <c r="F349" i="1"/>
  <c r="BW349" i="1"/>
  <c r="G349" i="1"/>
  <c r="BX349" i="1" s="1"/>
  <c r="H349" i="1"/>
  <c r="BY349" i="1"/>
  <c r="I349" i="1"/>
  <c r="CA349" i="1" s="1"/>
  <c r="J349" i="1"/>
  <c r="BZ349" i="1"/>
  <c r="AM349" i="1"/>
  <c r="AO349" i="1"/>
  <c r="M349" i="10" s="1"/>
  <c r="AP349" i="1"/>
  <c r="AQ349" i="1"/>
  <c r="A349" i="1"/>
  <c r="A349" i="10" s="1"/>
  <c r="AR349" i="1"/>
  <c r="AS349" i="1" s="1"/>
  <c r="AT349" i="1"/>
  <c r="AV349" i="1"/>
  <c r="AW349" i="1"/>
  <c r="AX349" i="1"/>
  <c r="AY349" i="1"/>
  <c r="AZ349" i="1"/>
  <c r="BA349" i="1"/>
  <c r="BB349" i="1"/>
  <c r="BC349" i="1"/>
  <c r="BE349" i="1"/>
  <c r="BF349" i="1"/>
  <c r="BG349" i="1"/>
  <c r="BH349" i="1"/>
  <c r="BI349" i="1"/>
  <c r="BJ349" i="1"/>
  <c r="BK349" i="1" s="1"/>
  <c r="BN349" i="1"/>
  <c r="BO349" i="1"/>
  <c r="BR349" i="1"/>
  <c r="BU349" i="1"/>
  <c r="CG349" i="1"/>
  <c r="CK349" i="1"/>
  <c r="CO349" i="1"/>
  <c r="CS349" i="1"/>
  <c r="DD349" i="1"/>
  <c r="DE349" i="1" s="1"/>
  <c r="F350" i="1"/>
  <c r="BW350" i="1" s="1"/>
  <c r="G350" i="1"/>
  <c r="BX350" i="1" s="1"/>
  <c r="H350" i="1"/>
  <c r="BY350" i="1"/>
  <c r="I350" i="1"/>
  <c r="CA350" i="1" s="1"/>
  <c r="J350" i="1"/>
  <c r="BZ350" i="1"/>
  <c r="AM350" i="1"/>
  <c r="AO350" i="1"/>
  <c r="M351" i="10"/>
  <c r="AP350" i="1"/>
  <c r="AQ350" i="1"/>
  <c r="A350" i="1" s="1"/>
  <c r="A351" i="10" s="1"/>
  <c r="AR350" i="1"/>
  <c r="AS350" i="1"/>
  <c r="AT350" i="1"/>
  <c r="AV350" i="1"/>
  <c r="AW350" i="1"/>
  <c r="AX350" i="1"/>
  <c r="AY350" i="1"/>
  <c r="AZ350" i="1"/>
  <c r="BA350" i="1"/>
  <c r="BB350" i="1"/>
  <c r="BC350" i="1"/>
  <c r="BE350" i="1"/>
  <c r="BF350" i="1"/>
  <c r="BG350" i="1"/>
  <c r="BH350" i="1"/>
  <c r="BI350" i="1"/>
  <c r="BJ350" i="1"/>
  <c r="BK350" i="1"/>
  <c r="BN350" i="1"/>
  <c r="BO350" i="1"/>
  <c r="BP350" i="1" s="1"/>
  <c r="BR350" i="1"/>
  <c r="BU350" i="1"/>
  <c r="CG350" i="1"/>
  <c r="CK350" i="1"/>
  <c r="CO350" i="1"/>
  <c r="CS350" i="1"/>
  <c r="DD350" i="1"/>
  <c r="F351" i="1"/>
  <c r="BW351" i="1"/>
  <c r="G351" i="1"/>
  <c r="BX351" i="1"/>
  <c r="H351" i="1"/>
  <c r="BY351" i="1"/>
  <c r="I351" i="1"/>
  <c r="CA351" i="1"/>
  <c r="J351" i="1"/>
  <c r="BZ351" i="1"/>
  <c r="AM351" i="1"/>
  <c r="AO351" i="1"/>
  <c r="M352" i="10" s="1"/>
  <c r="O352" i="10" s="1"/>
  <c r="AP351" i="1"/>
  <c r="AQ351" i="1"/>
  <c r="A351" i="1"/>
  <c r="A352" i="10" s="1"/>
  <c r="AR351" i="1"/>
  <c r="AS351" i="1" s="1"/>
  <c r="AT351" i="1"/>
  <c r="AV351" i="1"/>
  <c r="AW351" i="1"/>
  <c r="AX351" i="1"/>
  <c r="AY351" i="1"/>
  <c r="AZ351" i="1"/>
  <c r="BA351" i="1"/>
  <c r="BB351" i="1"/>
  <c r="BC351" i="1"/>
  <c r="BE351" i="1"/>
  <c r="BF351" i="1"/>
  <c r="BG351" i="1"/>
  <c r="BH351" i="1"/>
  <c r="BI351" i="1"/>
  <c r="BJ351" i="1"/>
  <c r="BK351" i="1" s="1"/>
  <c r="BN351" i="1"/>
  <c r="BO351" i="1"/>
  <c r="BP351" i="1" s="1"/>
  <c r="BS351" i="1" s="1"/>
  <c r="BR351" i="1"/>
  <c r="BT351" i="1"/>
  <c r="BU351" i="1"/>
  <c r="CG351" i="1"/>
  <c r="CK351" i="1"/>
  <c r="CO351" i="1"/>
  <c r="CS351" i="1"/>
  <c r="CT351" i="1" s="1"/>
  <c r="DD351" i="1"/>
  <c r="DE351" i="1" s="1"/>
  <c r="F352" i="1"/>
  <c r="BW352" i="1"/>
  <c r="G352" i="1"/>
  <c r="BX352" i="1" s="1"/>
  <c r="H352" i="1"/>
  <c r="BY352" i="1" s="1"/>
  <c r="I352" i="1"/>
  <c r="CA352" i="1" s="1"/>
  <c r="J352" i="1"/>
  <c r="BZ352" i="1" s="1"/>
  <c r="AM352" i="1"/>
  <c r="AO352" i="1"/>
  <c r="M353" i="10"/>
  <c r="AP352" i="1"/>
  <c r="AQ352" i="1"/>
  <c r="A352" i="1" s="1"/>
  <c r="A353" i="10"/>
  <c r="AR352" i="1"/>
  <c r="AS352" i="1" s="1"/>
  <c r="AT352" i="1"/>
  <c r="AV352" i="1"/>
  <c r="AW352" i="1"/>
  <c r="AX352" i="1"/>
  <c r="AY352" i="1"/>
  <c r="AZ352" i="1"/>
  <c r="BA352" i="1"/>
  <c r="BB352" i="1"/>
  <c r="BC352" i="1"/>
  <c r="BE352" i="1"/>
  <c r="BF352" i="1"/>
  <c r="BG352" i="1"/>
  <c r="BH352" i="1"/>
  <c r="BI352" i="1"/>
  <c r="BJ352" i="1"/>
  <c r="BK352" i="1" s="1"/>
  <c r="BN352" i="1"/>
  <c r="BO352" i="1"/>
  <c r="BR352" i="1"/>
  <c r="BU352" i="1"/>
  <c r="CG352" i="1"/>
  <c r="CK352" i="1"/>
  <c r="CO352" i="1"/>
  <c r="CS352" i="1"/>
  <c r="DD352" i="1"/>
  <c r="F353" i="1"/>
  <c r="BW353" i="1" s="1"/>
  <c r="G353" i="1"/>
  <c r="BX353" i="1"/>
  <c r="H353" i="1"/>
  <c r="BY353" i="1" s="1"/>
  <c r="I353" i="1"/>
  <c r="CA353" i="1"/>
  <c r="J353" i="1"/>
  <c r="BZ353" i="1" s="1"/>
  <c r="AM353" i="1"/>
  <c r="AO353" i="1"/>
  <c r="M354" i="10"/>
  <c r="O354" i="10" s="1"/>
  <c r="AP353" i="1"/>
  <c r="AQ353" i="1"/>
  <c r="A353" i="1"/>
  <c r="A354" i="10"/>
  <c r="AR353" i="1"/>
  <c r="AS353" i="1" s="1"/>
  <c r="AT353" i="1"/>
  <c r="AV353" i="1"/>
  <c r="AW353" i="1"/>
  <c r="AX353" i="1"/>
  <c r="AY353" i="1"/>
  <c r="AZ353" i="1"/>
  <c r="BA353" i="1"/>
  <c r="BB353" i="1"/>
  <c r="BC353" i="1"/>
  <c r="BE353" i="1"/>
  <c r="BF353" i="1"/>
  <c r="BG353" i="1"/>
  <c r="BH353" i="1"/>
  <c r="BI353" i="1"/>
  <c r="BJ353" i="1"/>
  <c r="BK353" i="1" s="1"/>
  <c r="BN353" i="1"/>
  <c r="BO353" i="1"/>
  <c r="BR353" i="1"/>
  <c r="BT353" i="1" s="1"/>
  <c r="BU353" i="1"/>
  <c r="CG353" i="1"/>
  <c r="CK353" i="1"/>
  <c r="CO353" i="1"/>
  <c r="CS353" i="1"/>
  <c r="CT353" i="1" s="1"/>
  <c r="DD353" i="1"/>
  <c r="F354" i="1"/>
  <c r="BW354" i="1" s="1"/>
  <c r="G354" i="1"/>
  <c r="BX354" i="1"/>
  <c r="H354" i="1"/>
  <c r="BY354" i="1" s="1"/>
  <c r="I354" i="1"/>
  <c r="CA354" i="1"/>
  <c r="J354" i="1"/>
  <c r="BZ354" i="1" s="1"/>
  <c r="AM354" i="1"/>
  <c r="AO354" i="1"/>
  <c r="M355" i="10"/>
  <c r="AP354" i="1"/>
  <c r="AQ354" i="1"/>
  <c r="A354" i="1" s="1"/>
  <c r="A355" i="10" s="1"/>
  <c r="AR354" i="1"/>
  <c r="AS354" i="1"/>
  <c r="AT354" i="1"/>
  <c r="AV354" i="1"/>
  <c r="AW354" i="1"/>
  <c r="AX354" i="1"/>
  <c r="AY354" i="1"/>
  <c r="AZ354" i="1"/>
  <c r="BA354" i="1"/>
  <c r="BB354" i="1"/>
  <c r="BC354" i="1"/>
  <c r="BE354" i="1"/>
  <c r="BF354" i="1"/>
  <c r="BG354" i="1"/>
  <c r="BH354" i="1"/>
  <c r="BI354" i="1"/>
  <c r="BJ354" i="1"/>
  <c r="BK354" i="1"/>
  <c r="BN354" i="1"/>
  <c r="BO354" i="1"/>
  <c r="BP354" i="1" s="1"/>
  <c r="BR354" i="1"/>
  <c r="BT354" i="1" s="1"/>
  <c r="BU354" i="1"/>
  <c r="CG354" i="1"/>
  <c r="CK354" i="1"/>
  <c r="CO354" i="1"/>
  <c r="CS354" i="1"/>
  <c r="DD354" i="1"/>
  <c r="F355" i="1"/>
  <c r="BW355" i="1" s="1"/>
  <c r="G355" i="1"/>
  <c r="BX355" i="1" s="1"/>
  <c r="H355" i="1"/>
  <c r="BY355" i="1"/>
  <c r="I355" i="1"/>
  <c r="CA355" i="1" s="1"/>
  <c r="J355" i="1"/>
  <c r="BZ355" i="1"/>
  <c r="AM355" i="1"/>
  <c r="AO355" i="1"/>
  <c r="M356" i="10"/>
  <c r="AP355" i="1"/>
  <c r="AQ355" i="1"/>
  <c r="A355" i="1" s="1"/>
  <c r="A356" i="10" s="1"/>
  <c r="AR355" i="1"/>
  <c r="AS355" i="1"/>
  <c r="AT355" i="1"/>
  <c r="AV355" i="1"/>
  <c r="AW355" i="1"/>
  <c r="AX355" i="1"/>
  <c r="AY355" i="1"/>
  <c r="AZ355" i="1"/>
  <c r="BA355" i="1"/>
  <c r="BB355" i="1"/>
  <c r="BC355" i="1"/>
  <c r="BE355" i="1"/>
  <c r="BF355" i="1"/>
  <c r="BG355" i="1"/>
  <c r="BH355" i="1"/>
  <c r="BI355" i="1"/>
  <c r="BJ355" i="1"/>
  <c r="BK355" i="1"/>
  <c r="BN355" i="1"/>
  <c r="BO355" i="1"/>
  <c r="BP355" i="1" s="1"/>
  <c r="BS355" i="1" s="1"/>
  <c r="BR355" i="1"/>
  <c r="BU355" i="1"/>
  <c r="CG355" i="1"/>
  <c r="CK355" i="1"/>
  <c r="CO355" i="1"/>
  <c r="CS355" i="1"/>
  <c r="DD355" i="1"/>
  <c r="F356" i="1"/>
  <c r="BW356" i="1"/>
  <c r="G356" i="1"/>
  <c r="BX356" i="1"/>
  <c r="H356" i="1"/>
  <c r="BY356" i="1"/>
  <c r="I356" i="1"/>
  <c r="CA356" i="1"/>
  <c r="J356" i="1"/>
  <c r="BZ356" i="1"/>
  <c r="AM356" i="1"/>
  <c r="AO356" i="1"/>
  <c r="M357" i="10" s="1"/>
  <c r="AP356" i="1"/>
  <c r="AQ356" i="1"/>
  <c r="A356" i="1"/>
  <c r="A357" i="10" s="1"/>
  <c r="AR356" i="1"/>
  <c r="AS356" i="1" s="1"/>
  <c r="AT356" i="1"/>
  <c r="AV356" i="1"/>
  <c r="AW356" i="1"/>
  <c r="AX356" i="1"/>
  <c r="AY356" i="1"/>
  <c r="AZ356" i="1"/>
  <c r="BA356" i="1"/>
  <c r="BB356" i="1"/>
  <c r="BC356" i="1"/>
  <c r="BE356" i="1"/>
  <c r="BF356" i="1"/>
  <c r="BG356" i="1"/>
  <c r="BH356" i="1"/>
  <c r="BI356" i="1"/>
  <c r="BJ356" i="1"/>
  <c r="BK356" i="1" s="1"/>
  <c r="BN356" i="1"/>
  <c r="BO356" i="1"/>
  <c r="BR356" i="1"/>
  <c r="BU356" i="1"/>
  <c r="CG356" i="1"/>
  <c r="CT356" i="1" s="1"/>
  <c r="CK356" i="1"/>
  <c r="CO356" i="1"/>
  <c r="CS356" i="1"/>
  <c r="DD356" i="1"/>
  <c r="F357" i="1"/>
  <c r="BW357" i="1"/>
  <c r="G357" i="1"/>
  <c r="BX357" i="1" s="1"/>
  <c r="H357" i="1"/>
  <c r="BY357" i="1"/>
  <c r="I357" i="1"/>
  <c r="CA357" i="1" s="1"/>
  <c r="J357" i="1"/>
  <c r="BZ357" i="1"/>
  <c r="AM357" i="1"/>
  <c r="AO357" i="1"/>
  <c r="M358" i="10" s="1"/>
  <c r="AP357" i="1"/>
  <c r="AQ357" i="1"/>
  <c r="A357" i="1"/>
  <c r="A358" i="10" s="1"/>
  <c r="AR357" i="1"/>
  <c r="AS357" i="1" s="1"/>
  <c r="AT357" i="1"/>
  <c r="AV357" i="1"/>
  <c r="AW357" i="1"/>
  <c r="AX357" i="1"/>
  <c r="AY357" i="1"/>
  <c r="AZ357" i="1"/>
  <c r="BA357" i="1"/>
  <c r="BB357" i="1"/>
  <c r="BC357" i="1"/>
  <c r="BE357" i="1"/>
  <c r="BF357" i="1"/>
  <c r="BG357" i="1"/>
  <c r="BH357" i="1"/>
  <c r="BI357" i="1"/>
  <c r="BJ357" i="1"/>
  <c r="BK357" i="1" s="1"/>
  <c r="BN357" i="1"/>
  <c r="BP357" i="1"/>
  <c r="BR357" i="1"/>
  <c r="BU357" i="1"/>
  <c r="CG357" i="1"/>
  <c r="CK357" i="1"/>
  <c r="CO357" i="1"/>
  <c r="CS357" i="1"/>
  <c r="DD357" i="1"/>
  <c r="F358" i="1"/>
  <c r="BW358" i="1"/>
  <c r="G358" i="1"/>
  <c r="BX358" i="1"/>
  <c r="H358" i="1"/>
  <c r="BY358" i="1"/>
  <c r="I358" i="1"/>
  <c r="CA358" i="1"/>
  <c r="J358" i="1"/>
  <c r="BZ358" i="1"/>
  <c r="AM358" i="1"/>
  <c r="AO358" i="1"/>
  <c r="M359" i="10" s="1"/>
  <c r="AP358" i="1"/>
  <c r="AQ358" i="1"/>
  <c r="A358" i="1" s="1"/>
  <c r="A359" i="10" s="1"/>
  <c r="AR358" i="1"/>
  <c r="AS358" i="1"/>
  <c r="AT358" i="1"/>
  <c r="AV358" i="1"/>
  <c r="AW358" i="1"/>
  <c r="AX358" i="1"/>
  <c r="AY358" i="1"/>
  <c r="AZ358" i="1"/>
  <c r="BA358" i="1"/>
  <c r="BB358" i="1"/>
  <c r="BC358" i="1"/>
  <c r="BE358" i="1"/>
  <c r="BF358" i="1"/>
  <c r="BG358" i="1"/>
  <c r="BH358" i="1"/>
  <c r="BI358" i="1"/>
  <c r="BJ358" i="1"/>
  <c r="BK358" i="1"/>
  <c r="BN358" i="1"/>
  <c r="BO358" i="1"/>
  <c r="BP358" i="1"/>
  <c r="BR358" i="1"/>
  <c r="BT358" i="1" s="1"/>
  <c r="BU358" i="1"/>
  <c r="CG358" i="1"/>
  <c r="CK358" i="1"/>
  <c r="CT358" i="1" s="1"/>
  <c r="CO358" i="1"/>
  <c r="CS358" i="1"/>
  <c r="DD358" i="1"/>
  <c r="DF358" i="1"/>
  <c r="F359" i="1"/>
  <c r="BW359" i="1" s="1"/>
  <c r="G359" i="1"/>
  <c r="BX359" i="1"/>
  <c r="H359" i="1"/>
  <c r="BY359" i="1" s="1"/>
  <c r="I359" i="1"/>
  <c r="CA359" i="1" s="1"/>
  <c r="J359" i="1"/>
  <c r="BZ359" i="1" s="1"/>
  <c r="AM359" i="1"/>
  <c r="AO359" i="1"/>
  <c r="M360" i="10" s="1"/>
  <c r="O360" i="10" s="1"/>
  <c r="AP359" i="1"/>
  <c r="AQ359" i="1"/>
  <c r="A359" i="1" s="1"/>
  <c r="A360" i="10" s="1"/>
  <c r="AR359" i="1"/>
  <c r="AS359" i="1"/>
  <c r="AT359" i="1"/>
  <c r="AV359" i="1"/>
  <c r="AW359" i="1"/>
  <c r="AX359" i="1"/>
  <c r="AY359" i="1"/>
  <c r="AZ359" i="1"/>
  <c r="BA359" i="1"/>
  <c r="BB359" i="1"/>
  <c r="BC359" i="1"/>
  <c r="BE359" i="1"/>
  <c r="BF359" i="1"/>
  <c r="BG359" i="1"/>
  <c r="BH359" i="1"/>
  <c r="BI359" i="1"/>
  <c r="BJ359" i="1"/>
  <c r="BK359" i="1"/>
  <c r="BN359" i="1"/>
  <c r="BO359" i="1"/>
  <c r="BP359" i="1" s="1"/>
  <c r="BR359" i="1"/>
  <c r="BT359" i="1"/>
  <c r="BU359" i="1"/>
  <c r="CG359" i="1"/>
  <c r="CK359" i="1"/>
  <c r="CO359" i="1"/>
  <c r="CT359" i="1" s="1"/>
  <c r="CS359" i="1"/>
  <c r="DD359" i="1"/>
  <c r="F360" i="1"/>
  <c r="BW360" i="1"/>
  <c r="G360" i="1"/>
  <c r="BX360" i="1" s="1"/>
  <c r="H360" i="1"/>
  <c r="BY360" i="1"/>
  <c r="I360" i="1"/>
  <c r="CA360" i="1" s="1"/>
  <c r="J360" i="1"/>
  <c r="BZ360" i="1" s="1"/>
  <c r="AM360" i="1"/>
  <c r="AO360" i="1"/>
  <c r="M361" i="10"/>
  <c r="AP360" i="1"/>
  <c r="AQ360" i="1"/>
  <c r="A360" i="1" s="1"/>
  <c r="A361" i="10"/>
  <c r="AR360" i="1"/>
  <c r="AS360" i="1" s="1"/>
  <c r="AT360" i="1"/>
  <c r="AV360" i="1"/>
  <c r="AW360" i="1"/>
  <c r="AX360" i="1"/>
  <c r="AY360" i="1"/>
  <c r="AZ360" i="1"/>
  <c r="BA360" i="1"/>
  <c r="BB360" i="1"/>
  <c r="BC360" i="1"/>
  <c r="BE360" i="1"/>
  <c r="BF360" i="1"/>
  <c r="BG360" i="1"/>
  <c r="BH360" i="1"/>
  <c r="BI360" i="1"/>
  <c r="BJ360" i="1"/>
  <c r="BK360" i="1" s="1"/>
  <c r="BN360" i="1"/>
  <c r="BO360" i="1"/>
  <c r="BP360" i="1" s="1"/>
  <c r="BR360" i="1"/>
  <c r="BT360" i="1" s="1"/>
  <c r="BU360" i="1"/>
  <c r="CG360" i="1"/>
  <c r="CT360" i="1" s="1"/>
  <c r="CK360" i="1"/>
  <c r="CO360" i="1"/>
  <c r="CS360" i="1"/>
  <c r="DD360" i="1"/>
  <c r="F361" i="1"/>
  <c r="BW361" i="1"/>
  <c r="G361" i="1"/>
  <c r="BX361" i="1" s="1"/>
  <c r="H361" i="1"/>
  <c r="BY361" i="1"/>
  <c r="I361" i="1"/>
  <c r="CA361" i="1" s="1"/>
  <c r="J361" i="1"/>
  <c r="BZ361" i="1"/>
  <c r="AM361" i="1"/>
  <c r="AO361" i="1"/>
  <c r="M362" i="10" s="1"/>
  <c r="AP361" i="1"/>
  <c r="AQ361" i="1"/>
  <c r="A361" i="1"/>
  <c r="A362" i="10" s="1"/>
  <c r="AR361" i="1"/>
  <c r="AS361" i="1" s="1"/>
  <c r="AT361" i="1"/>
  <c r="AV361" i="1"/>
  <c r="AW361" i="1"/>
  <c r="AX361" i="1"/>
  <c r="AY361" i="1"/>
  <c r="AZ361" i="1"/>
  <c r="BA361" i="1"/>
  <c r="BB361" i="1"/>
  <c r="BC361" i="1"/>
  <c r="BE361" i="1"/>
  <c r="BF361" i="1"/>
  <c r="BG361" i="1"/>
  <c r="BH361" i="1"/>
  <c r="BI361" i="1"/>
  <c r="BJ361" i="1"/>
  <c r="BK361" i="1" s="1"/>
  <c r="BN361" i="1"/>
  <c r="BO361" i="1"/>
  <c r="BP361" i="1"/>
  <c r="BR361" i="1"/>
  <c r="BU361" i="1"/>
  <c r="CG361" i="1"/>
  <c r="CK361" i="1"/>
  <c r="CO361" i="1"/>
  <c r="CS361" i="1"/>
  <c r="DD361" i="1"/>
  <c r="F362" i="1"/>
  <c r="BW362" i="1" s="1"/>
  <c r="G362" i="1"/>
  <c r="BX362" i="1" s="1"/>
  <c r="H362" i="1"/>
  <c r="BY362" i="1" s="1"/>
  <c r="I362" i="1"/>
  <c r="CA362" i="1" s="1"/>
  <c r="J362" i="1"/>
  <c r="BZ362" i="1"/>
  <c r="AM362" i="1"/>
  <c r="AO362" i="1"/>
  <c r="M363" i="10"/>
  <c r="AP362" i="1"/>
  <c r="AQ362" i="1"/>
  <c r="A362" i="1" s="1"/>
  <c r="A363" i="10" s="1"/>
  <c r="AR362" i="1"/>
  <c r="AS362" i="1"/>
  <c r="AT362" i="1"/>
  <c r="AV362" i="1"/>
  <c r="AW362" i="1"/>
  <c r="AX362" i="1"/>
  <c r="AY362" i="1"/>
  <c r="AZ362" i="1"/>
  <c r="BA362" i="1"/>
  <c r="BB362" i="1"/>
  <c r="BC362" i="1"/>
  <c r="BE362" i="1"/>
  <c r="BF362" i="1"/>
  <c r="BG362" i="1"/>
  <c r="BH362" i="1"/>
  <c r="BI362" i="1"/>
  <c r="BJ362" i="1"/>
  <c r="BK362" i="1"/>
  <c r="BN362" i="1"/>
  <c r="BO362" i="1"/>
  <c r="BP362" i="1"/>
  <c r="BR362" i="1"/>
  <c r="BU362" i="1"/>
  <c r="CG362" i="1"/>
  <c r="CK362" i="1"/>
  <c r="CO362" i="1"/>
  <c r="CT362" i="1" s="1"/>
  <c r="CS362" i="1"/>
  <c r="DD362" i="1"/>
  <c r="F363" i="1"/>
  <c r="BW363" i="1"/>
  <c r="G363" i="1"/>
  <c r="BX363" i="1"/>
  <c r="H363" i="1"/>
  <c r="BY363" i="1"/>
  <c r="I363" i="1"/>
  <c r="CA363" i="1"/>
  <c r="J363" i="1"/>
  <c r="BZ363" i="1"/>
  <c r="AM363" i="1"/>
  <c r="AO363" i="1"/>
  <c r="M364" i="10"/>
  <c r="AP363" i="1"/>
  <c r="AQ363" i="1"/>
  <c r="A363" i="1"/>
  <c r="A364" i="10"/>
  <c r="AR363" i="1"/>
  <c r="AS363" i="1" s="1"/>
  <c r="AT363" i="1"/>
  <c r="AV363" i="1"/>
  <c r="AW363" i="1"/>
  <c r="AX363" i="1"/>
  <c r="AY363" i="1"/>
  <c r="AZ363" i="1"/>
  <c r="BA363" i="1"/>
  <c r="BB363" i="1"/>
  <c r="BC363" i="1"/>
  <c r="BE363" i="1"/>
  <c r="BF363" i="1"/>
  <c r="BG363" i="1"/>
  <c r="BH363" i="1"/>
  <c r="BI363" i="1"/>
  <c r="BJ363" i="1"/>
  <c r="BK363" i="1" s="1"/>
  <c r="BN363" i="1"/>
  <c r="BO363" i="1"/>
  <c r="BP363" i="1" s="1"/>
  <c r="BR363" i="1"/>
  <c r="BT363" i="1"/>
  <c r="BU363" i="1"/>
  <c r="CG363" i="1"/>
  <c r="CK363" i="1"/>
  <c r="CO363" i="1"/>
  <c r="CS363" i="1"/>
  <c r="DD363" i="1"/>
  <c r="F364" i="1"/>
  <c r="BW364" i="1"/>
  <c r="G364" i="1"/>
  <c r="BX364" i="1" s="1"/>
  <c r="H364" i="1"/>
  <c r="BY364" i="1"/>
  <c r="I364" i="1"/>
  <c r="CA364" i="1" s="1"/>
  <c r="J364" i="1"/>
  <c r="BZ364" i="1"/>
  <c r="AM364" i="1"/>
  <c r="AO364" i="1"/>
  <c r="M365" i="10" s="1"/>
  <c r="AP364" i="1"/>
  <c r="AQ364" i="1"/>
  <c r="A364" i="1" s="1"/>
  <c r="AR364" i="1"/>
  <c r="AS364" i="1"/>
  <c r="AT364" i="1"/>
  <c r="AV364" i="1"/>
  <c r="AW364" i="1"/>
  <c r="AX364" i="1"/>
  <c r="AY364" i="1"/>
  <c r="AZ364" i="1"/>
  <c r="BA364" i="1"/>
  <c r="BB364" i="1"/>
  <c r="BC364" i="1"/>
  <c r="BE364" i="1"/>
  <c r="BF364" i="1"/>
  <c r="BG364" i="1"/>
  <c r="BH364" i="1"/>
  <c r="BI364" i="1"/>
  <c r="BJ364" i="1"/>
  <c r="BK364" i="1"/>
  <c r="BN364" i="1"/>
  <c r="BO364" i="1"/>
  <c r="BP364" i="1" s="1"/>
  <c r="BR364" i="1"/>
  <c r="BT364" i="1"/>
  <c r="BU364" i="1"/>
  <c r="CG364" i="1"/>
  <c r="CK364" i="1"/>
  <c r="CO364" i="1"/>
  <c r="CS364" i="1"/>
  <c r="CT364" i="1" s="1"/>
  <c r="L365" i="10" s="1"/>
  <c r="DD364" i="1"/>
  <c r="DF364" i="1"/>
  <c r="F365" i="1"/>
  <c r="BW365" i="1"/>
  <c r="G365" i="1"/>
  <c r="BX365" i="1"/>
  <c r="H365" i="1"/>
  <c r="BY365" i="1"/>
  <c r="I365" i="1"/>
  <c r="CA365" i="1"/>
  <c r="J365" i="1"/>
  <c r="BZ365" i="1"/>
  <c r="AM365" i="1"/>
  <c r="AO365" i="1"/>
  <c r="M366" i="10"/>
  <c r="AP365" i="1"/>
  <c r="AQ365" i="1"/>
  <c r="A365" i="1"/>
  <c r="A366" i="10"/>
  <c r="AR365" i="1"/>
  <c r="AS365" i="1" s="1"/>
  <c r="AT365" i="1"/>
  <c r="AV365" i="1"/>
  <c r="AW365" i="1"/>
  <c r="AX365" i="1"/>
  <c r="AY365" i="1"/>
  <c r="AZ365" i="1"/>
  <c r="BA365" i="1"/>
  <c r="BB365" i="1"/>
  <c r="BC365" i="1"/>
  <c r="BE365" i="1"/>
  <c r="BF365" i="1"/>
  <c r="BG365" i="1"/>
  <c r="BH365" i="1"/>
  <c r="BI365" i="1"/>
  <c r="BJ365" i="1"/>
  <c r="BK365" i="1" s="1"/>
  <c r="BN365" i="1"/>
  <c r="BO365" i="1"/>
  <c r="BP365" i="1" s="1"/>
  <c r="BR365" i="1"/>
  <c r="BT365" i="1"/>
  <c r="BU365" i="1"/>
  <c r="CG365" i="1"/>
  <c r="CK365" i="1"/>
  <c r="CO365" i="1"/>
  <c r="CS365" i="1"/>
  <c r="DD365" i="1"/>
  <c r="F366" i="1"/>
  <c r="BW366" i="1"/>
  <c r="G366" i="1"/>
  <c r="BX366" i="1" s="1"/>
  <c r="H366" i="1"/>
  <c r="BY366" i="1"/>
  <c r="I366" i="1"/>
  <c r="CA366" i="1" s="1"/>
  <c r="J366" i="1"/>
  <c r="BZ366" i="1"/>
  <c r="AM366" i="1"/>
  <c r="AO366" i="1"/>
  <c r="M369" i="10" s="1"/>
  <c r="AP366" i="1"/>
  <c r="AQ366" i="1"/>
  <c r="A366" i="1" s="1"/>
  <c r="A369" i="10" s="1"/>
  <c r="AR366" i="1"/>
  <c r="AS366" i="1"/>
  <c r="AT366" i="1"/>
  <c r="AV366" i="1"/>
  <c r="AW366" i="1"/>
  <c r="AX366" i="1"/>
  <c r="AY366" i="1"/>
  <c r="AZ366" i="1"/>
  <c r="BA366" i="1"/>
  <c r="BB366" i="1"/>
  <c r="BC366" i="1"/>
  <c r="BE366" i="1"/>
  <c r="BF366" i="1"/>
  <c r="BG366" i="1"/>
  <c r="BH366" i="1"/>
  <c r="BI366" i="1"/>
  <c r="BJ366" i="1"/>
  <c r="BK366" i="1"/>
  <c r="BN366" i="1"/>
  <c r="BO366" i="1"/>
  <c r="BP366" i="1"/>
  <c r="BR366" i="1"/>
  <c r="BU366" i="1"/>
  <c r="CG366" i="1"/>
  <c r="CK366" i="1"/>
  <c r="CO366" i="1"/>
  <c r="CS366" i="1"/>
  <c r="CT366" i="1" s="1"/>
  <c r="DD366" i="1"/>
  <c r="DE366" i="1"/>
  <c r="F367" i="1"/>
  <c r="BW367" i="1"/>
  <c r="G367" i="1"/>
  <c r="BX367" i="1"/>
  <c r="H367" i="1"/>
  <c r="BY367" i="1"/>
  <c r="I367" i="1"/>
  <c r="CA367" i="1"/>
  <c r="J367" i="1"/>
  <c r="BZ367" i="1"/>
  <c r="AM367" i="1"/>
  <c r="AO367" i="1"/>
  <c r="M368" i="10"/>
  <c r="AP367" i="1"/>
  <c r="AQ367" i="1"/>
  <c r="A367" i="1"/>
  <c r="A368" i="10"/>
  <c r="AR367" i="1"/>
  <c r="AS367" i="1" s="1"/>
  <c r="AT367" i="1"/>
  <c r="AV367" i="1"/>
  <c r="AW367" i="1"/>
  <c r="AX367" i="1"/>
  <c r="AY367" i="1"/>
  <c r="AZ367" i="1"/>
  <c r="BA367" i="1"/>
  <c r="BB367" i="1"/>
  <c r="BC367" i="1"/>
  <c r="BE367" i="1"/>
  <c r="BF367" i="1"/>
  <c r="BG367" i="1"/>
  <c r="BH367" i="1"/>
  <c r="BI367" i="1"/>
  <c r="BJ367" i="1"/>
  <c r="BK367" i="1" s="1"/>
  <c r="BN367" i="1"/>
  <c r="BO367" i="1"/>
  <c r="BP367" i="1" s="1"/>
  <c r="BS367" i="1" s="1"/>
  <c r="BR367" i="1"/>
  <c r="BT367" i="1"/>
  <c r="BU367" i="1"/>
  <c r="CG367" i="1"/>
  <c r="CK367" i="1"/>
  <c r="CO367" i="1"/>
  <c r="CS367" i="1"/>
  <c r="DD367" i="1"/>
  <c r="F368" i="1"/>
  <c r="BW368" i="1" s="1"/>
  <c r="G368" i="1"/>
  <c r="BX368" i="1" s="1"/>
  <c r="H368" i="1"/>
  <c r="BY368" i="1"/>
  <c r="I368" i="1"/>
  <c r="CA368" i="1" s="1"/>
  <c r="J368" i="1"/>
  <c r="BZ368" i="1"/>
  <c r="AM368" i="1"/>
  <c r="AO368" i="1"/>
  <c r="M370" i="10"/>
  <c r="AP368" i="1"/>
  <c r="AQ368" i="1"/>
  <c r="A368" i="1" s="1"/>
  <c r="A370" i="10" s="1"/>
  <c r="AR368" i="1"/>
  <c r="AS368" i="1"/>
  <c r="AT368" i="1"/>
  <c r="AV368" i="1"/>
  <c r="AW368" i="1"/>
  <c r="AX368" i="1"/>
  <c r="AY368" i="1"/>
  <c r="AZ368" i="1"/>
  <c r="BA368" i="1"/>
  <c r="BB368" i="1"/>
  <c r="BC368" i="1"/>
  <c r="BE368" i="1"/>
  <c r="BF368" i="1"/>
  <c r="BG368" i="1"/>
  <c r="BH368" i="1"/>
  <c r="BI368" i="1"/>
  <c r="BJ368" i="1"/>
  <c r="BK368" i="1"/>
  <c r="BN368" i="1"/>
  <c r="BO368" i="1"/>
  <c r="BR368" i="1"/>
  <c r="BT368" i="1"/>
  <c r="BU368" i="1"/>
  <c r="CG368" i="1"/>
  <c r="CK368" i="1"/>
  <c r="CO368" i="1"/>
  <c r="CS368" i="1"/>
  <c r="DD368" i="1"/>
  <c r="F369" i="1"/>
  <c r="BW369" i="1"/>
  <c r="G369" i="1"/>
  <c r="BX369" i="1"/>
  <c r="H369" i="1"/>
  <c r="BY369" i="1"/>
  <c r="I369" i="1"/>
  <c r="CA369" i="1"/>
  <c r="J369" i="1"/>
  <c r="BZ369" i="1"/>
  <c r="AM369" i="1"/>
  <c r="AO369" i="1"/>
  <c r="M371" i="10" s="1"/>
  <c r="AP369" i="1"/>
  <c r="AQ369" i="1"/>
  <c r="A369" i="1"/>
  <c r="A371" i="10" s="1"/>
  <c r="AR369" i="1"/>
  <c r="AS369" i="1" s="1"/>
  <c r="AT369" i="1"/>
  <c r="AV369" i="1"/>
  <c r="AW369" i="1"/>
  <c r="AX369" i="1"/>
  <c r="AY369" i="1"/>
  <c r="AZ369" i="1"/>
  <c r="BA369" i="1"/>
  <c r="BB369" i="1"/>
  <c r="BC369" i="1"/>
  <c r="BE369" i="1"/>
  <c r="BF369" i="1"/>
  <c r="BG369" i="1"/>
  <c r="BH369" i="1"/>
  <c r="BI369" i="1"/>
  <c r="BJ369" i="1"/>
  <c r="BK369" i="1" s="1"/>
  <c r="BN369" i="1"/>
  <c r="BO369" i="1"/>
  <c r="BP369" i="1" s="1"/>
  <c r="BR369" i="1"/>
  <c r="BT369" i="1"/>
  <c r="BU369" i="1"/>
  <c r="CG369" i="1"/>
  <c r="CK369" i="1"/>
  <c r="CO369" i="1"/>
  <c r="CS369" i="1"/>
  <c r="DD369" i="1"/>
  <c r="F370" i="1"/>
  <c r="BW370" i="1"/>
  <c r="G370" i="1"/>
  <c r="BX370" i="1" s="1"/>
  <c r="H370" i="1"/>
  <c r="BY370" i="1"/>
  <c r="I370" i="1"/>
  <c r="CA370" i="1" s="1"/>
  <c r="J370" i="1"/>
  <c r="BZ370" i="1"/>
  <c r="AM370" i="1"/>
  <c r="AO370" i="1"/>
  <c r="M372" i="10" s="1"/>
  <c r="P372" i="10"/>
  <c r="V372" i="10"/>
  <c r="AP370" i="1"/>
  <c r="AQ370" i="1"/>
  <c r="A370" i="1"/>
  <c r="A372" i="10"/>
  <c r="AR370" i="1"/>
  <c r="AS370" i="1" s="1"/>
  <c r="AT370" i="1"/>
  <c r="AV370" i="1"/>
  <c r="AW370" i="1"/>
  <c r="AX370" i="1"/>
  <c r="AY370" i="1"/>
  <c r="AZ370" i="1"/>
  <c r="BA370" i="1"/>
  <c r="BB370" i="1"/>
  <c r="BC370" i="1"/>
  <c r="BE370" i="1"/>
  <c r="BF370" i="1"/>
  <c r="BG370" i="1"/>
  <c r="BH370" i="1"/>
  <c r="BI370" i="1"/>
  <c r="BJ370" i="1"/>
  <c r="BK370" i="1" s="1"/>
  <c r="BN370" i="1"/>
  <c r="BO370" i="1"/>
  <c r="BP370" i="1" s="1"/>
  <c r="BR370" i="1"/>
  <c r="BT370" i="1"/>
  <c r="BU370" i="1"/>
  <c r="CG370" i="1"/>
  <c r="CK370" i="1"/>
  <c r="CO370" i="1"/>
  <c r="CS370" i="1"/>
  <c r="DD370" i="1"/>
  <c r="F371" i="1"/>
  <c r="BW371" i="1"/>
  <c r="G371" i="1"/>
  <c r="BX371" i="1" s="1"/>
  <c r="H371" i="1"/>
  <c r="BY371" i="1"/>
  <c r="I371" i="1"/>
  <c r="CA371" i="1" s="1"/>
  <c r="J371" i="1"/>
  <c r="BZ371" i="1"/>
  <c r="AM371" i="1"/>
  <c r="AO371" i="1"/>
  <c r="M373" i="10" s="1"/>
  <c r="AP371" i="1"/>
  <c r="AQ371" i="1"/>
  <c r="A371" i="1" s="1"/>
  <c r="A373" i="10" s="1"/>
  <c r="AR371" i="1"/>
  <c r="AS371" i="1"/>
  <c r="AT371" i="1"/>
  <c r="AV371" i="1"/>
  <c r="AW371" i="1"/>
  <c r="AX371" i="1"/>
  <c r="AY371" i="1"/>
  <c r="AZ371" i="1"/>
  <c r="BA371" i="1"/>
  <c r="BB371" i="1"/>
  <c r="BC371" i="1"/>
  <c r="BE371" i="1"/>
  <c r="BF371" i="1"/>
  <c r="BG371" i="1"/>
  <c r="BH371" i="1"/>
  <c r="BI371" i="1"/>
  <c r="BJ371" i="1"/>
  <c r="BK371" i="1"/>
  <c r="BN371" i="1"/>
  <c r="BO371" i="1"/>
  <c r="BP371" i="1"/>
  <c r="BR371" i="1"/>
  <c r="BU371" i="1"/>
  <c r="CG371" i="1"/>
  <c r="CK371" i="1"/>
  <c r="CO371" i="1"/>
  <c r="CS371" i="1"/>
  <c r="DD371" i="1"/>
  <c r="F372" i="1"/>
  <c r="BW372" i="1"/>
  <c r="G372" i="1"/>
  <c r="BX372" i="1" s="1"/>
  <c r="H372" i="1"/>
  <c r="BY372" i="1" s="1"/>
  <c r="I372" i="1"/>
  <c r="CA372" i="1" s="1"/>
  <c r="J372" i="1"/>
  <c r="BZ372" i="1" s="1"/>
  <c r="AM372" i="1"/>
  <c r="AO372" i="1"/>
  <c r="M375" i="10"/>
  <c r="AP372" i="1"/>
  <c r="AQ372" i="1"/>
  <c r="A372" i="1" s="1"/>
  <c r="A375" i="10"/>
  <c r="AR372" i="1"/>
  <c r="AS372" i="1" s="1"/>
  <c r="AT372" i="1"/>
  <c r="AV372" i="1"/>
  <c r="AW372" i="1"/>
  <c r="AX372" i="1"/>
  <c r="AY372" i="1"/>
  <c r="AZ372" i="1"/>
  <c r="BA372" i="1"/>
  <c r="BB372" i="1"/>
  <c r="BC372" i="1"/>
  <c r="BE372" i="1"/>
  <c r="BF372" i="1"/>
  <c r="BG372" i="1"/>
  <c r="BH372" i="1"/>
  <c r="BI372" i="1"/>
  <c r="BJ372" i="1"/>
  <c r="BK372" i="1" s="1"/>
  <c r="BN372" i="1"/>
  <c r="BO372" i="1"/>
  <c r="BP372" i="1"/>
  <c r="BR372" i="1"/>
  <c r="BU372" i="1"/>
  <c r="CG372" i="1"/>
  <c r="CK372" i="1"/>
  <c r="CT372" i="1" s="1"/>
  <c r="CV372" i="1" s="1"/>
  <c r="CW372" i="1" s="1"/>
  <c r="H375" i="10" s="1"/>
  <c r="CO372" i="1"/>
  <c r="CS372" i="1"/>
  <c r="DD372" i="1"/>
  <c r="F373" i="1"/>
  <c r="BW373" i="1" s="1"/>
  <c r="G373" i="1"/>
  <c r="BX373" i="1"/>
  <c r="H373" i="1"/>
  <c r="BY373" i="1" s="1"/>
  <c r="I373" i="1"/>
  <c r="CA373" i="1"/>
  <c r="J373" i="1"/>
  <c r="BZ373" i="1" s="1"/>
  <c r="AM373" i="1"/>
  <c r="AO373" i="1"/>
  <c r="AP373" i="1"/>
  <c r="AQ373" i="1"/>
  <c r="A373" i="1" s="1"/>
  <c r="A374" i="10" s="1"/>
  <c r="AR373" i="1"/>
  <c r="AS373" i="1"/>
  <c r="AT373" i="1"/>
  <c r="AV373" i="1"/>
  <c r="AW373" i="1"/>
  <c r="AX373" i="1"/>
  <c r="AY373" i="1"/>
  <c r="AZ373" i="1"/>
  <c r="BA373" i="1"/>
  <c r="BB373" i="1"/>
  <c r="BC373" i="1"/>
  <c r="BE373" i="1"/>
  <c r="BF373" i="1"/>
  <c r="BG373" i="1"/>
  <c r="BH373" i="1"/>
  <c r="BI373" i="1"/>
  <c r="BJ373" i="1"/>
  <c r="BK373" i="1"/>
  <c r="BN373" i="1"/>
  <c r="BO373" i="1"/>
  <c r="BP373" i="1"/>
  <c r="BR373" i="1"/>
  <c r="BU373" i="1"/>
  <c r="CG373" i="1"/>
  <c r="CK373" i="1"/>
  <c r="CO373" i="1"/>
  <c r="CS373" i="1"/>
  <c r="DD373" i="1"/>
  <c r="DE373" i="1"/>
  <c r="F374" i="1"/>
  <c r="BW374" i="1"/>
  <c r="G374" i="1"/>
  <c r="BX374" i="1"/>
  <c r="H374" i="1"/>
  <c r="BY374" i="1"/>
  <c r="I374" i="1"/>
  <c r="CA374" i="1"/>
  <c r="J374" i="1"/>
  <c r="BZ374" i="1"/>
  <c r="AM374" i="1"/>
  <c r="AO374" i="1"/>
  <c r="M376" i="10" s="1"/>
  <c r="AP374" i="1"/>
  <c r="AQ374" i="1"/>
  <c r="A374" i="1" s="1"/>
  <c r="A376" i="10" s="1"/>
  <c r="AR374" i="1"/>
  <c r="AS374" i="1"/>
  <c r="AT374" i="1"/>
  <c r="AV374" i="1"/>
  <c r="AW374" i="1"/>
  <c r="AX374" i="1"/>
  <c r="AY374" i="1"/>
  <c r="AZ374" i="1"/>
  <c r="BA374" i="1"/>
  <c r="BB374" i="1"/>
  <c r="BC374" i="1"/>
  <c r="BE374" i="1"/>
  <c r="BF374" i="1"/>
  <c r="BG374" i="1"/>
  <c r="BH374" i="1"/>
  <c r="BI374" i="1"/>
  <c r="BJ374" i="1"/>
  <c r="BK374" i="1"/>
  <c r="BN374" i="1"/>
  <c r="BO374" i="1"/>
  <c r="BP374" i="1"/>
  <c r="BR374" i="1"/>
  <c r="BU374" i="1"/>
  <c r="CG374" i="1"/>
  <c r="CK374" i="1"/>
  <c r="CO374" i="1"/>
  <c r="CS374" i="1"/>
  <c r="DD374" i="1"/>
  <c r="DF374" i="1"/>
  <c r="F375" i="1"/>
  <c r="BW375" i="1" s="1"/>
  <c r="G375" i="1"/>
  <c r="BX375" i="1"/>
  <c r="H375" i="1"/>
  <c r="BY375" i="1" s="1"/>
  <c r="I375" i="1"/>
  <c r="CA375" i="1" s="1"/>
  <c r="J375" i="1"/>
  <c r="BZ375" i="1" s="1"/>
  <c r="AM375" i="1"/>
  <c r="AO375" i="1"/>
  <c r="M377" i="10" s="1"/>
  <c r="AP375" i="1"/>
  <c r="AQ375" i="1"/>
  <c r="A375" i="1" s="1"/>
  <c r="A377" i="10" s="1"/>
  <c r="AR375" i="1"/>
  <c r="AS375" i="1"/>
  <c r="AT375" i="1"/>
  <c r="AV375" i="1"/>
  <c r="AW375" i="1"/>
  <c r="AX375" i="1"/>
  <c r="AY375" i="1"/>
  <c r="AZ375" i="1"/>
  <c r="BA375" i="1"/>
  <c r="BB375" i="1"/>
  <c r="BC375" i="1"/>
  <c r="BE375" i="1"/>
  <c r="BF375" i="1"/>
  <c r="BG375" i="1"/>
  <c r="BH375" i="1"/>
  <c r="BI375" i="1"/>
  <c r="BJ375" i="1"/>
  <c r="BK375" i="1"/>
  <c r="BN375" i="1"/>
  <c r="BO375" i="1"/>
  <c r="BP375" i="1" s="1"/>
  <c r="BR375" i="1"/>
  <c r="BT375" i="1"/>
  <c r="BU375" i="1"/>
  <c r="CG375" i="1"/>
  <c r="CK375" i="1"/>
  <c r="CO375" i="1"/>
  <c r="CS375" i="1"/>
  <c r="DD375" i="1"/>
  <c r="F376" i="1"/>
  <c r="BW376" i="1"/>
  <c r="G376" i="1"/>
  <c r="BX376" i="1" s="1"/>
  <c r="H376" i="1"/>
  <c r="BY376" i="1"/>
  <c r="I376" i="1"/>
  <c r="CA376" i="1" s="1"/>
  <c r="J376" i="1"/>
  <c r="BZ376" i="1" s="1"/>
  <c r="AM376" i="1"/>
  <c r="AO376" i="1"/>
  <c r="M379" i="10"/>
  <c r="AP376" i="1"/>
  <c r="AQ376" i="1"/>
  <c r="A376" i="1" s="1"/>
  <c r="A379" i="10"/>
  <c r="AR376" i="1"/>
  <c r="AS376" i="1" s="1"/>
  <c r="AT376" i="1"/>
  <c r="AV376" i="1"/>
  <c r="AW376" i="1"/>
  <c r="AX376" i="1"/>
  <c r="AY376" i="1"/>
  <c r="AZ376" i="1"/>
  <c r="BA376" i="1"/>
  <c r="BB376" i="1"/>
  <c r="BC376" i="1"/>
  <c r="BE376" i="1"/>
  <c r="BF376" i="1"/>
  <c r="BG376" i="1"/>
  <c r="BH376" i="1"/>
  <c r="BI376" i="1"/>
  <c r="BJ376" i="1"/>
  <c r="BK376" i="1" s="1"/>
  <c r="BN376" i="1"/>
  <c r="BO376" i="1"/>
  <c r="BR376" i="1"/>
  <c r="BT376" i="1" s="1"/>
  <c r="BU376" i="1"/>
  <c r="CG376" i="1"/>
  <c r="CK376" i="1"/>
  <c r="CO376" i="1"/>
  <c r="CS376" i="1"/>
  <c r="DD376" i="1"/>
  <c r="DE376" i="1" s="1"/>
  <c r="F377" i="1"/>
  <c r="BW377" i="1" s="1"/>
  <c r="G377" i="1"/>
  <c r="BX377" i="1"/>
  <c r="H377" i="1"/>
  <c r="BY377" i="1" s="1"/>
  <c r="I377" i="1"/>
  <c r="CA377" i="1"/>
  <c r="J377" i="1"/>
  <c r="BZ377" i="1" s="1"/>
  <c r="AM377" i="1"/>
  <c r="AO377" i="1"/>
  <c r="M378" i="10"/>
  <c r="AP377" i="1"/>
  <c r="AQ377" i="1"/>
  <c r="A377" i="1" s="1"/>
  <c r="A378" i="10" s="1"/>
  <c r="AR377" i="1"/>
  <c r="AS377" i="1"/>
  <c r="AT377" i="1"/>
  <c r="AV377" i="1"/>
  <c r="AW377" i="1"/>
  <c r="AX377" i="1"/>
  <c r="AY377" i="1"/>
  <c r="AZ377" i="1"/>
  <c r="BA377" i="1"/>
  <c r="BB377" i="1"/>
  <c r="BC377" i="1"/>
  <c r="BE377" i="1"/>
  <c r="BF377" i="1"/>
  <c r="BG377" i="1"/>
  <c r="BH377" i="1"/>
  <c r="BI377" i="1"/>
  <c r="BJ377" i="1"/>
  <c r="BK377" i="1"/>
  <c r="BN377" i="1"/>
  <c r="BO377" i="1"/>
  <c r="BP377" i="1" s="1"/>
  <c r="BS377" i="1" s="1"/>
  <c r="BR377" i="1"/>
  <c r="BU377" i="1"/>
  <c r="CG377" i="1"/>
  <c r="CK377" i="1"/>
  <c r="CO377" i="1"/>
  <c r="CS377" i="1"/>
  <c r="DD377" i="1"/>
  <c r="DF377" i="1"/>
  <c r="F378" i="1"/>
  <c r="BW378" i="1" s="1"/>
  <c r="G378" i="1"/>
  <c r="BX378" i="1"/>
  <c r="H378" i="1"/>
  <c r="BY378" i="1" s="1"/>
  <c r="I378" i="1"/>
  <c r="CA378" i="1"/>
  <c r="J378" i="1"/>
  <c r="BZ378" i="1" s="1"/>
  <c r="AM378" i="1"/>
  <c r="AO378" i="1"/>
  <c r="M380" i="10" s="1"/>
  <c r="AP378" i="1"/>
  <c r="AQ378" i="1"/>
  <c r="A378" i="1"/>
  <c r="A380" i="10" s="1"/>
  <c r="AR378" i="1"/>
  <c r="AS378" i="1" s="1"/>
  <c r="AT378" i="1"/>
  <c r="AV378" i="1"/>
  <c r="AW378" i="1"/>
  <c r="AX378" i="1"/>
  <c r="AY378" i="1"/>
  <c r="AZ378" i="1"/>
  <c r="BA378" i="1"/>
  <c r="BB378" i="1"/>
  <c r="BC378" i="1"/>
  <c r="BE378" i="1"/>
  <c r="BF378" i="1"/>
  <c r="BG378" i="1"/>
  <c r="BH378" i="1"/>
  <c r="BI378" i="1"/>
  <c r="BJ378" i="1"/>
  <c r="BK378" i="1" s="1"/>
  <c r="BN378" i="1"/>
  <c r="BO378" i="1"/>
  <c r="BR378" i="1"/>
  <c r="BT378" i="1" s="1"/>
  <c r="BU378" i="1"/>
  <c r="CG378" i="1"/>
  <c r="CK378" i="1"/>
  <c r="CO378" i="1"/>
  <c r="CS378" i="1"/>
  <c r="DD378" i="1"/>
  <c r="DF378" i="1"/>
  <c r="F379" i="1"/>
  <c r="BW379" i="1"/>
  <c r="G379" i="1"/>
  <c r="BX379" i="1"/>
  <c r="H379" i="1"/>
  <c r="BY379" i="1"/>
  <c r="I379" i="1"/>
  <c r="CA379" i="1"/>
  <c r="J379" i="1"/>
  <c r="BZ379" i="1"/>
  <c r="AM379" i="1"/>
  <c r="AO379" i="1"/>
  <c r="M381" i="10" s="1"/>
  <c r="AP379" i="1"/>
  <c r="AQ379" i="1"/>
  <c r="A379" i="1" s="1"/>
  <c r="A381" i="10" s="1"/>
  <c r="AR379" i="1"/>
  <c r="AS379" i="1"/>
  <c r="AT379" i="1"/>
  <c r="AV379" i="1"/>
  <c r="AW379" i="1"/>
  <c r="AX379" i="1"/>
  <c r="AY379" i="1"/>
  <c r="AZ379" i="1"/>
  <c r="BA379" i="1"/>
  <c r="BB379" i="1"/>
  <c r="BC379" i="1"/>
  <c r="BE379" i="1"/>
  <c r="BF379" i="1"/>
  <c r="BG379" i="1"/>
  <c r="BH379" i="1"/>
  <c r="BI379" i="1"/>
  <c r="BJ379" i="1"/>
  <c r="BK379" i="1"/>
  <c r="BN379" i="1"/>
  <c r="BO379" i="1"/>
  <c r="BP379" i="1"/>
  <c r="BR379" i="1"/>
  <c r="BT379" i="1" s="1"/>
  <c r="BU379" i="1"/>
  <c r="CG379" i="1"/>
  <c r="CK379" i="1"/>
  <c r="CT379" i="1" s="1"/>
  <c r="CO379" i="1"/>
  <c r="CS379" i="1"/>
  <c r="DD379" i="1"/>
  <c r="F380" i="1"/>
  <c r="BW380" i="1" s="1"/>
  <c r="G380" i="1"/>
  <c r="BX380" i="1"/>
  <c r="H380" i="1"/>
  <c r="BY380" i="1" s="1"/>
  <c r="I380" i="1"/>
  <c r="CA380" i="1"/>
  <c r="J380" i="1"/>
  <c r="BZ380" i="1" s="1"/>
  <c r="AM380" i="1"/>
  <c r="AO380" i="1"/>
  <c r="AP380" i="1"/>
  <c r="AQ380" i="1"/>
  <c r="A380" i="1" s="1"/>
  <c r="AR380" i="1"/>
  <c r="AS380" i="1"/>
  <c r="AT380" i="1"/>
  <c r="AV380" i="1"/>
  <c r="AW380" i="1"/>
  <c r="AX380" i="1"/>
  <c r="AY380" i="1"/>
  <c r="AZ380" i="1"/>
  <c r="BA380" i="1"/>
  <c r="BB380" i="1"/>
  <c r="BC380" i="1"/>
  <c r="BE380" i="1"/>
  <c r="BF380" i="1"/>
  <c r="BG380" i="1"/>
  <c r="BH380" i="1"/>
  <c r="BI380" i="1"/>
  <c r="BJ380" i="1"/>
  <c r="BK380" i="1"/>
  <c r="BN380" i="1"/>
  <c r="BO380" i="1"/>
  <c r="BP380" i="1"/>
  <c r="BR380" i="1"/>
  <c r="BT380" i="1"/>
  <c r="BU380" i="1"/>
  <c r="CG380" i="1"/>
  <c r="CK380" i="1"/>
  <c r="CO380" i="1"/>
  <c r="CT380" i="1" s="1"/>
  <c r="CS380" i="1"/>
  <c r="DD380" i="1"/>
  <c r="F381" i="1"/>
  <c r="BW381" i="1"/>
  <c r="G381" i="1"/>
  <c r="BX381" i="1"/>
  <c r="H381" i="1"/>
  <c r="BY381" i="1"/>
  <c r="I381" i="1"/>
  <c r="CA381" i="1"/>
  <c r="J381" i="1"/>
  <c r="BZ381" i="1"/>
  <c r="AM381" i="1"/>
  <c r="AO381" i="1"/>
  <c r="M382" i="10"/>
  <c r="AP381" i="1"/>
  <c r="AQ381" i="1"/>
  <c r="A381" i="1"/>
  <c r="A382" i="10"/>
  <c r="AR381" i="1"/>
  <c r="AS381" i="1" s="1"/>
  <c r="AT381" i="1"/>
  <c r="AV381" i="1"/>
  <c r="AW381" i="1"/>
  <c r="AX381" i="1"/>
  <c r="AY381" i="1"/>
  <c r="AZ381" i="1"/>
  <c r="BA381" i="1"/>
  <c r="BB381" i="1"/>
  <c r="BC381" i="1"/>
  <c r="BE381" i="1"/>
  <c r="BF381" i="1"/>
  <c r="BG381" i="1"/>
  <c r="BH381" i="1"/>
  <c r="BI381" i="1"/>
  <c r="BJ381" i="1"/>
  <c r="BK381" i="1" s="1"/>
  <c r="BN381" i="1"/>
  <c r="BO381" i="1"/>
  <c r="BP381" i="1" s="1"/>
  <c r="BR381" i="1"/>
  <c r="BT381" i="1"/>
  <c r="BU381" i="1"/>
  <c r="CG381" i="1"/>
  <c r="CK381" i="1"/>
  <c r="CO381" i="1"/>
  <c r="CS381" i="1"/>
  <c r="DD381" i="1"/>
  <c r="DF381" i="1" s="1"/>
  <c r="F382" i="1"/>
  <c r="BW382" i="1"/>
  <c r="G382" i="1"/>
  <c r="BX382" i="1" s="1"/>
  <c r="H382" i="1"/>
  <c r="BY382" i="1"/>
  <c r="I382" i="1"/>
  <c r="CA382" i="1" s="1"/>
  <c r="J382" i="1"/>
  <c r="BZ382" i="1" s="1"/>
  <c r="AM382" i="1"/>
  <c r="AO382" i="1"/>
  <c r="M383" i="10"/>
  <c r="AP382" i="1"/>
  <c r="AQ382" i="1"/>
  <c r="A382" i="1" s="1"/>
  <c r="AR382" i="1"/>
  <c r="AS382" i="1" s="1"/>
  <c r="AT382" i="1"/>
  <c r="AV382" i="1"/>
  <c r="AW382" i="1"/>
  <c r="AX382" i="1"/>
  <c r="AY382" i="1"/>
  <c r="AZ382" i="1"/>
  <c r="BA382" i="1"/>
  <c r="BB382" i="1"/>
  <c r="BC382" i="1"/>
  <c r="BE382" i="1"/>
  <c r="BF382" i="1"/>
  <c r="BG382" i="1"/>
  <c r="BH382" i="1"/>
  <c r="BI382" i="1"/>
  <c r="BJ382" i="1"/>
  <c r="BK382" i="1" s="1"/>
  <c r="BN382" i="1"/>
  <c r="BO382" i="1"/>
  <c r="BP382" i="1"/>
  <c r="BS382" i="1" s="1"/>
  <c r="BR382" i="1"/>
  <c r="BU382" i="1"/>
  <c r="CG382" i="1"/>
  <c r="CK382" i="1"/>
  <c r="CT382" i="1" s="1"/>
  <c r="CU382" i="1" s="1"/>
  <c r="CO382" i="1"/>
  <c r="CS382" i="1"/>
  <c r="DD382" i="1"/>
  <c r="F383" i="1"/>
  <c r="BW383" i="1" s="1"/>
  <c r="G383" i="1"/>
  <c r="BX383" i="1" s="1"/>
  <c r="H383" i="1"/>
  <c r="BY383" i="1"/>
  <c r="I383" i="1"/>
  <c r="CA383" i="1" s="1"/>
  <c r="J383" i="1"/>
  <c r="BZ383" i="1"/>
  <c r="AM383" i="1"/>
  <c r="AO383" i="1"/>
  <c r="M387" i="10"/>
  <c r="AP383" i="1"/>
  <c r="AQ383" i="1"/>
  <c r="A383" i="1" s="1"/>
  <c r="A387" i="10" s="1"/>
  <c r="AR383" i="1"/>
  <c r="AS383" i="1"/>
  <c r="AT383" i="1"/>
  <c r="AV383" i="1"/>
  <c r="AW383" i="1"/>
  <c r="AX383" i="1"/>
  <c r="AY383" i="1"/>
  <c r="AZ383" i="1"/>
  <c r="BA383" i="1"/>
  <c r="BB383" i="1"/>
  <c r="BC383" i="1"/>
  <c r="BE383" i="1"/>
  <c r="BF383" i="1"/>
  <c r="BG383" i="1"/>
  <c r="BH383" i="1"/>
  <c r="BI383" i="1"/>
  <c r="BJ383" i="1"/>
  <c r="BK383" i="1"/>
  <c r="BN383" i="1"/>
  <c r="BO383" i="1"/>
  <c r="BP383" i="1" s="1"/>
  <c r="BR383" i="1"/>
  <c r="BU383" i="1"/>
  <c r="CG383" i="1"/>
  <c r="CK383" i="1"/>
  <c r="CO383" i="1"/>
  <c r="CS383" i="1"/>
  <c r="DD383" i="1"/>
  <c r="DE383" i="1" s="1"/>
  <c r="F384" i="1"/>
  <c r="BW384" i="1" s="1"/>
  <c r="G384" i="1"/>
  <c r="BX384" i="1" s="1"/>
  <c r="H384" i="1"/>
  <c r="BY384" i="1" s="1"/>
  <c r="I384" i="1"/>
  <c r="CA384" i="1"/>
  <c r="J384" i="1"/>
  <c r="BZ384" i="1" s="1"/>
  <c r="AM384" i="1"/>
  <c r="AO384" i="1"/>
  <c r="M388" i="10"/>
  <c r="AP384" i="1"/>
  <c r="AQ384" i="1"/>
  <c r="A384" i="1"/>
  <c r="A388" i="10"/>
  <c r="AR384" i="1"/>
  <c r="AS384" i="1"/>
  <c r="AT384" i="1"/>
  <c r="AV384" i="1"/>
  <c r="AW384" i="1"/>
  <c r="AX384" i="1"/>
  <c r="AY384" i="1"/>
  <c r="AZ384" i="1"/>
  <c r="BA384" i="1"/>
  <c r="BB384" i="1"/>
  <c r="BC384" i="1"/>
  <c r="BE384" i="1"/>
  <c r="BF384" i="1"/>
  <c r="BG384" i="1"/>
  <c r="BH384" i="1"/>
  <c r="BI384" i="1"/>
  <c r="BJ384" i="1"/>
  <c r="BK384" i="1"/>
  <c r="BN384" i="1"/>
  <c r="BO384" i="1"/>
  <c r="BP384" i="1" s="1"/>
  <c r="BR384" i="1"/>
  <c r="BU384" i="1"/>
  <c r="CG384" i="1"/>
  <c r="CK384" i="1"/>
  <c r="CO384" i="1"/>
  <c r="CS384" i="1"/>
  <c r="DD384" i="1"/>
  <c r="DE384" i="1" s="1"/>
  <c r="F385" i="1"/>
  <c r="BW385" i="1" s="1"/>
  <c r="G385" i="1"/>
  <c r="BX385" i="1" s="1"/>
  <c r="H385" i="1"/>
  <c r="BY385" i="1"/>
  <c r="I385" i="1"/>
  <c r="CA385" i="1" s="1"/>
  <c r="J385" i="1"/>
  <c r="BZ385" i="1"/>
  <c r="AM385" i="1"/>
  <c r="AO385" i="1"/>
  <c r="M390" i="10"/>
  <c r="AP385" i="1"/>
  <c r="AQ385" i="1"/>
  <c r="A385" i="1" s="1"/>
  <c r="A390" i="10" s="1"/>
  <c r="AR385" i="1"/>
  <c r="AS385" i="1"/>
  <c r="AT385" i="1"/>
  <c r="AV385" i="1"/>
  <c r="AW385" i="1"/>
  <c r="AX385" i="1"/>
  <c r="AY385" i="1"/>
  <c r="AZ385" i="1"/>
  <c r="BA385" i="1"/>
  <c r="BB385" i="1"/>
  <c r="BC385" i="1"/>
  <c r="BE385" i="1"/>
  <c r="BF385" i="1"/>
  <c r="BG385" i="1"/>
  <c r="BH385" i="1"/>
  <c r="BI385" i="1"/>
  <c r="BJ385" i="1"/>
  <c r="BK385" i="1"/>
  <c r="BN385" i="1"/>
  <c r="BO385" i="1"/>
  <c r="BP385" i="1" s="1"/>
  <c r="BR385" i="1"/>
  <c r="BU385" i="1"/>
  <c r="CG385" i="1"/>
  <c r="CK385" i="1"/>
  <c r="CO385" i="1"/>
  <c r="CS385" i="1"/>
  <c r="DD385" i="1"/>
  <c r="F386" i="1"/>
  <c r="BW386" i="1"/>
  <c r="G386" i="1"/>
  <c r="BX386" i="1"/>
  <c r="H386" i="1"/>
  <c r="BY386" i="1"/>
  <c r="I386" i="1"/>
  <c r="CA386" i="1"/>
  <c r="J386" i="1"/>
  <c r="BZ386" i="1"/>
  <c r="AM386" i="1"/>
  <c r="AO386" i="1"/>
  <c r="M389" i="10" s="1"/>
  <c r="AP386" i="1"/>
  <c r="AQ386" i="1"/>
  <c r="A386" i="1"/>
  <c r="A389" i="10" s="1"/>
  <c r="AR386" i="1"/>
  <c r="AS386" i="1" s="1"/>
  <c r="AT386" i="1"/>
  <c r="AV386" i="1"/>
  <c r="AW386" i="1"/>
  <c r="AX386" i="1"/>
  <c r="AY386" i="1"/>
  <c r="AZ386" i="1"/>
  <c r="BA386" i="1"/>
  <c r="BB386" i="1"/>
  <c r="BC386" i="1"/>
  <c r="BE386" i="1"/>
  <c r="BF386" i="1"/>
  <c r="BG386" i="1"/>
  <c r="BH386" i="1"/>
  <c r="BI386" i="1"/>
  <c r="BJ386" i="1"/>
  <c r="BK386" i="1" s="1"/>
  <c r="BN386" i="1"/>
  <c r="BO386" i="1"/>
  <c r="BP386" i="1" s="1"/>
  <c r="BR386" i="1"/>
  <c r="BU386" i="1"/>
  <c r="CG386" i="1"/>
  <c r="CK386" i="1"/>
  <c r="CO386" i="1"/>
  <c r="CS386" i="1"/>
  <c r="DD386" i="1"/>
  <c r="DE386" i="1" s="1"/>
  <c r="F387" i="1"/>
  <c r="BW387" i="1"/>
  <c r="G387" i="1"/>
  <c r="BX387" i="1" s="1"/>
  <c r="H387" i="1"/>
  <c r="BY387" i="1"/>
  <c r="I387" i="1"/>
  <c r="CA387" i="1" s="1"/>
  <c r="J387" i="1"/>
  <c r="BZ387" i="1"/>
  <c r="AM387" i="1"/>
  <c r="AO387" i="1"/>
  <c r="M391" i="10" s="1"/>
  <c r="AP387" i="1"/>
  <c r="AQ387" i="1"/>
  <c r="A387" i="1"/>
  <c r="A391" i="10" s="1"/>
  <c r="AR387" i="1"/>
  <c r="AS387" i="1" s="1"/>
  <c r="AT387" i="1"/>
  <c r="AV387" i="1"/>
  <c r="AW387" i="1"/>
  <c r="AX387" i="1"/>
  <c r="AY387" i="1"/>
  <c r="AZ387" i="1"/>
  <c r="BA387" i="1"/>
  <c r="BB387" i="1"/>
  <c r="BC387" i="1"/>
  <c r="BE387" i="1"/>
  <c r="BF387" i="1"/>
  <c r="BG387" i="1"/>
  <c r="BH387" i="1"/>
  <c r="BI387" i="1"/>
  <c r="BJ387" i="1"/>
  <c r="BK387" i="1" s="1"/>
  <c r="BN387" i="1"/>
  <c r="BO387" i="1"/>
  <c r="BP387" i="1"/>
  <c r="BR387" i="1"/>
  <c r="BU387" i="1"/>
  <c r="CG387" i="1"/>
  <c r="CK387" i="1"/>
  <c r="CO387" i="1"/>
  <c r="CS387" i="1"/>
  <c r="DD387" i="1"/>
  <c r="F388" i="1"/>
  <c r="BW388" i="1" s="1"/>
  <c r="G388" i="1"/>
  <c r="BX388" i="1" s="1"/>
  <c r="H388" i="1"/>
  <c r="BY388" i="1" s="1"/>
  <c r="I388" i="1"/>
  <c r="CA388" i="1" s="1"/>
  <c r="J388" i="1"/>
  <c r="BZ388" i="1"/>
  <c r="AM388" i="1"/>
  <c r="AO388" i="1"/>
  <c r="M392" i="10"/>
  <c r="AP388" i="1"/>
  <c r="AQ388" i="1"/>
  <c r="A388" i="1" s="1"/>
  <c r="A392" i="10" s="1"/>
  <c r="AR388" i="1"/>
  <c r="AS388" i="1"/>
  <c r="AT388" i="1"/>
  <c r="AV388" i="1"/>
  <c r="AW388" i="1"/>
  <c r="AX388" i="1"/>
  <c r="AY388" i="1"/>
  <c r="AZ388" i="1"/>
  <c r="BA388" i="1"/>
  <c r="BB388" i="1"/>
  <c r="BC388" i="1"/>
  <c r="BE388" i="1"/>
  <c r="BF388" i="1"/>
  <c r="BG388" i="1"/>
  <c r="BH388" i="1"/>
  <c r="BI388" i="1"/>
  <c r="BJ388" i="1"/>
  <c r="BK388" i="1"/>
  <c r="BN388" i="1"/>
  <c r="BO388" i="1"/>
  <c r="BP388" i="1"/>
  <c r="BR388" i="1"/>
  <c r="BT388" i="1" s="1"/>
  <c r="BU388" i="1"/>
  <c r="CG388" i="1"/>
  <c r="CK388" i="1"/>
  <c r="CO388" i="1"/>
  <c r="CS388" i="1"/>
  <c r="DD388" i="1"/>
  <c r="DF388" i="1"/>
  <c r="F389" i="1"/>
  <c r="BW389" i="1"/>
  <c r="G389" i="1"/>
  <c r="BX389" i="1"/>
  <c r="H389" i="1"/>
  <c r="BY389" i="1"/>
  <c r="I389" i="1"/>
  <c r="CA389" i="1"/>
  <c r="J389" i="1"/>
  <c r="BZ389" i="1"/>
  <c r="AM389" i="1"/>
  <c r="AO389" i="1"/>
  <c r="M393" i="10" s="1"/>
  <c r="AP389" i="1"/>
  <c r="AQ389" i="1"/>
  <c r="A389" i="1" s="1"/>
  <c r="A393" i="10" s="1"/>
  <c r="AR389" i="1"/>
  <c r="AS389" i="1"/>
  <c r="AT389" i="1"/>
  <c r="AV389" i="1"/>
  <c r="AW389" i="1"/>
  <c r="AX389" i="1"/>
  <c r="AY389" i="1"/>
  <c r="AZ389" i="1"/>
  <c r="BA389" i="1"/>
  <c r="BB389" i="1"/>
  <c r="BC389" i="1"/>
  <c r="BE389" i="1"/>
  <c r="BF389" i="1"/>
  <c r="BG389" i="1"/>
  <c r="BH389" i="1"/>
  <c r="BI389" i="1"/>
  <c r="BJ389" i="1"/>
  <c r="BK389" i="1"/>
  <c r="BN389" i="1"/>
  <c r="BO389" i="1"/>
  <c r="BP389" i="1"/>
  <c r="BR389" i="1"/>
  <c r="BT389" i="1" s="1"/>
  <c r="BU389" i="1"/>
  <c r="CG389" i="1"/>
  <c r="CK389" i="1"/>
  <c r="CO389" i="1"/>
  <c r="CS389" i="1"/>
  <c r="DD389" i="1"/>
  <c r="DF389" i="1"/>
  <c r="F390" i="1"/>
  <c r="BW390" i="1"/>
  <c r="G390" i="1"/>
  <c r="BX390" i="1"/>
  <c r="H390" i="1"/>
  <c r="BY390" i="1"/>
  <c r="I390" i="1"/>
  <c r="CA390" i="1"/>
  <c r="J390" i="1"/>
  <c r="BZ390" i="1"/>
  <c r="AM390" i="1"/>
  <c r="AO390" i="1"/>
  <c r="M394" i="10" s="1"/>
  <c r="AP390" i="1"/>
  <c r="AQ390" i="1"/>
  <c r="A390" i="1"/>
  <c r="A394" i="10" s="1"/>
  <c r="AR390" i="1"/>
  <c r="AS390" i="1" s="1"/>
  <c r="AT390" i="1"/>
  <c r="AV390" i="1"/>
  <c r="AW390" i="1"/>
  <c r="AX390" i="1"/>
  <c r="AY390" i="1"/>
  <c r="AZ390" i="1"/>
  <c r="BA390" i="1"/>
  <c r="BB390" i="1"/>
  <c r="BC390" i="1"/>
  <c r="BE390" i="1"/>
  <c r="BF390" i="1"/>
  <c r="BG390" i="1"/>
  <c r="BH390" i="1"/>
  <c r="BI390" i="1"/>
  <c r="BJ390" i="1"/>
  <c r="BK390" i="1" s="1"/>
  <c r="BN390" i="1"/>
  <c r="BO390" i="1"/>
  <c r="BR390" i="1"/>
  <c r="BT390" i="1" s="1"/>
  <c r="BU390" i="1"/>
  <c r="CG390" i="1"/>
  <c r="CK390" i="1"/>
  <c r="CT390" i="1" s="1"/>
  <c r="CU390" i="1" s="1"/>
  <c r="CX390" i="1" s="1"/>
  <c r="CO390" i="1"/>
  <c r="CS390" i="1"/>
  <c r="DD390" i="1"/>
  <c r="F391" i="1"/>
  <c r="BW391" i="1" s="1"/>
  <c r="G391" i="1"/>
  <c r="BX391" i="1" s="1"/>
  <c r="H391" i="1"/>
  <c r="BY391" i="1"/>
  <c r="I391" i="1"/>
  <c r="CA391" i="1" s="1"/>
  <c r="J391" i="1"/>
  <c r="BZ391" i="1"/>
  <c r="AM391" i="1"/>
  <c r="AO391" i="1"/>
  <c r="M395" i="10"/>
  <c r="AP391" i="1"/>
  <c r="AQ391" i="1"/>
  <c r="A391" i="1" s="1"/>
  <c r="A395" i="10" s="1"/>
  <c r="AR391" i="1"/>
  <c r="AS391" i="1"/>
  <c r="AT391" i="1"/>
  <c r="AV391" i="1"/>
  <c r="AW391" i="1"/>
  <c r="AX391" i="1"/>
  <c r="AY391" i="1"/>
  <c r="AZ391" i="1"/>
  <c r="BA391" i="1"/>
  <c r="BB391" i="1"/>
  <c r="BC391" i="1"/>
  <c r="BE391" i="1"/>
  <c r="BF391" i="1"/>
  <c r="BG391" i="1"/>
  <c r="BH391" i="1"/>
  <c r="BI391" i="1"/>
  <c r="BJ391" i="1"/>
  <c r="BK391" i="1"/>
  <c r="BN391" i="1"/>
  <c r="BO391" i="1"/>
  <c r="BP391" i="1" s="1"/>
  <c r="BR391" i="1"/>
  <c r="BT391" i="1" s="1"/>
  <c r="BU391" i="1"/>
  <c r="CG391" i="1"/>
  <c r="CK391" i="1"/>
  <c r="CO391" i="1"/>
  <c r="CS391" i="1"/>
  <c r="DD391" i="1"/>
  <c r="DE391" i="1" s="1"/>
  <c r="F392" i="1"/>
  <c r="BW392" i="1"/>
  <c r="G392" i="1"/>
  <c r="BX392" i="1" s="1"/>
  <c r="H392" i="1"/>
  <c r="BY392" i="1"/>
  <c r="I392" i="1"/>
  <c r="CA392" i="1" s="1"/>
  <c r="J392" i="1"/>
  <c r="BZ392" i="1"/>
  <c r="AM392" i="1"/>
  <c r="AO392" i="1"/>
  <c r="M396" i="10" s="1"/>
  <c r="AP392" i="1"/>
  <c r="AQ392" i="1"/>
  <c r="A392" i="1" s="1"/>
  <c r="A396" i="10" s="1"/>
  <c r="AR392" i="1"/>
  <c r="AS392" i="1"/>
  <c r="AT392" i="1"/>
  <c r="AV392" i="1"/>
  <c r="AW392" i="1"/>
  <c r="AX392" i="1"/>
  <c r="AY392" i="1"/>
  <c r="AZ392" i="1"/>
  <c r="BA392" i="1"/>
  <c r="BB392" i="1"/>
  <c r="BC392" i="1"/>
  <c r="BE392" i="1"/>
  <c r="BF392" i="1"/>
  <c r="BG392" i="1"/>
  <c r="BH392" i="1"/>
  <c r="BI392" i="1"/>
  <c r="BJ392" i="1"/>
  <c r="BK392" i="1"/>
  <c r="BN392" i="1"/>
  <c r="BO392" i="1"/>
  <c r="BP392" i="1"/>
  <c r="BR392" i="1"/>
  <c r="BU392" i="1"/>
  <c r="CG392" i="1"/>
  <c r="CK392" i="1"/>
  <c r="CO392" i="1"/>
  <c r="CS392" i="1"/>
  <c r="DD392" i="1"/>
  <c r="F393" i="1"/>
  <c r="BW393" i="1"/>
  <c r="G393" i="1"/>
  <c r="BX393" i="1" s="1"/>
  <c r="H393" i="1"/>
  <c r="BY393" i="1" s="1"/>
  <c r="I393" i="1"/>
  <c r="CA393" i="1" s="1"/>
  <c r="J393" i="1"/>
  <c r="BZ393" i="1" s="1"/>
  <c r="AM393" i="1"/>
  <c r="AO393" i="1"/>
  <c r="M397" i="10"/>
  <c r="AP393" i="1"/>
  <c r="AQ393" i="1"/>
  <c r="A393" i="1" s="1"/>
  <c r="A397" i="10"/>
  <c r="AR393" i="1"/>
  <c r="AS393" i="1" s="1"/>
  <c r="AT393" i="1"/>
  <c r="AV393" i="1"/>
  <c r="AW393" i="1"/>
  <c r="AX393" i="1"/>
  <c r="AY393" i="1"/>
  <c r="AZ393" i="1"/>
  <c r="BA393" i="1"/>
  <c r="BB393" i="1"/>
  <c r="BC393" i="1"/>
  <c r="BE393" i="1"/>
  <c r="BF393" i="1"/>
  <c r="BG393" i="1"/>
  <c r="BH393" i="1"/>
  <c r="BI393" i="1"/>
  <c r="BJ393" i="1"/>
  <c r="BK393" i="1" s="1"/>
  <c r="BN393" i="1"/>
  <c r="BO393" i="1"/>
  <c r="BP393" i="1"/>
  <c r="BS393" i="1" s="1"/>
  <c r="BR393" i="1"/>
  <c r="BT393" i="1" s="1"/>
  <c r="BU393" i="1"/>
  <c r="CG393" i="1"/>
  <c r="CK393" i="1"/>
  <c r="CT393" i="1" s="1"/>
  <c r="CO393" i="1"/>
  <c r="CS393" i="1"/>
  <c r="DD393" i="1"/>
  <c r="DF393" i="1"/>
  <c r="AM394" i="1"/>
  <c r="AO394" i="1"/>
  <c r="M398" i="10"/>
  <c r="AP394" i="1"/>
  <c r="AQ394" i="1"/>
  <c r="A394" i="1"/>
  <c r="A398" i="10"/>
  <c r="AR394" i="1"/>
  <c r="AS394" i="1" s="1"/>
  <c r="AT394" i="1"/>
  <c r="AV394" i="1"/>
  <c r="AW394" i="1"/>
  <c r="AX394" i="1"/>
  <c r="AY394" i="1"/>
  <c r="AZ394" i="1"/>
  <c r="BA394" i="1"/>
  <c r="BB394" i="1"/>
  <c r="BC394" i="1"/>
  <c r="BE394" i="1"/>
  <c r="BF394" i="1"/>
  <c r="BG394" i="1"/>
  <c r="BH394" i="1"/>
  <c r="BI394" i="1"/>
  <c r="BJ394" i="1"/>
  <c r="BK394" i="1" s="1"/>
  <c r="BN394" i="1"/>
  <c r="BO394" i="1"/>
  <c r="BP394" i="1" s="1"/>
  <c r="BR394" i="1"/>
  <c r="BS394" i="1"/>
  <c r="BU394" i="1"/>
  <c r="BW394" i="1"/>
  <c r="BX394" i="1"/>
  <c r="BY394" i="1"/>
  <c r="BZ394" i="1"/>
  <c r="CA394" i="1"/>
  <c r="CG394" i="1"/>
  <c r="CK394" i="1"/>
  <c r="CT394" i="1" s="1"/>
  <c r="CO394" i="1"/>
  <c r="CS394" i="1"/>
  <c r="DD394" i="1"/>
  <c r="DE394" i="1"/>
  <c r="F395" i="1"/>
  <c r="BW395" i="1" s="1"/>
  <c r="G395" i="1"/>
  <c r="BX395" i="1"/>
  <c r="H395" i="1"/>
  <c r="BY395" i="1" s="1"/>
  <c r="I395" i="1"/>
  <c r="CA395" i="1"/>
  <c r="J395" i="1"/>
  <c r="BZ395" i="1" s="1"/>
  <c r="AM395" i="1"/>
  <c r="AO395" i="1"/>
  <c r="M399" i="10" s="1"/>
  <c r="AP395" i="1"/>
  <c r="AQ395" i="1"/>
  <c r="A395" i="1"/>
  <c r="A399" i="10" s="1"/>
  <c r="AR395" i="1"/>
  <c r="AS395" i="1" s="1"/>
  <c r="AT395" i="1"/>
  <c r="AV395" i="1"/>
  <c r="AW395" i="1"/>
  <c r="AX395" i="1"/>
  <c r="AY395" i="1"/>
  <c r="AZ395" i="1"/>
  <c r="BA395" i="1"/>
  <c r="BB395" i="1"/>
  <c r="BC395" i="1"/>
  <c r="BE395" i="1"/>
  <c r="BF395" i="1"/>
  <c r="BG395" i="1"/>
  <c r="BH395" i="1"/>
  <c r="BI395" i="1"/>
  <c r="BJ395" i="1"/>
  <c r="BK395" i="1" s="1"/>
  <c r="BN395" i="1"/>
  <c r="BO395" i="1"/>
  <c r="BP395" i="1"/>
  <c r="BR395" i="1"/>
  <c r="BU395" i="1"/>
  <c r="CG395" i="1"/>
  <c r="CK395" i="1"/>
  <c r="CO395" i="1"/>
  <c r="CS395" i="1"/>
  <c r="DD395" i="1"/>
  <c r="DE395" i="1"/>
  <c r="F396" i="1"/>
  <c r="BW396" i="1"/>
  <c r="G396" i="1"/>
  <c r="BX396" i="1"/>
  <c r="H396" i="1"/>
  <c r="BY396" i="1"/>
  <c r="I396" i="1"/>
  <c r="CA396" i="1"/>
  <c r="J396" i="1"/>
  <c r="BZ396" i="1"/>
  <c r="AM396" i="1"/>
  <c r="AO396" i="1"/>
  <c r="M400" i="10" s="1"/>
  <c r="AP396" i="1"/>
  <c r="AQ396" i="1"/>
  <c r="A396" i="1"/>
  <c r="A400" i="10" s="1"/>
  <c r="AR396" i="1"/>
  <c r="AS396" i="1" s="1"/>
  <c r="AT396" i="1"/>
  <c r="AV396" i="1"/>
  <c r="AW396" i="1"/>
  <c r="AX396" i="1"/>
  <c r="AY396" i="1"/>
  <c r="AZ396" i="1"/>
  <c r="BA396" i="1"/>
  <c r="BB396" i="1"/>
  <c r="BC396" i="1"/>
  <c r="BE396" i="1"/>
  <c r="BF396" i="1"/>
  <c r="BG396" i="1"/>
  <c r="BH396" i="1"/>
  <c r="BI396" i="1"/>
  <c r="BJ396" i="1"/>
  <c r="BK396" i="1" s="1"/>
  <c r="BN396" i="1"/>
  <c r="BO396" i="1"/>
  <c r="BP396" i="1"/>
  <c r="BR396" i="1"/>
  <c r="BU396" i="1"/>
  <c r="CG396" i="1"/>
  <c r="CK396" i="1"/>
  <c r="CO396" i="1"/>
  <c r="CS396" i="1"/>
  <c r="DD396" i="1"/>
  <c r="F397" i="1"/>
  <c r="BW397" i="1" s="1"/>
  <c r="G397" i="1"/>
  <c r="BX397" i="1" s="1"/>
  <c r="H397" i="1"/>
  <c r="BY397" i="1"/>
  <c r="I397" i="1"/>
  <c r="CA397" i="1" s="1"/>
  <c r="J397" i="1"/>
  <c r="BZ397" i="1"/>
  <c r="AM397" i="1"/>
  <c r="AO397" i="1"/>
  <c r="M401" i="10"/>
  <c r="AP397" i="1"/>
  <c r="AQ397" i="1"/>
  <c r="A397" i="1" s="1"/>
  <c r="A401" i="10" s="1"/>
  <c r="AR397" i="1"/>
  <c r="AS397" i="1"/>
  <c r="AT397" i="1"/>
  <c r="AV397" i="1"/>
  <c r="AW397" i="1"/>
  <c r="AX397" i="1"/>
  <c r="AY397" i="1"/>
  <c r="AZ397" i="1"/>
  <c r="BA397" i="1"/>
  <c r="BB397" i="1"/>
  <c r="BC397" i="1"/>
  <c r="BE397" i="1"/>
  <c r="BF397" i="1"/>
  <c r="BG397" i="1"/>
  <c r="BH397" i="1"/>
  <c r="BI397" i="1"/>
  <c r="BJ397" i="1"/>
  <c r="BK397" i="1"/>
  <c r="BN397" i="1"/>
  <c r="BO397" i="1"/>
  <c r="BP397" i="1" s="1"/>
  <c r="BR397" i="1"/>
  <c r="BT397" i="1" s="1"/>
  <c r="BU397" i="1"/>
  <c r="CG397" i="1"/>
  <c r="CK397" i="1"/>
  <c r="CO397" i="1"/>
  <c r="CS397" i="1"/>
  <c r="DD397" i="1"/>
  <c r="DE397" i="1" s="1"/>
  <c r="F398" i="1"/>
  <c r="BW398" i="1"/>
  <c r="G398" i="1"/>
  <c r="BX398" i="1" s="1"/>
  <c r="H398" i="1"/>
  <c r="BY398" i="1"/>
  <c r="I398" i="1"/>
  <c r="CA398" i="1" s="1"/>
  <c r="J398" i="1"/>
  <c r="BZ398" i="1"/>
  <c r="AM398" i="1"/>
  <c r="AO398" i="1"/>
  <c r="M402" i="10" s="1"/>
  <c r="AP398" i="1"/>
  <c r="AQ398" i="1"/>
  <c r="A398" i="1" s="1"/>
  <c r="A402" i="10" s="1"/>
  <c r="AR398" i="1"/>
  <c r="AS398" i="1"/>
  <c r="AT398" i="1"/>
  <c r="AV398" i="1"/>
  <c r="AW398" i="1"/>
  <c r="AX398" i="1"/>
  <c r="AY398" i="1"/>
  <c r="AZ398" i="1"/>
  <c r="BA398" i="1"/>
  <c r="BB398" i="1"/>
  <c r="BC398" i="1"/>
  <c r="BE398" i="1"/>
  <c r="BF398" i="1"/>
  <c r="BG398" i="1"/>
  <c r="BH398" i="1"/>
  <c r="BI398" i="1"/>
  <c r="BJ398" i="1"/>
  <c r="BK398" i="1"/>
  <c r="BN398" i="1"/>
  <c r="BO398" i="1"/>
  <c r="BP398" i="1"/>
  <c r="BR398" i="1"/>
  <c r="BT398" i="1"/>
  <c r="BU398" i="1"/>
  <c r="CG398" i="1"/>
  <c r="CK398" i="1"/>
  <c r="CO398" i="1"/>
  <c r="CS398" i="1"/>
  <c r="DD398" i="1"/>
  <c r="DF398" i="1"/>
  <c r="F399" i="1"/>
  <c r="BW399" i="1" s="1"/>
  <c r="G399" i="1"/>
  <c r="BX399" i="1" s="1"/>
  <c r="H399" i="1"/>
  <c r="BY399" i="1" s="1"/>
  <c r="I399" i="1"/>
  <c r="CA399" i="1" s="1"/>
  <c r="J399" i="1"/>
  <c r="BZ399" i="1" s="1"/>
  <c r="AM399" i="1"/>
  <c r="AO399" i="1"/>
  <c r="M404" i="10" s="1"/>
  <c r="AP399" i="1"/>
  <c r="AQ399" i="1"/>
  <c r="A399" i="1"/>
  <c r="A404" i="10" s="1"/>
  <c r="AR399" i="1"/>
  <c r="AS399" i="1"/>
  <c r="AT399" i="1"/>
  <c r="AV399" i="1"/>
  <c r="AW399" i="1"/>
  <c r="AX399" i="1"/>
  <c r="AY399" i="1"/>
  <c r="AZ399" i="1"/>
  <c r="BA399" i="1"/>
  <c r="BB399" i="1"/>
  <c r="BC399" i="1"/>
  <c r="BE399" i="1"/>
  <c r="BF399" i="1"/>
  <c r="BG399" i="1"/>
  <c r="BH399" i="1"/>
  <c r="BI399" i="1"/>
  <c r="BJ399" i="1"/>
  <c r="BK399" i="1"/>
  <c r="BN399" i="1"/>
  <c r="BO399" i="1"/>
  <c r="BP399" i="1" s="1"/>
  <c r="BR399" i="1"/>
  <c r="BU399" i="1"/>
  <c r="CG399" i="1"/>
  <c r="CK399" i="1"/>
  <c r="CO399" i="1"/>
  <c r="CS399" i="1"/>
  <c r="DD399" i="1"/>
  <c r="F400" i="1"/>
  <c r="BW400" i="1"/>
  <c r="G400" i="1"/>
  <c r="BX400" i="1"/>
  <c r="H400" i="1"/>
  <c r="BY400" i="1"/>
  <c r="I400" i="1"/>
  <c r="CA400" i="1"/>
  <c r="J400" i="1"/>
  <c r="BZ400" i="1"/>
  <c r="AM400" i="1"/>
  <c r="AO400" i="1"/>
  <c r="M403" i="10" s="1"/>
  <c r="AP400" i="1"/>
  <c r="AQ400" i="1"/>
  <c r="A400" i="1"/>
  <c r="A403" i="10" s="1"/>
  <c r="AR400" i="1"/>
  <c r="AS400" i="1" s="1"/>
  <c r="AT400" i="1"/>
  <c r="AV400" i="1"/>
  <c r="AW400" i="1"/>
  <c r="AX400" i="1"/>
  <c r="AY400" i="1"/>
  <c r="AZ400" i="1"/>
  <c r="BA400" i="1"/>
  <c r="BB400" i="1"/>
  <c r="BC400" i="1"/>
  <c r="BE400" i="1"/>
  <c r="BF400" i="1"/>
  <c r="BG400" i="1"/>
  <c r="BH400" i="1"/>
  <c r="BI400" i="1"/>
  <c r="BJ400" i="1"/>
  <c r="BK400" i="1" s="1"/>
  <c r="BN400" i="1"/>
  <c r="BO400" i="1"/>
  <c r="BP400" i="1"/>
  <c r="BR400" i="1"/>
  <c r="BT400" i="1" s="1"/>
  <c r="BU400" i="1"/>
  <c r="CG400" i="1"/>
  <c r="CK400" i="1"/>
  <c r="CO400" i="1"/>
  <c r="CS400" i="1"/>
  <c r="DD400" i="1"/>
  <c r="DF400" i="1" s="1"/>
  <c r="F401" i="1"/>
  <c r="BW401" i="1" s="1"/>
  <c r="G401" i="1"/>
  <c r="BX401" i="1"/>
  <c r="H401" i="1"/>
  <c r="BY401" i="1" s="1"/>
  <c r="I401" i="1"/>
  <c r="CA401" i="1"/>
  <c r="J401" i="1"/>
  <c r="BZ401" i="1" s="1"/>
  <c r="AM401" i="1"/>
  <c r="AO401" i="1"/>
  <c r="M407" i="10"/>
  <c r="AP401" i="1"/>
  <c r="AQ401" i="1"/>
  <c r="A401" i="1" s="1"/>
  <c r="A407" i="10" s="1"/>
  <c r="AR401" i="1"/>
  <c r="AS401" i="1"/>
  <c r="AT401" i="1"/>
  <c r="AV401" i="1"/>
  <c r="AW401" i="1"/>
  <c r="AX401" i="1"/>
  <c r="AY401" i="1"/>
  <c r="AZ401" i="1"/>
  <c r="BA401" i="1"/>
  <c r="BB401" i="1"/>
  <c r="BC401" i="1"/>
  <c r="BE401" i="1"/>
  <c r="BF401" i="1"/>
  <c r="BG401" i="1"/>
  <c r="BH401" i="1"/>
  <c r="BI401" i="1"/>
  <c r="BJ401" i="1"/>
  <c r="BK401" i="1"/>
  <c r="BN401" i="1"/>
  <c r="BO401" i="1"/>
  <c r="BP401" i="1" s="1"/>
  <c r="BR401" i="1"/>
  <c r="BT401" i="1" s="1"/>
  <c r="BU401" i="1"/>
  <c r="CG401" i="1"/>
  <c r="CK401" i="1"/>
  <c r="CO401" i="1"/>
  <c r="CS401" i="1"/>
  <c r="DD401" i="1"/>
  <c r="DF401" i="1"/>
  <c r="F402" i="1"/>
  <c r="BW402" i="1" s="1"/>
  <c r="G402" i="1"/>
  <c r="BX402" i="1"/>
  <c r="H402" i="1"/>
  <c r="BY402" i="1" s="1"/>
  <c r="I402" i="1"/>
  <c r="CA402" i="1"/>
  <c r="J402" i="1"/>
  <c r="BZ402" i="1" s="1"/>
  <c r="AM402" i="1"/>
  <c r="AO402" i="1"/>
  <c r="AP402" i="1"/>
  <c r="AQ402" i="1"/>
  <c r="A402" i="1" s="1"/>
  <c r="AR402" i="1"/>
  <c r="AS402" i="1"/>
  <c r="AT402" i="1"/>
  <c r="AV402" i="1"/>
  <c r="AW402" i="1"/>
  <c r="AX402" i="1"/>
  <c r="AY402" i="1"/>
  <c r="AZ402" i="1"/>
  <c r="BA402" i="1"/>
  <c r="BB402" i="1"/>
  <c r="BC402" i="1"/>
  <c r="BE402" i="1"/>
  <c r="BF402" i="1"/>
  <c r="BG402" i="1"/>
  <c r="BH402" i="1"/>
  <c r="BI402" i="1"/>
  <c r="BJ402" i="1"/>
  <c r="BK402" i="1"/>
  <c r="BN402" i="1"/>
  <c r="BO402" i="1"/>
  <c r="BP402" i="1"/>
  <c r="BR402" i="1"/>
  <c r="BT402" i="1" s="1"/>
  <c r="BU402" i="1"/>
  <c r="CG402" i="1"/>
  <c r="CK402" i="1"/>
  <c r="CO402" i="1"/>
  <c r="CS402" i="1"/>
  <c r="DD402" i="1"/>
  <c r="F403" i="1"/>
  <c r="BW403" i="1" s="1"/>
  <c r="G403" i="1"/>
  <c r="BX403" i="1" s="1"/>
  <c r="H403" i="1"/>
  <c r="BY403" i="1" s="1"/>
  <c r="I403" i="1"/>
  <c r="CA403" i="1" s="1"/>
  <c r="J403" i="1"/>
  <c r="BZ403" i="1" s="1"/>
  <c r="AM403" i="1"/>
  <c r="AO403" i="1"/>
  <c r="M406" i="10" s="1"/>
  <c r="AP403" i="1"/>
  <c r="AQ403" i="1"/>
  <c r="A403" i="1"/>
  <c r="A406" i="10" s="1"/>
  <c r="AR403" i="1"/>
  <c r="AS403" i="1"/>
  <c r="AT403" i="1"/>
  <c r="AV403" i="1"/>
  <c r="AW403" i="1"/>
  <c r="AX403" i="1"/>
  <c r="AY403" i="1"/>
  <c r="AZ403" i="1"/>
  <c r="BA403" i="1"/>
  <c r="BB403" i="1"/>
  <c r="BC403" i="1"/>
  <c r="BE403" i="1"/>
  <c r="BF403" i="1"/>
  <c r="BG403" i="1"/>
  <c r="BH403" i="1"/>
  <c r="BI403" i="1"/>
  <c r="BJ403" i="1"/>
  <c r="BK403" i="1"/>
  <c r="BN403" i="1"/>
  <c r="BO403" i="1"/>
  <c r="BP403" i="1" s="1"/>
  <c r="BR403" i="1"/>
  <c r="BU403" i="1"/>
  <c r="CG403" i="1"/>
  <c r="CK403" i="1"/>
  <c r="CO403" i="1"/>
  <c r="CS403" i="1"/>
  <c r="DD403" i="1"/>
  <c r="DF403" i="1" s="1"/>
  <c r="F404" i="1"/>
  <c r="BW404" i="1" s="1"/>
  <c r="G404" i="1"/>
  <c r="BX404" i="1" s="1"/>
  <c r="H404" i="1"/>
  <c r="BY404" i="1" s="1"/>
  <c r="I404" i="1"/>
  <c r="CA404" i="1" s="1"/>
  <c r="J404" i="1"/>
  <c r="BZ404" i="1"/>
  <c r="AM404" i="1"/>
  <c r="AO404" i="1"/>
  <c r="AP404" i="1"/>
  <c r="AQ404" i="1"/>
  <c r="A404" i="1" s="1"/>
  <c r="A409" i="10" s="1"/>
  <c r="AR404" i="1"/>
  <c r="AS404" i="1"/>
  <c r="AT404" i="1"/>
  <c r="AV404" i="1"/>
  <c r="AW404" i="1"/>
  <c r="AX404" i="1"/>
  <c r="AY404" i="1"/>
  <c r="AZ404" i="1"/>
  <c r="BA404" i="1"/>
  <c r="BB404" i="1"/>
  <c r="BC404" i="1"/>
  <c r="BE404" i="1"/>
  <c r="BF404" i="1"/>
  <c r="BG404" i="1"/>
  <c r="BH404" i="1"/>
  <c r="BI404" i="1"/>
  <c r="BJ404" i="1"/>
  <c r="BK404" i="1"/>
  <c r="BN404" i="1"/>
  <c r="BO404" i="1"/>
  <c r="BP404" i="1"/>
  <c r="BR404" i="1"/>
  <c r="BS404" i="1"/>
  <c r="BU404" i="1"/>
  <c r="CG404" i="1"/>
  <c r="CK404" i="1"/>
  <c r="CO404" i="1"/>
  <c r="CS404" i="1"/>
  <c r="DD404" i="1"/>
  <c r="F405" i="1"/>
  <c r="BW405" i="1"/>
  <c r="G405" i="1"/>
  <c r="BX405" i="1"/>
  <c r="H405" i="1"/>
  <c r="BY405" i="1"/>
  <c r="I405" i="1"/>
  <c r="CA405" i="1"/>
  <c r="J405" i="1"/>
  <c r="BZ405" i="1"/>
  <c r="AM405" i="1"/>
  <c r="AO405" i="1"/>
  <c r="M410" i="10"/>
  <c r="AP405" i="1"/>
  <c r="AQ405" i="1"/>
  <c r="A405" i="1"/>
  <c r="AR405" i="1"/>
  <c r="AS405" i="1"/>
  <c r="AT405" i="1"/>
  <c r="AV405" i="1"/>
  <c r="AW405" i="1"/>
  <c r="AX405" i="1"/>
  <c r="AY405" i="1"/>
  <c r="AZ405" i="1"/>
  <c r="BA405" i="1"/>
  <c r="BB405" i="1"/>
  <c r="BC405" i="1"/>
  <c r="BE405" i="1"/>
  <c r="BF405" i="1"/>
  <c r="BG405" i="1"/>
  <c r="BH405" i="1"/>
  <c r="BI405" i="1"/>
  <c r="BJ405" i="1"/>
  <c r="BK405" i="1"/>
  <c r="BN405" i="1"/>
  <c r="BO405" i="1"/>
  <c r="BP405" i="1"/>
  <c r="BR405" i="1"/>
  <c r="BU405" i="1"/>
  <c r="CG405" i="1"/>
  <c r="CK405" i="1"/>
  <c r="CO405" i="1"/>
  <c r="CS405" i="1"/>
  <c r="DD405" i="1"/>
  <c r="F406" i="1"/>
  <c r="BW406" i="1" s="1"/>
  <c r="G406" i="1"/>
  <c r="BX406" i="1" s="1"/>
  <c r="H406" i="1"/>
  <c r="BY406" i="1" s="1"/>
  <c r="I406" i="1"/>
  <c r="CA406" i="1"/>
  <c r="J406" i="1"/>
  <c r="BZ406" i="1" s="1"/>
  <c r="AM406" i="1"/>
  <c r="AO406" i="1"/>
  <c r="M412" i="10"/>
  <c r="AP406" i="1"/>
  <c r="AQ406" i="1"/>
  <c r="A406" i="1"/>
  <c r="A412" i="10"/>
  <c r="AR406" i="1"/>
  <c r="AS406" i="1"/>
  <c r="AT406" i="1"/>
  <c r="AV406" i="1"/>
  <c r="AW406" i="1"/>
  <c r="AX406" i="1"/>
  <c r="AY406" i="1"/>
  <c r="AZ406" i="1"/>
  <c r="BA406" i="1"/>
  <c r="BB406" i="1"/>
  <c r="BC406" i="1"/>
  <c r="BE406" i="1"/>
  <c r="BF406" i="1"/>
  <c r="BG406" i="1"/>
  <c r="BH406" i="1"/>
  <c r="BI406" i="1"/>
  <c r="BJ406" i="1"/>
  <c r="BK406" i="1"/>
  <c r="BN406" i="1"/>
  <c r="BO406" i="1"/>
  <c r="BR406" i="1"/>
  <c r="BT406" i="1"/>
  <c r="BU406" i="1"/>
  <c r="CG406" i="1"/>
  <c r="CK406" i="1"/>
  <c r="CO406" i="1"/>
  <c r="CS406" i="1"/>
  <c r="DD406" i="1"/>
  <c r="DF406" i="1" s="1"/>
  <c r="F407" i="1"/>
  <c r="BW407" i="1"/>
  <c r="G407" i="1"/>
  <c r="BX407" i="1"/>
  <c r="H407" i="1"/>
  <c r="BY407" i="1"/>
  <c r="I407" i="1"/>
  <c r="CA407" i="1"/>
  <c r="J407" i="1"/>
  <c r="BZ407" i="1"/>
  <c r="AM407" i="1"/>
  <c r="AO407" i="1"/>
  <c r="M415" i="10" s="1"/>
  <c r="AP407" i="1"/>
  <c r="AQ407" i="1"/>
  <c r="A407" i="1"/>
  <c r="A415" i="10" s="1"/>
  <c r="AR407" i="1"/>
  <c r="AS407" i="1" s="1"/>
  <c r="AT407" i="1"/>
  <c r="AV407" i="1"/>
  <c r="AW407" i="1"/>
  <c r="AX407" i="1"/>
  <c r="AY407" i="1"/>
  <c r="AZ407" i="1"/>
  <c r="BA407" i="1"/>
  <c r="BB407" i="1"/>
  <c r="BC407" i="1"/>
  <c r="BE407" i="1"/>
  <c r="BF407" i="1"/>
  <c r="BG407" i="1"/>
  <c r="BH407" i="1"/>
  <c r="BI407" i="1"/>
  <c r="BJ407" i="1"/>
  <c r="BK407" i="1" s="1"/>
  <c r="BN407" i="1"/>
  <c r="BO407" i="1"/>
  <c r="BP407" i="1"/>
  <c r="BS407" i="1" s="1"/>
  <c r="BR407" i="1"/>
  <c r="BU407" i="1"/>
  <c r="CG407" i="1"/>
  <c r="CK407" i="1"/>
  <c r="CO407" i="1"/>
  <c r="CS407" i="1"/>
  <c r="DD407" i="1"/>
  <c r="F408" i="1"/>
  <c r="BW408" i="1" s="1"/>
  <c r="G408" i="1"/>
  <c r="BX408" i="1"/>
  <c r="H408" i="1"/>
  <c r="BY408" i="1" s="1"/>
  <c r="I408" i="1"/>
  <c r="CA408" i="1"/>
  <c r="J408" i="1"/>
  <c r="BZ408" i="1" s="1"/>
  <c r="AM408" i="1"/>
  <c r="AO408" i="1"/>
  <c r="M414" i="10" s="1"/>
  <c r="AP408" i="1"/>
  <c r="AQ408" i="1"/>
  <c r="A408" i="1"/>
  <c r="A414" i="10" s="1"/>
  <c r="AR408" i="1"/>
  <c r="AS408" i="1"/>
  <c r="AT408" i="1"/>
  <c r="AV408" i="1"/>
  <c r="AW408" i="1"/>
  <c r="AX408" i="1"/>
  <c r="AY408" i="1"/>
  <c r="AZ408" i="1"/>
  <c r="BA408" i="1"/>
  <c r="BB408" i="1"/>
  <c r="BC408" i="1"/>
  <c r="BE408" i="1"/>
  <c r="BF408" i="1"/>
  <c r="BG408" i="1"/>
  <c r="BH408" i="1"/>
  <c r="BI408" i="1"/>
  <c r="BJ408" i="1"/>
  <c r="BK408" i="1"/>
  <c r="BN408" i="1"/>
  <c r="BO408" i="1"/>
  <c r="BP408" i="1" s="1"/>
  <c r="BS408" i="1" s="1"/>
  <c r="BR408" i="1"/>
  <c r="BU408" i="1"/>
  <c r="CG408" i="1"/>
  <c r="CK408" i="1"/>
  <c r="CO408" i="1"/>
  <c r="CS408" i="1"/>
  <c r="DD408" i="1"/>
  <c r="DF408" i="1" s="1"/>
  <c r="F409" i="1"/>
  <c r="BW409" i="1"/>
  <c r="G409" i="1"/>
  <c r="BX409" i="1" s="1"/>
  <c r="H409" i="1"/>
  <c r="BY409" i="1"/>
  <c r="I409" i="1"/>
  <c r="CA409" i="1" s="1"/>
  <c r="J409" i="1"/>
  <c r="BZ409" i="1"/>
  <c r="AM409" i="1"/>
  <c r="AO409" i="1"/>
  <c r="M413" i="10"/>
  <c r="AP409" i="1"/>
  <c r="AQ409" i="1"/>
  <c r="A409" i="1" s="1"/>
  <c r="A413" i="10" s="1"/>
  <c r="AR409" i="1"/>
  <c r="AS409" i="1" s="1"/>
  <c r="AT409" i="1"/>
  <c r="AV409" i="1"/>
  <c r="AW409" i="1"/>
  <c r="AX409" i="1"/>
  <c r="AY409" i="1"/>
  <c r="AZ409" i="1"/>
  <c r="BA409" i="1"/>
  <c r="BB409" i="1"/>
  <c r="BC409" i="1"/>
  <c r="BE409" i="1"/>
  <c r="BF409" i="1"/>
  <c r="BG409" i="1"/>
  <c r="BH409" i="1"/>
  <c r="BI409" i="1"/>
  <c r="BJ409" i="1"/>
  <c r="BK409" i="1" s="1"/>
  <c r="BN409" i="1"/>
  <c r="BO409" i="1"/>
  <c r="BP409" i="1"/>
  <c r="BR409" i="1"/>
  <c r="BU409" i="1"/>
  <c r="CG409" i="1"/>
  <c r="CK409" i="1"/>
  <c r="CO409" i="1"/>
  <c r="CS409" i="1"/>
  <c r="DD409" i="1"/>
  <c r="F410" i="1"/>
  <c r="BW410" i="1" s="1"/>
  <c r="G410" i="1"/>
  <c r="BX410" i="1"/>
  <c r="H410" i="1"/>
  <c r="BY410" i="1" s="1"/>
  <c r="I410" i="1"/>
  <c r="CA410" i="1"/>
  <c r="J410" i="1"/>
  <c r="BZ410" i="1" s="1"/>
  <c r="AM410" i="1"/>
  <c r="AO410" i="1"/>
  <c r="AP410" i="1"/>
  <c r="AQ410" i="1"/>
  <c r="A410" i="1" s="1"/>
  <c r="AR410" i="1"/>
  <c r="AS410" i="1"/>
  <c r="AT410" i="1"/>
  <c r="AV410" i="1"/>
  <c r="AW410" i="1"/>
  <c r="AX410" i="1"/>
  <c r="AY410" i="1"/>
  <c r="AZ410" i="1"/>
  <c r="BA410" i="1"/>
  <c r="BB410" i="1"/>
  <c r="BC410" i="1"/>
  <c r="BE410" i="1"/>
  <c r="BF410" i="1"/>
  <c r="BG410" i="1"/>
  <c r="BH410" i="1"/>
  <c r="BI410" i="1"/>
  <c r="BJ410" i="1"/>
  <c r="BK410" i="1"/>
  <c r="BN410" i="1"/>
  <c r="BO410" i="1"/>
  <c r="BR410" i="1"/>
  <c r="BU410" i="1"/>
  <c r="CG410" i="1"/>
  <c r="CK410" i="1"/>
  <c r="CO410" i="1"/>
  <c r="CS410" i="1"/>
  <c r="CT410" i="1" s="1"/>
  <c r="DD410" i="1"/>
  <c r="DE410" i="1" s="1"/>
  <c r="F411" i="1"/>
  <c r="BW411" i="1"/>
  <c r="G411" i="1"/>
  <c r="BX411" i="1" s="1"/>
  <c r="H411" i="1"/>
  <c r="BY411" i="1"/>
  <c r="I411" i="1"/>
  <c r="CA411" i="1" s="1"/>
  <c r="J411" i="1"/>
  <c r="BZ411" i="1"/>
  <c r="AM411" i="1"/>
  <c r="AO411" i="1"/>
  <c r="AP411" i="1"/>
  <c r="AQ411" i="1"/>
  <c r="A411" i="1" s="1"/>
  <c r="A416" i="10" s="1"/>
  <c r="AR411" i="1"/>
  <c r="AS411" i="1"/>
  <c r="AT411" i="1"/>
  <c r="AV411" i="1"/>
  <c r="AW411" i="1"/>
  <c r="AX411" i="1"/>
  <c r="AY411" i="1"/>
  <c r="AZ411" i="1"/>
  <c r="BA411" i="1"/>
  <c r="BB411" i="1"/>
  <c r="BC411" i="1"/>
  <c r="BE411" i="1"/>
  <c r="BF411" i="1"/>
  <c r="BG411" i="1"/>
  <c r="BH411" i="1"/>
  <c r="BI411" i="1"/>
  <c r="BJ411" i="1"/>
  <c r="BK411" i="1"/>
  <c r="BN411" i="1"/>
  <c r="BO411" i="1"/>
  <c r="BP411" i="1"/>
  <c r="BR411" i="1"/>
  <c r="BU411" i="1"/>
  <c r="CG411" i="1"/>
  <c r="CK411" i="1"/>
  <c r="CT411" i="1" s="1"/>
  <c r="CO411" i="1"/>
  <c r="CS411" i="1"/>
  <c r="DD411" i="1"/>
  <c r="DF411" i="1"/>
  <c r="F412" i="1"/>
  <c r="BW412" i="1" s="1"/>
  <c r="G412" i="1"/>
  <c r="BX412" i="1"/>
  <c r="H412" i="1"/>
  <c r="BY412" i="1" s="1"/>
  <c r="I412" i="1"/>
  <c r="CA412" i="1"/>
  <c r="J412" i="1"/>
  <c r="BZ412" i="1" s="1"/>
  <c r="AM412" i="1"/>
  <c r="AO412" i="1"/>
  <c r="AP412" i="1"/>
  <c r="AQ412" i="1"/>
  <c r="A412" i="1"/>
  <c r="AR412" i="1"/>
  <c r="AS412" i="1" s="1"/>
  <c r="AT412" i="1"/>
  <c r="AV412" i="1"/>
  <c r="AW412" i="1"/>
  <c r="AX412" i="1"/>
  <c r="AY412" i="1"/>
  <c r="AZ412" i="1"/>
  <c r="BA412" i="1"/>
  <c r="BB412" i="1"/>
  <c r="BC412" i="1"/>
  <c r="BE412" i="1"/>
  <c r="BF412" i="1"/>
  <c r="BG412" i="1"/>
  <c r="BH412" i="1"/>
  <c r="BI412" i="1"/>
  <c r="BJ412" i="1"/>
  <c r="BK412" i="1" s="1"/>
  <c r="BN412" i="1"/>
  <c r="BO412" i="1"/>
  <c r="BR412" i="1"/>
  <c r="BU412" i="1"/>
  <c r="CG412" i="1"/>
  <c r="CK412" i="1"/>
  <c r="CO412" i="1"/>
  <c r="CT412" i="1" s="1"/>
  <c r="CS412" i="1"/>
  <c r="DD412" i="1"/>
  <c r="DE412" i="1"/>
  <c r="F413" i="1"/>
  <c r="BW413" i="1" s="1"/>
  <c r="G413" i="1"/>
  <c r="BX413" i="1"/>
  <c r="H413" i="1"/>
  <c r="BY413" i="1" s="1"/>
  <c r="I413" i="1"/>
  <c r="CA413" i="1"/>
  <c r="J413" i="1"/>
  <c r="BZ413" i="1" s="1"/>
  <c r="AM413" i="1"/>
  <c r="AO413" i="1"/>
  <c r="M422" i="10"/>
  <c r="AP413" i="1"/>
  <c r="AQ413" i="1"/>
  <c r="A413" i="1"/>
  <c r="A422" i="10"/>
  <c r="AR413" i="1"/>
  <c r="AS413" i="1" s="1"/>
  <c r="AT413" i="1"/>
  <c r="AV413" i="1"/>
  <c r="AW413" i="1"/>
  <c r="AX413" i="1"/>
  <c r="AY413" i="1"/>
  <c r="AZ413" i="1"/>
  <c r="BA413" i="1"/>
  <c r="BB413" i="1"/>
  <c r="BC413" i="1"/>
  <c r="BE413" i="1"/>
  <c r="BF413" i="1"/>
  <c r="BG413" i="1"/>
  <c r="BH413" i="1"/>
  <c r="BI413" i="1"/>
  <c r="BJ413" i="1"/>
  <c r="BK413" i="1" s="1"/>
  <c r="BN413" i="1"/>
  <c r="BO413" i="1"/>
  <c r="BP413" i="1" s="1"/>
  <c r="BR413" i="1"/>
  <c r="BT413" i="1"/>
  <c r="BU413" i="1"/>
  <c r="CG413" i="1"/>
  <c r="CK413" i="1"/>
  <c r="CO413" i="1"/>
  <c r="CS413" i="1"/>
  <c r="DD413" i="1"/>
  <c r="F414" i="1"/>
  <c r="BW414" i="1"/>
  <c r="G414" i="1"/>
  <c r="BX414" i="1" s="1"/>
  <c r="H414" i="1"/>
  <c r="BY414" i="1"/>
  <c r="I414" i="1"/>
  <c r="CA414" i="1" s="1"/>
  <c r="J414" i="1"/>
  <c r="BZ414" i="1"/>
  <c r="AM414" i="1"/>
  <c r="AO414" i="1"/>
  <c r="M421" i="10" s="1"/>
  <c r="AP414" i="1"/>
  <c r="AQ414" i="1"/>
  <c r="A414" i="1" s="1"/>
  <c r="A421" i="10" s="1"/>
  <c r="AR414" i="1"/>
  <c r="AS414" i="1"/>
  <c r="AT414" i="1"/>
  <c r="AV414" i="1"/>
  <c r="AW414" i="1"/>
  <c r="AX414" i="1"/>
  <c r="AY414" i="1"/>
  <c r="AZ414" i="1"/>
  <c r="BA414" i="1"/>
  <c r="BB414" i="1"/>
  <c r="BC414" i="1"/>
  <c r="BE414" i="1"/>
  <c r="BF414" i="1"/>
  <c r="BG414" i="1"/>
  <c r="BH414" i="1"/>
  <c r="BI414" i="1"/>
  <c r="BJ414" i="1"/>
  <c r="BK414" i="1"/>
  <c r="BN414" i="1"/>
  <c r="BO414" i="1"/>
  <c r="BP414" i="1"/>
  <c r="BR414" i="1"/>
  <c r="BT414" i="1" s="1"/>
  <c r="BU414" i="1"/>
  <c r="CG414" i="1"/>
  <c r="CK414" i="1"/>
  <c r="CO414" i="1"/>
  <c r="CS414" i="1"/>
  <c r="DD414" i="1"/>
  <c r="F415" i="1"/>
  <c r="BW415" i="1" s="1"/>
  <c r="G415" i="1"/>
  <c r="BX415" i="1"/>
  <c r="H415" i="1"/>
  <c r="BY415" i="1" s="1"/>
  <c r="I415" i="1"/>
  <c r="CA415" i="1"/>
  <c r="J415" i="1"/>
  <c r="BZ415" i="1" s="1"/>
  <c r="AM415" i="1"/>
  <c r="AO415" i="1"/>
  <c r="M423" i="10"/>
  <c r="AP415" i="1"/>
  <c r="AQ415" i="1"/>
  <c r="A415" i="1"/>
  <c r="A423" i="10"/>
  <c r="AR415" i="1"/>
  <c r="AS415" i="1" s="1"/>
  <c r="AT415" i="1"/>
  <c r="AV415" i="1"/>
  <c r="AW415" i="1"/>
  <c r="AX415" i="1"/>
  <c r="AY415" i="1"/>
  <c r="AZ415" i="1"/>
  <c r="BA415" i="1"/>
  <c r="BB415" i="1"/>
  <c r="BC415" i="1"/>
  <c r="BE415" i="1"/>
  <c r="BF415" i="1"/>
  <c r="BG415" i="1"/>
  <c r="BH415" i="1"/>
  <c r="BI415" i="1"/>
  <c r="BJ415" i="1"/>
  <c r="BK415" i="1" s="1"/>
  <c r="BN415" i="1"/>
  <c r="BO415" i="1"/>
  <c r="BP415" i="1" s="1"/>
  <c r="BR415" i="1"/>
  <c r="BU415" i="1"/>
  <c r="CG415" i="1"/>
  <c r="CK415" i="1"/>
  <c r="CO415" i="1"/>
  <c r="CS415" i="1"/>
  <c r="DD415" i="1"/>
  <c r="F416" i="1"/>
  <c r="BW416" i="1"/>
  <c r="G416" i="1"/>
  <c r="BX416" i="1" s="1"/>
  <c r="H416" i="1"/>
  <c r="BY416" i="1"/>
  <c r="I416" i="1"/>
  <c r="CA416" i="1" s="1"/>
  <c r="J416" i="1"/>
  <c r="BZ416" i="1"/>
  <c r="AM416" i="1"/>
  <c r="AO416" i="1"/>
  <c r="M424" i="10" s="1"/>
  <c r="AP416" i="1"/>
  <c r="AQ416" i="1"/>
  <c r="A416" i="1" s="1"/>
  <c r="A424" i="10" s="1"/>
  <c r="AR416" i="1"/>
  <c r="AS416" i="1"/>
  <c r="AT416" i="1"/>
  <c r="AV416" i="1"/>
  <c r="AW416" i="1"/>
  <c r="AX416" i="1"/>
  <c r="AY416" i="1"/>
  <c r="AZ416" i="1"/>
  <c r="BA416" i="1"/>
  <c r="BB416" i="1"/>
  <c r="BC416" i="1"/>
  <c r="BE416" i="1"/>
  <c r="BF416" i="1"/>
  <c r="BG416" i="1"/>
  <c r="BH416" i="1"/>
  <c r="BI416" i="1"/>
  <c r="BJ416" i="1"/>
  <c r="BK416" i="1"/>
  <c r="BN416" i="1"/>
  <c r="BO416" i="1"/>
  <c r="BR416" i="1"/>
  <c r="BT416" i="1"/>
  <c r="BU416" i="1"/>
  <c r="CG416" i="1"/>
  <c r="CK416" i="1"/>
  <c r="CO416" i="1"/>
  <c r="CT416" i="1" s="1"/>
  <c r="CV416" i="1" s="1"/>
  <c r="CW416" i="1" s="1"/>
  <c r="CS416" i="1"/>
  <c r="DD416" i="1"/>
  <c r="F417" i="1"/>
  <c r="BW417" i="1"/>
  <c r="G417" i="1"/>
  <c r="BX417" i="1" s="1"/>
  <c r="H417" i="1"/>
  <c r="BY417" i="1"/>
  <c r="I417" i="1"/>
  <c r="CA417" i="1" s="1"/>
  <c r="J417" i="1"/>
  <c r="BZ417" i="1"/>
  <c r="AM417" i="1"/>
  <c r="AO417" i="1"/>
  <c r="M426" i="10"/>
  <c r="AP417" i="1"/>
  <c r="AQ417" i="1"/>
  <c r="A417" i="1" s="1"/>
  <c r="A426" i="10" s="1"/>
  <c r="AR417" i="1"/>
  <c r="AS417" i="1" s="1"/>
  <c r="AT417" i="1"/>
  <c r="AV417" i="1"/>
  <c r="AW417" i="1"/>
  <c r="AX417" i="1"/>
  <c r="AY417" i="1"/>
  <c r="AZ417" i="1"/>
  <c r="BA417" i="1"/>
  <c r="BB417" i="1"/>
  <c r="BC417" i="1"/>
  <c r="BE417" i="1"/>
  <c r="BF417" i="1"/>
  <c r="BG417" i="1"/>
  <c r="BH417" i="1"/>
  <c r="BI417" i="1"/>
  <c r="BJ417" i="1"/>
  <c r="BK417" i="1" s="1"/>
  <c r="BN417" i="1"/>
  <c r="BO417" i="1"/>
  <c r="BP417" i="1"/>
  <c r="BR417" i="1"/>
  <c r="BT417" i="1" s="1"/>
  <c r="BU417" i="1"/>
  <c r="CG417" i="1"/>
  <c r="CT417" i="1" s="1"/>
  <c r="CK417" i="1"/>
  <c r="CO417" i="1"/>
  <c r="CS417" i="1"/>
  <c r="DD417" i="1"/>
  <c r="F418" i="1"/>
  <c r="BW418" i="1" s="1"/>
  <c r="G418" i="1"/>
  <c r="BX418" i="1"/>
  <c r="H418" i="1"/>
  <c r="BY418" i="1" s="1"/>
  <c r="I418" i="1"/>
  <c r="CA418" i="1"/>
  <c r="J418" i="1"/>
  <c r="BZ418" i="1" s="1"/>
  <c r="AM418" i="1"/>
  <c r="AO418" i="1"/>
  <c r="M425" i="10" s="1"/>
  <c r="AP418" i="1"/>
  <c r="AQ418" i="1"/>
  <c r="A418" i="1"/>
  <c r="A425" i="10" s="1"/>
  <c r="AR418" i="1"/>
  <c r="AS418" i="1"/>
  <c r="AT418" i="1"/>
  <c r="AV418" i="1"/>
  <c r="AW418" i="1"/>
  <c r="AX418" i="1"/>
  <c r="AY418" i="1"/>
  <c r="AZ418" i="1"/>
  <c r="BA418" i="1"/>
  <c r="BB418" i="1"/>
  <c r="BC418" i="1"/>
  <c r="BE418" i="1"/>
  <c r="BF418" i="1"/>
  <c r="BG418" i="1"/>
  <c r="BH418" i="1"/>
  <c r="BI418" i="1"/>
  <c r="BJ418" i="1"/>
  <c r="BK418" i="1"/>
  <c r="BN418" i="1"/>
  <c r="BO418" i="1"/>
  <c r="BP418" i="1" s="1"/>
  <c r="BR418" i="1"/>
  <c r="BT418" i="1"/>
  <c r="BU418" i="1"/>
  <c r="CG418" i="1"/>
  <c r="CK418" i="1"/>
  <c r="CO418" i="1"/>
  <c r="CS418" i="1"/>
  <c r="DD418" i="1"/>
  <c r="F419" i="1"/>
  <c r="BW419" i="1"/>
  <c r="G419" i="1"/>
  <c r="BX419" i="1" s="1"/>
  <c r="H419" i="1"/>
  <c r="BY419" i="1"/>
  <c r="I419" i="1"/>
  <c r="CA419" i="1" s="1"/>
  <c r="J419" i="1"/>
  <c r="BZ419" i="1"/>
  <c r="AM419" i="1"/>
  <c r="AO419" i="1"/>
  <c r="M427" i="10"/>
  <c r="AP419" i="1"/>
  <c r="AQ419" i="1"/>
  <c r="A419" i="1" s="1"/>
  <c r="A427" i="10" s="1"/>
  <c r="AR419" i="1"/>
  <c r="AS419" i="1" s="1"/>
  <c r="AT419" i="1"/>
  <c r="AV419" i="1"/>
  <c r="AW419" i="1"/>
  <c r="AX419" i="1"/>
  <c r="AY419" i="1"/>
  <c r="AZ419" i="1"/>
  <c r="BA419" i="1"/>
  <c r="BB419" i="1"/>
  <c r="BC419" i="1"/>
  <c r="BE419" i="1"/>
  <c r="BF419" i="1"/>
  <c r="BG419" i="1"/>
  <c r="BH419" i="1"/>
  <c r="BI419" i="1"/>
  <c r="BJ419" i="1"/>
  <c r="BK419" i="1" s="1"/>
  <c r="BN419" i="1"/>
  <c r="BP419" i="1"/>
  <c r="BR419" i="1"/>
  <c r="BT419" i="1" s="1"/>
  <c r="BU419" i="1"/>
  <c r="CG419" i="1"/>
  <c r="CK419" i="1"/>
  <c r="CO419" i="1"/>
  <c r="CS419" i="1"/>
  <c r="DD419" i="1"/>
  <c r="DF419" i="1"/>
  <c r="F420" i="1"/>
  <c r="BW420" i="1" s="1"/>
  <c r="G420" i="1"/>
  <c r="BX420" i="1"/>
  <c r="H420" i="1"/>
  <c r="BY420" i="1" s="1"/>
  <c r="I420" i="1"/>
  <c r="CA420" i="1"/>
  <c r="J420" i="1"/>
  <c r="BZ420" i="1" s="1"/>
  <c r="AM420" i="1"/>
  <c r="AO420" i="1"/>
  <c r="M429" i="10" s="1"/>
  <c r="AP420" i="1"/>
  <c r="AQ420" i="1"/>
  <c r="A420" i="1"/>
  <c r="A429" i="10" s="1"/>
  <c r="AR420" i="1"/>
  <c r="AS420" i="1"/>
  <c r="AT420" i="1"/>
  <c r="AV420" i="1"/>
  <c r="AW420" i="1"/>
  <c r="AX420" i="1"/>
  <c r="AY420" i="1"/>
  <c r="AZ420" i="1"/>
  <c r="BA420" i="1"/>
  <c r="BB420" i="1"/>
  <c r="BC420" i="1"/>
  <c r="BE420" i="1"/>
  <c r="BF420" i="1"/>
  <c r="BG420" i="1"/>
  <c r="BH420" i="1"/>
  <c r="BI420" i="1"/>
  <c r="BJ420" i="1"/>
  <c r="BK420" i="1"/>
  <c r="BN420" i="1"/>
  <c r="BP420" i="1"/>
  <c r="BR420" i="1"/>
  <c r="BT420" i="1"/>
  <c r="BU420" i="1"/>
  <c r="CG420" i="1"/>
  <c r="CK420" i="1"/>
  <c r="CO420" i="1"/>
  <c r="CS420" i="1"/>
  <c r="CT420" i="1" s="1"/>
  <c r="DD420" i="1"/>
  <c r="F421" i="1"/>
  <c r="BW421" i="1"/>
  <c r="G421" i="1"/>
  <c r="BX421" i="1" s="1"/>
  <c r="H421" i="1"/>
  <c r="BY421" i="1"/>
  <c r="I421" i="1"/>
  <c r="CA421" i="1" s="1"/>
  <c r="J421" i="1"/>
  <c r="BZ421" i="1"/>
  <c r="AM421" i="1"/>
  <c r="AO421" i="1"/>
  <c r="M428" i="10" s="1"/>
  <c r="AP421" i="1"/>
  <c r="AQ421" i="1"/>
  <c r="A421" i="1" s="1"/>
  <c r="A428" i="10" s="1"/>
  <c r="AR421" i="1"/>
  <c r="AS421" i="1"/>
  <c r="AT421" i="1"/>
  <c r="AV421" i="1"/>
  <c r="AW421" i="1"/>
  <c r="AX421" i="1"/>
  <c r="AY421" i="1"/>
  <c r="AZ421" i="1"/>
  <c r="BA421" i="1"/>
  <c r="BB421" i="1"/>
  <c r="BC421" i="1"/>
  <c r="BE421" i="1"/>
  <c r="BF421" i="1"/>
  <c r="BG421" i="1"/>
  <c r="BH421" i="1"/>
  <c r="BI421" i="1"/>
  <c r="BJ421" i="1"/>
  <c r="BK421" i="1"/>
  <c r="BN421" i="1"/>
  <c r="BP421" i="1"/>
  <c r="BR421" i="1"/>
  <c r="BT421" i="1"/>
  <c r="BU421" i="1"/>
  <c r="CG421" i="1"/>
  <c r="CK421" i="1"/>
  <c r="CO421" i="1"/>
  <c r="CT421" i="1" s="1"/>
  <c r="CS421" i="1"/>
  <c r="DD421" i="1"/>
  <c r="F422" i="1"/>
  <c r="BW422" i="1"/>
  <c r="G422" i="1"/>
  <c r="BX422" i="1" s="1"/>
  <c r="H422" i="1"/>
  <c r="BY422" i="1"/>
  <c r="I422" i="1"/>
  <c r="CA422" i="1" s="1"/>
  <c r="J422" i="1"/>
  <c r="BZ422" i="1"/>
  <c r="AM422" i="1"/>
  <c r="AO422" i="1"/>
  <c r="M430" i="10"/>
  <c r="AP422" i="1"/>
  <c r="AQ422" i="1"/>
  <c r="A422" i="1" s="1"/>
  <c r="A430" i="10" s="1"/>
  <c r="AR422" i="1"/>
  <c r="AS422" i="1" s="1"/>
  <c r="AT422" i="1"/>
  <c r="AV422" i="1"/>
  <c r="AW422" i="1"/>
  <c r="AX422" i="1"/>
  <c r="AY422" i="1"/>
  <c r="AZ422" i="1"/>
  <c r="BA422" i="1"/>
  <c r="BB422" i="1"/>
  <c r="BC422" i="1"/>
  <c r="BE422" i="1"/>
  <c r="BF422" i="1"/>
  <c r="BG422" i="1"/>
  <c r="BH422" i="1"/>
  <c r="BI422" i="1"/>
  <c r="BJ422" i="1"/>
  <c r="BK422" i="1" s="1"/>
  <c r="BN422" i="1"/>
  <c r="BP422" i="1"/>
  <c r="BR422" i="1"/>
  <c r="BU422" i="1"/>
  <c r="CG422" i="1"/>
  <c r="CK422" i="1"/>
  <c r="CO422" i="1"/>
  <c r="CT422" i="1" s="1"/>
  <c r="CS422" i="1"/>
  <c r="DD422" i="1"/>
  <c r="F423" i="1"/>
  <c r="BW423" i="1"/>
  <c r="G423" i="1"/>
  <c r="BX423" i="1" s="1"/>
  <c r="H423" i="1"/>
  <c r="BY423" i="1"/>
  <c r="I423" i="1"/>
  <c r="CA423" i="1" s="1"/>
  <c r="J423" i="1"/>
  <c r="BZ423" i="1"/>
  <c r="AM423" i="1"/>
  <c r="AO423" i="1"/>
  <c r="M432" i="10"/>
  <c r="AP423" i="1"/>
  <c r="AQ423" i="1"/>
  <c r="A423" i="1" s="1"/>
  <c r="A432" i="10" s="1"/>
  <c r="AR423" i="1"/>
  <c r="AS423" i="1" s="1"/>
  <c r="AT423" i="1"/>
  <c r="AV423" i="1"/>
  <c r="AW423" i="1"/>
  <c r="AX423" i="1"/>
  <c r="AY423" i="1"/>
  <c r="AZ423" i="1"/>
  <c r="BA423" i="1"/>
  <c r="BB423" i="1"/>
  <c r="BC423" i="1"/>
  <c r="BE423" i="1"/>
  <c r="BF423" i="1"/>
  <c r="BG423" i="1"/>
  <c r="BH423" i="1"/>
  <c r="BI423" i="1"/>
  <c r="BJ423" i="1"/>
  <c r="BK423" i="1" s="1"/>
  <c r="BN423" i="1"/>
  <c r="BP423" i="1"/>
  <c r="BR423" i="1"/>
  <c r="BU423" i="1"/>
  <c r="CG423" i="1"/>
  <c r="CK423" i="1"/>
  <c r="CO423" i="1"/>
  <c r="CT423" i="1" s="1"/>
  <c r="CS423" i="1"/>
  <c r="DD423" i="1"/>
  <c r="F424" i="1"/>
  <c r="BW424" i="1"/>
  <c r="G424" i="1"/>
  <c r="BX424" i="1" s="1"/>
  <c r="H424" i="1"/>
  <c r="BY424" i="1"/>
  <c r="I424" i="1"/>
  <c r="CA424" i="1" s="1"/>
  <c r="J424" i="1"/>
  <c r="BZ424" i="1"/>
  <c r="AM424" i="1"/>
  <c r="AO424" i="1"/>
  <c r="M431" i="10"/>
  <c r="P431" i="10"/>
  <c r="AP424" i="1"/>
  <c r="AQ424" i="1"/>
  <c r="A424" i="1"/>
  <c r="A431" i="10" s="1"/>
  <c r="AR424" i="1"/>
  <c r="AS424" i="1"/>
  <c r="AT424" i="1"/>
  <c r="AV424" i="1"/>
  <c r="AW424" i="1"/>
  <c r="AX424" i="1"/>
  <c r="AY424" i="1"/>
  <c r="AZ424" i="1"/>
  <c r="BA424" i="1"/>
  <c r="BB424" i="1"/>
  <c r="BC424" i="1"/>
  <c r="BE424" i="1"/>
  <c r="BF424" i="1"/>
  <c r="BG424" i="1"/>
  <c r="BH424" i="1"/>
  <c r="BI424" i="1"/>
  <c r="BJ424" i="1"/>
  <c r="BK424" i="1"/>
  <c r="BN424" i="1"/>
  <c r="BO424" i="1"/>
  <c r="BP424" i="1" s="1"/>
  <c r="BR424" i="1"/>
  <c r="BT424" i="1"/>
  <c r="BU424" i="1"/>
  <c r="CG424" i="1"/>
  <c r="CK424" i="1"/>
  <c r="CO424" i="1"/>
  <c r="CS424" i="1"/>
  <c r="DD424" i="1"/>
  <c r="DE424" i="1"/>
  <c r="F425" i="1"/>
  <c r="BW425" i="1" s="1"/>
  <c r="G425" i="1"/>
  <c r="BX425" i="1"/>
  <c r="H425" i="1"/>
  <c r="BY425" i="1" s="1"/>
  <c r="I425" i="1"/>
  <c r="CA425" i="1"/>
  <c r="J425" i="1"/>
  <c r="BZ425" i="1" s="1"/>
  <c r="AM425" i="1"/>
  <c r="AO425" i="1"/>
  <c r="M433" i="10"/>
  <c r="AP425" i="1"/>
  <c r="AQ425" i="1"/>
  <c r="A425" i="1"/>
  <c r="A433" i="10"/>
  <c r="AR425" i="1"/>
  <c r="AS425" i="1" s="1"/>
  <c r="AT425" i="1"/>
  <c r="AV425" i="1"/>
  <c r="AW425" i="1"/>
  <c r="AX425" i="1"/>
  <c r="AY425" i="1"/>
  <c r="AZ425" i="1"/>
  <c r="BA425" i="1"/>
  <c r="BB425" i="1"/>
  <c r="BC425" i="1"/>
  <c r="BE425" i="1"/>
  <c r="BF425" i="1"/>
  <c r="BG425" i="1"/>
  <c r="BH425" i="1"/>
  <c r="BI425" i="1"/>
  <c r="BJ425" i="1"/>
  <c r="BK425" i="1" s="1"/>
  <c r="BN425" i="1"/>
  <c r="BO425" i="1"/>
  <c r="BR425" i="1"/>
  <c r="BT425" i="1"/>
  <c r="BU425" i="1"/>
  <c r="CG425" i="1"/>
  <c r="CK425" i="1"/>
  <c r="CO425" i="1"/>
  <c r="CS425" i="1"/>
  <c r="DD425" i="1"/>
  <c r="DF425" i="1" s="1"/>
  <c r="F426" i="1"/>
  <c r="BW426" i="1"/>
  <c r="G426" i="1"/>
  <c r="BX426" i="1" s="1"/>
  <c r="H426" i="1"/>
  <c r="BY426" i="1"/>
  <c r="I426" i="1"/>
  <c r="CA426" i="1" s="1"/>
  <c r="J426" i="1"/>
  <c r="BZ426" i="1"/>
  <c r="AM426" i="1"/>
  <c r="AO426" i="1"/>
  <c r="M436" i="10"/>
  <c r="P436" i="10"/>
  <c r="O436" i="10" s="1"/>
  <c r="AP426" i="1"/>
  <c r="AQ426" i="1"/>
  <c r="A426" i="1"/>
  <c r="A436" i="10"/>
  <c r="AR426" i="1"/>
  <c r="AS426" i="1" s="1"/>
  <c r="AT426" i="1"/>
  <c r="AV426" i="1"/>
  <c r="AW426" i="1"/>
  <c r="AX426" i="1"/>
  <c r="AY426" i="1"/>
  <c r="AZ426" i="1"/>
  <c r="BA426" i="1"/>
  <c r="BB426" i="1"/>
  <c r="BC426" i="1"/>
  <c r="BE426" i="1"/>
  <c r="BF426" i="1"/>
  <c r="BG426" i="1"/>
  <c r="BH426" i="1"/>
  <c r="BI426" i="1"/>
  <c r="BJ426" i="1"/>
  <c r="BK426" i="1" s="1"/>
  <c r="BN426" i="1"/>
  <c r="BO426" i="1"/>
  <c r="BP426" i="1" s="1"/>
  <c r="BS426" i="1" s="1"/>
  <c r="BR426" i="1"/>
  <c r="BT426" i="1"/>
  <c r="BU426" i="1"/>
  <c r="CG426" i="1"/>
  <c r="CK426" i="1"/>
  <c r="CO426" i="1"/>
  <c r="CS426" i="1"/>
  <c r="DD426" i="1"/>
  <c r="DE426" i="1" s="1"/>
  <c r="F427" i="1"/>
  <c r="BW427" i="1"/>
  <c r="G427" i="1"/>
  <c r="BX427" i="1" s="1"/>
  <c r="H427" i="1"/>
  <c r="BY427" i="1"/>
  <c r="I427" i="1"/>
  <c r="CA427" i="1" s="1"/>
  <c r="J427" i="1"/>
  <c r="BZ427" i="1"/>
  <c r="AM427" i="1"/>
  <c r="AO427" i="1"/>
  <c r="M435" i="10"/>
  <c r="AP427" i="1"/>
  <c r="AQ427" i="1"/>
  <c r="A427" i="1" s="1"/>
  <c r="A435" i="10" s="1"/>
  <c r="AR427" i="1"/>
  <c r="AS427" i="1" s="1"/>
  <c r="AT427" i="1"/>
  <c r="AV427" i="1"/>
  <c r="AW427" i="1"/>
  <c r="AX427" i="1"/>
  <c r="AY427" i="1"/>
  <c r="AZ427" i="1"/>
  <c r="BA427" i="1"/>
  <c r="BB427" i="1"/>
  <c r="BC427" i="1"/>
  <c r="BE427" i="1"/>
  <c r="BF427" i="1"/>
  <c r="BG427" i="1"/>
  <c r="BH427" i="1"/>
  <c r="BI427" i="1"/>
  <c r="BJ427" i="1"/>
  <c r="BK427" i="1" s="1"/>
  <c r="BN427" i="1"/>
  <c r="BO427" i="1"/>
  <c r="BP427" i="1"/>
  <c r="BS427" i="1" s="1"/>
  <c r="BR427" i="1"/>
  <c r="BU427" i="1"/>
  <c r="CG427" i="1"/>
  <c r="CK427" i="1"/>
  <c r="CO427" i="1"/>
  <c r="CS427" i="1"/>
  <c r="DD427" i="1"/>
  <c r="DE427" i="1"/>
  <c r="F428" i="1"/>
  <c r="BW428" i="1" s="1"/>
  <c r="G428" i="1"/>
  <c r="BX428" i="1"/>
  <c r="H428" i="1"/>
  <c r="BY428" i="1" s="1"/>
  <c r="I428" i="1"/>
  <c r="CA428" i="1"/>
  <c r="J428" i="1"/>
  <c r="BZ428" i="1" s="1"/>
  <c r="AM428" i="1"/>
  <c r="AO428" i="1"/>
  <c r="M434" i="10" s="1"/>
  <c r="AP428" i="1"/>
  <c r="AQ428" i="1"/>
  <c r="A428" i="1"/>
  <c r="A434" i="10" s="1"/>
  <c r="AR428" i="1"/>
  <c r="AS428" i="1"/>
  <c r="AT428" i="1"/>
  <c r="AV428" i="1"/>
  <c r="AW428" i="1"/>
  <c r="AX428" i="1"/>
  <c r="AY428" i="1"/>
  <c r="AZ428" i="1"/>
  <c r="BA428" i="1"/>
  <c r="BB428" i="1"/>
  <c r="BC428" i="1"/>
  <c r="BE428" i="1"/>
  <c r="BF428" i="1"/>
  <c r="BG428" i="1"/>
  <c r="BH428" i="1"/>
  <c r="BI428" i="1"/>
  <c r="BJ428" i="1"/>
  <c r="BK428" i="1"/>
  <c r="BN428" i="1"/>
  <c r="BO428" i="1"/>
  <c r="BP428" i="1" s="1"/>
  <c r="BR428" i="1"/>
  <c r="BT428" i="1"/>
  <c r="BU428" i="1"/>
  <c r="CG428" i="1"/>
  <c r="CK428" i="1"/>
  <c r="CO428" i="1"/>
  <c r="CT428" i="1" s="1"/>
  <c r="CU428" i="1" s="1"/>
  <c r="CS428" i="1"/>
  <c r="DD428" i="1"/>
  <c r="F429" i="1"/>
  <c r="BW429" i="1"/>
  <c r="G429" i="1"/>
  <c r="BX429" i="1" s="1"/>
  <c r="H429" i="1"/>
  <c r="BY429" i="1"/>
  <c r="I429" i="1"/>
  <c r="CA429" i="1" s="1"/>
  <c r="J429" i="1"/>
  <c r="BZ429" i="1"/>
  <c r="AM429" i="1"/>
  <c r="AO429" i="1"/>
  <c r="M439" i="10"/>
  <c r="AP429" i="1"/>
  <c r="AQ429" i="1"/>
  <c r="A429" i="1" s="1"/>
  <c r="A439" i="10" s="1"/>
  <c r="AR429" i="1"/>
  <c r="AS429" i="1" s="1"/>
  <c r="AT429" i="1"/>
  <c r="AV429" i="1"/>
  <c r="AW429" i="1"/>
  <c r="AX429" i="1"/>
  <c r="AY429" i="1"/>
  <c r="AZ429" i="1"/>
  <c r="BA429" i="1"/>
  <c r="BB429" i="1"/>
  <c r="BC429" i="1"/>
  <c r="BE429" i="1"/>
  <c r="BF429" i="1"/>
  <c r="BG429" i="1"/>
  <c r="BH429" i="1"/>
  <c r="BI429" i="1"/>
  <c r="BJ429" i="1"/>
  <c r="BK429" i="1" s="1"/>
  <c r="BN429" i="1"/>
  <c r="BO429" i="1"/>
  <c r="BP429" i="1"/>
  <c r="BR429" i="1"/>
  <c r="BU429" i="1"/>
  <c r="CG429" i="1"/>
  <c r="CK429" i="1"/>
  <c r="CO429" i="1"/>
  <c r="CS429" i="1"/>
  <c r="DD429" i="1"/>
  <c r="DE429" i="1"/>
  <c r="F430" i="1"/>
  <c r="BW430" i="1" s="1"/>
  <c r="G430" i="1"/>
  <c r="BX430" i="1"/>
  <c r="H430" i="1"/>
  <c r="BY430" i="1" s="1"/>
  <c r="I430" i="1"/>
  <c r="CA430" i="1"/>
  <c r="J430" i="1"/>
  <c r="BZ430" i="1" s="1"/>
  <c r="AM430" i="1"/>
  <c r="AO430" i="1"/>
  <c r="M440" i="10" s="1"/>
  <c r="AP430" i="1"/>
  <c r="AQ430" i="1"/>
  <c r="A430" i="1"/>
  <c r="A440" i="10" s="1"/>
  <c r="AR430" i="1"/>
  <c r="AS430" i="1"/>
  <c r="AT430" i="1"/>
  <c r="AV430" i="1"/>
  <c r="AW430" i="1"/>
  <c r="AX430" i="1"/>
  <c r="AY430" i="1"/>
  <c r="AZ430" i="1"/>
  <c r="BA430" i="1"/>
  <c r="BB430" i="1"/>
  <c r="BC430" i="1"/>
  <c r="BE430" i="1"/>
  <c r="BF430" i="1"/>
  <c r="BG430" i="1"/>
  <c r="BH430" i="1"/>
  <c r="BI430" i="1"/>
  <c r="BJ430" i="1"/>
  <c r="BK430" i="1"/>
  <c r="BN430" i="1"/>
  <c r="BO430" i="1"/>
  <c r="BR430" i="1"/>
  <c r="BT430" i="1"/>
  <c r="BU430" i="1"/>
  <c r="CG430" i="1"/>
  <c r="CK430" i="1"/>
  <c r="CO430" i="1"/>
  <c r="CS430" i="1"/>
  <c r="DD430" i="1"/>
  <c r="DF430" i="1" s="1"/>
  <c r="F431" i="1"/>
  <c r="BW431" i="1"/>
  <c r="G431" i="1"/>
  <c r="BX431" i="1" s="1"/>
  <c r="H431" i="1"/>
  <c r="BY431" i="1"/>
  <c r="I431" i="1"/>
  <c r="CA431" i="1" s="1"/>
  <c r="J431" i="1"/>
  <c r="BZ431" i="1"/>
  <c r="AM431" i="1"/>
  <c r="AO431" i="1"/>
  <c r="M437" i="10"/>
  <c r="AP431" i="1"/>
  <c r="AQ431" i="1"/>
  <c r="A431" i="1" s="1"/>
  <c r="A437" i="10" s="1"/>
  <c r="AR431" i="1"/>
  <c r="AS431" i="1" s="1"/>
  <c r="AT431" i="1"/>
  <c r="AV431" i="1"/>
  <c r="AW431" i="1"/>
  <c r="AX431" i="1"/>
  <c r="AY431" i="1"/>
  <c r="AZ431" i="1"/>
  <c r="BA431" i="1"/>
  <c r="BB431" i="1"/>
  <c r="BC431" i="1"/>
  <c r="BE431" i="1"/>
  <c r="BF431" i="1"/>
  <c r="BG431" i="1"/>
  <c r="BH431" i="1"/>
  <c r="BI431" i="1"/>
  <c r="BJ431" i="1"/>
  <c r="BK431" i="1" s="1"/>
  <c r="BN431" i="1"/>
  <c r="BO431" i="1"/>
  <c r="BP431" i="1"/>
  <c r="BR431" i="1"/>
  <c r="BU431" i="1"/>
  <c r="CG431" i="1"/>
  <c r="CK431" i="1"/>
  <c r="CO431" i="1"/>
  <c r="CS431" i="1"/>
  <c r="DD431" i="1"/>
  <c r="F432" i="1"/>
  <c r="BW432" i="1" s="1"/>
  <c r="G432" i="1"/>
  <c r="BX432" i="1"/>
  <c r="H432" i="1"/>
  <c r="BY432" i="1" s="1"/>
  <c r="I432" i="1"/>
  <c r="CA432" i="1"/>
  <c r="J432" i="1"/>
  <c r="BZ432" i="1" s="1"/>
  <c r="AM432" i="1"/>
  <c r="AO432" i="1"/>
  <c r="AP432" i="1"/>
  <c r="AQ432" i="1"/>
  <c r="A432" i="1" s="1"/>
  <c r="A438" i="10" s="1"/>
  <c r="AR432" i="1"/>
  <c r="AS432" i="1" s="1"/>
  <c r="AT432" i="1"/>
  <c r="AV432" i="1"/>
  <c r="AW432" i="1"/>
  <c r="AX432" i="1"/>
  <c r="AY432" i="1"/>
  <c r="AZ432" i="1"/>
  <c r="BA432" i="1"/>
  <c r="BB432" i="1"/>
  <c r="BC432" i="1"/>
  <c r="BE432" i="1"/>
  <c r="BF432" i="1"/>
  <c r="BG432" i="1"/>
  <c r="BH432" i="1"/>
  <c r="BI432" i="1"/>
  <c r="BJ432" i="1"/>
  <c r="BK432" i="1" s="1"/>
  <c r="BN432" i="1"/>
  <c r="BO432" i="1"/>
  <c r="BP432" i="1"/>
  <c r="BR432" i="1"/>
  <c r="BU432" i="1"/>
  <c r="CG432" i="1"/>
  <c r="CK432" i="1"/>
  <c r="CO432" i="1"/>
  <c r="CS432" i="1"/>
  <c r="DD432" i="1"/>
  <c r="F433" i="1"/>
  <c r="BW433" i="1" s="1"/>
  <c r="G433" i="1"/>
  <c r="BX433" i="1"/>
  <c r="H433" i="1"/>
  <c r="BY433" i="1" s="1"/>
  <c r="I433" i="1"/>
  <c r="CA433" i="1"/>
  <c r="J433" i="1"/>
  <c r="BZ433" i="1" s="1"/>
  <c r="AM433" i="1"/>
  <c r="AO433" i="1"/>
  <c r="M441" i="10"/>
  <c r="AP433" i="1"/>
  <c r="AQ433" i="1"/>
  <c r="A433" i="1"/>
  <c r="A441" i="10"/>
  <c r="AR433" i="1"/>
  <c r="AS433" i="1" s="1"/>
  <c r="AT433" i="1"/>
  <c r="AV433" i="1"/>
  <c r="AW433" i="1"/>
  <c r="AX433" i="1"/>
  <c r="AY433" i="1"/>
  <c r="AZ433" i="1"/>
  <c r="BA433" i="1"/>
  <c r="BB433" i="1"/>
  <c r="BC433" i="1"/>
  <c r="BE433" i="1"/>
  <c r="BF433" i="1"/>
  <c r="BG433" i="1"/>
  <c r="BH433" i="1"/>
  <c r="BI433" i="1"/>
  <c r="BJ433" i="1"/>
  <c r="BK433" i="1" s="1"/>
  <c r="BN433" i="1"/>
  <c r="BO433" i="1"/>
  <c r="BP433" i="1" s="1"/>
  <c r="BS433" i="1" s="1"/>
  <c r="BR433" i="1"/>
  <c r="BT433" i="1"/>
  <c r="BU433" i="1"/>
  <c r="CG433" i="1"/>
  <c r="CK433" i="1"/>
  <c r="CO433" i="1"/>
  <c r="CS433" i="1"/>
  <c r="DD433" i="1"/>
  <c r="DE433" i="1" s="1"/>
  <c r="F434" i="1"/>
  <c r="BW434" i="1"/>
  <c r="G434" i="1"/>
  <c r="BX434" i="1" s="1"/>
  <c r="H434" i="1"/>
  <c r="BY434" i="1"/>
  <c r="I434" i="1"/>
  <c r="CA434" i="1" s="1"/>
  <c r="J434" i="1"/>
  <c r="BZ434" i="1"/>
  <c r="AM434" i="1"/>
  <c r="AO434" i="1"/>
  <c r="M442" i="10"/>
  <c r="AP434" i="1"/>
  <c r="AQ434" i="1"/>
  <c r="A434" i="1" s="1"/>
  <c r="A442" i="10" s="1"/>
  <c r="AR434" i="1"/>
  <c r="AS434" i="1" s="1"/>
  <c r="AT434" i="1"/>
  <c r="AV434" i="1"/>
  <c r="AW434" i="1"/>
  <c r="AX434" i="1"/>
  <c r="AY434" i="1"/>
  <c r="AZ434" i="1"/>
  <c r="BA434" i="1"/>
  <c r="BB434" i="1"/>
  <c r="BC434" i="1"/>
  <c r="BE434" i="1"/>
  <c r="BF434" i="1"/>
  <c r="BG434" i="1"/>
  <c r="BH434" i="1"/>
  <c r="BI434" i="1"/>
  <c r="BJ434" i="1"/>
  <c r="BK434" i="1" s="1"/>
  <c r="BN434" i="1"/>
  <c r="BO434" i="1"/>
  <c r="BP434" i="1"/>
  <c r="BS434" i="1" s="1"/>
  <c r="BR434" i="1"/>
  <c r="BT434" i="1"/>
  <c r="BU434" i="1"/>
  <c r="CG434" i="1"/>
  <c r="CK434" i="1"/>
  <c r="CO434" i="1"/>
  <c r="CS434" i="1"/>
  <c r="DD434" i="1"/>
  <c r="DE434" i="1" s="1"/>
  <c r="F435" i="1"/>
  <c r="BW435" i="1"/>
  <c r="G435" i="1"/>
  <c r="BX435" i="1" s="1"/>
  <c r="H435" i="1"/>
  <c r="BY435" i="1"/>
  <c r="I435" i="1"/>
  <c r="CA435" i="1" s="1"/>
  <c r="J435" i="1"/>
  <c r="BZ435" i="1"/>
  <c r="AM435" i="1"/>
  <c r="AO435" i="1"/>
  <c r="M443" i="10"/>
  <c r="AP435" i="1"/>
  <c r="AQ435" i="1"/>
  <c r="A435" i="1" s="1"/>
  <c r="A443" i="10" s="1"/>
  <c r="AR435" i="1"/>
  <c r="AS435" i="1" s="1"/>
  <c r="AT435" i="1"/>
  <c r="AV435" i="1"/>
  <c r="AW435" i="1"/>
  <c r="AX435" i="1"/>
  <c r="AY435" i="1"/>
  <c r="AZ435" i="1"/>
  <c r="BA435" i="1"/>
  <c r="BB435" i="1"/>
  <c r="BC435" i="1"/>
  <c r="BE435" i="1"/>
  <c r="BF435" i="1"/>
  <c r="BG435" i="1"/>
  <c r="BH435" i="1"/>
  <c r="BI435" i="1"/>
  <c r="BJ435" i="1"/>
  <c r="BK435" i="1" s="1"/>
  <c r="BN435" i="1"/>
  <c r="BO435" i="1"/>
  <c r="BP435" i="1"/>
  <c r="BS435" i="1" s="1"/>
  <c r="BR435" i="1"/>
  <c r="BU435" i="1"/>
  <c r="CG435" i="1"/>
  <c r="CK435" i="1"/>
  <c r="CO435" i="1"/>
  <c r="CS435" i="1"/>
  <c r="DD435" i="1"/>
  <c r="DE435" i="1"/>
  <c r="F436" i="1"/>
  <c r="BW436" i="1" s="1"/>
  <c r="G436" i="1"/>
  <c r="BX436" i="1"/>
  <c r="H436" i="1"/>
  <c r="BY436" i="1" s="1"/>
  <c r="I436" i="1"/>
  <c r="CA436" i="1"/>
  <c r="J436" i="1"/>
  <c r="BZ436" i="1" s="1"/>
  <c r="AM436" i="1"/>
  <c r="AO436" i="1"/>
  <c r="M444" i="10" s="1"/>
  <c r="AP436" i="1"/>
  <c r="AQ436" i="1"/>
  <c r="A436" i="1"/>
  <c r="A444" i="10" s="1"/>
  <c r="AR436" i="1"/>
  <c r="AS436" i="1"/>
  <c r="AT436" i="1"/>
  <c r="AV436" i="1"/>
  <c r="AW436" i="1"/>
  <c r="AX436" i="1"/>
  <c r="AY436" i="1"/>
  <c r="AZ436" i="1"/>
  <c r="BA436" i="1"/>
  <c r="BB436" i="1"/>
  <c r="BC436" i="1"/>
  <c r="BE436" i="1"/>
  <c r="BF436" i="1"/>
  <c r="BG436" i="1"/>
  <c r="BH436" i="1"/>
  <c r="BI436" i="1"/>
  <c r="BJ436" i="1"/>
  <c r="BK436" i="1"/>
  <c r="BN436" i="1"/>
  <c r="BO436" i="1"/>
  <c r="BP436" i="1" s="1"/>
  <c r="BS436" i="1" s="1"/>
  <c r="BR436" i="1"/>
  <c r="BT436" i="1"/>
  <c r="BU436" i="1"/>
  <c r="CG436" i="1"/>
  <c r="CK436" i="1"/>
  <c r="CO436" i="1"/>
  <c r="CT436" i="1" s="1"/>
  <c r="CU436" i="1" s="1"/>
  <c r="CS436" i="1"/>
  <c r="DD436" i="1"/>
  <c r="F437" i="1"/>
  <c r="BW437" i="1"/>
  <c r="G437" i="1"/>
  <c r="BX437" i="1" s="1"/>
  <c r="H437" i="1"/>
  <c r="BY437" i="1"/>
  <c r="I437" i="1"/>
  <c r="CA437" i="1" s="1"/>
  <c r="J437" i="1"/>
  <c r="BZ437" i="1"/>
  <c r="AM437" i="1"/>
  <c r="AO437" i="1"/>
  <c r="M447" i="10"/>
  <c r="AP437" i="1"/>
  <c r="AQ437" i="1"/>
  <c r="A437" i="1" s="1"/>
  <c r="A447" i="10" s="1"/>
  <c r="AR437" i="1"/>
  <c r="AS437" i="1" s="1"/>
  <c r="AT437" i="1"/>
  <c r="AV437" i="1"/>
  <c r="AW437" i="1"/>
  <c r="AX437" i="1"/>
  <c r="AY437" i="1"/>
  <c r="AZ437" i="1"/>
  <c r="BA437" i="1"/>
  <c r="BB437" i="1"/>
  <c r="BC437" i="1"/>
  <c r="BE437" i="1"/>
  <c r="BF437" i="1"/>
  <c r="BG437" i="1"/>
  <c r="BH437" i="1"/>
  <c r="BI437" i="1"/>
  <c r="BJ437" i="1"/>
  <c r="BK437" i="1" s="1"/>
  <c r="BN437" i="1"/>
  <c r="BO437" i="1"/>
  <c r="BP437" i="1"/>
  <c r="BR437" i="1"/>
  <c r="BT437" i="1" s="1"/>
  <c r="BU437" i="1"/>
  <c r="CG437" i="1"/>
  <c r="CK437" i="1"/>
  <c r="CO437" i="1"/>
  <c r="CS437" i="1"/>
  <c r="DD437" i="1"/>
  <c r="F438" i="1"/>
  <c r="BW438" i="1"/>
  <c r="G438" i="1"/>
  <c r="BX438" i="1" s="1"/>
  <c r="H438" i="1"/>
  <c r="BY438" i="1"/>
  <c r="I438" i="1"/>
  <c r="CA438" i="1" s="1"/>
  <c r="J438" i="1"/>
  <c r="BZ438" i="1"/>
  <c r="AM438" i="1"/>
  <c r="AO438" i="1"/>
  <c r="M445" i="10" s="1"/>
  <c r="AP438" i="1"/>
  <c r="AQ438" i="1"/>
  <c r="A438" i="1" s="1"/>
  <c r="A445" i="10" s="1"/>
  <c r="AR438" i="1"/>
  <c r="AS438" i="1"/>
  <c r="AT438" i="1"/>
  <c r="AV438" i="1"/>
  <c r="AW438" i="1"/>
  <c r="AX438" i="1"/>
  <c r="AY438" i="1"/>
  <c r="AZ438" i="1"/>
  <c r="BA438" i="1"/>
  <c r="BB438" i="1"/>
  <c r="BC438" i="1"/>
  <c r="BE438" i="1"/>
  <c r="BF438" i="1"/>
  <c r="BG438" i="1"/>
  <c r="BH438" i="1"/>
  <c r="BI438" i="1"/>
  <c r="BJ438" i="1"/>
  <c r="BK438" i="1"/>
  <c r="BN438" i="1"/>
  <c r="BO438" i="1"/>
  <c r="BP438" i="1"/>
  <c r="BR438" i="1"/>
  <c r="BT438" i="1" s="1"/>
  <c r="BU438" i="1"/>
  <c r="CG438" i="1"/>
  <c r="CK438" i="1"/>
  <c r="CO438" i="1"/>
  <c r="CT438" i="1" s="1"/>
  <c r="CS438" i="1"/>
  <c r="DD438" i="1"/>
  <c r="DF438" i="1"/>
  <c r="F439" i="1"/>
  <c r="BW439" i="1" s="1"/>
  <c r="G439" i="1"/>
  <c r="BX439" i="1"/>
  <c r="H439" i="1"/>
  <c r="BY439" i="1" s="1"/>
  <c r="I439" i="1"/>
  <c r="CA439" i="1"/>
  <c r="J439" i="1"/>
  <c r="BZ439" i="1" s="1"/>
  <c r="AM439" i="1"/>
  <c r="AO439" i="1"/>
  <c r="M446" i="10"/>
  <c r="AP439" i="1"/>
  <c r="AQ439" i="1"/>
  <c r="A439" i="1"/>
  <c r="A446" i="10"/>
  <c r="AR439" i="1"/>
  <c r="AS439" i="1" s="1"/>
  <c r="AT439" i="1"/>
  <c r="AV439" i="1"/>
  <c r="AW439" i="1"/>
  <c r="AX439" i="1"/>
  <c r="AY439" i="1"/>
  <c r="AZ439" i="1"/>
  <c r="BA439" i="1"/>
  <c r="BB439" i="1"/>
  <c r="BC439" i="1"/>
  <c r="BE439" i="1"/>
  <c r="BF439" i="1"/>
  <c r="BG439" i="1"/>
  <c r="BH439" i="1"/>
  <c r="BI439" i="1"/>
  <c r="BJ439" i="1"/>
  <c r="BK439" i="1" s="1"/>
  <c r="BN439" i="1"/>
  <c r="BO439" i="1"/>
  <c r="BP439" i="1" s="1"/>
  <c r="BR439" i="1"/>
  <c r="BT439" i="1"/>
  <c r="BU439" i="1"/>
  <c r="CG439" i="1"/>
  <c r="CK439" i="1"/>
  <c r="CO439" i="1"/>
  <c r="CS439" i="1"/>
  <c r="DD439" i="1"/>
  <c r="F440" i="1"/>
  <c r="BW440" i="1"/>
  <c r="G440" i="1"/>
  <c r="BX440" i="1" s="1"/>
  <c r="H440" i="1"/>
  <c r="BY440" i="1"/>
  <c r="I440" i="1"/>
  <c r="CA440" i="1" s="1"/>
  <c r="J440" i="1"/>
  <c r="BZ440" i="1"/>
  <c r="AM440" i="1"/>
  <c r="AO440" i="1"/>
  <c r="M448" i="10" s="1"/>
  <c r="AP440" i="1"/>
  <c r="AQ440" i="1"/>
  <c r="A440" i="1" s="1"/>
  <c r="A448" i="10" s="1"/>
  <c r="AR440" i="1"/>
  <c r="AS440" i="1"/>
  <c r="AT440" i="1"/>
  <c r="AV440" i="1"/>
  <c r="AW440" i="1"/>
  <c r="AX440" i="1"/>
  <c r="AY440" i="1"/>
  <c r="AZ440" i="1"/>
  <c r="BA440" i="1"/>
  <c r="BB440" i="1"/>
  <c r="BC440" i="1"/>
  <c r="BE440" i="1"/>
  <c r="BF440" i="1"/>
  <c r="BG440" i="1"/>
  <c r="BH440" i="1"/>
  <c r="BI440" i="1"/>
  <c r="BJ440" i="1"/>
  <c r="BK440" i="1"/>
  <c r="BN440" i="1"/>
  <c r="BO440" i="1"/>
  <c r="BP440" i="1"/>
  <c r="BR440" i="1"/>
  <c r="BU440" i="1"/>
  <c r="CG440" i="1"/>
  <c r="CK440" i="1"/>
  <c r="CO440" i="1"/>
  <c r="CS440" i="1"/>
  <c r="DD440" i="1"/>
  <c r="F441" i="1"/>
  <c r="BW441" i="1" s="1"/>
  <c r="G441" i="1"/>
  <c r="BX441" i="1"/>
  <c r="H441" i="1"/>
  <c r="BY441" i="1" s="1"/>
  <c r="I441" i="1"/>
  <c r="CA441" i="1"/>
  <c r="J441" i="1"/>
  <c r="BZ441" i="1" s="1"/>
  <c r="AM441" i="1"/>
  <c r="AO441" i="1"/>
  <c r="M449" i="10"/>
  <c r="O449" i="10" s="1"/>
  <c r="AP441" i="1"/>
  <c r="AQ441" i="1"/>
  <c r="A441" i="1"/>
  <c r="A449" i="10"/>
  <c r="AR441" i="1"/>
  <c r="AS441" i="1" s="1"/>
  <c r="AT441" i="1"/>
  <c r="AV441" i="1"/>
  <c r="AW441" i="1"/>
  <c r="AX441" i="1"/>
  <c r="AY441" i="1"/>
  <c r="AZ441" i="1"/>
  <c r="BA441" i="1"/>
  <c r="BB441" i="1"/>
  <c r="BC441" i="1"/>
  <c r="BE441" i="1"/>
  <c r="BF441" i="1"/>
  <c r="BG441" i="1"/>
  <c r="BH441" i="1"/>
  <c r="BI441" i="1"/>
  <c r="BJ441" i="1"/>
  <c r="BK441" i="1" s="1"/>
  <c r="BN441" i="1"/>
  <c r="BO441" i="1"/>
  <c r="BP441" i="1" s="1"/>
  <c r="BR441" i="1"/>
  <c r="BU441" i="1"/>
  <c r="CG441" i="1"/>
  <c r="CK441" i="1"/>
  <c r="CO441" i="1"/>
  <c r="CS441" i="1"/>
  <c r="DD441" i="1"/>
  <c r="DE441" i="1" s="1"/>
  <c r="F442" i="1"/>
  <c r="BW442" i="1" s="1"/>
  <c r="G442" i="1"/>
  <c r="BX442" i="1"/>
  <c r="H442" i="1"/>
  <c r="BY442" i="1" s="1"/>
  <c r="I442" i="1"/>
  <c r="CA442" i="1"/>
  <c r="J442" i="1"/>
  <c r="BZ442" i="1" s="1"/>
  <c r="AM442" i="1"/>
  <c r="AO442" i="1"/>
  <c r="M451" i="10" s="1"/>
  <c r="AP442" i="1"/>
  <c r="AQ442" i="1"/>
  <c r="A442" i="1"/>
  <c r="A451" i="10" s="1"/>
  <c r="AR442" i="1"/>
  <c r="AS442" i="1"/>
  <c r="AT442" i="1"/>
  <c r="AV442" i="1"/>
  <c r="AW442" i="1"/>
  <c r="AX442" i="1"/>
  <c r="AY442" i="1"/>
  <c r="AZ442" i="1"/>
  <c r="BA442" i="1"/>
  <c r="BB442" i="1"/>
  <c r="BC442" i="1"/>
  <c r="BE442" i="1"/>
  <c r="BF442" i="1"/>
  <c r="BG442" i="1"/>
  <c r="BH442" i="1"/>
  <c r="BI442" i="1"/>
  <c r="BJ442" i="1"/>
  <c r="BK442" i="1"/>
  <c r="BN442" i="1"/>
  <c r="BO442" i="1"/>
  <c r="BP442" i="1" s="1"/>
  <c r="BR442" i="1"/>
  <c r="BT442" i="1"/>
  <c r="BU442" i="1"/>
  <c r="CG442" i="1"/>
  <c r="CK442" i="1"/>
  <c r="CO442" i="1"/>
  <c r="CS442" i="1"/>
  <c r="DD442" i="1"/>
  <c r="DE442" i="1"/>
  <c r="F443" i="1"/>
  <c r="BW443" i="1" s="1"/>
  <c r="G443" i="1"/>
  <c r="BX443" i="1"/>
  <c r="H443" i="1"/>
  <c r="BY443" i="1" s="1"/>
  <c r="I443" i="1"/>
  <c r="CA443" i="1"/>
  <c r="J443" i="1"/>
  <c r="BZ443" i="1" s="1"/>
  <c r="AM443" i="1"/>
  <c r="AO443" i="1"/>
  <c r="M450" i="10"/>
  <c r="AP443" i="1"/>
  <c r="AQ443" i="1"/>
  <c r="A443" i="1"/>
  <c r="A450" i="10"/>
  <c r="AR443" i="1"/>
  <c r="AS443" i="1" s="1"/>
  <c r="AT443" i="1"/>
  <c r="AV443" i="1"/>
  <c r="AW443" i="1"/>
  <c r="AX443" i="1"/>
  <c r="AY443" i="1"/>
  <c r="AZ443" i="1"/>
  <c r="BA443" i="1"/>
  <c r="BB443" i="1"/>
  <c r="BC443" i="1"/>
  <c r="BE443" i="1"/>
  <c r="BF443" i="1"/>
  <c r="BG443" i="1"/>
  <c r="BH443" i="1"/>
  <c r="BI443" i="1"/>
  <c r="BJ443" i="1"/>
  <c r="BK443" i="1" s="1"/>
  <c r="BN443" i="1"/>
  <c r="BO443" i="1"/>
  <c r="BP443" i="1" s="1"/>
  <c r="BS443" i="1" s="1"/>
  <c r="BR443" i="1"/>
  <c r="BT443" i="1"/>
  <c r="BU443" i="1"/>
  <c r="CG443" i="1"/>
  <c r="CK443" i="1"/>
  <c r="CO443" i="1"/>
  <c r="CT443" i="1" s="1"/>
  <c r="L450" i="10" s="1"/>
  <c r="CS443" i="1"/>
  <c r="DD443" i="1"/>
  <c r="F444" i="1"/>
  <c r="BW444" i="1"/>
  <c r="G444" i="1"/>
  <c r="BX444" i="1" s="1"/>
  <c r="H444" i="1"/>
  <c r="BY444" i="1"/>
  <c r="I444" i="1"/>
  <c r="CA444" i="1" s="1"/>
  <c r="J444" i="1"/>
  <c r="BZ444" i="1"/>
  <c r="AM444" i="1"/>
  <c r="AO444" i="1"/>
  <c r="M452" i="10"/>
  <c r="AP444" i="1"/>
  <c r="AQ444" i="1"/>
  <c r="A444" i="1" s="1"/>
  <c r="A452" i="10" s="1"/>
  <c r="AR444" i="1"/>
  <c r="AS444" i="1" s="1"/>
  <c r="AT444" i="1"/>
  <c r="AV444" i="1"/>
  <c r="AW444" i="1"/>
  <c r="AX444" i="1"/>
  <c r="AY444" i="1"/>
  <c r="AZ444" i="1"/>
  <c r="BA444" i="1"/>
  <c r="BB444" i="1"/>
  <c r="BC444" i="1"/>
  <c r="BE444" i="1"/>
  <c r="BF444" i="1"/>
  <c r="BG444" i="1"/>
  <c r="BH444" i="1"/>
  <c r="BI444" i="1"/>
  <c r="BJ444" i="1"/>
  <c r="BK444" i="1" s="1"/>
  <c r="BN444" i="1"/>
  <c r="BO444" i="1"/>
  <c r="BP444" i="1"/>
  <c r="BR444" i="1"/>
  <c r="BT444" i="1" s="1"/>
  <c r="BU444" i="1"/>
  <c r="CG444" i="1"/>
  <c r="CK444" i="1"/>
  <c r="CO444" i="1"/>
  <c r="CS444" i="1"/>
  <c r="DD444" i="1"/>
  <c r="DF444" i="1" s="1"/>
  <c r="F445" i="1"/>
  <c r="BW445" i="1" s="1"/>
  <c r="G445" i="1"/>
  <c r="BX445" i="1"/>
  <c r="H445" i="1"/>
  <c r="BY445" i="1" s="1"/>
  <c r="I445" i="1"/>
  <c r="CA445" i="1"/>
  <c r="J445" i="1"/>
  <c r="BZ445" i="1" s="1"/>
  <c r="AM445" i="1"/>
  <c r="AO445" i="1"/>
  <c r="M454" i="10" s="1"/>
  <c r="AP445" i="1"/>
  <c r="AQ445" i="1"/>
  <c r="A445" i="1"/>
  <c r="A454" i="10" s="1"/>
  <c r="AR445" i="1"/>
  <c r="AS445" i="1"/>
  <c r="AT445" i="1"/>
  <c r="AV445" i="1"/>
  <c r="AW445" i="1"/>
  <c r="AX445" i="1"/>
  <c r="AY445" i="1"/>
  <c r="AZ445" i="1"/>
  <c r="BA445" i="1"/>
  <c r="BB445" i="1"/>
  <c r="BC445" i="1"/>
  <c r="BE445" i="1"/>
  <c r="BF445" i="1"/>
  <c r="BG445" i="1"/>
  <c r="BH445" i="1"/>
  <c r="BI445" i="1"/>
  <c r="BJ445" i="1"/>
  <c r="BK445" i="1"/>
  <c r="BN445" i="1"/>
  <c r="BO445" i="1"/>
  <c r="BP445" i="1" s="1"/>
  <c r="BR445" i="1"/>
  <c r="BT445" i="1"/>
  <c r="BU445" i="1"/>
  <c r="CG445" i="1"/>
  <c r="CK445" i="1"/>
  <c r="CO445" i="1"/>
  <c r="CS445" i="1"/>
  <c r="DD445" i="1"/>
  <c r="F446" i="1"/>
  <c r="BW446" i="1"/>
  <c r="G446" i="1"/>
  <c r="BX446" i="1" s="1"/>
  <c r="H446" i="1"/>
  <c r="BY446" i="1"/>
  <c r="I446" i="1"/>
  <c r="CA446" i="1" s="1"/>
  <c r="J446" i="1"/>
  <c r="BZ446" i="1"/>
  <c r="AM446" i="1"/>
  <c r="AO446" i="1"/>
  <c r="AP446" i="1"/>
  <c r="AQ446" i="1"/>
  <c r="A446" i="1" s="1"/>
  <c r="A453" i="10" s="1"/>
  <c r="AR446" i="1"/>
  <c r="AS446" i="1"/>
  <c r="AT446" i="1"/>
  <c r="AV446" i="1"/>
  <c r="AW446" i="1"/>
  <c r="AX446" i="1"/>
  <c r="AY446" i="1"/>
  <c r="AZ446" i="1"/>
  <c r="BA446" i="1"/>
  <c r="BB446" i="1"/>
  <c r="BC446" i="1"/>
  <c r="BE446" i="1"/>
  <c r="BF446" i="1"/>
  <c r="BG446" i="1"/>
  <c r="BH446" i="1"/>
  <c r="BI446" i="1"/>
  <c r="BJ446" i="1"/>
  <c r="BK446" i="1"/>
  <c r="BN446" i="1"/>
  <c r="BO446" i="1"/>
  <c r="BP446" i="1"/>
  <c r="BR446" i="1"/>
  <c r="BT446" i="1" s="1"/>
  <c r="BU446" i="1"/>
  <c r="CG446" i="1"/>
  <c r="CK446" i="1"/>
  <c r="CO446" i="1"/>
  <c r="CS446" i="1"/>
  <c r="DD446" i="1"/>
  <c r="F447" i="1"/>
  <c r="BW447" i="1" s="1"/>
  <c r="G447" i="1"/>
  <c r="BX447" i="1"/>
  <c r="H447" i="1"/>
  <c r="BY447" i="1" s="1"/>
  <c r="I447" i="1"/>
  <c r="CA447" i="1"/>
  <c r="J447" i="1"/>
  <c r="BZ447" i="1" s="1"/>
  <c r="AM447" i="1"/>
  <c r="AO447" i="1"/>
  <c r="M456" i="10" s="1"/>
  <c r="AP447" i="1"/>
  <c r="AQ447" i="1"/>
  <c r="A447" i="1"/>
  <c r="A456" i="10" s="1"/>
  <c r="AR447" i="1"/>
  <c r="AS447" i="1"/>
  <c r="AT447" i="1"/>
  <c r="AV447" i="1"/>
  <c r="AW447" i="1"/>
  <c r="AX447" i="1"/>
  <c r="AY447" i="1"/>
  <c r="AZ447" i="1"/>
  <c r="BA447" i="1"/>
  <c r="BB447" i="1"/>
  <c r="BC447" i="1"/>
  <c r="BE447" i="1"/>
  <c r="BF447" i="1"/>
  <c r="BG447" i="1"/>
  <c r="BH447" i="1"/>
  <c r="BI447" i="1"/>
  <c r="BJ447" i="1"/>
  <c r="BK447" i="1"/>
  <c r="BN447" i="1"/>
  <c r="BO447" i="1"/>
  <c r="BP447" i="1" s="1"/>
  <c r="BR447" i="1"/>
  <c r="BT447" i="1" s="1"/>
  <c r="BS447" i="1"/>
  <c r="BU447" i="1"/>
  <c r="CG447" i="1"/>
  <c r="CK447" i="1"/>
  <c r="CO447" i="1"/>
  <c r="CS447" i="1"/>
  <c r="DD447" i="1"/>
  <c r="DF447" i="1"/>
  <c r="F448" i="1"/>
  <c r="BW448" i="1" s="1"/>
  <c r="G448" i="1"/>
  <c r="BX448" i="1"/>
  <c r="H448" i="1"/>
  <c r="BY448" i="1" s="1"/>
  <c r="I448" i="1"/>
  <c r="CA448" i="1"/>
  <c r="J448" i="1"/>
  <c r="BZ448" i="1" s="1"/>
  <c r="AM448" i="1"/>
  <c r="AO448" i="1"/>
  <c r="M455" i="10" s="1"/>
  <c r="AP448" i="1"/>
  <c r="AQ448" i="1"/>
  <c r="A448" i="1"/>
  <c r="A455" i="10" s="1"/>
  <c r="AR448" i="1"/>
  <c r="AS448" i="1"/>
  <c r="AT448" i="1"/>
  <c r="AV448" i="1"/>
  <c r="AW448" i="1"/>
  <c r="AX448" i="1"/>
  <c r="AY448" i="1"/>
  <c r="AZ448" i="1"/>
  <c r="BA448" i="1"/>
  <c r="BB448" i="1"/>
  <c r="BC448" i="1"/>
  <c r="BE448" i="1"/>
  <c r="BF448" i="1"/>
  <c r="BG448" i="1"/>
  <c r="BH448" i="1"/>
  <c r="BI448" i="1"/>
  <c r="BJ448" i="1"/>
  <c r="BK448" i="1"/>
  <c r="BN448" i="1"/>
  <c r="BO448" i="1"/>
  <c r="BP448" i="1" s="1"/>
  <c r="BR448" i="1"/>
  <c r="BT448" i="1"/>
  <c r="BU448" i="1"/>
  <c r="CG448" i="1"/>
  <c r="CK448" i="1"/>
  <c r="CO448" i="1"/>
  <c r="CT448" i="1" s="1"/>
  <c r="CU448" i="1" s="1"/>
  <c r="CS448" i="1"/>
  <c r="DD448" i="1"/>
  <c r="DE448" i="1"/>
  <c r="F449" i="1"/>
  <c r="BW449" i="1" s="1"/>
  <c r="G449" i="1"/>
  <c r="BX449" i="1"/>
  <c r="H449" i="1"/>
  <c r="BY449" i="1" s="1"/>
  <c r="I449" i="1"/>
  <c r="CA449" i="1"/>
  <c r="J449" i="1"/>
  <c r="BZ449" i="1" s="1"/>
  <c r="AM449" i="1"/>
  <c r="AO449" i="1"/>
  <c r="M457" i="10"/>
  <c r="AP449" i="1"/>
  <c r="AQ449" i="1"/>
  <c r="A449" i="1"/>
  <c r="A457" i="10"/>
  <c r="AR449" i="1"/>
  <c r="AS449" i="1" s="1"/>
  <c r="AT449" i="1"/>
  <c r="AV449" i="1"/>
  <c r="AW449" i="1"/>
  <c r="AX449" i="1"/>
  <c r="AY449" i="1"/>
  <c r="AZ449" i="1"/>
  <c r="BA449" i="1"/>
  <c r="BB449" i="1"/>
  <c r="BC449" i="1"/>
  <c r="BE449" i="1"/>
  <c r="BF449" i="1"/>
  <c r="BG449" i="1"/>
  <c r="BH449" i="1"/>
  <c r="BI449" i="1"/>
  <c r="BJ449" i="1"/>
  <c r="BK449" i="1" s="1"/>
  <c r="BN449" i="1"/>
  <c r="BO449" i="1"/>
  <c r="BP449" i="1" s="1"/>
  <c r="BR449" i="1"/>
  <c r="BU449" i="1"/>
  <c r="CG449" i="1"/>
  <c r="CK449" i="1"/>
  <c r="CO449" i="1"/>
  <c r="CS449" i="1"/>
  <c r="DD449" i="1"/>
  <c r="DF449" i="1" s="1"/>
  <c r="F450" i="1"/>
  <c r="BW450" i="1"/>
  <c r="G450" i="1"/>
  <c r="BX450" i="1" s="1"/>
  <c r="H450" i="1"/>
  <c r="BY450" i="1"/>
  <c r="I450" i="1"/>
  <c r="CA450" i="1" s="1"/>
  <c r="J450" i="1"/>
  <c r="BZ450" i="1"/>
  <c r="AM450" i="1"/>
  <c r="AO450" i="1"/>
  <c r="M458" i="10" s="1"/>
  <c r="P458" i="10"/>
  <c r="W458" i="10"/>
  <c r="AP450" i="1"/>
  <c r="AQ450" i="1"/>
  <c r="A450" i="1"/>
  <c r="A458" i="10"/>
  <c r="AR450" i="1"/>
  <c r="AS450" i="1" s="1"/>
  <c r="AT450" i="1"/>
  <c r="AV450" i="1"/>
  <c r="AW450" i="1"/>
  <c r="AX450" i="1"/>
  <c r="AY450" i="1"/>
  <c r="AZ450" i="1"/>
  <c r="BA450" i="1"/>
  <c r="BB450" i="1"/>
  <c r="BC450" i="1"/>
  <c r="BE450" i="1"/>
  <c r="BF450" i="1"/>
  <c r="BG450" i="1"/>
  <c r="BH450" i="1"/>
  <c r="BI450" i="1"/>
  <c r="BJ450" i="1"/>
  <c r="BK450" i="1" s="1"/>
  <c r="BN450" i="1"/>
  <c r="BO450" i="1"/>
  <c r="BP450" i="1" s="1"/>
  <c r="BR450" i="1"/>
  <c r="BT450" i="1"/>
  <c r="BU450" i="1"/>
  <c r="CG450" i="1"/>
  <c r="CK450" i="1"/>
  <c r="CO450" i="1"/>
  <c r="CS450" i="1"/>
  <c r="DD450" i="1"/>
  <c r="F451" i="1"/>
  <c r="BW451" i="1"/>
  <c r="G451" i="1"/>
  <c r="BX451" i="1" s="1"/>
  <c r="H451" i="1"/>
  <c r="BY451" i="1"/>
  <c r="I451" i="1"/>
  <c r="CA451" i="1" s="1"/>
  <c r="J451" i="1"/>
  <c r="BZ451" i="1"/>
  <c r="AM451" i="1"/>
  <c r="AO451" i="1"/>
  <c r="M459" i="10" s="1"/>
  <c r="AP451" i="1"/>
  <c r="AQ451" i="1"/>
  <c r="A451" i="1" s="1"/>
  <c r="A459" i="10" s="1"/>
  <c r="AR451" i="1"/>
  <c r="AS451" i="1"/>
  <c r="AT451" i="1"/>
  <c r="AV451" i="1"/>
  <c r="AW451" i="1"/>
  <c r="AX451" i="1"/>
  <c r="AY451" i="1"/>
  <c r="AZ451" i="1"/>
  <c r="BA451" i="1"/>
  <c r="BB451" i="1"/>
  <c r="BC451" i="1"/>
  <c r="BE451" i="1"/>
  <c r="BF451" i="1"/>
  <c r="BG451" i="1"/>
  <c r="BH451" i="1"/>
  <c r="BI451" i="1"/>
  <c r="BJ451" i="1"/>
  <c r="BK451" i="1"/>
  <c r="BN451" i="1"/>
  <c r="BO451" i="1"/>
  <c r="BR451" i="1"/>
  <c r="BT451" i="1"/>
  <c r="BU451" i="1"/>
  <c r="CG451" i="1"/>
  <c r="CK451" i="1"/>
  <c r="CO451" i="1"/>
  <c r="CT451" i="1" s="1"/>
  <c r="CS451" i="1"/>
  <c r="DD451" i="1"/>
  <c r="F452" i="1"/>
  <c r="BW452" i="1"/>
  <c r="G452" i="1"/>
  <c r="BX452" i="1" s="1"/>
  <c r="H452" i="1"/>
  <c r="BY452" i="1"/>
  <c r="I452" i="1"/>
  <c r="CA452" i="1" s="1"/>
  <c r="J452" i="1"/>
  <c r="BZ452" i="1"/>
  <c r="AM452" i="1"/>
  <c r="AO452" i="1"/>
  <c r="M461" i="10"/>
  <c r="AP452" i="1"/>
  <c r="AQ452" i="1"/>
  <c r="A452" i="1" s="1"/>
  <c r="A461" i="10" s="1"/>
  <c r="AR452" i="1"/>
  <c r="AS452" i="1" s="1"/>
  <c r="AT452" i="1"/>
  <c r="AV452" i="1"/>
  <c r="AW452" i="1"/>
  <c r="AX452" i="1"/>
  <c r="AY452" i="1"/>
  <c r="AZ452" i="1"/>
  <c r="BA452" i="1"/>
  <c r="BB452" i="1"/>
  <c r="BC452" i="1"/>
  <c r="BE452" i="1"/>
  <c r="BF452" i="1"/>
  <c r="BG452" i="1"/>
  <c r="BH452" i="1"/>
  <c r="BI452" i="1"/>
  <c r="BJ452" i="1"/>
  <c r="BK452" i="1" s="1"/>
  <c r="BN452" i="1"/>
  <c r="BO452" i="1"/>
  <c r="BP452" i="1"/>
  <c r="BR452" i="1"/>
  <c r="BT452" i="1" s="1"/>
  <c r="BU452" i="1"/>
  <c r="CG452" i="1"/>
  <c r="CK452" i="1"/>
  <c r="CO452" i="1"/>
  <c r="CS452" i="1"/>
  <c r="DD452" i="1"/>
  <c r="F453" i="1"/>
  <c r="BW453" i="1" s="1"/>
  <c r="G453" i="1"/>
  <c r="BX453" i="1"/>
  <c r="H453" i="1"/>
  <c r="BY453" i="1" s="1"/>
  <c r="I453" i="1"/>
  <c r="CA453" i="1"/>
  <c r="J453" i="1"/>
  <c r="BZ453" i="1" s="1"/>
  <c r="AM453" i="1"/>
  <c r="AO453" i="1"/>
  <c r="M460" i="10" s="1"/>
  <c r="AP453" i="1"/>
  <c r="AQ453" i="1"/>
  <c r="A453" i="1"/>
  <c r="A460" i="10" s="1"/>
  <c r="AR453" i="1"/>
  <c r="AS453" i="1"/>
  <c r="AT453" i="1"/>
  <c r="AV453" i="1"/>
  <c r="AW453" i="1"/>
  <c r="AX453" i="1"/>
  <c r="AY453" i="1"/>
  <c r="AZ453" i="1"/>
  <c r="BA453" i="1"/>
  <c r="BB453" i="1"/>
  <c r="BC453" i="1"/>
  <c r="BE453" i="1"/>
  <c r="BF453" i="1"/>
  <c r="BG453" i="1"/>
  <c r="BH453" i="1"/>
  <c r="BI453" i="1"/>
  <c r="BJ453" i="1"/>
  <c r="BK453" i="1"/>
  <c r="BN453" i="1"/>
  <c r="BO453" i="1"/>
  <c r="BP453" i="1" s="1"/>
  <c r="BR453" i="1"/>
  <c r="BT453" i="1"/>
  <c r="BU453" i="1"/>
  <c r="CG453" i="1"/>
  <c r="CK453" i="1"/>
  <c r="CO453" i="1"/>
  <c r="CS453" i="1"/>
  <c r="DD453" i="1"/>
  <c r="F454" i="1"/>
  <c r="BW454" i="1"/>
  <c r="G454" i="1"/>
  <c r="BX454" i="1" s="1"/>
  <c r="H454" i="1"/>
  <c r="BY454" i="1"/>
  <c r="I454" i="1"/>
  <c r="CA454" i="1" s="1"/>
  <c r="J454" i="1"/>
  <c r="BZ454" i="1"/>
  <c r="AM454" i="1"/>
  <c r="AO454" i="1"/>
  <c r="M462" i="10"/>
  <c r="AP454" i="1"/>
  <c r="AQ454" i="1"/>
  <c r="A454" i="1" s="1"/>
  <c r="A462" i="10" s="1"/>
  <c r="AR454" i="1"/>
  <c r="AS454" i="1" s="1"/>
  <c r="AT454" i="1"/>
  <c r="AV454" i="1"/>
  <c r="AW454" i="1"/>
  <c r="AX454" i="1"/>
  <c r="AY454" i="1"/>
  <c r="AZ454" i="1"/>
  <c r="BA454" i="1"/>
  <c r="BB454" i="1"/>
  <c r="BC454" i="1"/>
  <c r="BE454" i="1"/>
  <c r="BF454" i="1"/>
  <c r="BG454" i="1"/>
  <c r="BH454" i="1"/>
  <c r="BI454" i="1"/>
  <c r="BJ454" i="1"/>
  <c r="BK454" i="1" s="1"/>
  <c r="BN454" i="1"/>
  <c r="BO454" i="1"/>
  <c r="BP454" i="1"/>
  <c r="BR454" i="1"/>
  <c r="BT454" i="1" s="1"/>
  <c r="BU454" i="1"/>
  <c r="CG454" i="1"/>
  <c r="CK454" i="1"/>
  <c r="CO454" i="1"/>
  <c r="CS454" i="1"/>
  <c r="DD454" i="1"/>
  <c r="F455" i="1"/>
  <c r="BW455" i="1" s="1"/>
  <c r="G455" i="1"/>
  <c r="BX455" i="1"/>
  <c r="H455" i="1"/>
  <c r="BY455" i="1" s="1"/>
  <c r="I455" i="1"/>
  <c r="CA455" i="1"/>
  <c r="J455" i="1"/>
  <c r="BZ455" i="1" s="1"/>
  <c r="AM455" i="1"/>
  <c r="AO455" i="1"/>
  <c r="M466" i="10" s="1"/>
  <c r="AP455" i="1"/>
  <c r="AQ455" i="1"/>
  <c r="A455" i="1"/>
  <c r="A466" i="10" s="1"/>
  <c r="AR455" i="1"/>
  <c r="AS455" i="1"/>
  <c r="AT455" i="1"/>
  <c r="AV455" i="1"/>
  <c r="AW455" i="1"/>
  <c r="AX455" i="1"/>
  <c r="AY455" i="1"/>
  <c r="AZ455" i="1"/>
  <c r="BA455" i="1"/>
  <c r="BB455" i="1"/>
  <c r="BC455" i="1"/>
  <c r="BE455" i="1"/>
  <c r="BF455" i="1"/>
  <c r="BG455" i="1"/>
  <c r="BH455" i="1"/>
  <c r="BI455" i="1"/>
  <c r="BJ455" i="1"/>
  <c r="BK455" i="1"/>
  <c r="BN455" i="1"/>
  <c r="BO455" i="1"/>
  <c r="BP455" i="1" s="1"/>
  <c r="BR455" i="1"/>
  <c r="BU455" i="1"/>
  <c r="CG455" i="1"/>
  <c r="CK455" i="1"/>
  <c r="CO455" i="1"/>
  <c r="CS455" i="1"/>
  <c r="CT455" i="1" s="1"/>
  <c r="L466" i="10" s="1"/>
  <c r="DD455" i="1"/>
  <c r="DF455" i="1" s="1"/>
  <c r="F456" i="1"/>
  <c r="BW456" i="1"/>
  <c r="G456" i="1"/>
  <c r="BX456" i="1" s="1"/>
  <c r="H456" i="1"/>
  <c r="BY456" i="1"/>
  <c r="I456" i="1"/>
  <c r="CA456" i="1" s="1"/>
  <c r="J456" i="1"/>
  <c r="BZ456" i="1"/>
  <c r="AM456" i="1"/>
  <c r="AO456" i="1"/>
  <c r="M464" i="10"/>
  <c r="AP456" i="1"/>
  <c r="AQ456" i="1"/>
  <c r="A456" i="1" s="1"/>
  <c r="A464" i="10" s="1"/>
  <c r="AR456" i="1"/>
  <c r="AS456" i="1" s="1"/>
  <c r="AT456" i="1"/>
  <c r="AV456" i="1"/>
  <c r="AW456" i="1"/>
  <c r="AX456" i="1"/>
  <c r="AY456" i="1"/>
  <c r="AZ456" i="1"/>
  <c r="BA456" i="1"/>
  <c r="BB456" i="1"/>
  <c r="BC456" i="1"/>
  <c r="BE456" i="1"/>
  <c r="BF456" i="1"/>
  <c r="BG456" i="1"/>
  <c r="BH456" i="1"/>
  <c r="BI456" i="1"/>
  <c r="BJ456" i="1"/>
  <c r="BK456" i="1" s="1"/>
  <c r="BN456" i="1"/>
  <c r="BO456" i="1"/>
  <c r="BP456" i="1"/>
  <c r="BS456" i="1" s="1"/>
  <c r="BR456" i="1"/>
  <c r="BU456" i="1"/>
  <c r="CG456" i="1"/>
  <c r="CT456" i="1" s="1"/>
  <c r="CV456" i="1" s="1"/>
  <c r="CK456" i="1"/>
  <c r="CO456" i="1"/>
  <c r="CS456" i="1"/>
  <c r="DD456" i="1"/>
  <c r="F457" i="1"/>
  <c r="BW457" i="1"/>
  <c r="G457" i="1"/>
  <c r="BX457" i="1" s="1"/>
  <c r="H457" i="1"/>
  <c r="BY457" i="1"/>
  <c r="I457" i="1"/>
  <c r="CA457" i="1" s="1"/>
  <c r="J457" i="1"/>
  <c r="BZ457" i="1"/>
  <c r="AM457" i="1"/>
  <c r="AO457" i="1"/>
  <c r="M463" i="10" s="1"/>
  <c r="AP457" i="1"/>
  <c r="AQ457" i="1"/>
  <c r="A457" i="1" s="1"/>
  <c r="A463" i="10" s="1"/>
  <c r="AR457" i="1"/>
  <c r="AS457" i="1"/>
  <c r="AT457" i="1"/>
  <c r="AV457" i="1"/>
  <c r="AW457" i="1"/>
  <c r="AX457" i="1"/>
  <c r="AY457" i="1"/>
  <c r="AZ457" i="1"/>
  <c r="BA457" i="1"/>
  <c r="BB457" i="1"/>
  <c r="BC457" i="1"/>
  <c r="BE457" i="1"/>
  <c r="BF457" i="1"/>
  <c r="BG457" i="1"/>
  <c r="BH457" i="1"/>
  <c r="BI457" i="1"/>
  <c r="BJ457" i="1"/>
  <c r="BK457" i="1"/>
  <c r="BN457" i="1"/>
  <c r="BO457" i="1"/>
  <c r="BP457" i="1"/>
  <c r="BR457" i="1"/>
  <c r="BT457" i="1" s="1"/>
  <c r="BU457" i="1"/>
  <c r="CG457" i="1"/>
  <c r="CK457" i="1"/>
  <c r="CO457" i="1"/>
  <c r="CS457" i="1"/>
  <c r="DD457" i="1"/>
  <c r="F458" i="1"/>
  <c r="BW458" i="1" s="1"/>
  <c r="G458" i="1"/>
  <c r="BX458" i="1"/>
  <c r="H458" i="1"/>
  <c r="BY458" i="1" s="1"/>
  <c r="I458" i="1"/>
  <c r="CA458" i="1"/>
  <c r="J458" i="1"/>
  <c r="BZ458" i="1" s="1"/>
  <c r="AM458" i="1"/>
  <c r="AO458" i="1"/>
  <c r="M465" i="10"/>
  <c r="AP458" i="1"/>
  <c r="AQ458" i="1"/>
  <c r="A458" i="1"/>
  <c r="A465" i="10"/>
  <c r="AR458" i="1"/>
  <c r="AS458" i="1" s="1"/>
  <c r="AT458" i="1"/>
  <c r="AV458" i="1"/>
  <c r="AW458" i="1"/>
  <c r="AX458" i="1"/>
  <c r="AY458" i="1"/>
  <c r="AZ458" i="1"/>
  <c r="BA458" i="1"/>
  <c r="BB458" i="1"/>
  <c r="BC458" i="1"/>
  <c r="BE458" i="1"/>
  <c r="BF458" i="1"/>
  <c r="BG458" i="1"/>
  <c r="BH458" i="1"/>
  <c r="BI458" i="1"/>
  <c r="BJ458" i="1"/>
  <c r="BK458" i="1" s="1"/>
  <c r="BN458" i="1"/>
  <c r="BO458" i="1"/>
  <c r="BP458" i="1" s="1"/>
  <c r="BS458" i="1" s="1"/>
  <c r="BR458" i="1"/>
  <c r="BT458" i="1"/>
  <c r="BU458" i="1"/>
  <c r="CG458" i="1"/>
  <c r="CK458" i="1"/>
  <c r="CO458" i="1"/>
  <c r="CS458" i="1"/>
  <c r="DD458" i="1"/>
  <c r="F459" i="1"/>
  <c r="BW459" i="1"/>
  <c r="G459" i="1"/>
  <c r="BX459" i="1" s="1"/>
  <c r="H459" i="1"/>
  <c r="BY459" i="1"/>
  <c r="I459" i="1"/>
  <c r="CA459" i="1" s="1"/>
  <c r="J459" i="1"/>
  <c r="BZ459" i="1"/>
  <c r="AM459" i="1"/>
  <c r="AO459" i="1"/>
  <c r="M467" i="10" s="1"/>
  <c r="AP459" i="1"/>
  <c r="AQ459" i="1"/>
  <c r="A459" i="1" s="1"/>
  <c r="A467" i="10" s="1"/>
  <c r="AR459" i="1"/>
  <c r="AS459" i="1"/>
  <c r="AT459" i="1"/>
  <c r="AV459" i="1"/>
  <c r="AW459" i="1"/>
  <c r="AX459" i="1"/>
  <c r="AY459" i="1"/>
  <c r="AZ459" i="1"/>
  <c r="BA459" i="1"/>
  <c r="BB459" i="1"/>
  <c r="BC459" i="1"/>
  <c r="BE459" i="1"/>
  <c r="BF459" i="1"/>
  <c r="BG459" i="1"/>
  <c r="BH459" i="1"/>
  <c r="BI459" i="1"/>
  <c r="BJ459" i="1"/>
  <c r="BK459" i="1"/>
  <c r="BN459" i="1"/>
  <c r="BO459" i="1"/>
  <c r="BP459" i="1"/>
  <c r="BR459" i="1"/>
  <c r="BT459" i="1" s="1"/>
  <c r="BU459" i="1"/>
  <c r="CG459" i="1"/>
  <c r="CK459" i="1"/>
  <c r="CT459" i="1" s="1"/>
  <c r="CO459" i="1"/>
  <c r="CS459" i="1"/>
  <c r="DD459" i="1"/>
  <c r="F460" i="1"/>
  <c r="BW460" i="1" s="1"/>
  <c r="G460" i="1"/>
  <c r="BX460" i="1"/>
  <c r="H460" i="1"/>
  <c r="BY460" i="1" s="1"/>
  <c r="I460" i="1"/>
  <c r="CA460" i="1"/>
  <c r="J460" i="1"/>
  <c r="BZ460" i="1" s="1"/>
  <c r="AM460" i="1"/>
  <c r="AO460" i="1"/>
  <c r="M471" i="10"/>
  <c r="AP460" i="1"/>
  <c r="AQ460" i="1"/>
  <c r="A460" i="1"/>
  <c r="A471" i="10"/>
  <c r="AR460" i="1"/>
  <c r="AS460" i="1" s="1"/>
  <c r="AT460" i="1"/>
  <c r="AV460" i="1"/>
  <c r="AW460" i="1"/>
  <c r="AX460" i="1"/>
  <c r="AY460" i="1"/>
  <c r="AZ460" i="1"/>
  <c r="BA460" i="1"/>
  <c r="BB460" i="1"/>
  <c r="BC460" i="1"/>
  <c r="BE460" i="1"/>
  <c r="BF460" i="1"/>
  <c r="BG460" i="1"/>
  <c r="BH460" i="1"/>
  <c r="BI460" i="1"/>
  <c r="BJ460" i="1"/>
  <c r="BK460" i="1" s="1"/>
  <c r="BN460" i="1"/>
  <c r="BO460" i="1"/>
  <c r="BP460" i="1" s="1"/>
  <c r="BS460" i="1" s="1"/>
  <c r="BR460" i="1"/>
  <c r="BT460" i="1"/>
  <c r="BU460" i="1"/>
  <c r="CG460" i="1"/>
  <c r="CK460" i="1"/>
  <c r="CO460" i="1"/>
  <c r="CS460" i="1"/>
  <c r="DD460" i="1"/>
  <c r="F461" i="1"/>
  <c r="BW461" i="1"/>
  <c r="G461" i="1"/>
  <c r="BX461" i="1" s="1"/>
  <c r="H461" i="1"/>
  <c r="BY461" i="1"/>
  <c r="I461" i="1"/>
  <c r="CA461" i="1" s="1"/>
  <c r="J461" i="1"/>
  <c r="BZ461" i="1"/>
  <c r="AM461" i="1"/>
  <c r="AO461" i="1"/>
  <c r="M470" i="10" s="1"/>
  <c r="AP461" i="1"/>
  <c r="AQ461" i="1"/>
  <c r="A461" i="1" s="1"/>
  <c r="A470" i="10" s="1"/>
  <c r="AR461" i="1"/>
  <c r="AS461" i="1"/>
  <c r="AT461" i="1"/>
  <c r="AV461" i="1"/>
  <c r="AW461" i="1"/>
  <c r="AX461" i="1"/>
  <c r="AY461" i="1"/>
  <c r="AZ461" i="1"/>
  <c r="BA461" i="1"/>
  <c r="BB461" i="1"/>
  <c r="BC461" i="1"/>
  <c r="BE461" i="1"/>
  <c r="BF461" i="1"/>
  <c r="BG461" i="1"/>
  <c r="BH461" i="1"/>
  <c r="BI461" i="1"/>
  <c r="BJ461" i="1"/>
  <c r="BK461" i="1"/>
  <c r="BN461" i="1"/>
  <c r="BO461" i="1"/>
  <c r="BP461" i="1"/>
  <c r="BR461" i="1"/>
  <c r="BT461" i="1" s="1"/>
  <c r="BU461" i="1"/>
  <c r="CG461" i="1"/>
  <c r="CK461" i="1"/>
  <c r="CO461" i="1"/>
  <c r="CS461" i="1"/>
  <c r="DD461" i="1"/>
  <c r="DE461" i="1"/>
  <c r="F462" i="1"/>
  <c r="BW462" i="1" s="1"/>
  <c r="G462" i="1"/>
  <c r="BX462" i="1"/>
  <c r="H462" i="1"/>
  <c r="BY462" i="1" s="1"/>
  <c r="I462" i="1"/>
  <c r="CA462" i="1"/>
  <c r="J462" i="1"/>
  <c r="BZ462" i="1" s="1"/>
  <c r="AM462" i="1"/>
  <c r="AO462" i="1"/>
  <c r="M469" i="10" s="1"/>
  <c r="AP462" i="1"/>
  <c r="AQ462" i="1"/>
  <c r="A462" i="1"/>
  <c r="A469" i="10" s="1"/>
  <c r="AR462" i="1"/>
  <c r="AS462" i="1"/>
  <c r="AT462" i="1"/>
  <c r="AV462" i="1"/>
  <c r="AW462" i="1"/>
  <c r="AX462" i="1"/>
  <c r="AY462" i="1"/>
  <c r="AZ462" i="1"/>
  <c r="BA462" i="1"/>
  <c r="BB462" i="1"/>
  <c r="BC462" i="1"/>
  <c r="BE462" i="1"/>
  <c r="BF462" i="1"/>
  <c r="BG462" i="1"/>
  <c r="BH462" i="1"/>
  <c r="BI462" i="1"/>
  <c r="BJ462" i="1"/>
  <c r="BK462" i="1"/>
  <c r="BN462" i="1"/>
  <c r="BO462" i="1"/>
  <c r="BP462" i="1" s="1"/>
  <c r="BR462" i="1"/>
  <c r="BT462" i="1"/>
  <c r="BU462" i="1"/>
  <c r="CG462" i="1"/>
  <c r="CK462" i="1"/>
  <c r="CO462" i="1"/>
  <c r="CS462" i="1"/>
  <c r="DD462" i="1"/>
  <c r="DF462" i="1"/>
  <c r="F463" i="1"/>
  <c r="BW463" i="1" s="1"/>
  <c r="G463" i="1"/>
  <c r="BX463" i="1"/>
  <c r="H463" i="1"/>
  <c r="BY463" i="1" s="1"/>
  <c r="I463" i="1"/>
  <c r="CA463" i="1"/>
  <c r="J463" i="1"/>
  <c r="BZ463" i="1" s="1"/>
  <c r="AM463" i="1"/>
  <c r="AO463" i="1"/>
  <c r="M468" i="10"/>
  <c r="AP463" i="1"/>
  <c r="AQ463" i="1"/>
  <c r="A463" i="1"/>
  <c r="A468" i="10"/>
  <c r="AR463" i="1"/>
  <c r="AS463" i="1" s="1"/>
  <c r="AT463" i="1"/>
  <c r="AV463" i="1"/>
  <c r="AW463" i="1"/>
  <c r="AX463" i="1"/>
  <c r="AY463" i="1"/>
  <c r="AZ463" i="1"/>
  <c r="BA463" i="1"/>
  <c r="BB463" i="1"/>
  <c r="BC463" i="1"/>
  <c r="BE463" i="1"/>
  <c r="BF463" i="1"/>
  <c r="BG463" i="1"/>
  <c r="BH463" i="1"/>
  <c r="BI463" i="1"/>
  <c r="BJ463" i="1"/>
  <c r="BK463" i="1" s="1"/>
  <c r="BN463" i="1"/>
  <c r="BO463" i="1"/>
  <c r="BP463" i="1" s="1"/>
  <c r="BR463" i="1"/>
  <c r="BT463" i="1"/>
  <c r="BU463" i="1"/>
  <c r="CG463" i="1"/>
  <c r="CK463" i="1"/>
  <c r="CO463" i="1"/>
  <c r="CS463" i="1"/>
  <c r="DD463" i="1"/>
  <c r="F464" i="1"/>
  <c r="BW464" i="1"/>
  <c r="G464" i="1"/>
  <c r="BX464" i="1" s="1"/>
  <c r="H464" i="1"/>
  <c r="BY464" i="1"/>
  <c r="I464" i="1"/>
  <c r="CA464" i="1" s="1"/>
  <c r="J464" i="1"/>
  <c r="BZ464" i="1"/>
  <c r="AM464" i="1"/>
  <c r="AO464" i="1"/>
  <c r="P473" i="10"/>
  <c r="W473" i="10"/>
  <c r="AP464" i="1"/>
  <c r="AQ464" i="1"/>
  <c r="A464" i="1" s="1"/>
  <c r="A473" i="10" s="1"/>
  <c r="AR464" i="1"/>
  <c r="AS464" i="1" s="1"/>
  <c r="AT464" i="1"/>
  <c r="AV464" i="1"/>
  <c r="AW464" i="1"/>
  <c r="AX464" i="1"/>
  <c r="AY464" i="1"/>
  <c r="AZ464" i="1"/>
  <c r="BA464" i="1"/>
  <c r="BB464" i="1"/>
  <c r="BC464" i="1"/>
  <c r="BE464" i="1"/>
  <c r="BF464" i="1"/>
  <c r="BG464" i="1"/>
  <c r="BH464" i="1"/>
  <c r="BI464" i="1"/>
  <c r="BJ464" i="1"/>
  <c r="BK464" i="1" s="1"/>
  <c r="BN464" i="1"/>
  <c r="BO464" i="1"/>
  <c r="BP464" i="1"/>
  <c r="BR464" i="1"/>
  <c r="BT464" i="1" s="1"/>
  <c r="BU464" i="1"/>
  <c r="CG464" i="1"/>
  <c r="CK464" i="1"/>
  <c r="CO464" i="1"/>
  <c r="CS464" i="1"/>
  <c r="DD464" i="1"/>
  <c r="F465" i="1"/>
  <c r="BW465" i="1" s="1"/>
  <c r="G465" i="1"/>
  <c r="BX465" i="1"/>
  <c r="H465" i="1"/>
  <c r="BY465" i="1" s="1"/>
  <c r="I465" i="1"/>
  <c r="CA465" i="1"/>
  <c r="J465" i="1"/>
  <c r="BZ465" i="1" s="1"/>
  <c r="AM465" i="1"/>
  <c r="AO465" i="1"/>
  <c r="M472" i="10" s="1"/>
  <c r="AP465" i="1"/>
  <c r="AQ465" i="1"/>
  <c r="A465" i="1"/>
  <c r="A472" i="10" s="1"/>
  <c r="AR465" i="1"/>
  <c r="AS465" i="1"/>
  <c r="AT465" i="1"/>
  <c r="AV465" i="1"/>
  <c r="AW465" i="1"/>
  <c r="AX465" i="1"/>
  <c r="AY465" i="1"/>
  <c r="AZ465" i="1"/>
  <c r="BA465" i="1"/>
  <c r="BB465" i="1"/>
  <c r="BC465" i="1"/>
  <c r="BE465" i="1"/>
  <c r="BF465" i="1"/>
  <c r="BG465" i="1"/>
  <c r="BH465" i="1"/>
  <c r="BI465" i="1"/>
  <c r="BJ465" i="1"/>
  <c r="BK465" i="1"/>
  <c r="BN465" i="1"/>
  <c r="BO465" i="1"/>
  <c r="BP465" i="1" s="1"/>
  <c r="BR465" i="1"/>
  <c r="BU465" i="1"/>
  <c r="CG465" i="1"/>
  <c r="CK465" i="1"/>
  <c r="CO465" i="1"/>
  <c r="CS465" i="1"/>
  <c r="CT465" i="1" s="1"/>
  <c r="CU465" i="1" s="1"/>
  <c r="CZ465" i="1" s="1"/>
  <c r="DD465" i="1"/>
  <c r="F466" i="1"/>
  <c r="BW466" i="1"/>
  <c r="G466" i="1"/>
  <c r="BX466" i="1" s="1"/>
  <c r="H466" i="1"/>
  <c r="BY466" i="1"/>
  <c r="I466" i="1"/>
  <c r="CA466" i="1" s="1"/>
  <c r="J466" i="1"/>
  <c r="BZ466" i="1"/>
  <c r="AM466" i="1"/>
  <c r="AO466" i="1"/>
  <c r="M474" i="10" s="1"/>
  <c r="AP466" i="1"/>
  <c r="AQ466" i="1"/>
  <c r="A466" i="1" s="1"/>
  <c r="A474" i="10" s="1"/>
  <c r="AR466" i="1"/>
  <c r="AS466" i="1"/>
  <c r="AT466" i="1"/>
  <c r="AV466" i="1"/>
  <c r="AW466" i="1"/>
  <c r="AX466" i="1"/>
  <c r="AY466" i="1"/>
  <c r="AZ466" i="1"/>
  <c r="BA466" i="1"/>
  <c r="BB466" i="1"/>
  <c r="BC466" i="1"/>
  <c r="BE466" i="1"/>
  <c r="BF466" i="1"/>
  <c r="BG466" i="1"/>
  <c r="BH466" i="1"/>
  <c r="BI466" i="1"/>
  <c r="BJ466" i="1"/>
  <c r="BK466" i="1"/>
  <c r="BN466" i="1"/>
  <c r="BO466" i="1"/>
  <c r="BP466" i="1"/>
  <c r="BR466" i="1"/>
  <c r="BT466" i="1" s="1"/>
  <c r="BU466" i="1"/>
  <c r="CG466" i="1"/>
  <c r="CK466" i="1"/>
  <c r="CO466" i="1"/>
  <c r="CS466" i="1"/>
  <c r="DD466" i="1"/>
  <c r="DE466" i="1" s="1"/>
  <c r="F467" i="1"/>
  <c r="BW467" i="1" s="1"/>
  <c r="G467" i="1"/>
  <c r="BX467" i="1"/>
  <c r="H467" i="1"/>
  <c r="BY467" i="1" s="1"/>
  <c r="I467" i="1"/>
  <c r="CA467" i="1"/>
  <c r="J467" i="1"/>
  <c r="BZ467" i="1" s="1"/>
  <c r="AM467" i="1"/>
  <c r="AO467" i="1"/>
  <c r="M475" i="10" s="1"/>
  <c r="AP467" i="1"/>
  <c r="AQ467" i="1"/>
  <c r="A467" i="1"/>
  <c r="A475" i="10" s="1"/>
  <c r="AR467" i="1"/>
  <c r="AS467" i="1"/>
  <c r="AT467" i="1"/>
  <c r="AV467" i="1"/>
  <c r="AW467" i="1"/>
  <c r="AX467" i="1"/>
  <c r="AY467" i="1"/>
  <c r="AZ467" i="1"/>
  <c r="BA467" i="1"/>
  <c r="BB467" i="1"/>
  <c r="BC467" i="1"/>
  <c r="BE467" i="1"/>
  <c r="BF467" i="1"/>
  <c r="BG467" i="1"/>
  <c r="BH467" i="1"/>
  <c r="BI467" i="1"/>
  <c r="BJ467" i="1"/>
  <c r="BK467" i="1"/>
  <c r="BN467" i="1"/>
  <c r="BO467" i="1"/>
  <c r="BP467" i="1" s="1"/>
  <c r="BR467" i="1"/>
  <c r="BT467" i="1"/>
  <c r="BU467" i="1"/>
  <c r="CG467" i="1"/>
  <c r="CK467" i="1"/>
  <c r="CO467" i="1"/>
  <c r="CS467" i="1"/>
  <c r="DD467" i="1"/>
  <c r="DE467" i="1"/>
  <c r="F468" i="1"/>
  <c r="BW468" i="1" s="1"/>
  <c r="G468" i="1"/>
  <c r="BX468" i="1"/>
  <c r="H468" i="1"/>
  <c r="BY468" i="1" s="1"/>
  <c r="I468" i="1"/>
  <c r="CA468" i="1"/>
  <c r="J468" i="1"/>
  <c r="BZ468" i="1" s="1"/>
  <c r="AM468" i="1"/>
  <c r="AO468" i="1"/>
  <c r="M477" i="10"/>
  <c r="AP468" i="1"/>
  <c r="AQ468" i="1"/>
  <c r="A468" i="1"/>
  <c r="A477" i="10"/>
  <c r="AR468" i="1"/>
  <c r="AS468" i="1" s="1"/>
  <c r="AT468" i="1"/>
  <c r="AV468" i="1"/>
  <c r="AW468" i="1"/>
  <c r="AX468" i="1"/>
  <c r="AY468" i="1"/>
  <c r="AZ468" i="1"/>
  <c r="BA468" i="1"/>
  <c r="BB468" i="1"/>
  <c r="BC468" i="1"/>
  <c r="BE468" i="1"/>
  <c r="BF468" i="1"/>
  <c r="BG468" i="1"/>
  <c r="BH468" i="1"/>
  <c r="BI468" i="1"/>
  <c r="BJ468" i="1"/>
  <c r="BK468" i="1" s="1"/>
  <c r="BN468" i="1"/>
  <c r="BO468" i="1"/>
  <c r="BP468" i="1" s="1"/>
  <c r="BR468" i="1"/>
  <c r="BT468" i="1"/>
  <c r="BU468" i="1"/>
  <c r="CG468" i="1"/>
  <c r="CK468" i="1"/>
  <c r="CO468" i="1"/>
  <c r="CS468" i="1"/>
  <c r="DD468" i="1"/>
  <c r="DF468" i="1" s="1"/>
  <c r="F469" i="1"/>
  <c r="BW469" i="1"/>
  <c r="G469" i="1"/>
  <c r="BX469" i="1" s="1"/>
  <c r="H469" i="1"/>
  <c r="BY469" i="1"/>
  <c r="I469" i="1"/>
  <c r="CA469" i="1" s="1"/>
  <c r="J469" i="1"/>
  <c r="BZ469" i="1"/>
  <c r="AM469" i="1"/>
  <c r="AO469" i="1"/>
  <c r="M476" i="10"/>
  <c r="P476" i="10"/>
  <c r="AP469" i="1"/>
  <c r="AQ469" i="1"/>
  <c r="A469" i="1"/>
  <c r="A476" i="10"/>
  <c r="AR469" i="1"/>
  <c r="AS469" i="1" s="1"/>
  <c r="AT469" i="1"/>
  <c r="AV469" i="1"/>
  <c r="AW469" i="1"/>
  <c r="AX469" i="1"/>
  <c r="AY469" i="1"/>
  <c r="AZ469" i="1"/>
  <c r="BA469" i="1"/>
  <c r="BB469" i="1"/>
  <c r="BC469" i="1"/>
  <c r="BE469" i="1"/>
  <c r="BF469" i="1"/>
  <c r="BG469" i="1"/>
  <c r="BH469" i="1"/>
  <c r="BI469" i="1"/>
  <c r="BJ469" i="1"/>
  <c r="BK469" i="1" s="1"/>
  <c r="BN469" i="1"/>
  <c r="BO469" i="1"/>
  <c r="BR469" i="1"/>
  <c r="BU469" i="1"/>
  <c r="CG469" i="1"/>
  <c r="CK469" i="1"/>
  <c r="CO469" i="1"/>
  <c r="CS469" i="1"/>
  <c r="DD469" i="1"/>
  <c r="DF469" i="1" s="1"/>
  <c r="F470" i="1"/>
  <c r="BW470" i="1"/>
  <c r="G470" i="1"/>
  <c r="BX470" i="1" s="1"/>
  <c r="H470" i="1"/>
  <c r="BY470" i="1"/>
  <c r="I470" i="1"/>
  <c r="CA470" i="1" s="1"/>
  <c r="J470" i="1"/>
  <c r="BZ470" i="1"/>
  <c r="AM470" i="1"/>
  <c r="AO470" i="1"/>
  <c r="M479" i="10" s="1"/>
  <c r="P479" i="10"/>
  <c r="W479" i="10"/>
  <c r="AP470" i="1"/>
  <c r="AQ470" i="1"/>
  <c r="A470" i="1"/>
  <c r="A479" i="10"/>
  <c r="AR470" i="1"/>
  <c r="AS470" i="1" s="1"/>
  <c r="AT470" i="1"/>
  <c r="AV470" i="1"/>
  <c r="AW470" i="1"/>
  <c r="AX470" i="1"/>
  <c r="AY470" i="1"/>
  <c r="AZ470" i="1"/>
  <c r="BA470" i="1"/>
  <c r="BB470" i="1"/>
  <c r="BC470" i="1"/>
  <c r="BE470" i="1"/>
  <c r="BF470" i="1"/>
  <c r="BG470" i="1"/>
  <c r="BH470" i="1"/>
  <c r="BI470" i="1"/>
  <c r="BJ470" i="1"/>
  <c r="BK470" i="1" s="1"/>
  <c r="BN470" i="1"/>
  <c r="BO470" i="1"/>
  <c r="BP470" i="1" s="1"/>
  <c r="BR470" i="1"/>
  <c r="BT470" i="1"/>
  <c r="BU470" i="1"/>
  <c r="CG470" i="1"/>
  <c r="CK470" i="1"/>
  <c r="CO470" i="1"/>
  <c r="CS470" i="1"/>
  <c r="CT470" i="1" s="1"/>
  <c r="CU470" i="1" s="1"/>
  <c r="DD470" i="1"/>
  <c r="DE470" i="1" s="1"/>
  <c r="F471" i="1"/>
  <c r="BW471" i="1"/>
  <c r="G471" i="1"/>
  <c r="BX471" i="1" s="1"/>
  <c r="H471" i="1"/>
  <c r="BY471" i="1"/>
  <c r="I471" i="1"/>
  <c r="CA471" i="1" s="1"/>
  <c r="J471" i="1"/>
  <c r="BZ471" i="1"/>
  <c r="AM471" i="1"/>
  <c r="AO471" i="1"/>
  <c r="M478" i="10"/>
  <c r="AP471" i="1"/>
  <c r="AQ471" i="1"/>
  <c r="A471" i="1" s="1"/>
  <c r="A478" i="10" s="1"/>
  <c r="AR471" i="1"/>
  <c r="AS471" i="1" s="1"/>
  <c r="AT471" i="1"/>
  <c r="AV471" i="1"/>
  <c r="AW471" i="1"/>
  <c r="AX471" i="1"/>
  <c r="AY471" i="1"/>
  <c r="AZ471" i="1"/>
  <c r="BA471" i="1"/>
  <c r="BB471" i="1"/>
  <c r="BC471" i="1"/>
  <c r="BE471" i="1"/>
  <c r="BF471" i="1"/>
  <c r="BG471" i="1"/>
  <c r="BH471" i="1"/>
  <c r="BI471" i="1"/>
  <c r="BJ471" i="1"/>
  <c r="BK471" i="1" s="1"/>
  <c r="BN471" i="1"/>
  <c r="BO471" i="1"/>
  <c r="BP471" i="1"/>
  <c r="BR471" i="1"/>
  <c r="BT471" i="1" s="1"/>
  <c r="BU471" i="1"/>
  <c r="CG471" i="1"/>
  <c r="CK471" i="1"/>
  <c r="CO471" i="1"/>
  <c r="CS471" i="1"/>
  <c r="DD471" i="1"/>
  <c r="DF471" i="1" s="1"/>
  <c r="F472" i="1"/>
  <c r="BW472" i="1"/>
  <c r="G472" i="1"/>
  <c r="BX472" i="1" s="1"/>
  <c r="H472" i="1"/>
  <c r="BY472" i="1"/>
  <c r="I472" i="1"/>
  <c r="CA472" i="1" s="1"/>
  <c r="J472" i="1"/>
  <c r="BZ472" i="1"/>
  <c r="AM472" i="1"/>
  <c r="AO472" i="1"/>
  <c r="M480" i="10" s="1"/>
  <c r="AP472" i="1"/>
  <c r="AQ472" i="1"/>
  <c r="A472" i="1" s="1"/>
  <c r="A480" i="10" s="1"/>
  <c r="AR472" i="1"/>
  <c r="AS472" i="1"/>
  <c r="AT472" i="1"/>
  <c r="AV472" i="1"/>
  <c r="AW472" i="1"/>
  <c r="AX472" i="1"/>
  <c r="AY472" i="1"/>
  <c r="AZ472" i="1"/>
  <c r="BA472" i="1"/>
  <c r="BB472" i="1"/>
  <c r="BC472" i="1"/>
  <c r="BE472" i="1"/>
  <c r="BF472" i="1"/>
  <c r="BG472" i="1"/>
  <c r="BH472" i="1"/>
  <c r="BI472" i="1"/>
  <c r="BJ472" i="1"/>
  <c r="BK472" i="1"/>
  <c r="BN472" i="1"/>
  <c r="BO472" i="1"/>
  <c r="BP472" i="1"/>
  <c r="BR472" i="1"/>
  <c r="BU472" i="1"/>
  <c r="CG472" i="1"/>
  <c r="CK472" i="1"/>
  <c r="CO472" i="1"/>
  <c r="CS472" i="1"/>
  <c r="DD472" i="1"/>
  <c r="DF472" i="1"/>
  <c r="F473" i="1"/>
  <c r="BW473" i="1" s="1"/>
  <c r="G473" i="1"/>
  <c r="BX473" i="1"/>
  <c r="H473" i="1"/>
  <c r="BY473" i="1" s="1"/>
  <c r="I473" i="1"/>
  <c r="CA473" i="1"/>
  <c r="J473" i="1"/>
  <c r="BZ473" i="1" s="1"/>
  <c r="AM473" i="1"/>
  <c r="AO473" i="1"/>
  <c r="M481" i="10"/>
  <c r="P481" i="10"/>
  <c r="W481" i="10" s="1"/>
  <c r="AP473" i="1"/>
  <c r="AQ473" i="1"/>
  <c r="A473" i="1" s="1"/>
  <c r="A481" i="10" s="1"/>
  <c r="AR473" i="1"/>
  <c r="AS473" i="1"/>
  <c r="AT473" i="1"/>
  <c r="AV473" i="1"/>
  <c r="AW473" i="1"/>
  <c r="AX473" i="1"/>
  <c r="AY473" i="1"/>
  <c r="AZ473" i="1"/>
  <c r="BA473" i="1"/>
  <c r="BB473" i="1"/>
  <c r="BC473" i="1"/>
  <c r="BE473" i="1"/>
  <c r="BF473" i="1"/>
  <c r="BG473" i="1"/>
  <c r="BH473" i="1"/>
  <c r="BI473" i="1"/>
  <c r="BJ473" i="1"/>
  <c r="BK473" i="1"/>
  <c r="BN473" i="1"/>
  <c r="BO473" i="1"/>
  <c r="BP473" i="1"/>
  <c r="BR473" i="1"/>
  <c r="BU473" i="1"/>
  <c r="CG473" i="1"/>
  <c r="CK473" i="1"/>
  <c r="CO473" i="1"/>
  <c r="CS473" i="1"/>
  <c r="DD473" i="1"/>
  <c r="DF473" i="1"/>
  <c r="F474" i="1"/>
  <c r="BW474" i="1" s="1"/>
  <c r="G474" i="1"/>
  <c r="BX474" i="1"/>
  <c r="H474" i="1"/>
  <c r="BY474" i="1" s="1"/>
  <c r="I474" i="1"/>
  <c r="CA474" i="1"/>
  <c r="J474" i="1"/>
  <c r="BZ474" i="1" s="1"/>
  <c r="AM474" i="1"/>
  <c r="AO474" i="1"/>
  <c r="M482" i="10" s="1"/>
  <c r="AP474" i="1"/>
  <c r="AQ474" i="1"/>
  <c r="A474" i="1"/>
  <c r="A482" i="10" s="1"/>
  <c r="AR474" i="1"/>
  <c r="AS474" i="1"/>
  <c r="AT474" i="1"/>
  <c r="AV474" i="1"/>
  <c r="AW474" i="1"/>
  <c r="AX474" i="1"/>
  <c r="AY474" i="1"/>
  <c r="AZ474" i="1"/>
  <c r="BA474" i="1"/>
  <c r="BB474" i="1"/>
  <c r="BC474" i="1"/>
  <c r="BE474" i="1"/>
  <c r="BF474" i="1"/>
  <c r="BG474" i="1"/>
  <c r="BH474" i="1"/>
  <c r="BI474" i="1"/>
  <c r="BJ474" i="1"/>
  <c r="BK474" i="1"/>
  <c r="BN474" i="1"/>
  <c r="BO474" i="1"/>
  <c r="BP474" i="1" s="1"/>
  <c r="BS474" i="1" s="1"/>
  <c r="BR474" i="1"/>
  <c r="BT474" i="1" s="1"/>
  <c r="BU474" i="1"/>
  <c r="CG474" i="1"/>
  <c r="CK474" i="1"/>
  <c r="CO474" i="1"/>
  <c r="CS474" i="1"/>
  <c r="DD474" i="1"/>
  <c r="DE474" i="1"/>
  <c r="F475" i="1"/>
  <c r="BW475" i="1" s="1"/>
  <c r="G475" i="1"/>
  <c r="BX475" i="1"/>
  <c r="H475" i="1"/>
  <c r="BY475" i="1" s="1"/>
  <c r="I475" i="1"/>
  <c r="CA475" i="1"/>
  <c r="J475" i="1"/>
  <c r="BZ475" i="1" s="1"/>
  <c r="AM475" i="1"/>
  <c r="AO475" i="1"/>
  <c r="M483" i="10" s="1"/>
  <c r="AP475" i="1"/>
  <c r="AQ475" i="1"/>
  <c r="A475" i="1"/>
  <c r="A483" i="10" s="1"/>
  <c r="AR475" i="1"/>
  <c r="AS475" i="1"/>
  <c r="AT475" i="1"/>
  <c r="AV475" i="1"/>
  <c r="AW475" i="1"/>
  <c r="AX475" i="1"/>
  <c r="AY475" i="1"/>
  <c r="AZ475" i="1"/>
  <c r="BA475" i="1"/>
  <c r="BB475" i="1"/>
  <c r="BC475" i="1"/>
  <c r="BE475" i="1"/>
  <c r="BF475" i="1"/>
  <c r="BG475" i="1"/>
  <c r="BH475" i="1"/>
  <c r="BI475" i="1"/>
  <c r="BJ475" i="1"/>
  <c r="BK475" i="1"/>
  <c r="BN475" i="1"/>
  <c r="BO475" i="1"/>
  <c r="BP475" i="1" s="1"/>
  <c r="BS475" i="1" s="1"/>
  <c r="BR475" i="1"/>
  <c r="BU475" i="1"/>
  <c r="CG475" i="1"/>
  <c r="CK475" i="1"/>
  <c r="CO475" i="1"/>
  <c r="CS475" i="1"/>
  <c r="DD475" i="1"/>
  <c r="F476" i="1"/>
  <c r="BW476" i="1"/>
  <c r="G476" i="1"/>
  <c r="BX476" i="1" s="1"/>
  <c r="H476" i="1"/>
  <c r="BY476" i="1"/>
  <c r="I476" i="1"/>
  <c r="CA476" i="1" s="1"/>
  <c r="J476" i="1"/>
  <c r="BZ476" i="1"/>
  <c r="AM476" i="1"/>
  <c r="AO476" i="1"/>
  <c r="M484" i="10" s="1"/>
  <c r="AP476" i="1"/>
  <c r="AQ476" i="1"/>
  <c r="A476" i="1" s="1"/>
  <c r="A484" i="10" s="1"/>
  <c r="AR476" i="1"/>
  <c r="AS476" i="1"/>
  <c r="AT476" i="1"/>
  <c r="AV476" i="1"/>
  <c r="AW476" i="1"/>
  <c r="AX476" i="1"/>
  <c r="AY476" i="1"/>
  <c r="AZ476" i="1"/>
  <c r="BA476" i="1"/>
  <c r="BB476" i="1"/>
  <c r="BC476" i="1"/>
  <c r="BE476" i="1"/>
  <c r="BF476" i="1"/>
  <c r="BG476" i="1"/>
  <c r="BH476" i="1"/>
  <c r="BI476" i="1"/>
  <c r="BJ476" i="1"/>
  <c r="BK476" i="1"/>
  <c r="BN476" i="1"/>
  <c r="BO476" i="1"/>
  <c r="BP476" i="1"/>
  <c r="BR476" i="1"/>
  <c r="BS476" i="1" s="1"/>
  <c r="BU476" i="1"/>
  <c r="CG476" i="1"/>
  <c r="CK476" i="1"/>
  <c r="CO476" i="1"/>
  <c r="CS476" i="1"/>
  <c r="DD476" i="1"/>
  <c r="DF476" i="1"/>
  <c r="F477" i="1"/>
  <c r="BW477" i="1" s="1"/>
  <c r="G477" i="1"/>
  <c r="BX477" i="1"/>
  <c r="H477" i="1"/>
  <c r="BY477" i="1" s="1"/>
  <c r="I477" i="1"/>
  <c r="CA477" i="1"/>
  <c r="J477" i="1"/>
  <c r="BZ477" i="1" s="1"/>
  <c r="AM477" i="1"/>
  <c r="AO477" i="1"/>
  <c r="M485" i="10"/>
  <c r="AP477" i="1"/>
  <c r="AQ477" i="1"/>
  <c r="A477" i="1"/>
  <c r="A485" i="10"/>
  <c r="AR477" i="1"/>
  <c r="AS477" i="1" s="1"/>
  <c r="AT477" i="1"/>
  <c r="AV477" i="1"/>
  <c r="AW477" i="1"/>
  <c r="AX477" i="1"/>
  <c r="AY477" i="1"/>
  <c r="AZ477" i="1"/>
  <c r="BA477" i="1"/>
  <c r="BB477" i="1"/>
  <c r="BC477" i="1"/>
  <c r="BE477" i="1"/>
  <c r="BF477" i="1"/>
  <c r="BG477" i="1"/>
  <c r="BH477" i="1"/>
  <c r="BI477" i="1"/>
  <c r="BJ477" i="1"/>
  <c r="BK477" i="1" s="1"/>
  <c r="BN477" i="1"/>
  <c r="BO477" i="1"/>
  <c r="BP477" i="1" s="1"/>
  <c r="BS477" i="1" s="1"/>
  <c r="BR477" i="1"/>
  <c r="BT477" i="1"/>
  <c r="BU477" i="1"/>
  <c r="CG477" i="1"/>
  <c r="CK477" i="1"/>
  <c r="CO477" i="1"/>
  <c r="CS477" i="1"/>
  <c r="DD477" i="1"/>
  <c r="DF477" i="1" s="1"/>
  <c r="F478" i="1"/>
  <c r="BW478" i="1"/>
  <c r="G478" i="1"/>
  <c r="BX478" i="1" s="1"/>
  <c r="H478" i="1"/>
  <c r="BY478" i="1"/>
  <c r="I478" i="1"/>
  <c r="CA478" i="1" s="1"/>
  <c r="J478" i="1"/>
  <c r="BZ478" i="1"/>
  <c r="AM478" i="1"/>
  <c r="AO478" i="1"/>
  <c r="M486" i="10"/>
  <c r="AP478" i="1"/>
  <c r="AQ478" i="1"/>
  <c r="A478" i="1" s="1"/>
  <c r="A486" i="10" s="1"/>
  <c r="AR478" i="1"/>
  <c r="AS478" i="1" s="1"/>
  <c r="AT478" i="1"/>
  <c r="AV478" i="1"/>
  <c r="AW478" i="1"/>
  <c r="AX478" i="1"/>
  <c r="AY478" i="1"/>
  <c r="AZ478" i="1"/>
  <c r="BA478" i="1"/>
  <c r="BB478" i="1"/>
  <c r="BC478" i="1"/>
  <c r="BE478" i="1"/>
  <c r="BF478" i="1"/>
  <c r="BG478" i="1"/>
  <c r="BH478" i="1"/>
  <c r="BI478" i="1"/>
  <c r="BJ478" i="1"/>
  <c r="BK478" i="1" s="1"/>
  <c r="BN478" i="1"/>
  <c r="BO478" i="1"/>
  <c r="BP478" i="1"/>
  <c r="BS478" i="1" s="1"/>
  <c r="BR478" i="1"/>
  <c r="BU478" i="1"/>
  <c r="CG478" i="1"/>
  <c r="CK478" i="1"/>
  <c r="CT478" i="1" s="1"/>
  <c r="CO478" i="1"/>
  <c r="CS478" i="1"/>
  <c r="DD478" i="1"/>
  <c r="F479" i="1"/>
  <c r="BW479" i="1" s="1"/>
  <c r="G479" i="1"/>
  <c r="BX479" i="1"/>
  <c r="H479" i="1"/>
  <c r="BY479" i="1" s="1"/>
  <c r="I479" i="1"/>
  <c r="CA479" i="1"/>
  <c r="J479" i="1"/>
  <c r="BZ479" i="1" s="1"/>
  <c r="AM479" i="1"/>
  <c r="AO479" i="1"/>
  <c r="M487" i="10"/>
  <c r="AP479" i="1"/>
  <c r="AQ479" i="1"/>
  <c r="A479" i="1"/>
  <c r="A487" i="10"/>
  <c r="AR479" i="1"/>
  <c r="AS479" i="1" s="1"/>
  <c r="AT479" i="1"/>
  <c r="AV479" i="1"/>
  <c r="AW479" i="1"/>
  <c r="AX479" i="1"/>
  <c r="AY479" i="1"/>
  <c r="AZ479" i="1"/>
  <c r="BA479" i="1"/>
  <c r="BB479" i="1"/>
  <c r="BC479" i="1"/>
  <c r="BE479" i="1"/>
  <c r="BF479" i="1"/>
  <c r="BG479" i="1"/>
  <c r="BH479" i="1"/>
  <c r="BI479" i="1"/>
  <c r="BJ479" i="1"/>
  <c r="BK479" i="1" s="1"/>
  <c r="BN479" i="1"/>
  <c r="BO479" i="1"/>
  <c r="BP479" i="1" s="1"/>
  <c r="BR479" i="1"/>
  <c r="BT479" i="1"/>
  <c r="BU479" i="1"/>
  <c r="CG479" i="1"/>
  <c r="CK479" i="1"/>
  <c r="CO479" i="1"/>
  <c r="CS479" i="1"/>
  <c r="DD479" i="1"/>
  <c r="F480" i="1"/>
  <c r="BW480" i="1"/>
  <c r="G480" i="1"/>
  <c r="BX480" i="1" s="1"/>
  <c r="H480" i="1"/>
  <c r="BY480" i="1"/>
  <c r="I480" i="1"/>
  <c r="CA480" i="1" s="1"/>
  <c r="J480" i="1"/>
  <c r="BZ480" i="1"/>
  <c r="AM480" i="1"/>
  <c r="AO480" i="1"/>
  <c r="M488" i="10" s="1"/>
  <c r="AP480" i="1"/>
  <c r="AQ480" i="1"/>
  <c r="A480" i="1" s="1"/>
  <c r="A488" i="10" s="1"/>
  <c r="AR480" i="1"/>
  <c r="AS480" i="1"/>
  <c r="AT480" i="1"/>
  <c r="AV480" i="1"/>
  <c r="AW480" i="1"/>
  <c r="AX480" i="1"/>
  <c r="AY480" i="1"/>
  <c r="AZ480" i="1"/>
  <c r="BA480" i="1"/>
  <c r="BB480" i="1"/>
  <c r="BC480" i="1"/>
  <c r="BE480" i="1"/>
  <c r="BF480" i="1"/>
  <c r="BG480" i="1"/>
  <c r="BH480" i="1"/>
  <c r="BI480" i="1"/>
  <c r="BJ480" i="1"/>
  <c r="BK480" i="1"/>
  <c r="BN480" i="1"/>
  <c r="BO480" i="1"/>
  <c r="BP480" i="1"/>
  <c r="BR480" i="1"/>
  <c r="BU480" i="1"/>
  <c r="CG480" i="1"/>
  <c r="CK480" i="1"/>
  <c r="CO480" i="1"/>
  <c r="CS480" i="1"/>
  <c r="DD480" i="1"/>
  <c r="F481" i="1"/>
  <c r="BW481" i="1"/>
  <c r="G481" i="1"/>
  <c r="BX481" i="1" s="1"/>
  <c r="H481" i="1"/>
  <c r="BY481" i="1"/>
  <c r="I481" i="1"/>
  <c r="CA481" i="1" s="1"/>
  <c r="J481" i="1"/>
  <c r="BZ481" i="1"/>
  <c r="AM481" i="1"/>
  <c r="AO481" i="1"/>
  <c r="M489" i="10"/>
  <c r="AP481" i="1"/>
  <c r="AQ481" i="1"/>
  <c r="A481" i="1" s="1"/>
  <c r="A489" i="10" s="1"/>
  <c r="AR481" i="1"/>
  <c r="AS481" i="1" s="1"/>
  <c r="AT481" i="1"/>
  <c r="AV481" i="1"/>
  <c r="AW481" i="1"/>
  <c r="AX481" i="1"/>
  <c r="AY481" i="1"/>
  <c r="AZ481" i="1"/>
  <c r="BA481" i="1"/>
  <c r="BB481" i="1"/>
  <c r="BC481" i="1"/>
  <c r="BE481" i="1"/>
  <c r="BF481" i="1"/>
  <c r="BG481" i="1"/>
  <c r="BH481" i="1"/>
  <c r="BI481" i="1"/>
  <c r="BJ481" i="1"/>
  <c r="BK481" i="1" s="1"/>
  <c r="BN481" i="1"/>
  <c r="BO481" i="1"/>
  <c r="BP481" i="1"/>
  <c r="BR481" i="1"/>
  <c r="BT481" i="1" s="1"/>
  <c r="BU481" i="1"/>
  <c r="CG481" i="1"/>
  <c r="CK481" i="1"/>
  <c r="CO481" i="1"/>
  <c r="CS481" i="1"/>
  <c r="DD481" i="1"/>
  <c r="DE481" i="1" s="1"/>
  <c r="F482" i="1"/>
  <c r="BW482" i="1" s="1"/>
  <c r="G482" i="1"/>
  <c r="BX482" i="1"/>
  <c r="H482" i="1"/>
  <c r="BY482" i="1" s="1"/>
  <c r="I482" i="1"/>
  <c r="CA482" i="1"/>
  <c r="J482" i="1"/>
  <c r="BZ482" i="1" s="1"/>
  <c r="AM482" i="1"/>
  <c r="AO482" i="1"/>
  <c r="M490" i="10" s="1"/>
  <c r="AP482" i="1"/>
  <c r="AQ482" i="1"/>
  <c r="A482" i="1"/>
  <c r="A490" i="10" s="1"/>
  <c r="AR482" i="1"/>
  <c r="AS482" i="1"/>
  <c r="AT482" i="1"/>
  <c r="AV482" i="1"/>
  <c r="AW482" i="1"/>
  <c r="AX482" i="1"/>
  <c r="AY482" i="1"/>
  <c r="AZ482" i="1"/>
  <c r="BA482" i="1"/>
  <c r="BB482" i="1"/>
  <c r="BC482" i="1"/>
  <c r="BE482" i="1"/>
  <c r="BF482" i="1"/>
  <c r="BG482" i="1"/>
  <c r="BH482" i="1"/>
  <c r="BI482" i="1"/>
  <c r="BJ482" i="1"/>
  <c r="BK482" i="1"/>
  <c r="BN482" i="1"/>
  <c r="BO482" i="1"/>
  <c r="BP482" i="1" s="1"/>
  <c r="BR482" i="1"/>
  <c r="BU482" i="1"/>
  <c r="CG482" i="1"/>
  <c r="CK482" i="1"/>
  <c r="CO482" i="1"/>
  <c r="CS482" i="1"/>
  <c r="CT482" i="1" s="1"/>
  <c r="DD482" i="1"/>
  <c r="F483" i="1"/>
  <c r="BW483" i="1"/>
  <c r="G483" i="1"/>
  <c r="BX483" i="1" s="1"/>
  <c r="H483" i="1"/>
  <c r="BY483" i="1"/>
  <c r="I483" i="1"/>
  <c r="CA483" i="1" s="1"/>
  <c r="J483" i="1"/>
  <c r="BZ483" i="1"/>
  <c r="AM483" i="1"/>
  <c r="AO483" i="1"/>
  <c r="M491" i="10" s="1"/>
  <c r="P491" i="10"/>
  <c r="N491" i="10"/>
  <c r="U491" i="10" s="1"/>
  <c r="AP483" i="1"/>
  <c r="AQ483" i="1"/>
  <c r="A483" i="1"/>
  <c r="A491" i="10" s="1"/>
  <c r="AR483" i="1"/>
  <c r="AS483" i="1"/>
  <c r="AT483" i="1"/>
  <c r="AV483" i="1"/>
  <c r="AW483" i="1"/>
  <c r="AX483" i="1"/>
  <c r="AY483" i="1"/>
  <c r="AZ483" i="1"/>
  <c r="BA483" i="1"/>
  <c r="BB483" i="1"/>
  <c r="BC483" i="1"/>
  <c r="BE483" i="1"/>
  <c r="BF483" i="1"/>
  <c r="BG483" i="1"/>
  <c r="BH483" i="1"/>
  <c r="BI483" i="1"/>
  <c r="BJ483" i="1"/>
  <c r="BK483" i="1"/>
  <c r="BN483" i="1"/>
  <c r="BO483" i="1"/>
  <c r="BP483" i="1" s="1"/>
  <c r="BS483" i="1" s="1"/>
  <c r="BR483" i="1"/>
  <c r="BU483" i="1"/>
  <c r="CG483" i="1"/>
  <c r="CK483" i="1"/>
  <c r="CO483" i="1"/>
  <c r="CT483" i="1" s="1"/>
  <c r="CS483" i="1"/>
  <c r="DD483" i="1"/>
  <c r="F484" i="1"/>
  <c r="BW484" i="1"/>
  <c r="G484" i="1"/>
  <c r="BX484" i="1" s="1"/>
  <c r="H484" i="1"/>
  <c r="BY484" i="1"/>
  <c r="I484" i="1"/>
  <c r="CA484" i="1" s="1"/>
  <c r="J484" i="1"/>
  <c r="BZ484" i="1"/>
  <c r="AM484" i="1"/>
  <c r="AO484" i="1"/>
  <c r="M492" i="10"/>
  <c r="AP484" i="1"/>
  <c r="AQ484" i="1"/>
  <c r="A484" i="1" s="1"/>
  <c r="A492" i="10" s="1"/>
  <c r="AR484" i="1"/>
  <c r="AS484" i="1" s="1"/>
  <c r="AT484" i="1"/>
  <c r="AV484" i="1"/>
  <c r="AW484" i="1"/>
  <c r="AX484" i="1"/>
  <c r="AY484" i="1"/>
  <c r="AZ484" i="1"/>
  <c r="BA484" i="1"/>
  <c r="BB484" i="1"/>
  <c r="BC484" i="1"/>
  <c r="BE484" i="1"/>
  <c r="BF484" i="1"/>
  <c r="BG484" i="1"/>
  <c r="BH484" i="1"/>
  <c r="BI484" i="1"/>
  <c r="BJ484" i="1"/>
  <c r="BK484" i="1" s="1"/>
  <c r="BN484" i="1"/>
  <c r="BO484" i="1"/>
  <c r="BP484" i="1"/>
  <c r="BS484" i="1" s="1"/>
  <c r="BR484" i="1"/>
  <c r="BU484" i="1"/>
  <c r="CG484" i="1"/>
  <c r="CK484" i="1"/>
  <c r="CO484" i="1"/>
  <c r="CS484" i="1"/>
  <c r="DD484" i="1"/>
  <c r="F485" i="1"/>
  <c r="BW485" i="1" s="1"/>
  <c r="G485" i="1"/>
  <c r="BX485" i="1"/>
  <c r="H485" i="1"/>
  <c r="BY485" i="1" s="1"/>
  <c r="I485" i="1"/>
  <c r="CA485" i="1"/>
  <c r="J485" i="1"/>
  <c r="BZ485" i="1" s="1"/>
  <c r="AM485" i="1"/>
  <c r="AO485" i="1"/>
  <c r="M493" i="10"/>
  <c r="AP485" i="1"/>
  <c r="AQ485" i="1"/>
  <c r="A485" i="1"/>
  <c r="A493" i="10"/>
  <c r="AR485" i="1"/>
  <c r="AS485" i="1" s="1"/>
  <c r="AT485" i="1"/>
  <c r="AV485" i="1"/>
  <c r="AW485" i="1"/>
  <c r="AX485" i="1"/>
  <c r="AY485" i="1"/>
  <c r="AZ485" i="1"/>
  <c r="BA485" i="1"/>
  <c r="BB485" i="1"/>
  <c r="BC485" i="1"/>
  <c r="BE485" i="1"/>
  <c r="BF485" i="1"/>
  <c r="BG485" i="1"/>
  <c r="BH485" i="1"/>
  <c r="BI485" i="1"/>
  <c r="BJ485" i="1"/>
  <c r="BK485" i="1" s="1"/>
  <c r="BN485" i="1"/>
  <c r="BO485" i="1"/>
  <c r="BP485" i="1" s="1"/>
  <c r="BR485" i="1"/>
  <c r="BT485" i="1"/>
  <c r="BU485" i="1"/>
  <c r="CG485" i="1"/>
  <c r="CK485" i="1"/>
  <c r="CO485" i="1"/>
  <c r="CS485" i="1"/>
  <c r="DD485" i="1"/>
  <c r="DE485" i="1" s="1"/>
  <c r="F486" i="1"/>
  <c r="BW486" i="1"/>
  <c r="G486" i="1"/>
  <c r="BX486" i="1" s="1"/>
  <c r="H486" i="1"/>
  <c r="BY486" i="1"/>
  <c r="I486" i="1"/>
  <c r="CA486" i="1" s="1"/>
  <c r="J486" i="1"/>
  <c r="BZ486" i="1"/>
  <c r="AM486" i="1"/>
  <c r="AO486" i="1"/>
  <c r="M494" i="10"/>
  <c r="AP486" i="1"/>
  <c r="AQ486" i="1"/>
  <c r="A486" i="1" s="1"/>
  <c r="A494" i="10" s="1"/>
  <c r="AR486" i="1"/>
  <c r="AS486" i="1" s="1"/>
  <c r="AT486" i="1"/>
  <c r="AV486" i="1"/>
  <c r="AW486" i="1"/>
  <c r="AX486" i="1"/>
  <c r="AY486" i="1"/>
  <c r="AZ486" i="1"/>
  <c r="BA486" i="1"/>
  <c r="BB486" i="1"/>
  <c r="BC486" i="1"/>
  <c r="BE486" i="1"/>
  <c r="BF486" i="1"/>
  <c r="BG486" i="1"/>
  <c r="BH486" i="1"/>
  <c r="BI486" i="1"/>
  <c r="BJ486" i="1"/>
  <c r="BK486" i="1" s="1"/>
  <c r="BN486" i="1"/>
  <c r="BR486" i="1"/>
  <c r="BS486" i="1"/>
  <c r="BU486" i="1"/>
  <c r="DD486" i="1"/>
  <c r="DF486" i="1"/>
  <c r="DF117" i="1"/>
  <c r="DE80" i="1"/>
  <c r="DF491" i="1"/>
  <c r="DE188" i="1"/>
  <c r="BS12" i="1"/>
  <c r="DE107" i="1"/>
  <c r="DE186" i="1"/>
  <c r="BS8" i="1"/>
  <c r="DF59" i="1"/>
  <c r="DF492" i="1"/>
  <c r="DE114" i="1"/>
  <c r="DF296" i="1"/>
  <c r="DE171" i="1"/>
  <c r="BS83" i="1"/>
  <c r="DF65" i="1"/>
  <c r="DF490" i="1"/>
  <c r="DE125" i="1"/>
  <c r="BS212" i="1"/>
  <c r="DE126" i="1"/>
  <c r="BS70" i="1"/>
  <c r="DF36" i="1"/>
  <c r="DE14" i="1"/>
  <c r="DF147" i="1"/>
  <c r="DE93" i="1"/>
  <c r="DF16" i="1"/>
  <c r="DF487" i="1"/>
  <c r="DE89" i="1"/>
  <c r="DF45" i="1"/>
  <c r="DF240" i="1"/>
  <c r="DF115" i="1"/>
  <c r="DE216" i="1"/>
  <c r="DE151" i="1"/>
  <c r="DE82" i="1"/>
  <c r="DE133" i="1"/>
  <c r="BT122" i="1"/>
  <c r="DF137" i="1"/>
  <c r="DF218" i="1"/>
  <c r="DE162" i="1"/>
  <c r="DE42" i="1"/>
  <c r="DE200" i="1"/>
  <c r="DE38" i="1"/>
  <c r="DF38" i="1"/>
  <c r="BS181" i="1"/>
  <c r="BT47" i="1"/>
  <c r="DE84" i="1"/>
  <c r="DF37" i="1"/>
  <c r="DE26" i="1"/>
  <c r="BS21" i="1"/>
  <c r="DE9" i="1"/>
  <c r="DE7" i="1"/>
  <c r="DF63" i="1"/>
  <c r="CT37" i="1"/>
  <c r="BS42" i="1"/>
  <c r="BT31" i="1"/>
  <c r="DF229" i="1"/>
  <c r="CW188" i="1"/>
  <c r="H187" i="10"/>
  <c r="DE183" i="1"/>
  <c r="BT96" i="1"/>
  <c r="DF101" i="1"/>
  <c r="DF69" i="1"/>
  <c r="DF74" i="1"/>
  <c r="DF72" i="1"/>
  <c r="DF71" i="1"/>
  <c r="BT57" i="1"/>
  <c r="BT70" i="1"/>
  <c r="BS58" i="1"/>
  <c r="BT58" i="1"/>
  <c r="BT59" i="1"/>
  <c r="DF35" i="1"/>
  <c r="DF50" i="1"/>
  <c r="DE22" i="1"/>
  <c r="DF22" i="1"/>
  <c r="DF24" i="1"/>
  <c r="DF48" i="1"/>
  <c r="DF29" i="1"/>
  <c r="BT23" i="1"/>
  <c r="BT21" i="1"/>
  <c r="DF5" i="1"/>
  <c r="M130" i="16"/>
  <c r="L130" i="16"/>
  <c r="N130" i="16"/>
  <c r="O130" i="16"/>
  <c r="M129" i="16"/>
  <c r="L129" i="16"/>
  <c r="N129" i="16"/>
  <c r="O129" i="16"/>
  <c r="M128" i="16"/>
  <c r="L128" i="16"/>
  <c r="N128" i="16"/>
  <c r="O128" i="16"/>
  <c r="G67" i="32"/>
  <c r="H67" i="32"/>
  <c r="G66" i="32"/>
  <c r="H66" i="32"/>
  <c r="I7" i="15"/>
  <c r="I8" i="15"/>
  <c r="I9" i="15"/>
  <c r="B2" i="18"/>
  <c r="B1" i="18" s="1"/>
  <c r="AQ2" i="8"/>
  <c r="AQ3" i="8"/>
  <c r="AQ4" i="8"/>
  <c r="AN5" i="8"/>
  <c r="AP5" i="8"/>
  <c r="AQ6" i="8"/>
  <c r="AQ7" i="8"/>
  <c r="AN8" i="8"/>
  <c r="AQ8" i="8"/>
  <c r="AQ9" i="8"/>
  <c r="AQ10" i="8"/>
  <c r="AQ12" i="8"/>
  <c r="AN11" i="8"/>
  <c r="AP11" i="8" s="1"/>
  <c r="AO2" i="8"/>
  <c r="AO3" i="8"/>
  <c r="AO4" i="8"/>
  <c r="AO5" i="8"/>
  <c r="AO6" i="8"/>
  <c r="AO7" i="8"/>
  <c r="AO8" i="8"/>
  <c r="AO9" i="8"/>
  <c r="AO10" i="8"/>
  <c r="AO11" i="8"/>
  <c r="AO12" i="8"/>
  <c r="AP2" i="8"/>
  <c r="AP3" i="8"/>
  <c r="AP4" i="8"/>
  <c r="AP6" i="8"/>
  <c r="AP7" i="8"/>
  <c r="AP9" i="8"/>
  <c r="AP10" i="8"/>
  <c r="AP12" i="8"/>
  <c r="AN2" i="8"/>
  <c r="AN3" i="8"/>
  <c r="AN4" i="8"/>
  <c r="AN6" i="8"/>
  <c r="AN7" i="8"/>
  <c r="AN9" i="8"/>
  <c r="AN10" i="8"/>
  <c r="AN12" i="8"/>
  <c r="N278" i="21"/>
  <c r="O278" i="21"/>
  <c r="P278" i="21"/>
  <c r="Q278" i="21"/>
  <c r="R278" i="21"/>
  <c r="U278" i="21" s="1"/>
  <c r="S278" i="21"/>
  <c r="T278" i="21"/>
  <c r="N276" i="21"/>
  <c r="O276" i="21"/>
  <c r="P276" i="21"/>
  <c r="Q276" i="21"/>
  <c r="R276" i="21"/>
  <c r="U276" i="21" s="1"/>
  <c r="S276" i="21"/>
  <c r="T276" i="21"/>
  <c r="N245" i="21"/>
  <c r="O245" i="21"/>
  <c r="P245" i="21"/>
  <c r="Q245" i="21"/>
  <c r="R245" i="21"/>
  <c r="U245" i="21" s="1"/>
  <c r="S245" i="21"/>
  <c r="T245" i="21"/>
  <c r="S275" i="21"/>
  <c r="N275" i="21"/>
  <c r="O275" i="21"/>
  <c r="P275" i="21"/>
  <c r="Q275" i="21"/>
  <c r="R275" i="21"/>
  <c r="U275" i="21" s="1"/>
  <c r="T275" i="21"/>
  <c r="Q2" i="21"/>
  <c r="Q3" i="21"/>
  <c r="Q4" i="21"/>
  <c r="Q5" i="21"/>
  <c r="Q6" i="21"/>
  <c r="Q7" i="21"/>
  <c r="Q8" i="21"/>
  <c r="Q10" i="21"/>
  <c r="Q9" i="21"/>
  <c r="Q11" i="21"/>
  <c r="Q12" i="21"/>
  <c r="Q13" i="21"/>
  <c r="Q15" i="21"/>
  <c r="Q14" i="21"/>
  <c r="Q16" i="21"/>
  <c r="Q18" i="21"/>
  <c r="Q19" i="21"/>
  <c r="Q17" i="21"/>
  <c r="Q20" i="21"/>
  <c r="Q21" i="21"/>
  <c r="Q23" i="21"/>
  <c r="Q24" i="21"/>
  <c r="Q25" i="21"/>
  <c r="Q26" i="21"/>
  <c r="Q27" i="21"/>
  <c r="Q28" i="21"/>
  <c r="Q29" i="21"/>
  <c r="Q30" i="21"/>
  <c r="Q31" i="21"/>
  <c r="Q32" i="21"/>
  <c r="Q33" i="21"/>
  <c r="Q34" i="21"/>
  <c r="Q35" i="21"/>
  <c r="Q36" i="21"/>
  <c r="Q37" i="21"/>
  <c r="Q38" i="21"/>
  <c r="Q39" i="21"/>
  <c r="Q40" i="21"/>
  <c r="Q41" i="21"/>
  <c r="Q42" i="21"/>
  <c r="Q43" i="21"/>
  <c r="Q44" i="21"/>
  <c r="Q45" i="21"/>
  <c r="Q46" i="21"/>
  <c r="Q47" i="21"/>
  <c r="Q48" i="21"/>
  <c r="Q49" i="21"/>
  <c r="Q50" i="21"/>
  <c r="Q51" i="21"/>
  <c r="Q52" i="21"/>
  <c r="Q53" i="21"/>
  <c r="Q54" i="21"/>
  <c r="Q55" i="21"/>
  <c r="Q56" i="21"/>
  <c r="Q57" i="21"/>
  <c r="Q58" i="21"/>
  <c r="Q59" i="21"/>
  <c r="Q60" i="21"/>
  <c r="Q61" i="21"/>
  <c r="Q62" i="21"/>
  <c r="Q63" i="21"/>
  <c r="Q65" i="21"/>
  <c r="Q64" i="21"/>
  <c r="Q66" i="21"/>
  <c r="Q67" i="21"/>
  <c r="Q69" i="21"/>
  <c r="Q68" i="21"/>
  <c r="Q70" i="21"/>
  <c r="Q71" i="21"/>
  <c r="Q72" i="21"/>
  <c r="Q73" i="21"/>
  <c r="Q74" i="21"/>
  <c r="Q75" i="21"/>
  <c r="Q76" i="21"/>
  <c r="Q77" i="21"/>
  <c r="Q78" i="21"/>
  <c r="Q79" i="21"/>
  <c r="Q80" i="21"/>
  <c r="Q81" i="21"/>
  <c r="Q82" i="21"/>
  <c r="Q83" i="21"/>
  <c r="Q86" i="21"/>
  <c r="Q84" i="21"/>
  <c r="Q85" i="21"/>
  <c r="Q87" i="21"/>
  <c r="Q88" i="21"/>
  <c r="Q89" i="21"/>
  <c r="Q91" i="21"/>
  <c r="Q94" i="21"/>
  <c r="Q93" i="21"/>
  <c r="Q92" i="21"/>
  <c r="Q95" i="21"/>
  <c r="Q96" i="21"/>
  <c r="Q97" i="21"/>
  <c r="Q99" i="21"/>
  <c r="Q100" i="21"/>
  <c r="Q98" i="21"/>
  <c r="Q101" i="21"/>
  <c r="Q102" i="21"/>
  <c r="Q103" i="21"/>
  <c r="Q104" i="21"/>
  <c r="Q105" i="21"/>
  <c r="Q106" i="21"/>
  <c r="Q107" i="21"/>
  <c r="Q108" i="21"/>
  <c r="Q109" i="21"/>
  <c r="Q110" i="21"/>
  <c r="Q111" i="21"/>
  <c r="Q112" i="21"/>
  <c r="Q113" i="21"/>
  <c r="Q114" i="21"/>
  <c r="Q116" i="21"/>
  <c r="Q115" i="21"/>
  <c r="Q117" i="21"/>
  <c r="Q118" i="21"/>
  <c r="Q119" i="21"/>
  <c r="Q120" i="21"/>
  <c r="Q121" i="21"/>
  <c r="Q122" i="21"/>
  <c r="Q123" i="21"/>
  <c r="Q124" i="21"/>
  <c r="Q125" i="21"/>
  <c r="Q126" i="21"/>
  <c r="Q127" i="21"/>
  <c r="Q128" i="21"/>
  <c r="Q129" i="21"/>
  <c r="Q130" i="21"/>
  <c r="Q131" i="21"/>
  <c r="Q132" i="21"/>
  <c r="Q133" i="21"/>
  <c r="Q134" i="21"/>
  <c r="Q135" i="21"/>
  <c r="Q136" i="21"/>
  <c r="Q137" i="21"/>
  <c r="Q138" i="21"/>
  <c r="Q139" i="21"/>
  <c r="Q140" i="21"/>
  <c r="Q141" i="21"/>
  <c r="Q142" i="21"/>
  <c r="Q143" i="21"/>
  <c r="Q144" i="21"/>
  <c r="Q145" i="21"/>
  <c r="Q146" i="21"/>
  <c r="Q148" i="21"/>
  <c r="Q147" i="21"/>
  <c r="Q149" i="21"/>
  <c r="Q150" i="21"/>
  <c r="Q151" i="21"/>
  <c r="Q152" i="21"/>
  <c r="Q153" i="21"/>
  <c r="Q154" i="21"/>
  <c r="Q155" i="21"/>
  <c r="Q156" i="21"/>
  <c r="Q157" i="21"/>
  <c r="Q158" i="21"/>
  <c r="Q159" i="21"/>
  <c r="Q160" i="21"/>
  <c r="Q161" i="21"/>
  <c r="Q162" i="21"/>
  <c r="Q163" i="21"/>
  <c r="Q164" i="21"/>
  <c r="Q165" i="21"/>
  <c r="Q166" i="21"/>
  <c r="Q167" i="21"/>
  <c r="Q168" i="21"/>
  <c r="Q169" i="21"/>
  <c r="Q170" i="21"/>
  <c r="Q171" i="21"/>
  <c r="Q172" i="21"/>
  <c r="Q173" i="21"/>
  <c r="Q174" i="21"/>
  <c r="Q175" i="21"/>
  <c r="Q176" i="21"/>
  <c r="Q177" i="21"/>
  <c r="Q178" i="21"/>
  <c r="Q179" i="21"/>
  <c r="Q180" i="21"/>
  <c r="Q181" i="21"/>
  <c r="Q182" i="21"/>
  <c r="Q183" i="21"/>
  <c r="Q184" i="21"/>
  <c r="Q185" i="21"/>
  <c r="Q186" i="21"/>
  <c r="Q187" i="21"/>
  <c r="Q188" i="21"/>
  <c r="Q189" i="21"/>
  <c r="Q190" i="21"/>
  <c r="Q191" i="21"/>
  <c r="Q192" i="21"/>
  <c r="Q193" i="21"/>
  <c r="Q194" i="21"/>
  <c r="Q195" i="21"/>
  <c r="Q196" i="21"/>
  <c r="Q197" i="21"/>
  <c r="Q198" i="21"/>
  <c r="Q200" i="21"/>
  <c r="Q199" i="21"/>
  <c r="Q202" i="21"/>
  <c r="Q201" i="21"/>
  <c r="Q203" i="21"/>
  <c r="Q204" i="21"/>
  <c r="Q205" i="21"/>
  <c r="Q206" i="21"/>
  <c r="Q207" i="21"/>
  <c r="Q208" i="21"/>
  <c r="Q209" i="21"/>
  <c r="Q241" i="21"/>
  <c r="Q210" i="21"/>
  <c r="Q211" i="21"/>
  <c r="Q212" i="21"/>
  <c r="Q213" i="21"/>
  <c r="Q214" i="21"/>
  <c r="Q215" i="21"/>
  <c r="Q216" i="21"/>
  <c r="Q217" i="21"/>
  <c r="Q218" i="21"/>
  <c r="Q219" i="21"/>
  <c r="Q222" i="21"/>
  <c r="Q225" i="21"/>
  <c r="Q226" i="21"/>
  <c r="Q227" i="21"/>
  <c r="Q232" i="21"/>
  <c r="Q233" i="21"/>
  <c r="Q230" i="21"/>
  <c r="Q235" i="21"/>
  <c r="Q231" i="21"/>
  <c r="Q234" i="21"/>
  <c r="Q236" i="21"/>
  <c r="Q237" i="21"/>
  <c r="Q238" i="21"/>
  <c r="Q239" i="21"/>
  <c r="Q240" i="21"/>
  <c r="Q242" i="21"/>
  <c r="Q243" i="21"/>
  <c r="Q244" i="21"/>
  <c r="Q246" i="21"/>
  <c r="Q248" i="21"/>
  <c r="P2" i="21"/>
  <c r="P3" i="21"/>
  <c r="P4" i="21"/>
  <c r="P5" i="21"/>
  <c r="P6" i="21"/>
  <c r="P7" i="21"/>
  <c r="P8" i="21"/>
  <c r="P10" i="21"/>
  <c r="P9" i="21"/>
  <c r="P11" i="21"/>
  <c r="P12" i="21"/>
  <c r="P13" i="21"/>
  <c r="P15" i="21"/>
  <c r="P14" i="21"/>
  <c r="P16" i="21"/>
  <c r="P18" i="21"/>
  <c r="P19" i="21"/>
  <c r="P17" i="21"/>
  <c r="P20" i="21"/>
  <c r="P21" i="21"/>
  <c r="P23" i="21"/>
  <c r="P24" i="21"/>
  <c r="P25" i="21"/>
  <c r="P26" i="21"/>
  <c r="P27" i="21"/>
  <c r="P28" i="21"/>
  <c r="P29" i="21"/>
  <c r="P30" i="21"/>
  <c r="P31" i="21"/>
  <c r="P32" i="21"/>
  <c r="P33" i="21"/>
  <c r="P34" i="21"/>
  <c r="P35" i="21"/>
  <c r="P36" i="21"/>
  <c r="P37" i="21"/>
  <c r="P38" i="21"/>
  <c r="P39" i="21"/>
  <c r="P40" i="21"/>
  <c r="P41" i="21"/>
  <c r="P42" i="21"/>
  <c r="P43" i="21"/>
  <c r="P44" i="21"/>
  <c r="P45" i="21"/>
  <c r="P46" i="21"/>
  <c r="P47" i="21"/>
  <c r="P48" i="21"/>
  <c r="P49" i="21"/>
  <c r="P50" i="21"/>
  <c r="P51" i="21"/>
  <c r="P52" i="21"/>
  <c r="P53" i="21"/>
  <c r="P54" i="21"/>
  <c r="P55" i="21"/>
  <c r="P56" i="21"/>
  <c r="P57" i="21"/>
  <c r="P58" i="21"/>
  <c r="P59" i="21"/>
  <c r="P60" i="21"/>
  <c r="P61" i="21"/>
  <c r="P62" i="21"/>
  <c r="P63" i="21"/>
  <c r="P65" i="21"/>
  <c r="P64" i="21"/>
  <c r="P66" i="21"/>
  <c r="P67" i="21"/>
  <c r="P69" i="21"/>
  <c r="P68" i="21"/>
  <c r="P70" i="21"/>
  <c r="P71" i="21"/>
  <c r="P72" i="21"/>
  <c r="P73" i="21"/>
  <c r="P74" i="21"/>
  <c r="P75" i="21"/>
  <c r="P76" i="21"/>
  <c r="P77" i="21"/>
  <c r="P78" i="21"/>
  <c r="P79" i="21"/>
  <c r="P80" i="21"/>
  <c r="P81" i="21"/>
  <c r="P82" i="21"/>
  <c r="P83" i="21"/>
  <c r="P86" i="21"/>
  <c r="P84" i="21"/>
  <c r="P85" i="21"/>
  <c r="P87" i="21"/>
  <c r="P88" i="21"/>
  <c r="P89" i="21"/>
  <c r="P91" i="21"/>
  <c r="P94" i="21"/>
  <c r="P93" i="21"/>
  <c r="P92" i="21"/>
  <c r="P95" i="21"/>
  <c r="P96" i="21"/>
  <c r="P97" i="21"/>
  <c r="P99" i="21"/>
  <c r="P100" i="21"/>
  <c r="P98" i="21"/>
  <c r="P101" i="21"/>
  <c r="P102" i="21"/>
  <c r="P103" i="21"/>
  <c r="P104" i="21"/>
  <c r="P105" i="21"/>
  <c r="P106" i="21"/>
  <c r="P107" i="21"/>
  <c r="P108" i="21"/>
  <c r="P109" i="21"/>
  <c r="P110" i="21"/>
  <c r="P111" i="21"/>
  <c r="P112" i="21"/>
  <c r="P113" i="21"/>
  <c r="P114" i="21"/>
  <c r="P116" i="21"/>
  <c r="P115" i="21"/>
  <c r="P117" i="21"/>
  <c r="P118" i="21"/>
  <c r="P119" i="21"/>
  <c r="P120" i="21"/>
  <c r="P121" i="21"/>
  <c r="P122" i="21"/>
  <c r="P123" i="21"/>
  <c r="P124" i="21"/>
  <c r="P125" i="21"/>
  <c r="P126" i="21"/>
  <c r="P127" i="21"/>
  <c r="P128" i="21"/>
  <c r="P129" i="21"/>
  <c r="P130" i="21"/>
  <c r="P131" i="21"/>
  <c r="P132" i="21"/>
  <c r="P133" i="21"/>
  <c r="P134" i="21"/>
  <c r="P135" i="21"/>
  <c r="P136" i="21"/>
  <c r="P137" i="21"/>
  <c r="P138" i="21"/>
  <c r="P139" i="21"/>
  <c r="P140" i="21"/>
  <c r="P141" i="21"/>
  <c r="P142" i="21"/>
  <c r="P143" i="21"/>
  <c r="P144" i="21"/>
  <c r="P145" i="21"/>
  <c r="P146" i="21"/>
  <c r="P148" i="21"/>
  <c r="P147" i="21"/>
  <c r="P149" i="21"/>
  <c r="P150" i="21"/>
  <c r="P151" i="21"/>
  <c r="P152" i="21"/>
  <c r="P153" i="21"/>
  <c r="P154" i="21"/>
  <c r="P155" i="21"/>
  <c r="P156" i="21"/>
  <c r="P157" i="21"/>
  <c r="P158" i="21"/>
  <c r="P159" i="21"/>
  <c r="P160" i="21"/>
  <c r="P161" i="21"/>
  <c r="P162" i="21"/>
  <c r="P163" i="21"/>
  <c r="P164" i="21"/>
  <c r="P165" i="21"/>
  <c r="P166" i="21"/>
  <c r="P167" i="21"/>
  <c r="P168" i="21"/>
  <c r="P169" i="21"/>
  <c r="P170" i="21"/>
  <c r="P171" i="21"/>
  <c r="P172" i="21"/>
  <c r="P173" i="21"/>
  <c r="P174" i="21"/>
  <c r="P175" i="21"/>
  <c r="P176" i="21"/>
  <c r="P177" i="21"/>
  <c r="P178" i="21"/>
  <c r="P179" i="21"/>
  <c r="P180" i="21"/>
  <c r="P181" i="21"/>
  <c r="P182" i="21"/>
  <c r="P183" i="21"/>
  <c r="P184" i="21"/>
  <c r="P185" i="21"/>
  <c r="P186" i="21"/>
  <c r="P187" i="21"/>
  <c r="P188" i="21"/>
  <c r="P189" i="21"/>
  <c r="P190" i="21"/>
  <c r="P191" i="21"/>
  <c r="P192" i="21"/>
  <c r="P193" i="21"/>
  <c r="P194" i="21"/>
  <c r="P195" i="21"/>
  <c r="P196" i="21"/>
  <c r="P197" i="21"/>
  <c r="P198" i="21"/>
  <c r="P200" i="21"/>
  <c r="P199" i="21"/>
  <c r="P202" i="21"/>
  <c r="P201" i="21"/>
  <c r="P203" i="21"/>
  <c r="P204" i="21"/>
  <c r="P205" i="21"/>
  <c r="P206" i="21"/>
  <c r="P207" i="21"/>
  <c r="P208" i="21"/>
  <c r="P209" i="21"/>
  <c r="P241" i="21"/>
  <c r="P210" i="21"/>
  <c r="P211" i="21"/>
  <c r="P212" i="21"/>
  <c r="P213" i="21"/>
  <c r="P214" i="21"/>
  <c r="P215" i="21"/>
  <c r="P216" i="21"/>
  <c r="P217" i="21"/>
  <c r="P218" i="21"/>
  <c r="P219" i="21"/>
  <c r="P222" i="21"/>
  <c r="P225" i="21"/>
  <c r="P226" i="21"/>
  <c r="P227" i="21"/>
  <c r="P232" i="21"/>
  <c r="P233" i="21"/>
  <c r="P230" i="21"/>
  <c r="P235" i="21"/>
  <c r="P231" i="21"/>
  <c r="P234" i="21"/>
  <c r="P236" i="21"/>
  <c r="P237" i="21"/>
  <c r="P238" i="21"/>
  <c r="P239" i="21"/>
  <c r="P240" i="21"/>
  <c r="P242" i="21"/>
  <c r="P243" i="21"/>
  <c r="P244" i="21"/>
  <c r="P246" i="21"/>
  <c r="P248" i="21"/>
  <c r="O2" i="21"/>
  <c r="O3" i="21"/>
  <c r="O4" i="21"/>
  <c r="O5" i="21"/>
  <c r="O6" i="21"/>
  <c r="O7" i="21"/>
  <c r="O8" i="21"/>
  <c r="O10" i="21"/>
  <c r="O9" i="21"/>
  <c r="O11" i="21"/>
  <c r="O12" i="21"/>
  <c r="O13" i="21"/>
  <c r="O15" i="21"/>
  <c r="O14" i="21"/>
  <c r="O16" i="21"/>
  <c r="O18" i="21"/>
  <c r="O19" i="21"/>
  <c r="O17" i="21"/>
  <c r="O20" i="21"/>
  <c r="O21" i="21"/>
  <c r="O23" i="21"/>
  <c r="O24" i="21"/>
  <c r="O25" i="21"/>
  <c r="O26" i="21"/>
  <c r="O27" i="21"/>
  <c r="O28" i="21"/>
  <c r="O29" i="21"/>
  <c r="O30" i="21"/>
  <c r="O31" i="21"/>
  <c r="O32" i="21"/>
  <c r="O33" i="21"/>
  <c r="O34" i="21"/>
  <c r="O35" i="21"/>
  <c r="O36" i="21"/>
  <c r="O37" i="21"/>
  <c r="O38" i="21"/>
  <c r="O39" i="21"/>
  <c r="O40" i="21"/>
  <c r="O41" i="21"/>
  <c r="O42" i="21"/>
  <c r="O43" i="21"/>
  <c r="O44" i="21"/>
  <c r="O45" i="21"/>
  <c r="O46" i="21"/>
  <c r="O47" i="21"/>
  <c r="O48" i="21"/>
  <c r="O49" i="21"/>
  <c r="O50" i="21"/>
  <c r="O51" i="21"/>
  <c r="O52" i="21"/>
  <c r="O53" i="21"/>
  <c r="O54" i="21"/>
  <c r="O55" i="21"/>
  <c r="O56" i="21"/>
  <c r="O57" i="21"/>
  <c r="O58" i="21"/>
  <c r="O59" i="21"/>
  <c r="O60" i="21"/>
  <c r="O61" i="21"/>
  <c r="O62" i="21"/>
  <c r="O63" i="21"/>
  <c r="O65" i="21"/>
  <c r="O64" i="21"/>
  <c r="O66" i="21"/>
  <c r="O67" i="21"/>
  <c r="O69" i="21"/>
  <c r="O68" i="21"/>
  <c r="O70" i="21"/>
  <c r="O71" i="21"/>
  <c r="O72" i="21"/>
  <c r="O73" i="21"/>
  <c r="O74" i="21"/>
  <c r="O75" i="21"/>
  <c r="O76" i="21"/>
  <c r="O77" i="21"/>
  <c r="O78" i="21"/>
  <c r="O79" i="21"/>
  <c r="O80" i="21"/>
  <c r="O81" i="21"/>
  <c r="O82" i="21"/>
  <c r="O83" i="21"/>
  <c r="O86" i="21"/>
  <c r="O84" i="21"/>
  <c r="O85" i="21"/>
  <c r="O87" i="21"/>
  <c r="O88" i="21"/>
  <c r="O89" i="21"/>
  <c r="O91" i="21"/>
  <c r="O94" i="21"/>
  <c r="O93" i="21"/>
  <c r="O92" i="21"/>
  <c r="O95" i="21"/>
  <c r="O96" i="21"/>
  <c r="O97" i="21"/>
  <c r="O99" i="21"/>
  <c r="O100" i="21"/>
  <c r="O98" i="21"/>
  <c r="O101" i="21"/>
  <c r="O102" i="21"/>
  <c r="O103" i="21"/>
  <c r="O104" i="21"/>
  <c r="O105" i="21"/>
  <c r="O106" i="21"/>
  <c r="O107" i="21"/>
  <c r="O108" i="21"/>
  <c r="O109" i="21"/>
  <c r="O110" i="21"/>
  <c r="O111" i="21"/>
  <c r="O112" i="21"/>
  <c r="O113" i="21"/>
  <c r="O114" i="21"/>
  <c r="O116" i="21"/>
  <c r="O115" i="21"/>
  <c r="O117" i="21"/>
  <c r="O118" i="21"/>
  <c r="O119" i="21"/>
  <c r="O120" i="21"/>
  <c r="O121" i="21"/>
  <c r="O122" i="21"/>
  <c r="O123" i="21"/>
  <c r="O124" i="21"/>
  <c r="O125" i="21"/>
  <c r="O126" i="21"/>
  <c r="O127" i="21"/>
  <c r="O128" i="21"/>
  <c r="O129" i="21"/>
  <c r="O130" i="21"/>
  <c r="O131" i="21"/>
  <c r="O132" i="21"/>
  <c r="O133" i="21"/>
  <c r="O134" i="21"/>
  <c r="O135" i="21"/>
  <c r="O136" i="21"/>
  <c r="O137" i="21"/>
  <c r="O138" i="21"/>
  <c r="O139" i="21"/>
  <c r="O140" i="21"/>
  <c r="O141" i="21"/>
  <c r="O142" i="21"/>
  <c r="O143" i="21"/>
  <c r="O144" i="21"/>
  <c r="O145" i="21"/>
  <c r="O146" i="21"/>
  <c r="O148" i="21"/>
  <c r="O147" i="21"/>
  <c r="O149" i="21"/>
  <c r="O150" i="21"/>
  <c r="O151" i="21"/>
  <c r="O152" i="21"/>
  <c r="O153" i="21"/>
  <c r="O154" i="21"/>
  <c r="O155" i="21"/>
  <c r="O156" i="21"/>
  <c r="O157" i="21"/>
  <c r="O158" i="21"/>
  <c r="O159" i="21"/>
  <c r="O160" i="21"/>
  <c r="O161" i="21"/>
  <c r="O162" i="21"/>
  <c r="O163" i="21"/>
  <c r="O164" i="21"/>
  <c r="O165" i="21"/>
  <c r="O166" i="21"/>
  <c r="O167" i="21"/>
  <c r="O168" i="21"/>
  <c r="O169" i="21"/>
  <c r="O170" i="21"/>
  <c r="O171" i="21"/>
  <c r="O172" i="21"/>
  <c r="O173" i="21"/>
  <c r="O174" i="21"/>
  <c r="O175" i="21"/>
  <c r="O176" i="21"/>
  <c r="O177" i="21"/>
  <c r="O178" i="21"/>
  <c r="O179" i="21"/>
  <c r="O180" i="21"/>
  <c r="O181" i="21"/>
  <c r="O182" i="21"/>
  <c r="O183" i="21"/>
  <c r="O184" i="21"/>
  <c r="O185" i="21"/>
  <c r="O186" i="21"/>
  <c r="O187" i="21"/>
  <c r="O188" i="21"/>
  <c r="O189" i="21"/>
  <c r="O190" i="21"/>
  <c r="O191" i="21"/>
  <c r="O192" i="21"/>
  <c r="O193" i="21"/>
  <c r="O194" i="21"/>
  <c r="O195" i="21"/>
  <c r="O196" i="21"/>
  <c r="O197" i="21"/>
  <c r="O198" i="21"/>
  <c r="O200" i="21"/>
  <c r="O199" i="21"/>
  <c r="O202" i="21"/>
  <c r="O201" i="21"/>
  <c r="O203" i="21"/>
  <c r="O204" i="21"/>
  <c r="O205" i="21"/>
  <c r="O206" i="21"/>
  <c r="O207" i="21"/>
  <c r="O208" i="21"/>
  <c r="O209" i="21"/>
  <c r="O241" i="21"/>
  <c r="O210" i="21"/>
  <c r="O211" i="21"/>
  <c r="O212" i="21"/>
  <c r="O213" i="21"/>
  <c r="O214" i="21"/>
  <c r="O215" i="21"/>
  <c r="O216" i="21"/>
  <c r="O217" i="21"/>
  <c r="O218" i="21"/>
  <c r="O219" i="21"/>
  <c r="O222" i="21"/>
  <c r="O225" i="21"/>
  <c r="O226" i="21"/>
  <c r="O227" i="21"/>
  <c r="O232" i="21"/>
  <c r="O233" i="21"/>
  <c r="O230" i="21"/>
  <c r="O235" i="21"/>
  <c r="O231" i="21"/>
  <c r="O234" i="21"/>
  <c r="O236" i="21"/>
  <c r="O237" i="21"/>
  <c r="O238" i="21"/>
  <c r="O239" i="21"/>
  <c r="O240" i="21"/>
  <c r="O242" i="21"/>
  <c r="O243" i="21"/>
  <c r="O244" i="21"/>
  <c r="O246" i="21"/>
  <c r="O248" i="21"/>
  <c r="N2" i="21"/>
  <c r="N3" i="21"/>
  <c r="N4" i="21"/>
  <c r="N5" i="21"/>
  <c r="N6" i="21"/>
  <c r="N7" i="21"/>
  <c r="N8" i="21"/>
  <c r="N10" i="21"/>
  <c r="N9" i="21"/>
  <c r="N11" i="21"/>
  <c r="N12" i="21"/>
  <c r="N13" i="21"/>
  <c r="N15" i="21"/>
  <c r="N14" i="21"/>
  <c r="N16" i="21"/>
  <c r="N18" i="21"/>
  <c r="N19" i="21"/>
  <c r="N17" i="21"/>
  <c r="N20" i="21"/>
  <c r="N21" i="21"/>
  <c r="N23" i="21"/>
  <c r="N24" i="21"/>
  <c r="N25" i="21"/>
  <c r="N26" i="21"/>
  <c r="N27" i="21"/>
  <c r="N28" i="21"/>
  <c r="N29" i="21"/>
  <c r="N30" i="21"/>
  <c r="N31" i="21"/>
  <c r="N32" i="21"/>
  <c r="N33" i="21"/>
  <c r="N34" i="21"/>
  <c r="N35" i="21"/>
  <c r="N36" i="21"/>
  <c r="N37" i="21"/>
  <c r="N38" i="21"/>
  <c r="N39" i="21"/>
  <c r="N40" i="21"/>
  <c r="N41" i="21"/>
  <c r="N42" i="21"/>
  <c r="N43" i="21"/>
  <c r="N44" i="21"/>
  <c r="N45" i="21"/>
  <c r="N46" i="21"/>
  <c r="N47" i="21"/>
  <c r="N48" i="21"/>
  <c r="N49" i="21"/>
  <c r="N50" i="21"/>
  <c r="N51" i="21"/>
  <c r="N52" i="21"/>
  <c r="N53" i="21"/>
  <c r="N54" i="21"/>
  <c r="N55" i="21"/>
  <c r="N56" i="21"/>
  <c r="N57" i="21"/>
  <c r="N58" i="21"/>
  <c r="N59" i="21"/>
  <c r="N60" i="21"/>
  <c r="N61" i="21"/>
  <c r="N62" i="21"/>
  <c r="N63" i="21"/>
  <c r="N65" i="21"/>
  <c r="N64" i="21"/>
  <c r="N66" i="21"/>
  <c r="N67" i="21"/>
  <c r="N69" i="21"/>
  <c r="N68" i="21"/>
  <c r="N70" i="21"/>
  <c r="N71" i="21"/>
  <c r="N72" i="21"/>
  <c r="N73" i="21"/>
  <c r="N74" i="21"/>
  <c r="N75" i="21"/>
  <c r="N76" i="21"/>
  <c r="N77" i="21"/>
  <c r="N78" i="21"/>
  <c r="N79" i="21"/>
  <c r="N80" i="21"/>
  <c r="N81" i="21"/>
  <c r="N82" i="21"/>
  <c r="N83" i="21"/>
  <c r="N86" i="21"/>
  <c r="N84" i="21"/>
  <c r="N85" i="21"/>
  <c r="N87" i="21"/>
  <c r="N88" i="21"/>
  <c r="N89" i="21"/>
  <c r="N91" i="21"/>
  <c r="N94" i="21"/>
  <c r="N93" i="21"/>
  <c r="N92" i="21"/>
  <c r="N95" i="21"/>
  <c r="N96" i="21"/>
  <c r="N97" i="21"/>
  <c r="N99" i="21"/>
  <c r="N100" i="21"/>
  <c r="N98" i="21"/>
  <c r="N101" i="21"/>
  <c r="N102" i="21"/>
  <c r="N103" i="21"/>
  <c r="N104" i="21"/>
  <c r="N105" i="21"/>
  <c r="N106" i="21"/>
  <c r="N107" i="21"/>
  <c r="N108" i="21"/>
  <c r="N109" i="21"/>
  <c r="N110" i="21"/>
  <c r="N111" i="21"/>
  <c r="N112" i="21"/>
  <c r="N113" i="21"/>
  <c r="N114" i="21"/>
  <c r="N116" i="21"/>
  <c r="N115" i="21"/>
  <c r="N117" i="21"/>
  <c r="N118" i="21"/>
  <c r="N119" i="21"/>
  <c r="N120" i="21"/>
  <c r="N121" i="21"/>
  <c r="N122" i="21"/>
  <c r="N123" i="21"/>
  <c r="N124" i="21"/>
  <c r="N125" i="21"/>
  <c r="N126" i="21"/>
  <c r="N127" i="21"/>
  <c r="N128" i="21"/>
  <c r="N129" i="21"/>
  <c r="N130" i="21"/>
  <c r="N131" i="21"/>
  <c r="N132" i="21"/>
  <c r="N133" i="21"/>
  <c r="N134" i="21"/>
  <c r="N135" i="21"/>
  <c r="N136" i="21"/>
  <c r="N137" i="21"/>
  <c r="N138" i="21"/>
  <c r="N139" i="21"/>
  <c r="N140" i="21"/>
  <c r="N141" i="21"/>
  <c r="N142" i="21"/>
  <c r="N143" i="21"/>
  <c r="N144" i="21"/>
  <c r="N145" i="21"/>
  <c r="N146" i="21"/>
  <c r="N148" i="21"/>
  <c r="N147" i="21"/>
  <c r="N149" i="21"/>
  <c r="N150" i="21"/>
  <c r="N151" i="21"/>
  <c r="N152" i="21"/>
  <c r="N153" i="21"/>
  <c r="N154" i="21"/>
  <c r="N155" i="21"/>
  <c r="N156" i="21"/>
  <c r="N157" i="21"/>
  <c r="N158" i="21"/>
  <c r="N159" i="21"/>
  <c r="N160" i="21"/>
  <c r="N161" i="21"/>
  <c r="N162" i="21"/>
  <c r="N163" i="21"/>
  <c r="N164" i="21"/>
  <c r="N165" i="21"/>
  <c r="N166" i="21"/>
  <c r="N167" i="21"/>
  <c r="N168" i="21"/>
  <c r="N169" i="21"/>
  <c r="N170" i="21"/>
  <c r="N171" i="21"/>
  <c r="N172" i="21"/>
  <c r="N173" i="21"/>
  <c r="N174" i="21"/>
  <c r="N175" i="21"/>
  <c r="N176" i="21"/>
  <c r="N177" i="21"/>
  <c r="N178" i="21"/>
  <c r="N179" i="21"/>
  <c r="N180" i="21"/>
  <c r="N181" i="21"/>
  <c r="N182" i="21"/>
  <c r="N183" i="21"/>
  <c r="N184" i="21"/>
  <c r="N185" i="21"/>
  <c r="N186" i="21"/>
  <c r="N187" i="21"/>
  <c r="N188" i="21"/>
  <c r="N189" i="21"/>
  <c r="N190" i="21"/>
  <c r="N191" i="21"/>
  <c r="N192" i="21"/>
  <c r="N193" i="21"/>
  <c r="N194" i="21"/>
  <c r="N195" i="21"/>
  <c r="N196" i="21"/>
  <c r="N197" i="21"/>
  <c r="N198" i="21"/>
  <c r="N200" i="21"/>
  <c r="N199" i="21"/>
  <c r="N202" i="21"/>
  <c r="N201" i="21"/>
  <c r="N203" i="21"/>
  <c r="N204" i="21"/>
  <c r="N205" i="21"/>
  <c r="N206" i="21"/>
  <c r="N207" i="21"/>
  <c r="N208" i="21"/>
  <c r="N209" i="21"/>
  <c r="N241" i="21"/>
  <c r="N210" i="21"/>
  <c r="N211" i="21"/>
  <c r="N212" i="21"/>
  <c r="N213" i="21"/>
  <c r="N214" i="21"/>
  <c r="N215" i="21"/>
  <c r="N216" i="21"/>
  <c r="N217" i="21"/>
  <c r="N218" i="21"/>
  <c r="N219" i="21"/>
  <c r="N222" i="21"/>
  <c r="N225" i="21"/>
  <c r="N226" i="21"/>
  <c r="N227" i="21"/>
  <c r="N232" i="21"/>
  <c r="N233" i="21"/>
  <c r="N230" i="21"/>
  <c r="N235" i="21"/>
  <c r="N231" i="21"/>
  <c r="N234" i="21"/>
  <c r="N236" i="21"/>
  <c r="N237" i="21"/>
  <c r="N238" i="21"/>
  <c r="N239" i="21"/>
  <c r="N240" i="21"/>
  <c r="N242" i="21"/>
  <c r="N243" i="21"/>
  <c r="N244" i="21"/>
  <c r="N246" i="21"/>
  <c r="N248" i="21"/>
  <c r="C480" i="10"/>
  <c r="C481" i="10"/>
  <c r="C482" i="10"/>
  <c r="C483" i="10"/>
  <c r="C484" i="10"/>
  <c r="C485" i="10"/>
  <c r="C486" i="10"/>
  <c r="C487" i="10"/>
  <c r="C488" i="10"/>
  <c r="C489" i="10"/>
  <c r="C490" i="10"/>
  <c r="C491" i="10"/>
  <c r="E480" i="10"/>
  <c r="E481" i="10"/>
  <c r="E482" i="10"/>
  <c r="E483" i="10"/>
  <c r="E484" i="10"/>
  <c r="E485" i="10"/>
  <c r="E486" i="10"/>
  <c r="E487" i="10"/>
  <c r="E488" i="10"/>
  <c r="E489" i="10"/>
  <c r="E490" i="10"/>
  <c r="E491" i="10"/>
  <c r="P482" i="10"/>
  <c r="N482" i="10" s="1"/>
  <c r="U482" i="10" s="1"/>
  <c r="P485" i="10"/>
  <c r="W485" i="10" s="1"/>
  <c r="P486" i="10"/>
  <c r="W486" i="10"/>
  <c r="P488" i="10"/>
  <c r="V488" i="10" s="1"/>
  <c r="P489" i="10"/>
  <c r="N489" i="10"/>
  <c r="U489" i="10"/>
  <c r="P480" i="10"/>
  <c r="V480" i="10" s="1"/>
  <c r="P483" i="10"/>
  <c r="N483" i="10"/>
  <c r="U483" i="10" s="1"/>
  <c r="P484" i="10"/>
  <c r="V484" i="10"/>
  <c r="P487" i="10"/>
  <c r="V487" i="10" s="1"/>
  <c r="P490" i="10"/>
  <c r="Q480" i="10"/>
  <c r="Q481" i="10"/>
  <c r="Q482" i="10"/>
  <c r="Q483" i="10"/>
  <c r="Q484" i="10"/>
  <c r="Q485" i="10"/>
  <c r="Q486" i="10"/>
  <c r="Q487" i="10"/>
  <c r="Q488" i="10"/>
  <c r="Q489" i="10"/>
  <c r="Q490" i="10"/>
  <c r="Q491" i="10"/>
  <c r="R480" i="10"/>
  <c r="R481" i="10"/>
  <c r="R482" i="10"/>
  <c r="R483" i="10"/>
  <c r="R484" i="10"/>
  <c r="R485" i="10"/>
  <c r="R486" i="10"/>
  <c r="R487" i="10"/>
  <c r="R488" i="10"/>
  <c r="R489" i="10"/>
  <c r="R490" i="10"/>
  <c r="R491" i="10"/>
  <c r="S480" i="10"/>
  <c r="S481" i="10"/>
  <c r="S482" i="10"/>
  <c r="S483" i="10"/>
  <c r="S484" i="10"/>
  <c r="S485" i="10"/>
  <c r="S486" i="10"/>
  <c r="S487" i="10"/>
  <c r="S488" i="10"/>
  <c r="S489" i="10"/>
  <c r="S490" i="10"/>
  <c r="S491" i="10"/>
  <c r="R85" i="21"/>
  <c r="U85" i="21" s="1"/>
  <c r="S85" i="21"/>
  <c r="T85" i="21"/>
  <c r="R2" i="21"/>
  <c r="U2" i="21" s="1"/>
  <c r="S2" i="21"/>
  <c r="T2" i="21"/>
  <c r="R3" i="21"/>
  <c r="U3" i="21" s="1"/>
  <c r="S3" i="21"/>
  <c r="T3" i="21"/>
  <c r="R4" i="21"/>
  <c r="U4" i="21" s="1"/>
  <c r="S4" i="21"/>
  <c r="T4" i="21"/>
  <c r="R5" i="21"/>
  <c r="U5" i="21" s="1"/>
  <c r="S5" i="21"/>
  <c r="T5" i="21"/>
  <c r="R6" i="21"/>
  <c r="U6" i="21" s="1"/>
  <c r="S6" i="21"/>
  <c r="T6" i="21"/>
  <c r="R7" i="21"/>
  <c r="U7" i="21" s="1"/>
  <c r="S7" i="21"/>
  <c r="T7" i="21"/>
  <c r="R8" i="21"/>
  <c r="U8" i="21" s="1"/>
  <c r="S8" i="21"/>
  <c r="T8" i="21"/>
  <c r="R10" i="21"/>
  <c r="U10" i="21" s="1"/>
  <c r="S10" i="21"/>
  <c r="T10" i="21"/>
  <c r="R9" i="21"/>
  <c r="U9" i="21" s="1"/>
  <c r="S9" i="21"/>
  <c r="T9" i="21"/>
  <c r="R11" i="21"/>
  <c r="U11" i="21" s="1"/>
  <c r="S11" i="21"/>
  <c r="T11" i="21"/>
  <c r="R13" i="21"/>
  <c r="U13" i="21" s="1"/>
  <c r="S13" i="21"/>
  <c r="T13" i="21"/>
  <c r="R12" i="21"/>
  <c r="U12" i="21" s="1"/>
  <c r="S12" i="21"/>
  <c r="T12" i="21"/>
  <c r="R14" i="21"/>
  <c r="U14" i="21" s="1"/>
  <c r="S14" i="21"/>
  <c r="T14" i="21"/>
  <c r="R15" i="21"/>
  <c r="U15" i="21" s="1"/>
  <c r="S15" i="21"/>
  <c r="T15" i="21"/>
  <c r="R17" i="21"/>
  <c r="U17" i="21" s="1"/>
  <c r="S17" i="21"/>
  <c r="T17" i="21"/>
  <c r="R18" i="21"/>
  <c r="U18" i="21" s="1"/>
  <c r="S18" i="21"/>
  <c r="T18" i="21"/>
  <c r="R19" i="21"/>
  <c r="U19" i="21" s="1"/>
  <c r="S19" i="21"/>
  <c r="T19" i="21"/>
  <c r="R16" i="21"/>
  <c r="U16" i="21" s="1"/>
  <c r="S16" i="21"/>
  <c r="T16" i="21"/>
  <c r="R20" i="21"/>
  <c r="U20" i="21" s="1"/>
  <c r="S20" i="21"/>
  <c r="T20" i="21"/>
  <c r="R21" i="21"/>
  <c r="U21" i="21" s="1"/>
  <c r="S21" i="21"/>
  <c r="T21" i="21"/>
  <c r="R23" i="21"/>
  <c r="U23" i="21" s="1"/>
  <c r="S23" i="21"/>
  <c r="T23" i="21"/>
  <c r="R24" i="21"/>
  <c r="U24" i="21" s="1"/>
  <c r="S24" i="21"/>
  <c r="T24" i="21"/>
  <c r="R26" i="21"/>
  <c r="U26" i="21" s="1"/>
  <c r="S26" i="21"/>
  <c r="T26" i="21"/>
  <c r="R27" i="21"/>
  <c r="U27" i="21" s="1"/>
  <c r="S27" i="21"/>
  <c r="T27" i="21"/>
  <c r="R25" i="21"/>
  <c r="U25" i="21" s="1"/>
  <c r="S25" i="21"/>
  <c r="T25" i="21"/>
  <c r="R28" i="21"/>
  <c r="U28" i="21" s="1"/>
  <c r="S28" i="21"/>
  <c r="T28" i="21"/>
  <c r="R29" i="21"/>
  <c r="U29" i="21" s="1"/>
  <c r="S29" i="21"/>
  <c r="T29" i="21"/>
  <c r="R30" i="21"/>
  <c r="U30" i="21" s="1"/>
  <c r="S30" i="21"/>
  <c r="T30" i="21"/>
  <c r="R31" i="21"/>
  <c r="U31" i="21" s="1"/>
  <c r="S31" i="21"/>
  <c r="T31" i="21"/>
  <c r="R32" i="21"/>
  <c r="U32" i="21" s="1"/>
  <c r="S32" i="21"/>
  <c r="T32" i="21"/>
  <c r="R33" i="21"/>
  <c r="U33" i="21" s="1"/>
  <c r="S33" i="21"/>
  <c r="T33" i="21"/>
  <c r="R34" i="21"/>
  <c r="U34" i="21" s="1"/>
  <c r="S34" i="21"/>
  <c r="T34" i="21"/>
  <c r="R35" i="21"/>
  <c r="U35" i="21" s="1"/>
  <c r="S35" i="21"/>
  <c r="T35" i="21"/>
  <c r="R36" i="21"/>
  <c r="U36" i="21" s="1"/>
  <c r="S36" i="21"/>
  <c r="T36" i="21"/>
  <c r="R37" i="21"/>
  <c r="U37" i="21" s="1"/>
  <c r="S37" i="21"/>
  <c r="T37" i="21"/>
  <c r="R38" i="21"/>
  <c r="U38" i="21" s="1"/>
  <c r="S38" i="21"/>
  <c r="T38" i="21"/>
  <c r="R39" i="21"/>
  <c r="U39" i="21" s="1"/>
  <c r="S39" i="21"/>
  <c r="T39" i="21"/>
  <c r="R40" i="21"/>
  <c r="U40" i="21" s="1"/>
  <c r="S40" i="21"/>
  <c r="T40" i="21"/>
  <c r="R41" i="21"/>
  <c r="U41" i="21" s="1"/>
  <c r="S41" i="21"/>
  <c r="T41" i="21"/>
  <c r="R42" i="21"/>
  <c r="U42" i="21" s="1"/>
  <c r="S42" i="21"/>
  <c r="T42" i="21"/>
  <c r="R43" i="21"/>
  <c r="U43" i="21" s="1"/>
  <c r="S43" i="21"/>
  <c r="T43" i="21"/>
  <c r="R44" i="21"/>
  <c r="U44" i="21" s="1"/>
  <c r="S44" i="21"/>
  <c r="T44" i="21"/>
  <c r="R45" i="21"/>
  <c r="U45" i="21" s="1"/>
  <c r="S45" i="21"/>
  <c r="T45" i="21"/>
  <c r="R46" i="21"/>
  <c r="U46" i="21" s="1"/>
  <c r="S46" i="21"/>
  <c r="T46" i="21"/>
  <c r="R47" i="21"/>
  <c r="U47" i="21" s="1"/>
  <c r="S47" i="21"/>
  <c r="T47" i="21"/>
  <c r="R48" i="21"/>
  <c r="U48" i="21" s="1"/>
  <c r="S48" i="21"/>
  <c r="T48" i="21"/>
  <c r="R49" i="21"/>
  <c r="U49" i="21" s="1"/>
  <c r="S49" i="21"/>
  <c r="T49" i="21"/>
  <c r="R50" i="21"/>
  <c r="U50" i="21" s="1"/>
  <c r="S50" i="21"/>
  <c r="T50" i="21"/>
  <c r="R51" i="21"/>
  <c r="U51" i="21" s="1"/>
  <c r="S51" i="21"/>
  <c r="T51" i="21"/>
  <c r="R52" i="21"/>
  <c r="U52" i="21" s="1"/>
  <c r="S52" i="21"/>
  <c r="T52" i="21"/>
  <c r="R53" i="21"/>
  <c r="U53" i="21" s="1"/>
  <c r="S53" i="21"/>
  <c r="T53" i="21"/>
  <c r="R54" i="21"/>
  <c r="U54" i="21" s="1"/>
  <c r="S54" i="21"/>
  <c r="T54" i="21"/>
  <c r="R55" i="21"/>
  <c r="U55" i="21" s="1"/>
  <c r="S55" i="21"/>
  <c r="T55" i="21"/>
  <c r="R56" i="21"/>
  <c r="U56" i="21" s="1"/>
  <c r="S56" i="21"/>
  <c r="T56" i="21"/>
  <c r="R61" i="21"/>
  <c r="U61" i="21" s="1"/>
  <c r="S61" i="21"/>
  <c r="T61" i="21"/>
  <c r="R57" i="21"/>
  <c r="U57" i="21" s="1"/>
  <c r="S57" i="21"/>
  <c r="T57" i="21"/>
  <c r="R58" i="21"/>
  <c r="U58" i="21" s="1"/>
  <c r="S58" i="21"/>
  <c r="T58" i="21"/>
  <c r="R59" i="21"/>
  <c r="U59" i="21" s="1"/>
  <c r="S59" i="21"/>
  <c r="T59" i="21"/>
  <c r="R60" i="21"/>
  <c r="U60" i="21" s="1"/>
  <c r="S60" i="21"/>
  <c r="T60" i="21"/>
  <c r="R62" i="21"/>
  <c r="U62" i="21" s="1"/>
  <c r="S62" i="21"/>
  <c r="T62" i="21"/>
  <c r="R63" i="21"/>
  <c r="U63" i="21" s="1"/>
  <c r="S63" i="21"/>
  <c r="T63" i="21"/>
  <c r="R66" i="21"/>
  <c r="U66" i="21" s="1"/>
  <c r="S66" i="21"/>
  <c r="T66" i="21"/>
  <c r="R65" i="21"/>
  <c r="U65" i="21" s="1"/>
  <c r="S65" i="21"/>
  <c r="T65" i="21"/>
  <c r="R64" i="21"/>
  <c r="U64" i="21" s="1"/>
  <c r="S64" i="21"/>
  <c r="T64" i="21"/>
  <c r="R69" i="21"/>
  <c r="U69" i="21" s="1"/>
  <c r="S69" i="21"/>
  <c r="T69" i="21"/>
  <c r="R67" i="21"/>
  <c r="U67" i="21" s="1"/>
  <c r="S67" i="21"/>
  <c r="T67" i="21"/>
  <c r="R68" i="21"/>
  <c r="U68" i="21" s="1"/>
  <c r="S68" i="21"/>
  <c r="T68" i="21"/>
  <c r="R70" i="21"/>
  <c r="U70" i="21" s="1"/>
  <c r="S70" i="21"/>
  <c r="T70" i="21"/>
  <c r="R71" i="21"/>
  <c r="U71" i="21" s="1"/>
  <c r="S71" i="21"/>
  <c r="T71" i="21"/>
  <c r="R75" i="21"/>
  <c r="U75" i="21" s="1"/>
  <c r="S75" i="21"/>
  <c r="T75" i="21"/>
  <c r="R73" i="21"/>
  <c r="U73" i="21" s="1"/>
  <c r="S73" i="21"/>
  <c r="T73" i="21"/>
  <c r="R74" i="21"/>
  <c r="U74" i="21" s="1"/>
  <c r="S74" i="21"/>
  <c r="T74" i="21"/>
  <c r="R72" i="21"/>
  <c r="U72" i="21" s="1"/>
  <c r="S72" i="21"/>
  <c r="T72" i="21"/>
  <c r="R76" i="21"/>
  <c r="U76" i="21" s="1"/>
  <c r="S76" i="21"/>
  <c r="T76" i="21"/>
  <c r="R77" i="21"/>
  <c r="U77" i="21" s="1"/>
  <c r="S77" i="21"/>
  <c r="T77" i="21"/>
  <c r="R78" i="21"/>
  <c r="U78" i="21" s="1"/>
  <c r="S78" i="21"/>
  <c r="T78" i="21"/>
  <c r="R79" i="21"/>
  <c r="U79" i="21" s="1"/>
  <c r="S79" i="21"/>
  <c r="T79" i="21"/>
  <c r="R83" i="21"/>
  <c r="U83" i="21" s="1"/>
  <c r="S83" i="21"/>
  <c r="T83" i="21"/>
  <c r="R86" i="21"/>
  <c r="U86" i="21" s="1"/>
  <c r="S86" i="21"/>
  <c r="T86" i="21"/>
  <c r="R80" i="21"/>
  <c r="U80" i="21" s="1"/>
  <c r="S80" i="21"/>
  <c r="T80" i="21"/>
  <c r="R81" i="21"/>
  <c r="U81" i="21" s="1"/>
  <c r="S81" i="21"/>
  <c r="T81" i="21"/>
  <c r="R82" i="21"/>
  <c r="U82" i="21" s="1"/>
  <c r="S82" i="21"/>
  <c r="T82" i="21"/>
  <c r="R84" i="21"/>
  <c r="U84" i="21" s="1"/>
  <c r="S84" i="21"/>
  <c r="T84" i="21"/>
  <c r="R88" i="21"/>
  <c r="U88" i="21" s="1"/>
  <c r="S88" i="21"/>
  <c r="T88" i="21"/>
  <c r="R89" i="21"/>
  <c r="U89" i="21" s="1"/>
  <c r="S89" i="21"/>
  <c r="T89" i="21"/>
  <c r="R87" i="21"/>
  <c r="U87" i="21" s="1"/>
  <c r="S87" i="21"/>
  <c r="T87" i="21"/>
  <c r="R91" i="21"/>
  <c r="U91" i="21" s="1"/>
  <c r="S91" i="21"/>
  <c r="T91" i="21"/>
  <c r="R94" i="21"/>
  <c r="U94" i="21" s="1"/>
  <c r="S94" i="21"/>
  <c r="T94" i="21"/>
  <c r="R93" i="21"/>
  <c r="U93" i="21" s="1"/>
  <c r="S93" i="21"/>
  <c r="T93" i="21"/>
  <c r="R92" i="21"/>
  <c r="U92" i="21" s="1"/>
  <c r="S92" i="21"/>
  <c r="T92" i="21"/>
  <c r="R95" i="21"/>
  <c r="U95" i="21" s="1"/>
  <c r="S95" i="21"/>
  <c r="T95" i="21"/>
  <c r="R96" i="21"/>
  <c r="U96" i="21" s="1"/>
  <c r="S96" i="21"/>
  <c r="T96" i="21"/>
  <c r="R97" i="21"/>
  <c r="U97" i="21" s="1"/>
  <c r="S97" i="21"/>
  <c r="T97" i="21"/>
  <c r="R98" i="21"/>
  <c r="U98" i="21" s="1"/>
  <c r="S98" i="21"/>
  <c r="T98" i="21"/>
  <c r="R100" i="21"/>
  <c r="U100" i="21" s="1"/>
  <c r="S100" i="21"/>
  <c r="T100" i="21"/>
  <c r="R99" i="21"/>
  <c r="U99" i="21" s="1"/>
  <c r="S99" i="21"/>
  <c r="T99" i="21"/>
  <c r="R101" i="21"/>
  <c r="U101" i="21" s="1"/>
  <c r="S101" i="21"/>
  <c r="T101" i="21"/>
  <c r="R102" i="21"/>
  <c r="U102" i="21" s="1"/>
  <c r="S102" i="21"/>
  <c r="T102" i="21"/>
  <c r="R103" i="21"/>
  <c r="U103" i="21" s="1"/>
  <c r="S103" i="21"/>
  <c r="T103" i="21"/>
  <c r="R104" i="21"/>
  <c r="U104" i="21" s="1"/>
  <c r="S104" i="21"/>
  <c r="T104" i="21"/>
  <c r="R105" i="21"/>
  <c r="U105" i="21" s="1"/>
  <c r="S105" i="21"/>
  <c r="T105" i="21"/>
  <c r="R106" i="21"/>
  <c r="U106" i="21" s="1"/>
  <c r="S106" i="21"/>
  <c r="T106" i="21"/>
  <c r="R107" i="21"/>
  <c r="U107" i="21" s="1"/>
  <c r="S107" i="21"/>
  <c r="T107" i="21"/>
  <c r="R108" i="21"/>
  <c r="U108" i="21" s="1"/>
  <c r="S108" i="21"/>
  <c r="T108" i="21"/>
  <c r="R109" i="21"/>
  <c r="U109" i="21" s="1"/>
  <c r="S109" i="21"/>
  <c r="T109" i="21"/>
  <c r="R110" i="21"/>
  <c r="U110" i="21" s="1"/>
  <c r="S110" i="21"/>
  <c r="T110" i="21"/>
  <c r="R111" i="21"/>
  <c r="U111" i="21" s="1"/>
  <c r="S111" i="21"/>
  <c r="T111" i="21"/>
  <c r="R114" i="21"/>
  <c r="U114" i="21" s="1"/>
  <c r="S114" i="21"/>
  <c r="T114" i="21"/>
  <c r="R113" i="21"/>
  <c r="U113" i="21" s="1"/>
  <c r="S113" i="21"/>
  <c r="T113" i="21"/>
  <c r="R112" i="21"/>
  <c r="U112" i="21" s="1"/>
  <c r="S112" i="21"/>
  <c r="T112" i="21"/>
  <c r="R115" i="21"/>
  <c r="U115" i="21" s="1"/>
  <c r="S115" i="21"/>
  <c r="T115" i="21"/>
  <c r="R116" i="21"/>
  <c r="U116" i="21" s="1"/>
  <c r="S116" i="21"/>
  <c r="T116" i="21"/>
  <c r="R117" i="21"/>
  <c r="U117" i="21" s="1"/>
  <c r="S117" i="21"/>
  <c r="T117" i="21"/>
  <c r="R118" i="21"/>
  <c r="U118" i="21" s="1"/>
  <c r="S118" i="21"/>
  <c r="T118" i="21"/>
  <c r="R119" i="21"/>
  <c r="U119" i="21" s="1"/>
  <c r="S119" i="21"/>
  <c r="T119" i="21"/>
  <c r="R120" i="21"/>
  <c r="U120" i="21" s="1"/>
  <c r="S120" i="21"/>
  <c r="T120" i="21"/>
  <c r="R121" i="21"/>
  <c r="U121" i="21" s="1"/>
  <c r="S121" i="21"/>
  <c r="T121" i="21"/>
  <c r="R122" i="21"/>
  <c r="U122" i="21" s="1"/>
  <c r="S122" i="21"/>
  <c r="T122" i="21"/>
  <c r="R123" i="21"/>
  <c r="U123" i="21" s="1"/>
  <c r="S123" i="21"/>
  <c r="T123" i="21"/>
  <c r="R124" i="21"/>
  <c r="U124" i="21" s="1"/>
  <c r="S124" i="21"/>
  <c r="T124" i="21"/>
  <c r="R125" i="21"/>
  <c r="U125" i="21" s="1"/>
  <c r="S125" i="21"/>
  <c r="T125" i="21"/>
  <c r="R127" i="21"/>
  <c r="U127" i="21" s="1"/>
  <c r="S127" i="21"/>
  <c r="T127" i="21"/>
  <c r="R126" i="21"/>
  <c r="U126" i="21" s="1"/>
  <c r="S126" i="21"/>
  <c r="T126" i="21"/>
  <c r="R128" i="21"/>
  <c r="U128" i="21" s="1"/>
  <c r="S128" i="21"/>
  <c r="T128" i="21"/>
  <c r="R129" i="21"/>
  <c r="U129" i="21" s="1"/>
  <c r="S129" i="21"/>
  <c r="T129" i="21"/>
  <c r="R130" i="21"/>
  <c r="U130" i="21" s="1"/>
  <c r="S130" i="21"/>
  <c r="T130" i="21"/>
  <c r="R131" i="21"/>
  <c r="U131" i="21" s="1"/>
  <c r="S131" i="21"/>
  <c r="T131" i="21"/>
  <c r="R132" i="21"/>
  <c r="U132" i="21" s="1"/>
  <c r="S132" i="21"/>
  <c r="T132" i="21"/>
  <c r="R133" i="21"/>
  <c r="U133" i="21" s="1"/>
  <c r="S133" i="21"/>
  <c r="T133" i="21"/>
  <c r="R134" i="21"/>
  <c r="U134" i="21" s="1"/>
  <c r="S134" i="21"/>
  <c r="T134" i="21"/>
  <c r="R136" i="21"/>
  <c r="U136" i="21" s="1"/>
  <c r="S136" i="21"/>
  <c r="T136" i="21"/>
  <c r="R137" i="21"/>
  <c r="U137" i="21" s="1"/>
  <c r="S137" i="21"/>
  <c r="T137" i="21"/>
  <c r="R135" i="21"/>
  <c r="U135" i="21" s="1"/>
  <c r="S135" i="21"/>
  <c r="T135" i="21"/>
  <c r="R139" i="21"/>
  <c r="U139" i="21" s="1"/>
  <c r="S139" i="21"/>
  <c r="T139" i="21"/>
  <c r="R138" i="21"/>
  <c r="U138" i="21" s="1"/>
  <c r="S138" i="21"/>
  <c r="T138" i="21"/>
  <c r="R140" i="21"/>
  <c r="U140" i="21" s="1"/>
  <c r="S140" i="21"/>
  <c r="T140" i="21"/>
  <c r="R141" i="21"/>
  <c r="U141" i="21" s="1"/>
  <c r="S141" i="21"/>
  <c r="T141" i="21"/>
  <c r="R143" i="21"/>
  <c r="U143" i="21" s="1"/>
  <c r="S143" i="21"/>
  <c r="T143" i="21"/>
  <c r="R142" i="21"/>
  <c r="U142" i="21" s="1"/>
  <c r="S142" i="21"/>
  <c r="T142" i="21"/>
  <c r="R144" i="21"/>
  <c r="U144" i="21" s="1"/>
  <c r="S144" i="21"/>
  <c r="T144" i="21"/>
  <c r="R145" i="21"/>
  <c r="U145" i="21" s="1"/>
  <c r="S145" i="21"/>
  <c r="T145" i="21"/>
  <c r="R148" i="21"/>
  <c r="U148" i="21" s="1"/>
  <c r="S148" i="21"/>
  <c r="T148" i="21"/>
  <c r="R147" i="21"/>
  <c r="U147" i="21" s="1"/>
  <c r="S147" i="21"/>
  <c r="T147" i="21"/>
  <c r="R146" i="21"/>
  <c r="U146" i="21" s="1"/>
  <c r="S146" i="21"/>
  <c r="T146" i="21"/>
  <c r="R149" i="21"/>
  <c r="U149" i="21" s="1"/>
  <c r="S149" i="21"/>
  <c r="T149" i="21"/>
  <c r="R150" i="21"/>
  <c r="U150" i="21" s="1"/>
  <c r="S150" i="21"/>
  <c r="T150" i="21"/>
  <c r="R151" i="21"/>
  <c r="U151" i="21" s="1"/>
  <c r="S151" i="21"/>
  <c r="T151" i="21"/>
  <c r="R152" i="21"/>
  <c r="U152" i="21" s="1"/>
  <c r="S152" i="21"/>
  <c r="T152" i="21"/>
  <c r="R153" i="21"/>
  <c r="U153" i="21" s="1"/>
  <c r="S153" i="21"/>
  <c r="T153" i="21"/>
  <c r="R154" i="21"/>
  <c r="U154" i="21" s="1"/>
  <c r="S154" i="21"/>
  <c r="T154" i="21"/>
  <c r="R155" i="21"/>
  <c r="U155" i="21" s="1"/>
  <c r="S155" i="21"/>
  <c r="T155" i="21"/>
  <c r="R156" i="21"/>
  <c r="U156" i="21" s="1"/>
  <c r="S156" i="21"/>
  <c r="T156" i="21"/>
  <c r="R158" i="21"/>
  <c r="U158" i="21" s="1"/>
  <c r="S158" i="21"/>
  <c r="T158" i="21"/>
  <c r="R157" i="21"/>
  <c r="U157" i="21" s="1"/>
  <c r="S157" i="21"/>
  <c r="T157" i="21"/>
  <c r="R159" i="21"/>
  <c r="U159" i="21" s="1"/>
  <c r="S159" i="21"/>
  <c r="T159" i="21"/>
  <c r="R160" i="21"/>
  <c r="U160" i="21" s="1"/>
  <c r="S160" i="21"/>
  <c r="T160" i="21"/>
  <c r="R161" i="21"/>
  <c r="U161" i="21" s="1"/>
  <c r="S161" i="21"/>
  <c r="T161" i="21"/>
  <c r="R162" i="21"/>
  <c r="U162" i="21" s="1"/>
  <c r="S162" i="21"/>
  <c r="T162" i="21"/>
  <c r="R163" i="21"/>
  <c r="U163" i="21" s="1"/>
  <c r="S163" i="21"/>
  <c r="T163" i="21"/>
  <c r="R164" i="21"/>
  <c r="U164" i="21" s="1"/>
  <c r="S164" i="21"/>
  <c r="T164" i="21"/>
  <c r="R166" i="21"/>
  <c r="U166" i="21" s="1"/>
  <c r="S166" i="21"/>
  <c r="T166" i="21"/>
  <c r="R167" i="21"/>
  <c r="U167" i="21" s="1"/>
  <c r="S167" i="21"/>
  <c r="T167" i="21"/>
  <c r="R165" i="21"/>
  <c r="U165" i="21" s="1"/>
  <c r="S165" i="21"/>
  <c r="T165" i="21"/>
  <c r="R168" i="21"/>
  <c r="U168" i="21" s="1"/>
  <c r="S168" i="21"/>
  <c r="T168" i="21"/>
  <c r="R170" i="21"/>
  <c r="U170" i="21" s="1"/>
  <c r="S170" i="21"/>
  <c r="T170" i="21"/>
  <c r="R169" i="21"/>
  <c r="U169" i="21" s="1"/>
  <c r="S169" i="21"/>
  <c r="T169" i="21"/>
  <c r="R172" i="21"/>
  <c r="U172" i="21" s="1"/>
  <c r="S172" i="21"/>
  <c r="T172" i="21"/>
  <c r="R171" i="21"/>
  <c r="U171" i="21" s="1"/>
  <c r="S171" i="21"/>
  <c r="T171" i="21"/>
  <c r="R173" i="21"/>
  <c r="U173" i="21" s="1"/>
  <c r="S173" i="21"/>
  <c r="T173" i="21"/>
  <c r="R174" i="21"/>
  <c r="U174" i="21" s="1"/>
  <c r="S174" i="21"/>
  <c r="T174" i="21"/>
  <c r="R175" i="21"/>
  <c r="U175" i="21" s="1"/>
  <c r="S175" i="21"/>
  <c r="T175" i="21"/>
  <c r="R177" i="21"/>
  <c r="U177" i="21" s="1"/>
  <c r="S177" i="21"/>
  <c r="T177" i="21"/>
  <c r="R176" i="21"/>
  <c r="U176" i="21" s="1"/>
  <c r="S176" i="21"/>
  <c r="T176" i="21"/>
  <c r="R178" i="21"/>
  <c r="U178" i="21" s="1"/>
  <c r="S178" i="21"/>
  <c r="T178" i="21"/>
  <c r="R179" i="21"/>
  <c r="U179" i="21" s="1"/>
  <c r="S179" i="21"/>
  <c r="T179" i="21"/>
  <c r="R180" i="21"/>
  <c r="U180" i="21" s="1"/>
  <c r="S180" i="21"/>
  <c r="T180" i="21"/>
  <c r="R181" i="21"/>
  <c r="U181" i="21" s="1"/>
  <c r="S181" i="21"/>
  <c r="T181" i="21"/>
  <c r="R182" i="21"/>
  <c r="U182" i="21" s="1"/>
  <c r="S182" i="21"/>
  <c r="T182" i="21"/>
  <c r="R183" i="21"/>
  <c r="U183" i="21" s="1"/>
  <c r="S183" i="21"/>
  <c r="T183" i="21"/>
  <c r="R184" i="21"/>
  <c r="U184" i="21" s="1"/>
  <c r="S184" i="21"/>
  <c r="T184" i="21"/>
  <c r="R185" i="21"/>
  <c r="U185" i="21" s="1"/>
  <c r="S185" i="21"/>
  <c r="T185" i="21"/>
  <c r="R186" i="21"/>
  <c r="U186" i="21" s="1"/>
  <c r="S186" i="21"/>
  <c r="T186" i="21"/>
  <c r="R187" i="21"/>
  <c r="U187" i="21" s="1"/>
  <c r="S187" i="21"/>
  <c r="T187" i="21"/>
  <c r="R188" i="21"/>
  <c r="U188" i="21" s="1"/>
  <c r="S188" i="21"/>
  <c r="T188" i="21"/>
  <c r="R189" i="21"/>
  <c r="U189" i="21" s="1"/>
  <c r="S189" i="21"/>
  <c r="T189" i="21"/>
  <c r="R190" i="21"/>
  <c r="U190" i="21" s="1"/>
  <c r="S190" i="21"/>
  <c r="T190" i="21"/>
  <c r="R192" i="21"/>
  <c r="U192" i="21" s="1"/>
  <c r="S192" i="21"/>
  <c r="T192" i="21"/>
  <c r="R191" i="21"/>
  <c r="U191" i="21" s="1"/>
  <c r="S191" i="21"/>
  <c r="T191" i="21"/>
  <c r="R193" i="21"/>
  <c r="U193" i="21" s="1"/>
  <c r="S193" i="21"/>
  <c r="T193" i="21"/>
  <c r="R194" i="21"/>
  <c r="U194" i="21" s="1"/>
  <c r="S194" i="21"/>
  <c r="T194" i="21"/>
  <c r="R196" i="21"/>
  <c r="U196" i="21" s="1"/>
  <c r="S196" i="21"/>
  <c r="T196" i="21"/>
  <c r="R195" i="21"/>
  <c r="U195" i="21" s="1"/>
  <c r="S195" i="21"/>
  <c r="T195" i="21"/>
  <c r="R197" i="21"/>
  <c r="U197" i="21" s="1"/>
  <c r="S197" i="21"/>
  <c r="T197" i="21"/>
  <c r="R198" i="21"/>
  <c r="U198" i="21" s="1"/>
  <c r="S198" i="21"/>
  <c r="T198" i="21"/>
  <c r="R200" i="21"/>
  <c r="U200" i="21" s="1"/>
  <c r="S200" i="21"/>
  <c r="T200" i="21"/>
  <c r="R199" i="21"/>
  <c r="U199" i="21" s="1"/>
  <c r="S199" i="21"/>
  <c r="T199" i="21"/>
  <c r="R201" i="21"/>
  <c r="U201" i="21" s="1"/>
  <c r="S201" i="21"/>
  <c r="T201" i="21"/>
  <c r="R206" i="21"/>
  <c r="U206" i="21" s="1"/>
  <c r="S206" i="21"/>
  <c r="T206" i="21"/>
  <c r="R203" i="21"/>
  <c r="U203" i="21" s="1"/>
  <c r="S203" i="21"/>
  <c r="T203" i="21"/>
  <c r="R204" i="21"/>
  <c r="U204" i="21" s="1"/>
  <c r="S204" i="21"/>
  <c r="T204" i="21"/>
  <c r="R205" i="21"/>
  <c r="U205" i="21" s="1"/>
  <c r="S205" i="21"/>
  <c r="T205" i="21"/>
  <c r="R202" i="21"/>
  <c r="U202" i="21" s="1"/>
  <c r="S202" i="21"/>
  <c r="T202" i="21"/>
  <c r="R207" i="21"/>
  <c r="U207" i="21" s="1"/>
  <c r="S207" i="21"/>
  <c r="T207" i="21"/>
  <c r="R208" i="21"/>
  <c r="U208" i="21" s="1"/>
  <c r="S208" i="21"/>
  <c r="T208" i="21"/>
  <c r="R209" i="21"/>
  <c r="U209" i="21" s="1"/>
  <c r="S209" i="21"/>
  <c r="T209" i="21"/>
  <c r="R241" i="21"/>
  <c r="U241" i="21" s="1"/>
  <c r="S241" i="21"/>
  <c r="T241" i="21"/>
  <c r="R210" i="21"/>
  <c r="U210" i="21" s="1"/>
  <c r="S210" i="21"/>
  <c r="T210" i="21"/>
  <c r="R211" i="21"/>
  <c r="U211" i="21" s="1"/>
  <c r="S211" i="21"/>
  <c r="T211" i="21"/>
  <c r="R212" i="21"/>
  <c r="U212" i="21" s="1"/>
  <c r="S212" i="21"/>
  <c r="T212" i="21"/>
  <c r="R213" i="21"/>
  <c r="U213" i="21" s="1"/>
  <c r="S213" i="21"/>
  <c r="T213" i="21"/>
  <c r="R215" i="21"/>
  <c r="U215" i="21" s="1"/>
  <c r="S215" i="21"/>
  <c r="T215" i="21"/>
  <c r="R214" i="21"/>
  <c r="U214" i="21" s="1"/>
  <c r="S214" i="21"/>
  <c r="T214" i="21"/>
  <c r="R216" i="21"/>
  <c r="U216" i="21" s="1"/>
  <c r="S216" i="21"/>
  <c r="T216" i="21"/>
  <c r="R217" i="21"/>
  <c r="U217" i="21" s="1"/>
  <c r="S217" i="21"/>
  <c r="T217" i="21"/>
  <c r="R219" i="21"/>
  <c r="U219" i="21" s="1"/>
  <c r="S219" i="21"/>
  <c r="T219" i="21"/>
  <c r="R218" i="21"/>
  <c r="U218" i="21" s="1"/>
  <c r="S218" i="21"/>
  <c r="T218" i="21"/>
  <c r="R222" i="21"/>
  <c r="U222" i="21" s="1"/>
  <c r="S222" i="21"/>
  <c r="T222" i="21"/>
  <c r="R225" i="21"/>
  <c r="U225" i="21" s="1"/>
  <c r="S225" i="21"/>
  <c r="T225" i="21"/>
  <c r="R227" i="21"/>
  <c r="U227" i="21" s="1"/>
  <c r="S227" i="21"/>
  <c r="T227" i="21"/>
  <c r="R226" i="21"/>
  <c r="U226" i="21" s="1"/>
  <c r="S226" i="21"/>
  <c r="T226" i="21"/>
  <c r="R233" i="21"/>
  <c r="U233" i="21" s="1"/>
  <c r="S233" i="21"/>
  <c r="T233" i="21"/>
  <c r="R232" i="21"/>
  <c r="U232" i="21" s="1"/>
  <c r="S232" i="21"/>
  <c r="T232" i="21"/>
  <c r="R235" i="21"/>
  <c r="U235" i="21" s="1"/>
  <c r="S235" i="21"/>
  <c r="T235" i="21"/>
  <c r="R234" i="21"/>
  <c r="U234" i="21" s="1"/>
  <c r="S234" i="21"/>
  <c r="T234" i="21"/>
  <c r="R230" i="21"/>
  <c r="U230" i="21" s="1"/>
  <c r="S230" i="21"/>
  <c r="T230" i="21"/>
  <c r="R231" i="21"/>
  <c r="U231" i="21" s="1"/>
  <c r="S231" i="21"/>
  <c r="T231" i="21"/>
  <c r="R236" i="21"/>
  <c r="U236" i="21" s="1"/>
  <c r="S236" i="21"/>
  <c r="T236" i="21"/>
  <c r="R237" i="21"/>
  <c r="U237" i="21" s="1"/>
  <c r="S237" i="21"/>
  <c r="T237" i="21"/>
  <c r="R238" i="21"/>
  <c r="U238" i="21" s="1"/>
  <c r="S238" i="21"/>
  <c r="T238" i="21"/>
  <c r="R239" i="21"/>
  <c r="U239" i="21" s="1"/>
  <c r="S239" i="21"/>
  <c r="T239" i="21"/>
  <c r="R240" i="21"/>
  <c r="U240" i="21" s="1"/>
  <c r="S240" i="21"/>
  <c r="T240" i="21"/>
  <c r="R244" i="21"/>
  <c r="U244" i="21" s="1"/>
  <c r="S244" i="21"/>
  <c r="T244" i="21"/>
  <c r="R246" i="21"/>
  <c r="U246" i="21" s="1"/>
  <c r="S246" i="21"/>
  <c r="T246" i="21"/>
  <c r="R248" i="21"/>
  <c r="U248" i="21" s="1"/>
  <c r="S248" i="21"/>
  <c r="T248" i="21"/>
  <c r="R242" i="21"/>
  <c r="U242" i="21" s="1"/>
  <c r="S242" i="21"/>
  <c r="T242" i="21"/>
  <c r="R243" i="21"/>
  <c r="U243" i="21" s="1"/>
  <c r="S243" i="21"/>
  <c r="T243" i="21"/>
  <c r="AD12" i="8"/>
  <c r="E456" i="10"/>
  <c r="E405" i="10"/>
  <c r="M127" i="16"/>
  <c r="L127" i="16"/>
  <c r="N127" i="16"/>
  <c r="O127" i="16"/>
  <c r="M126" i="16"/>
  <c r="L126" i="16"/>
  <c r="N126" i="16"/>
  <c r="O126" i="16"/>
  <c r="M125" i="16"/>
  <c r="L125" i="16"/>
  <c r="N125" i="16"/>
  <c r="O125" i="16"/>
  <c r="C468" i="10"/>
  <c r="C475" i="10"/>
  <c r="C477" i="10"/>
  <c r="C479" i="10"/>
  <c r="C476" i="10"/>
  <c r="C478" i="10"/>
  <c r="E468" i="10"/>
  <c r="E475" i="10"/>
  <c r="E477" i="10"/>
  <c r="E479" i="10"/>
  <c r="E476" i="10"/>
  <c r="E478" i="10"/>
  <c r="P468" i="10"/>
  <c r="N468" i="10"/>
  <c r="U468" i="10"/>
  <c r="P475" i="10"/>
  <c r="P477" i="10"/>
  <c r="V477" i="10"/>
  <c r="P478" i="10"/>
  <c r="Q468" i="10"/>
  <c r="Q475" i="10"/>
  <c r="Q477" i="10"/>
  <c r="Q479" i="10"/>
  <c r="Q476" i="10"/>
  <c r="Q478" i="10"/>
  <c r="R468" i="10"/>
  <c r="R475" i="10"/>
  <c r="R477" i="10"/>
  <c r="R479" i="10"/>
  <c r="R476" i="10"/>
  <c r="R478" i="10"/>
  <c r="S468" i="10"/>
  <c r="S475" i="10"/>
  <c r="S477" i="10"/>
  <c r="S479" i="10"/>
  <c r="S476" i="10"/>
  <c r="S478" i="10"/>
  <c r="G64" i="32"/>
  <c r="G65" i="32"/>
  <c r="H64" i="32"/>
  <c r="H65" i="32"/>
  <c r="G63" i="32"/>
  <c r="H63" i="32"/>
  <c r="G62" i="32"/>
  <c r="H62" i="32"/>
  <c r="M124" i="16"/>
  <c r="L124" i="16"/>
  <c r="N124" i="16"/>
  <c r="O124" i="16"/>
  <c r="M123" i="16"/>
  <c r="L123" i="16"/>
  <c r="N123" i="16"/>
  <c r="O123" i="16"/>
  <c r="M122" i="16"/>
  <c r="L122" i="16"/>
  <c r="N122" i="16"/>
  <c r="O122" i="16"/>
  <c r="C464" i="10"/>
  <c r="C463" i="10"/>
  <c r="C465" i="10"/>
  <c r="C467" i="10"/>
  <c r="C449" i="10"/>
  <c r="C471" i="10"/>
  <c r="C473" i="10"/>
  <c r="C470" i="10"/>
  <c r="C474" i="10"/>
  <c r="C472" i="10"/>
  <c r="C469" i="10"/>
  <c r="E464" i="10"/>
  <c r="E463" i="10"/>
  <c r="E465" i="10"/>
  <c r="E467" i="10"/>
  <c r="E449" i="10"/>
  <c r="E471" i="10"/>
  <c r="E473" i="10"/>
  <c r="E470" i="10"/>
  <c r="E474" i="10"/>
  <c r="E472" i="10"/>
  <c r="E469" i="10"/>
  <c r="P464" i="10"/>
  <c r="V464" i="10"/>
  <c r="P463" i="10"/>
  <c r="V463" i="10" s="1"/>
  <c r="P465" i="10"/>
  <c r="W465" i="10"/>
  <c r="P467" i="10"/>
  <c r="W467" i="10" s="1"/>
  <c r="P449" i="10"/>
  <c r="W449" i="10"/>
  <c r="P471" i="10"/>
  <c r="P470" i="10"/>
  <c r="W470" i="10" s="1"/>
  <c r="P474" i="10"/>
  <c r="P472" i="10"/>
  <c r="W472" i="10" s="1"/>
  <c r="P469" i="10"/>
  <c r="V469" i="10" s="1"/>
  <c r="Q464" i="10"/>
  <c r="Q463" i="10"/>
  <c r="Q465" i="10"/>
  <c r="Q467" i="10"/>
  <c r="Q449" i="10"/>
  <c r="Q471" i="10"/>
  <c r="Q473" i="10"/>
  <c r="Q470" i="10"/>
  <c r="Q474" i="10"/>
  <c r="Q472" i="10"/>
  <c r="Q469" i="10"/>
  <c r="R464" i="10"/>
  <c r="R463" i="10"/>
  <c r="R465" i="10"/>
  <c r="R467" i="10"/>
  <c r="R449" i="10"/>
  <c r="R471" i="10"/>
  <c r="R473" i="10"/>
  <c r="R470" i="10"/>
  <c r="R474" i="10"/>
  <c r="R472" i="10"/>
  <c r="R469" i="10"/>
  <c r="S464" i="10"/>
  <c r="S463" i="10"/>
  <c r="S465" i="10"/>
  <c r="S467" i="10"/>
  <c r="S449" i="10"/>
  <c r="S471" i="10"/>
  <c r="S473" i="10"/>
  <c r="S470" i="10"/>
  <c r="S474" i="10"/>
  <c r="S472" i="10"/>
  <c r="S469" i="10"/>
  <c r="M4" i="10"/>
  <c r="M5" i="10"/>
  <c r="M6" i="10"/>
  <c r="M10" i="10"/>
  <c r="A11" i="10"/>
  <c r="M14" i="10"/>
  <c r="M20" i="10"/>
  <c r="M22" i="10"/>
  <c r="M25" i="10"/>
  <c r="M24" i="10"/>
  <c r="M27" i="10"/>
  <c r="M28" i="10"/>
  <c r="A30" i="10"/>
  <c r="M31" i="10"/>
  <c r="M33" i="10"/>
  <c r="M32" i="10"/>
  <c r="A36" i="10"/>
  <c r="P37" i="10"/>
  <c r="M48" i="10"/>
  <c r="M63" i="10"/>
  <c r="A64" i="10"/>
  <c r="H74" i="10"/>
  <c r="M79" i="10"/>
  <c r="M84" i="10"/>
  <c r="P94" i="10"/>
  <c r="N94" i="10" s="1"/>
  <c r="U94" i="10" s="1"/>
  <c r="P105" i="10"/>
  <c r="W105" i="10"/>
  <c r="M109" i="10"/>
  <c r="P112" i="10"/>
  <c r="W112" i="10"/>
  <c r="M115" i="10"/>
  <c r="P151" i="10"/>
  <c r="N151" i="10" s="1"/>
  <c r="U151" i="10" s="1"/>
  <c r="M161" i="10"/>
  <c r="P165" i="10"/>
  <c r="W165" i="10" s="1"/>
  <c r="P191" i="10"/>
  <c r="W191" i="10"/>
  <c r="P206" i="10"/>
  <c r="N206" i="10" s="1"/>
  <c r="U206" i="10" s="1"/>
  <c r="P247" i="10"/>
  <c r="W247" i="10" s="1"/>
  <c r="P261" i="10"/>
  <c r="V261" i="10"/>
  <c r="P268" i="10"/>
  <c r="P287" i="10"/>
  <c r="N287" i="10"/>
  <c r="U287" i="10"/>
  <c r="P318" i="10"/>
  <c r="W318" i="10" s="1"/>
  <c r="P383" i="10"/>
  <c r="N383" i="10"/>
  <c r="U383" i="10" s="1"/>
  <c r="P412" i="10"/>
  <c r="V412" i="10"/>
  <c r="P440" i="10"/>
  <c r="P441" i="10"/>
  <c r="W441" i="10"/>
  <c r="P446" i="10"/>
  <c r="V446" i="10" s="1"/>
  <c r="P452" i="10"/>
  <c r="V452" i="10"/>
  <c r="P459" i="10"/>
  <c r="W459" i="10" s="1"/>
  <c r="L121" i="16"/>
  <c r="M121" i="16"/>
  <c r="N121" i="16"/>
  <c r="O121" i="16"/>
  <c r="L120" i="16"/>
  <c r="M120" i="16"/>
  <c r="N120" i="16"/>
  <c r="O120" i="16"/>
  <c r="L119" i="16"/>
  <c r="M119" i="16"/>
  <c r="N119" i="16"/>
  <c r="O119" i="16"/>
  <c r="C457" i="10"/>
  <c r="C458" i="10"/>
  <c r="C461" i="10"/>
  <c r="C460" i="10"/>
  <c r="C462" i="10"/>
  <c r="C459" i="10"/>
  <c r="C466" i="10"/>
  <c r="E457" i="10"/>
  <c r="E458" i="10"/>
  <c r="E461" i="10"/>
  <c r="E460" i="10"/>
  <c r="E462" i="10"/>
  <c r="E459" i="10"/>
  <c r="E466" i="10"/>
  <c r="P461" i="10"/>
  <c r="W461" i="10"/>
  <c r="P457" i="10"/>
  <c r="N457" i="10" s="1"/>
  <c r="U457" i="10" s="1"/>
  <c r="P460" i="10"/>
  <c r="W460" i="10" s="1"/>
  <c r="P462" i="10"/>
  <c r="W462" i="10" s="1"/>
  <c r="P466" i="10"/>
  <c r="N466" i="10"/>
  <c r="U466" i="10" s="1"/>
  <c r="Q457" i="10"/>
  <c r="Q458" i="10"/>
  <c r="Q461" i="10"/>
  <c r="Q460" i="10"/>
  <c r="Q462" i="10"/>
  <c r="Q459" i="10"/>
  <c r="Q466" i="10"/>
  <c r="R457" i="10"/>
  <c r="R458" i="10"/>
  <c r="R461" i="10"/>
  <c r="R460" i="10"/>
  <c r="R462" i="10"/>
  <c r="R459" i="10"/>
  <c r="R466" i="10"/>
  <c r="S457" i="10"/>
  <c r="S458" i="10"/>
  <c r="S461" i="10"/>
  <c r="S460" i="10"/>
  <c r="S462" i="10"/>
  <c r="S459" i="10"/>
  <c r="S466" i="10"/>
  <c r="C452" i="10"/>
  <c r="C454" i="10"/>
  <c r="C456" i="10"/>
  <c r="C455" i="10"/>
  <c r="C453" i="10"/>
  <c r="E452" i="10"/>
  <c r="E454" i="10"/>
  <c r="E455" i="10"/>
  <c r="E453" i="10"/>
  <c r="P454" i="10"/>
  <c r="V454" i="10" s="1"/>
  <c r="P456" i="10"/>
  <c r="V456" i="10"/>
  <c r="P455" i="10"/>
  <c r="P453" i="10"/>
  <c r="W453" i="10" s="1"/>
  <c r="Q452" i="10"/>
  <c r="Q454" i="10"/>
  <c r="Q456" i="10"/>
  <c r="Q455" i="10"/>
  <c r="Q453" i="10"/>
  <c r="R452" i="10"/>
  <c r="R454" i="10"/>
  <c r="R456" i="10"/>
  <c r="R455" i="10"/>
  <c r="R453" i="10"/>
  <c r="S452" i="10"/>
  <c r="S454" i="10"/>
  <c r="S456" i="10"/>
  <c r="S455" i="10"/>
  <c r="S453" i="10"/>
  <c r="C448" i="10"/>
  <c r="E448" i="10"/>
  <c r="P448" i="10"/>
  <c r="V448" i="10" s="1"/>
  <c r="Q448" i="10"/>
  <c r="R448" i="10"/>
  <c r="S448" i="10"/>
  <c r="E2" i="29"/>
  <c r="E3" i="29"/>
  <c r="E4" i="29"/>
  <c r="E5" i="29"/>
  <c r="E6" i="29"/>
  <c r="E7" i="29"/>
  <c r="E8" i="29"/>
  <c r="E9" i="29"/>
  <c r="E10" i="29"/>
  <c r="E11" i="29"/>
  <c r="E12" i="29"/>
  <c r="E13" i="29"/>
  <c r="E14" i="29"/>
  <c r="E15" i="29"/>
  <c r="E16" i="29"/>
  <c r="E17" i="29"/>
  <c r="E18" i="29"/>
  <c r="E19" i="29"/>
  <c r="E20" i="29"/>
  <c r="E21" i="29"/>
  <c r="E22" i="29"/>
  <c r="E23" i="29"/>
  <c r="E24" i="29"/>
  <c r="E25" i="29"/>
  <c r="E26" i="29"/>
  <c r="E27" i="29"/>
  <c r="E28" i="29"/>
  <c r="E29" i="29"/>
  <c r="E30" i="29"/>
  <c r="E31" i="29"/>
  <c r="E32" i="29"/>
  <c r="E33" i="29"/>
  <c r="E34" i="29"/>
  <c r="E35" i="29"/>
  <c r="E36" i="29"/>
  <c r="E37" i="29"/>
  <c r="E38" i="29"/>
  <c r="E39" i="29"/>
  <c r="E40" i="29"/>
  <c r="E41" i="29"/>
  <c r="E42" i="29"/>
  <c r="E43" i="29"/>
  <c r="E44" i="29"/>
  <c r="E45" i="29"/>
  <c r="E46" i="29"/>
  <c r="E47" i="29"/>
  <c r="E48" i="29"/>
  <c r="E49" i="29"/>
  <c r="E50" i="29"/>
  <c r="E51" i="29"/>
  <c r="E52" i="29"/>
  <c r="E53" i="29"/>
  <c r="E54" i="29"/>
  <c r="E55" i="29"/>
  <c r="E56" i="29"/>
  <c r="E57" i="29"/>
  <c r="E58" i="29"/>
  <c r="E59" i="29"/>
  <c r="E60" i="29"/>
  <c r="E61" i="29"/>
  <c r="F61" i="29"/>
  <c r="G61" i="29"/>
  <c r="H61" i="29"/>
  <c r="I61" i="29"/>
  <c r="F60" i="29"/>
  <c r="G60" i="29"/>
  <c r="H60" i="29"/>
  <c r="I60" i="29"/>
  <c r="F59" i="29"/>
  <c r="G59" i="29"/>
  <c r="H59" i="29"/>
  <c r="I59" i="29"/>
  <c r="F58" i="29"/>
  <c r="G58" i="29"/>
  <c r="H58" i="29"/>
  <c r="I58" i="29"/>
  <c r="C445" i="10"/>
  <c r="C451" i="10"/>
  <c r="C446" i="10"/>
  <c r="C450" i="10"/>
  <c r="E445" i="10"/>
  <c r="E451" i="10"/>
  <c r="E446" i="10"/>
  <c r="E450" i="10"/>
  <c r="P445" i="10"/>
  <c r="W445" i="10" s="1"/>
  <c r="P451" i="10"/>
  <c r="W451" i="10"/>
  <c r="P450" i="10"/>
  <c r="W450" i="10" s="1"/>
  <c r="Q445" i="10"/>
  <c r="Q451" i="10"/>
  <c r="Q446" i="10"/>
  <c r="Q450" i="10"/>
  <c r="R445" i="10"/>
  <c r="R451" i="10"/>
  <c r="R446" i="10"/>
  <c r="R450" i="10"/>
  <c r="S445" i="10"/>
  <c r="S451" i="10"/>
  <c r="S446" i="10"/>
  <c r="S450" i="10"/>
  <c r="L118" i="16"/>
  <c r="M118" i="16"/>
  <c r="N118" i="16"/>
  <c r="O118" i="16"/>
  <c r="G61" i="32"/>
  <c r="H61" i="32"/>
  <c r="G60" i="32"/>
  <c r="H60" i="32"/>
  <c r="G58" i="32"/>
  <c r="H58" i="32"/>
  <c r="L117" i="16"/>
  <c r="M117" i="16"/>
  <c r="N117" i="16"/>
  <c r="O117" i="16"/>
  <c r="L116" i="16"/>
  <c r="M116" i="16"/>
  <c r="N116" i="16"/>
  <c r="O116" i="16"/>
  <c r="L115" i="16"/>
  <c r="M115" i="16"/>
  <c r="N115" i="16"/>
  <c r="O115" i="16"/>
  <c r="L114" i="16"/>
  <c r="M114" i="16"/>
  <c r="N114" i="16"/>
  <c r="O114" i="16"/>
  <c r="L113" i="16"/>
  <c r="M113" i="16"/>
  <c r="N113" i="16"/>
  <c r="O113" i="16"/>
  <c r="L112" i="16"/>
  <c r="M112" i="16"/>
  <c r="N112" i="16"/>
  <c r="O112" i="16"/>
  <c r="L111" i="16"/>
  <c r="M111" i="16"/>
  <c r="N111" i="16"/>
  <c r="O111" i="16"/>
  <c r="G59" i="32"/>
  <c r="H59" i="32"/>
  <c r="C441" i="10"/>
  <c r="C438" i="10"/>
  <c r="C342" i="10"/>
  <c r="C443" i="10"/>
  <c r="C447" i="10"/>
  <c r="C444" i="10"/>
  <c r="C442" i="10"/>
  <c r="E441" i="10"/>
  <c r="E438" i="10"/>
  <c r="E342" i="10"/>
  <c r="E443" i="10"/>
  <c r="E447" i="10"/>
  <c r="E444" i="10"/>
  <c r="E442" i="10"/>
  <c r="P438" i="10"/>
  <c r="W438" i="10" s="1"/>
  <c r="P342" i="10"/>
  <c r="V342" i="10"/>
  <c r="P443" i="10"/>
  <c r="V443" i="10" s="1"/>
  <c r="P447" i="10"/>
  <c r="W447" i="10"/>
  <c r="P444" i="10"/>
  <c r="W444" i="10" s="1"/>
  <c r="P442" i="10"/>
  <c r="W442" i="10"/>
  <c r="Q441" i="10"/>
  <c r="Q438" i="10"/>
  <c r="Q342" i="10"/>
  <c r="Q443" i="10"/>
  <c r="Q447" i="10"/>
  <c r="Q444" i="10"/>
  <c r="Q442" i="10"/>
  <c r="R441" i="10"/>
  <c r="R438" i="10"/>
  <c r="R342" i="10"/>
  <c r="R443" i="10"/>
  <c r="R447" i="10"/>
  <c r="R444" i="10"/>
  <c r="R442" i="10"/>
  <c r="S441" i="10"/>
  <c r="S438" i="10"/>
  <c r="S342" i="10"/>
  <c r="S443" i="10"/>
  <c r="S447" i="10"/>
  <c r="S444" i="10"/>
  <c r="S442" i="10"/>
  <c r="P341" i="10"/>
  <c r="V341" i="10"/>
  <c r="P366" i="10"/>
  <c r="P373" i="10"/>
  <c r="V373" i="10" s="1"/>
  <c r="P398" i="10"/>
  <c r="V398" i="10"/>
  <c r="P403" i="10"/>
  <c r="N403" i="10" s="1"/>
  <c r="U403" i="10" s="1"/>
  <c r="P415" i="10"/>
  <c r="N415" i="10" s="1"/>
  <c r="U415" i="10" s="1"/>
  <c r="P435" i="10"/>
  <c r="P437" i="10"/>
  <c r="N437" i="10" s="1"/>
  <c r="U437" i="10" s="1"/>
  <c r="C433" i="10"/>
  <c r="C431" i="10"/>
  <c r="C436" i="10"/>
  <c r="C435" i="10"/>
  <c r="C434" i="10"/>
  <c r="C439" i="10"/>
  <c r="C440" i="10"/>
  <c r="C437" i="10"/>
  <c r="E433" i="10"/>
  <c r="E431" i="10"/>
  <c r="E436" i="10"/>
  <c r="E435" i="10"/>
  <c r="E434" i="10"/>
  <c r="E439" i="10"/>
  <c r="E440" i="10"/>
  <c r="E437" i="10"/>
  <c r="P433" i="10"/>
  <c r="V433" i="10"/>
  <c r="P434" i="10"/>
  <c r="P439" i="10"/>
  <c r="W439" i="10"/>
  <c r="Q433" i="10"/>
  <c r="Q431" i="10"/>
  <c r="Q436" i="10"/>
  <c r="Q435" i="10"/>
  <c r="Q434" i="10"/>
  <c r="Q439" i="10"/>
  <c r="Q440" i="10"/>
  <c r="Q437" i="10"/>
  <c r="R433" i="10"/>
  <c r="R431" i="10"/>
  <c r="R436" i="10"/>
  <c r="R435" i="10"/>
  <c r="R434" i="10"/>
  <c r="R439" i="10"/>
  <c r="R440" i="10"/>
  <c r="R437" i="10"/>
  <c r="S433" i="10"/>
  <c r="S431" i="10"/>
  <c r="S436" i="10"/>
  <c r="S435" i="10"/>
  <c r="S434" i="10"/>
  <c r="S439" i="10"/>
  <c r="S440" i="10"/>
  <c r="S437" i="10"/>
  <c r="K420" i="10"/>
  <c r="K419" i="10"/>
  <c r="K408" i="10"/>
  <c r="K411" i="10"/>
  <c r="C409" i="10"/>
  <c r="C410" i="10"/>
  <c r="E409" i="10"/>
  <c r="E410" i="10"/>
  <c r="P409" i="10"/>
  <c r="V409" i="10" s="1"/>
  <c r="P410" i="10"/>
  <c r="V410" i="10"/>
  <c r="Q409" i="10"/>
  <c r="R409" i="10"/>
  <c r="R410" i="10"/>
  <c r="S409" i="10"/>
  <c r="S410" i="10"/>
  <c r="C427" i="10"/>
  <c r="C429" i="10"/>
  <c r="C428" i="10"/>
  <c r="C430" i="10"/>
  <c r="C432" i="10"/>
  <c r="E427" i="10"/>
  <c r="E429" i="10"/>
  <c r="E428" i="10"/>
  <c r="E430" i="10"/>
  <c r="E432" i="10"/>
  <c r="P427" i="10"/>
  <c r="N427" i="10" s="1"/>
  <c r="P429" i="10"/>
  <c r="W429" i="10" s="1"/>
  <c r="P428" i="10"/>
  <c r="P430" i="10"/>
  <c r="W430" i="10"/>
  <c r="P432" i="10"/>
  <c r="Q427" i="10"/>
  <c r="Q429" i="10"/>
  <c r="Q428" i="10"/>
  <c r="Q430" i="10"/>
  <c r="Q432" i="10"/>
  <c r="R427" i="10"/>
  <c r="R429" i="10"/>
  <c r="R428" i="10"/>
  <c r="R430" i="10"/>
  <c r="R432" i="10"/>
  <c r="S427" i="10"/>
  <c r="S429" i="10"/>
  <c r="S428" i="10"/>
  <c r="S430" i="10"/>
  <c r="S432" i="10"/>
  <c r="C412" i="10"/>
  <c r="E412" i="10"/>
  <c r="Q412" i="10"/>
  <c r="R412" i="10"/>
  <c r="S412" i="10"/>
  <c r="L110" i="16"/>
  <c r="M110" i="16"/>
  <c r="N110" i="16"/>
  <c r="O110" i="16"/>
  <c r="L109" i="16"/>
  <c r="M109" i="16"/>
  <c r="N109" i="16"/>
  <c r="O109" i="16"/>
  <c r="L108" i="16"/>
  <c r="M108" i="16"/>
  <c r="N108" i="16"/>
  <c r="O108" i="16"/>
  <c r="C406" i="10"/>
  <c r="C422" i="10"/>
  <c r="C421" i="10"/>
  <c r="C424" i="10"/>
  <c r="C423" i="10"/>
  <c r="C426" i="10"/>
  <c r="C425" i="10"/>
  <c r="E406" i="10"/>
  <c r="E422" i="10"/>
  <c r="E421" i="10"/>
  <c r="E424" i="10"/>
  <c r="E423" i="10"/>
  <c r="E426" i="10"/>
  <c r="E425" i="10"/>
  <c r="P406" i="10"/>
  <c r="W406" i="10" s="1"/>
  <c r="P422" i="10"/>
  <c r="N422" i="10"/>
  <c r="U422" i="10" s="1"/>
  <c r="P421" i="10"/>
  <c r="N421" i="10" s="1"/>
  <c r="U421" i="10"/>
  <c r="P424" i="10"/>
  <c r="P423" i="10"/>
  <c r="V423" i="10" s="1"/>
  <c r="P426" i="10"/>
  <c r="P425" i="10"/>
  <c r="W425" i="10" s="1"/>
  <c r="Q406" i="10"/>
  <c r="Q422" i="10"/>
  <c r="Q421" i="10"/>
  <c r="Q424" i="10"/>
  <c r="Q423" i="10"/>
  <c r="Q426" i="10"/>
  <c r="Q425" i="10"/>
  <c r="R406" i="10"/>
  <c r="R422" i="10"/>
  <c r="R421" i="10"/>
  <c r="R424" i="10"/>
  <c r="R423" i="10"/>
  <c r="R426" i="10"/>
  <c r="R425" i="10"/>
  <c r="S406" i="10"/>
  <c r="S422" i="10"/>
  <c r="S421" i="10"/>
  <c r="S424" i="10"/>
  <c r="S423" i="10"/>
  <c r="S426" i="10"/>
  <c r="S425" i="10"/>
  <c r="I57" i="29"/>
  <c r="H57" i="29"/>
  <c r="G57" i="29"/>
  <c r="I56" i="29"/>
  <c r="H56" i="29"/>
  <c r="G56" i="29"/>
  <c r="G57" i="32"/>
  <c r="H57" i="32"/>
  <c r="G55" i="32"/>
  <c r="H55" i="32"/>
  <c r="G54" i="32"/>
  <c r="H54" i="32"/>
  <c r="G52" i="32"/>
  <c r="H52" i="32"/>
  <c r="G50" i="32"/>
  <c r="H50" i="32"/>
  <c r="G56" i="32"/>
  <c r="H56" i="32"/>
  <c r="G53" i="32"/>
  <c r="H53" i="32"/>
  <c r="G51" i="32"/>
  <c r="H51" i="32"/>
  <c r="G49" i="32"/>
  <c r="H49" i="32"/>
  <c r="C407" i="10"/>
  <c r="E407" i="10"/>
  <c r="P407" i="10"/>
  <c r="Q407" i="10"/>
  <c r="R407" i="10"/>
  <c r="S407" i="10"/>
  <c r="K2" i="30"/>
  <c r="K3" i="30"/>
  <c r="K4" i="30"/>
  <c r="K5" i="30"/>
  <c r="K6" i="30"/>
  <c r="K7" i="30"/>
  <c r="K8" i="30"/>
  <c r="K9" i="30"/>
  <c r="K10" i="30"/>
  <c r="K11" i="30"/>
  <c r="E370" i="10"/>
  <c r="C415" i="10"/>
  <c r="C414" i="10"/>
  <c r="C413" i="10"/>
  <c r="C416" i="10"/>
  <c r="C417" i="10"/>
  <c r="E415" i="10"/>
  <c r="E414" i="10"/>
  <c r="E418" i="10"/>
  <c r="E413" i="10"/>
  <c r="E416" i="10"/>
  <c r="E417" i="10"/>
  <c r="P414" i="10"/>
  <c r="W414" i="10"/>
  <c r="P418" i="10"/>
  <c r="W418" i="10" s="1"/>
  <c r="P413" i="10"/>
  <c r="W413" i="10" s="1"/>
  <c r="P416" i="10"/>
  <c r="N416" i="10" s="1"/>
  <c r="U416" i="10"/>
  <c r="P417" i="10"/>
  <c r="O417" i="10" s="1"/>
  <c r="Q415" i="10"/>
  <c r="Q414" i="10"/>
  <c r="Q418" i="10"/>
  <c r="Q413" i="10"/>
  <c r="Q416" i="10"/>
  <c r="Q417" i="10"/>
  <c r="R415" i="10"/>
  <c r="R414" i="10"/>
  <c r="R418" i="10"/>
  <c r="R413" i="10"/>
  <c r="R416" i="10"/>
  <c r="R417" i="10"/>
  <c r="S415" i="10"/>
  <c r="S414" i="10"/>
  <c r="S418" i="10"/>
  <c r="S413" i="10"/>
  <c r="S416" i="10"/>
  <c r="S417" i="10"/>
  <c r="E365" i="10"/>
  <c r="E382" i="10"/>
  <c r="E386" i="10"/>
  <c r="E388" i="10"/>
  <c r="E387" i="10"/>
  <c r="E390" i="10"/>
  <c r="E389" i="10"/>
  <c r="E391" i="10"/>
  <c r="E392" i="10"/>
  <c r="E393" i="10"/>
  <c r="E394" i="10"/>
  <c r="E395" i="10"/>
  <c r="E396" i="10"/>
  <c r="E397" i="10"/>
  <c r="E398" i="10"/>
  <c r="E400" i="10"/>
  <c r="E399" i="10"/>
  <c r="E401" i="10"/>
  <c r="E403" i="10"/>
  <c r="E402" i="10"/>
  <c r="E404" i="10"/>
  <c r="E383" i="10"/>
  <c r="K385" i="10"/>
  <c r="K384" i="10"/>
  <c r="S3" i="10"/>
  <c r="S4" i="10"/>
  <c r="S5" i="10"/>
  <c r="S6" i="10"/>
  <c r="S7" i="10"/>
  <c r="S8" i="10"/>
  <c r="S9" i="10"/>
  <c r="S10" i="10"/>
  <c r="S11" i="10"/>
  <c r="S12" i="10"/>
  <c r="S13" i="10"/>
  <c r="S14" i="10"/>
  <c r="S15" i="10"/>
  <c r="S16" i="10"/>
  <c r="S17" i="10"/>
  <c r="S18" i="10"/>
  <c r="S19" i="10"/>
  <c r="S20" i="10"/>
  <c r="S21" i="10"/>
  <c r="S22" i="10"/>
  <c r="S23" i="10"/>
  <c r="S24" i="10"/>
  <c r="S25" i="10"/>
  <c r="S26" i="10"/>
  <c r="S27" i="10"/>
  <c r="S28" i="10"/>
  <c r="S29" i="10"/>
  <c r="S30" i="10"/>
  <c r="S31" i="10"/>
  <c r="S33" i="10"/>
  <c r="S32" i="10"/>
  <c r="S34" i="10"/>
  <c r="S36" i="10"/>
  <c r="S35" i="10"/>
  <c r="S37" i="10"/>
  <c r="S38" i="10"/>
  <c r="S39" i="10"/>
  <c r="S40" i="10"/>
  <c r="S41" i="10"/>
  <c r="S42" i="10"/>
  <c r="S43" i="10"/>
  <c r="S44" i="10"/>
  <c r="S45" i="10"/>
  <c r="S46" i="10"/>
  <c r="S48" i="10"/>
  <c r="S47" i="10"/>
  <c r="S49" i="10"/>
  <c r="S50" i="10"/>
  <c r="S51" i="10"/>
  <c r="S52" i="10"/>
  <c r="S53" i="10"/>
  <c r="S55" i="10"/>
  <c r="S54" i="10"/>
  <c r="S56" i="10"/>
  <c r="S57" i="10"/>
  <c r="S58" i="10"/>
  <c r="S60" i="10"/>
  <c r="S59" i="10"/>
  <c r="S61" i="10"/>
  <c r="S62" i="10"/>
  <c r="S63" i="10"/>
  <c r="S65" i="10"/>
  <c r="S64" i="10"/>
  <c r="S67" i="10"/>
  <c r="S66" i="10"/>
  <c r="S70" i="10"/>
  <c r="S68" i="10"/>
  <c r="S69" i="10"/>
  <c r="S71" i="10"/>
  <c r="S72" i="10"/>
  <c r="S73" i="10"/>
  <c r="S74" i="10"/>
  <c r="S75" i="10"/>
  <c r="S78" i="10"/>
  <c r="S76" i="10"/>
  <c r="S79" i="10"/>
  <c r="S77" i="10"/>
  <c r="S80" i="10"/>
  <c r="S81" i="10"/>
  <c r="S82" i="10"/>
  <c r="S83" i="10"/>
  <c r="S84" i="10"/>
  <c r="S85" i="10"/>
  <c r="S86" i="10"/>
  <c r="S87" i="10"/>
  <c r="S88" i="10"/>
  <c r="S89" i="10"/>
  <c r="S90" i="10"/>
  <c r="S91" i="10"/>
  <c r="S92" i="10"/>
  <c r="S93" i="10"/>
  <c r="S94" i="10"/>
  <c r="S95" i="10"/>
  <c r="S96" i="10"/>
  <c r="S97" i="10"/>
  <c r="S98" i="10"/>
  <c r="S99" i="10"/>
  <c r="S100" i="10"/>
  <c r="S101" i="10"/>
  <c r="S102" i="10"/>
  <c r="S103" i="10"/>
  <c r="S104" i="10"/>
  <c r="S105" i="10"/>
  <c r="S106" i="10"/>
  <c r="S107" i="10"/>
  <c r="S109" i="10"/>
  <c r="S108" i="10"/>
  <c r="S110" i="10"/>
  <c r="S113" i="10"/>
  <c r="S112" i="10"/>
  <c r="S111" i="10"/>
  <c r="S115" i="10"/>
  <c r="S114" i="10"/>
  <c r="S116" i="10"/>
  <c r="S117" i="10"/>
  <c r="S118" i="10"/>
  <c r="S119" i="10"/>
  <c r="S120" i="10"/>
  <c r="S121" i="10"/>
  <c r="S122" i="10"/>
  <c r="S123" i="10"/>
  <c r="S124" i="10"/>
  <c r="S125" i="10"/>
  <c r="S126" i="10"/>
  <c r="S128" i="10"/>
  <c r="S127" i="10"/>
  <c r="S129" i="10"/>
  <c r="S130" i="10"/>
  <c r="S131" i="10"/>
  <c r="S132" i="10"/>
  <c r="S133" i="10"/>
  <c r="S134" i="10"/>
  <c r="S135" i="10"/>
  <c r="S137" i="10"/>
  <c r="S136" i="10"/>
  <c r="S138" i="10"/>
  <c r="S139" i="10"/>
  <c r="S140" i="10"/>
  <c r="S141" i="10"/>
  <c r="S142" i="10"/>
  <c r="S143" i="10"/>
  <c r="S144" i="10"/>
  <c r="S145" i="10"/>
  <c r="S146" i="10"/>
  <c r="S147" i="10"/>
  <c r="S148" i="10"/>
  <c r="S149" i="10"/>
  <c r="S150" i="10"/>
  <c r="S151" i="10"/>
  <c r="S152" i="10"/>
  <c r="S154" i="10"/>
  <c r="S153" i="10"/>
  <c r="S155" i="10"/>
  <c r="S156" i="10"/>
  <c r="S157" i="10"/>
  <c r="S158" i="10"/>
  <c r="S159" i="10"/>
  <c r="S160" i="10"/>
  <c r="S161" i="10"/>
  <c r="S162" i="10"/>
  <c r="S163" i="10"/>
  <c r="S164" i="10"/>
  <c r="S165" i="10"/>
  <c r="S166" i="10"/>
  <c r="S167" i="10"/>
  <c r="S168" i="10"/>
  <c r="S169" i="10"/>
  <c r="S170" i="10"/>
  <c r="S171" i="10"/>
  <c r="S172" i="10"/>
  <c r="S173" i="10"/>
  <c r="S174" i="10"/>
  <c r="S175" i="10"/>
  <c r="S176" i="10"/>
  <c r="S177" i="10"/>
  <c r="S178" i="10"/>
  <c r="S179" i="10"/>
  <c r="S180" i="10"/>
  <c r="S181" i="10"/>
  <c r="S182" i="10"/>
  <c r="S183" i="10"/>
  <c r="S184" i="10"/>
  <c r="S185" i="10"/>
  <c r="S186" i="10"/>
  <c r="S187" i="10"/>
  <c r="S188" i="10"/>
  <c r="S189" i="10"/>
  <c r="S190" i="10"/>
  <c r="S191" i="10"/>
  <c r="S192" i="10"/>
  <c r="S193" i="10"/>
  <c r="S194" i="10"/>
  <c r="S195" i="10"/>
  <c r="S196" i="10"/>
  <c r="S197" i="10"/>
  <c r="S198" i="10"/>
  <c r="S199" i="10"/>
  <c r="S200" i="10"/>
  <c r="S201" i="10"/>
  <c r="S202" i="10"/>
  <c r="S203" i="10"/>
  <c r="S204" i="10"/>
  <c r="S205" i="10"/>
  <c r="S206" i="10"/>
  <c r="S207" i="10"/>
  <c r="S208" i="10"/>
  <c r="S209" i="10"/>
  <c r="S210" i="10"/>
  <c r="S213" i="10"/>
  <c r="S211" i="10"/>
  <c r="S212" i="10"/>
  <c r="S214" i="10"/>
  <c r="S215" i="10"/>
  <c r="S216" i="10"/>
  <c r="S217" i="10"/>
  <c r="S218" i="10"/>
  <c r="S219" i="10"/>
  <c r="S220" i="10"/>
  <c r="S221" i="10"/>
  <c r="S222" i="10"/>
  <c r="S223" i="10"/>
  <c r="S224" i="10"/>
  <c r="S225" i="10"/>
  <c r="S226" i="10"/>
  <c r="S227" i="10"/>
  <c r="S228" i="10"/>
  <c r="S229" i="10"/>
  <c r="S230" i="10"/>
  <c r="S231" i="10"/>
  <c r="S232" i="10"/>
  <c r="S233" i="10"/>
  <c r="S234" i="10"/>
  <c r="S235" i="10"/>
  <c r="S236" i="10"/>
  <c r="S237" i="10"/>
  <c r="S240" i="10"/>
  <c r="S238" i="10"/>
  <c r="S239" i="10"/>
  <c r="S241" i="10"/>
  <c r="S242" i="10"/>
  <c r="S243" i="10"/>
  <c r="S244" i="10"/>
  <c r="S245" i="10"/>
  <c r="S246" i="10"/>
  <c r="S247" i="10"/>
  <c r="S248" i="10"/>
  <c r="S250" i="10"/>
  <c r="S249" i="10"/>
  <c r="S251" i="10"/>
  <c r="S252" i="10"/>
  <c r="S254" i="10"/>
  <c r="S255" i="10"/>
  <c r="S253" i="10"/>
  <c r="S256" i="10"/>
  <c r="S257" i="10"/>
  <c r="S258" i="10"/>
  <c r="S260" i="10"/>
  <c r="S259" i="10"/>
  <c r="S261" i="10"/>
  <c r="S262" i="10"/>
  <c r="S263" i="10"/>
  <c r="S265" i="10"/>
  <c r="S264" i="10"/>
  <c r="S266" i="10"/>
  <c r="S267" i="10"/>
  <c r="S268" i="10"/>
  <c r="S269" i="10"/>
  <c r="S270" i="10"/>
  <c r="S274" i="10"/>
  <c r="S272" i="10"/>
  <c r="S271" i="10"/>
  <c r="S273" i="10"/>
  <c r="S275" i="10"/>
  <c r="S277" i="10"/>
  <c r="S276" i="10"/>
  <c r="S278" i="10"/>
  <c r="S279" i="10"/>
  <c r="S280" i="10"/>
  <c r="S282" i="10"/>
  <c r="S281" i="10"/>
  <c r="S283" i="10"/>
  <c r="S284" i="10"/>
  <c r="S285" i="10"/>
  <c r="S286" i="10"/>
  <c r="S287" i="10"/>
  <c r="S289" i="10"/>
  <c r="S288" i="10"/>
  <c r="S292" i="10"/>
  <c r="S291" i="10"/>
  <c r="S290" i="10"/>
  <c r="S293" i="10"/>
  <c r="S294" i="10"/>
  <c r="S295" i="10"/>
  <c r="S296" i="10"/>
  <c r="S297" i="10"/>
  <c r="S299" i="10"/>
  <c r="S298" i="10"/>
  <c r="S301" i="10"/>
  <c r="S300" i="10"/>
  <c r="S302" i="10"/>
  <c r="S304" i="10"/>
  <c r="S303" i="10"/>
  <c r="S305" i="10"/>
  <c r="S306" i="10"/>
  <c r="S307" i="10"/>
  <c r="S308" i="10"/>
  <c r="S309" i="10"/>
  <c r="S313" i="10"/>
  <c r="S311" i="10"/>
  <c r="S312" i="10"/>
  <c r="S310" i="10"/>
  <c r="S316" i="10"/>
  <c r="S315" i="10"/>
  <c r="S314" i="10"/>
  <c r="S318" i="10"/>
  <c r="S317" i="10"/>
  <c r="S321" i="10"/>
  <c r="S319" i="10"/>
  <c r="S320" i="10"/>
  <c r="S322" i="10"/>
  <c r="S323" i="10"/>
  <c r="S324" i="10"/>
  <c r="S325" i="10"/>
  <c r="S326" i="10"/>
  <c r="S328" i="10"/>
  <c r="S327" i="10"/>
  <c r="S329" i="10"/>
  <c r="S330" i="10"/>
  <c r="S331" i="10"/>
  <c r="S332" i="10"/>
  <c r="S334" i="10"/>
  <c r="S333" i="10"/>
  <c r="S336" i="10"/>
  <c r="S335" i="10"/>
  <c r="S337" i="10"/>
  <c r="S338" i="10"/>
  <c r="S339" i="10"/>
  <c r="S340" i="10"/>
  <c r="S341" i="10"/>
  <c r="S344" i="10"/>
  <c r="S343" i="10"/>
  <c r="S345" i="10"/>
  <c r="S346" i="10"/>
  <c r="S347" i="10"/>
  <c r="S348" i="10"/>
  <c r="S350" i="10"/>
  <c r="S349" i="10"/>
  <c r="S351" i="10"/>
  <c r="S353" i="10"/>
  <c r="S352" i="10"/>
  <c r="S355" i="10"/>
  <c r="S354" i="10"/>
  <c r="S357" i="10"/>
  <c r="S356" i="10"/>
  <c r="S358" i="10"/>
  <c r="S359" i="10"/>
  <c r="S360" i="10"/>
  <c r="S361" i="10"/>
  <c r="S363" i="10"/>
  <c r="S362" i="10"/>
  <c r="S364" i="10"/>
  <c r="S367" i="10"/>
  <c r="S365" i="10"/>
  <c r="S366" i="10"/>
  <c r="S368" i="10"/>
  <c r="S369" i="10"/>
  <c r="S370" i="10"/>
  <c r="S371" i="10"/>
  <c r="S373" i="10"/>
  <c r="S372" i="10"/>
  <c r="S375" i="10"/>
  <c r="S374" i="10"/>
  <c r="S377" i="10"/>
  <c r="S376" i="10"/>
  <c r="S378" i="10"/>
  <c r="S379" i="10"/>
  <c r="S381" i="10"/>
  <c r="S380" i="10"/>
  <c r="S383" i="10"/>
  <c r="S385" i="10"/>
  <c r="S384" i="10"/>
  <c r="S382" i="10"/>
  <c r="S386" i="10"/>
  <c r="S388" i="10"/>
  <c r="S387" i="10"/>
  <c r="S390" i="10"/>
  <c r="S389" i="10"/>
  <c r="S391" i="10"/>
  <c r="S392" i="10"/>
  <c r="S393" i="10"/>
  <c r="S394" i="10"/>
  <c r="S395" i="10"/>
  <c r="S396" i="10"/>
  <c r="S397" i="10"/>
  <c r="S398" i="10"/>
  <c r="S400" i="10"/>
  <c r="S399" i="10"/>
  <c r="S401" i="10"/>
  <c r="S403" i="10"/>
  <c r="S402" i="10"/>
  <c r="S404" i="10"/>
  <c r="S2" i="10"/>
  <c r="H8" i="10"/>
  <c r="H14" i="10"/>
  <c r="H18" i="10"/>
  <c r="H24" i="10"/>
  <c r="H190" i="10"/>
  <c r="H191" i="10"/>
  <c r="L107" i="16"/>
  <c r="M107" i="16"/>
  <c r="N107" i="16"/>
  <c r="O107" i="16"/>
  <c r="L106" i="16"/>
  <c r="M106" i="16"/>
  <c r="N106" i="16"/>
  <c r="O106" i="16"/>
  <c r="L105" i="16"/>
  <c r="M105" i="16"/>
  <c r="N105" i="16"/>
  <c r="O105" i="16"/>
  <c r="L104" i="16"/>
  <c r="M104" i="16"/>
  <c r="N104" i="16"/>
  <c r="O104" i="16"/>
  <c r="H3" i="18"/>
  <c r="K1" i="18"/>
  <c r="L6" i="15" s="1"/>
  <c r="I5" i="15"/>
  <c r="I6" i="15"/>
  <c r="I55" i="29"/>
  <c r="H55" i="29"/>
  <c r="G55" i="29"/>
  <c r="I54" i="29"/>
  <c r="H54" i="29"/>
  <c r="G54" i="29"/>
  <c r="I53" i="29"/>
  <c r="H53" i="29"/>
  <c r="G53" i="29"/>
  <c r="I52" i="29"/>
  <c r="H52" i="29"/>
  <c r="G52" i="29"/>
  <c r="I51" i="29"/>
  <c r="H51" i="29"/>
  <c r="G51" i="29"/>
  <c r="I50" i="29"/>
  <c r="H50" i="29"/>
  <c r="G50" i="29"/>
  <c r="I49" i="29"/>
  <c r="H49" i="29"/>
  <c r="G49" i="29"/>
  <c r="I48" i="29"/>
  <c r="H48" i="29"/>
  <c r="G48" i="29"/>
  <c r="I47" i="29"/>
  <c r="H47" i="29"/>
  <c r="G47" i="29"/>
  <c r="F47" i="29"/>
  <c r="I46" i="29"/>
  <c r="H46" i="29"/>
  <c r="G46" i="29"/>
  <c r="F46" i="29"/>
  <c r="I45" i="29"/>
  <c r="H45" i="29"/>
  <c r="G45" i="29"/>
  <c r="F45" i="29"/>
  <c r="I44" i="29"/>
  <c r="H44" i="29"/>
  <c r="G44" i="29"/>
  <c r="F44" i="29"/>
  <c r="I43" i="29"/>
  <c r="H43" i="29"/>
  <c r="G43" i="29"/>
  <c r="F43" i="29"/>
  <c r="I42" i="29"/>
  <c r="H42" i="29"/>
  <c r="G42" i="29"/>
  <c r="F42" i="29"/>
  <c r="I41" i="29"/>
  <c r="H41" i="29"/>
  <c r="G41" i="29"/>
  <c r="F41" i="29"/>
  <c r="I40" i="29"/>
  <c r="H40" i="29"/>
  <c r="G40" i="29"/>
  <c r="F40" i="29"/>
  <c r="I39" i="29"/>
  <c r="H39" i="29"/>
  <c r="G39" i="29"/>
  <c r="F39" i="29"/>
  <c r="I38" i="29"/>
  <c r="H38" i="29"/>
  <c r="G38" i="29"/>
  <c r="F38" i="29"/>
  <c r="I37" i="29"/>
  <c r="H37" i="29"/>
  <c r="G37" i="29"/>
  <c r="F37" i="29"/>
  <c r="I36" i="29"/>
  <c r="H36" i="29"/>
  <c r="G36" i="29"/>
  <c r="F36" i="29"/>
  <c r="I35" i="29"/>
  <c r="H35" i="29"/>
  <c r="G35" i="29"/>
  <c r="F35" i="29"/>
  <c r="I34" i="29"/>
  <c r="H34" i="29"/>
  <c r="G34" i="29"/>
  <c r="F34" i="29"/>
  <c r="I33" i="29"/>
  <c r="H33" i="29"/>
  <c r="G33" i="29"/>
  <c r="F33" i="29"/>
  <c r="I32" i="29"/>
  <c r="H32" i="29"/>
  <c r="G32" i="29"/>
  <c r="F32" i="29"/>
  <c r="I31" i="29"/>
  <c r="H31" i="29"/>
  <c r="G31" i="29"/>
  <c r="F31" i="29"/>
  <c r="I30" i="29"/>
  <c r="H30" i="29"/>
  <c r="G30" i="29"/>
  <c r="F30" i="29"/>
  <c r="I29" i="29"/>
  <c r="H29" i="29"/>
  <c r="G29" i="29"/>
  <c r="F29" i="29"/>
  <c r="I28" i="29"/>
  <c r="H28" i="29"/>
  <c r="G28" i="29"/>
  <c r="F28" i="29"/>
  <c r="I27" i="29"/>
  <c r="H27" i="29"/>
  <c r="G27" i="29"/>
  <c r="F27" i="29"/>
  <c r="I26" i="29"/>
  <c r="H26" i="29"/>
  <c r="G26" i="29"/>
  <c r="F26" i="29"/>
  <c r="I25" i="29"/>
  <c r="H25" i="29"/>
  <c r="G25" i="29"/>
  <c r="F25" i="29"/>
  <c r="I24" i="29"/>
  <c r="H24" i="29"/>
  <c r="G24" i="29"/>
  <c r="F24" i="29"/>
  <c r="I23" i="29"/>
  <c r="H23" i="29"/>
  <c r="G23" i="29"/>
  <c r="F23" i="29"/>
  <c r="I22" i="29"/>
  <c r="H22" i="29"/>
  <c r="G22" i="29"/>
  <c r="F22" i="29"/>
  <c r="I21" i="29"/>
  <c r="H21" i="29"/>
  <c r="G21" i="29"/>
  <c r="F21" i="29"/>
  <c r="I20" i="29"/>
  <c r="H20" i="29"/>
  <c r="G20" i="29"/>
  <c r="F20" i="29"/>
  <c r="I19" i="29"/>
  <c r="H19" i="29"/>
  <c r="G19" i="29"/>
  <c r="F19" i="29"/>
  <c r="I18" i="29"/>
  <c r="H18" i="29"/>
  <c r="G18" i="29"/>
  <c r="F18" i="29"/>
  <c r="I17" i="29"/>
  <c r="H17" i="29"/>
  <c r="G17" i="29"/>
  <c r="F17" i="29"/>
  <c r="I16" i="29"/>
  <c r="H16" i="29"/>
  <c r="G16" i="29"/>
  <c r="F16" i="29"/>
  <c r="I15" i="29"/>
  <c r="H15" i="29"/>
  <c r="G15" i="29"/>
  <c r="F15" i="29"/>
  <c r="I14" i="29"/>
  <c r="H14" i="29"/>
  <c r="G14" i="29"/>
  <c r="F14" i="29"/>
  <c r="I13" i="29"/>
  <c r="H13" i="29"/>
  <c r="G13" i="29"/>
  <c r="F13" i="29"/>
  <c r="I12" i="29"/>
  <c r="H12" i="29"/>
  <c r="G12" i="29"/>
  <c r="F12" i="29"/>
  <c r="I11" i="29"/>
  <c r="H11" i="29"/>
  <c r="G11" i="29"/>
  <c r="F11" i="29"/>
  <c r="I10" i="29"/>
  <c r="H10" i="29"/>
  <c r="G10" i="29"/>
  <c r="F10" i="29"/>
  <c r="I9" i="29"/>
  <c r="H9" i="29"/>
  <c r="G9" i="29"/>
  <c r="F9" i="29"/>
  <c r="I8" i="29"/>
  <c r="H8" i="29"/>
  <c r="G8" i="29"/>
  <c r="F8" i="29"/>
  <c r="I7" i="29"/>
  <c r="H7" i="29"/>
  <c r="G7" i="29"/>
  <c r="F7" i="29"/>
  <c r="I6" i="29"/>
  <c r="H6" i="29"/>
  <c r="G6" i="29"/>
  <c r="F6" i="29"/>
  <c r="I5" i="29"/>
  <c r="H5" i="29"/>
  <c r="G5" i="29"/>
  <c r="F5" i="29"/>
  <c r="I4" i="29"/>
  <c r="H4" i="29"/>
  <c r="G4" i="29"/>
  <c r="F4" i="29"/>
  <c r="I3" i="29"/>
  <c r="H3" i="29"/>
  <c r="G3" i="29"/>
  <c r="F3" i="29"/>
  <c r="I2" i="29"/>
  <c r="H2" i="29"/>
  <c r="G2" i="29"/>
  <c r="F2" i="29"/>
  <c r="H48" i="32"/>
  <c r="G48" i="32"/>
  <c r="H47" i="32"/>
  <c r="G47" i="32"/>
  <c r="H46" i="32"/>
  <c r="G46" i="32"/>
  <c r="H45" i="32"/>
  <c r="G45" i="32"/>
  <c r="H44" i="32"/>
  <c r="G44" i="32"/>
  <c r="H43" i="32"/>
  <c r="G43" i="32"/>
  <c r="H42" i="32"/>
  <c r="G42" i="32"/>
  <c r="H41" i="32"/>
  <c r="G41" i="32"/>
  <c r="H40" i="32"/>
  <c r="G40" i="32"/>
  <c r="H39" i="32"/>
  <c r="G39" i="32"/>
  <c r="H38" i="32"/>
  <c r="G38" i="32"/>
  <c r="H37" i="32"/>
  <c r="G37" i="32"/>
  <c r="H36" i="32"/>
  <c r="G36" i="32"/>
  <c r="H35" i="32"/>
  <c r="G35" i="32"/>
  <c r="H34" i="32"/>
  <c r="G34" i="32"/>
  <c r="H33" i="32"/>
  <c r="G33" i="32"/>
  <c r="H32" i="32"/>
  <c r="G32" i="32"/>
  <c r="H31" i="32"/>
  <c r="G31" i="32"/>
  <c r="H30" i="32"/>
  <c r="G30" i="32"/>
  <c r="H29" i="32"/>
  <c r="G29" i="32"/>
  <c r="H28" i="32"/>
  <c r="G28" i="32"/>
  <c r="H27" i="32"/>
  <c r="G27" i="32"/>
  <c r="H26" i="32"/>
  <c r="G26" i="32"/>
  <c r="H25" i="32"/>
  <c r="G25" i="32"/>
  <c r="H24" i="32"/>
  <c r="G24" i="32"/>
  <c r="H23" i="32"/>
  <c r="G23" i="32"/>
  <c r="H22" i="32"/>
  <c r="G22" i="32"/>
  <c r="H21" i="32"/>
  <c r="G21" i="32"/>
  <c r="H20" i="32"/>
  <c r="G20" i="32"/>
  <c r="H19" i="32"/>
  <c r="G19" i="32"/>
  <c r="H18" i="32"/>
  <c r="G18" i="32"/>
  <c r="H17" i="32"/>
  <c r="G17" i="32"/>
  <c r="H16" i="32"/>
  <c r="G16" i="32"/>
  <c r="H15" i="32"/>
  <c r="G15" i="32"/>
  <c r="H14" i="32"/>
  <c r="G14" i="32"/>
  <c r="H13" i="32"/>
  <c r="G13" i="32"/>
  <c r="H12" i="32"/>
  <c r="G12" i="32"/>
  <c r="H11" i="32"/>
  <c r="G11" i="32"/>
  <c r="H10" i="32"/>
  <c r="G10" i="32"/>
  <c r="H9" i="32"/>
  <c r="G9" i="32"/>
  <c r="H8" i="32"/>
  <c r="G8" i="32"/>
  <c r="H7" i="32"/>
  <c r="G7" i="32"/>
  <c r="H6" i="32"/>
  <c r="G6" i="32"/>
  <c r="H5" i="32"/>
  <c r="G5" i="32"/>
  <c r="H4" i="32"/>
  <c r="G4" i="32"/>
  <c r="H3" i="32"/>
  <c r="G3" i="32"/>
  <c r="H2" i="32"/>
  <c r="G2" i="32"/>
  <c r="AK12" i="8"/>
  <c r="Z12" i="8"/>
  <c r="F12" i="8"/>
  <c r="AU330" i="1" s="1"/>
  <c r="AK11" i="8"/>
  <c r="AD11" i="8"/>
  <c r="BD565" i="1" s="1"/>
  <c r="Z11" i="8"/>
  <c r="F11" i="8"/>
  <c r="AU557" i="1" s="1"/>
  <c r="AK10" i="8"/>
  <c r="AD10" i="8"/>
  <c r="BD301" i="1" s="1"/>
  <c r="Z10" i="8"/>
  <c r="F10" i="8"/>
  <c r="AU313" i="1" s="1"/>
  <c r="AK9" i="8"/>
  <c r="AD9" i="8"/>
  <c r="BD239" i="1" s="1"/>
  <c r="Z9" i="8"/>
  <c r="F9" i="8"/>
  <c r="AU239" i="1" s="1"/>
  <c r="AK8" i="8"/>
  <c r="AD8" i="8"/>
  <c r="BD562" i="1" s="1"/>
  <c r="Z8" i="8"/>
  <c r="F8" i="8"/>
  <c r="AU443" i="1" s="1"/>
  <c r="AK7" i="8"/>
  <c r="AD7" i="8"/>
  <c r="BD214" i="1" s="1"/>
  <c r="Z7" i="8"/>
  <c r="F7" i="8"/>
  <c r="AU282" i="1" s="1"/>
  <c r="AK6" i="8"/>
  <c r="AD6" i="8"/>
  <c r="BD71" i="1" s="1"/>
  <c r="Z6" i="8"/>
  <c r="F6" i="8"/>
  <c r="AU82" i="1" s="1"/>
  <c r="AK5" i="8"/>
  <c r="AD5" i="8"/>
  <c r="BD125" i="1" s="1"/>
  <c r="Z5" i="8"/>
  <c r="F5" i="8"/>
  <c r="AU561" i="1" s="1"/>
  <c r="AK4" i="8"/>
  <c r="AD4" i="8"/>
  <c r="BD25" i="1" s="1"/>
  <c r="Z4" i="8"/>
  <c r="F4" i="8"/>
  <c r="AU19" i="1" s="1"/>
  <c r="AK3" i="8"/>
  <c r="AD3" i="8"/>
  <c r="Z3" i="8"/>
  <c r="F3" i="8"/>
  <c r="AK2" i="8"/>
  <c r="AD2" i="8"/>
  <c r="BD2" i="1" s="1"/>
  <c r="Z2" i="8"/>
  <c r="F2" i="8"/>
  <c r="AU2" i="1" s="1"/>
  <c r="O103" i="16"/>
  <c r="N103" i="16"/>
  <c r="M103" i="16"/>
  <c r="L103" i="16"/>
  <c r="O102" i="16"/>
  <c r="N102" i="16"/>
  <c r="M102" i="16"/>
  <c r="L102" i="16"/>
  <c r="O101" i="16"/>
  <c r="N101" i="16"/>
  <c r="M101" i="16"/>
  <c r="L101" i="16"/>
  <c r="O100" i="16"/>
  <c r="N100" i="16"/>
  <c r="M100" i="16"/>
  <c r="L100" i="16"/>
  <c r="O99" i="16"/>
  <c r="N99" i="16"/>
  <c r="M99" i="16"/>
  <c r="L99" i="16"/>
  <c r="O98" i="16"/>
  <c r="N98" i="16"/>
  <c r="M98" i="16"/>
  <c r="L98" i="16"/>
  <c r="O97" i="16"/>
  <c r="N97" i="16"/>
  <c r="M97" i="16"/>
  <c r="L97" i="16"/>
  <c r="O96" i="16"/>
  <c r="N96" i="16"/>
  <c r="M96" i="16"/>
  <c r="L96" i="16"/>
  <c r="O95" i="16"/>
  <c r="N95" i="16"/>
  <c r="M95" i="16"/>
  <c r="L95" i="16"/>
  <c r="O94" i="16"/>
  <c r="N94" i="16"/>
  <c r="M94" i="16"/>
  <c r="L94" i="16"/>
  <c r="O93" i="16"/>
  <c r="N93" i="16"/>
  <c r="M93" i="16"/>
  <c r="L93" i="16"/>
  <c r="O92" i="16"/>
  <c r="N92" i="16"/>
  <c r="M92" i="16"/>
  <c r="L92" i="16"/>
  <c r="O91" i="16"/>
  <c r="N91" i="16"/>
  <c r="M91" i="16"/>
  <c r="L91" i="16"/>
  <c r="O90" i="16"/>
  <c r="N90" i="16"/>
  <c r="M90" i="16"/>
  <c r="L90" i="16"/>
  <c r="O89" i="16"/>
  <c r="N89" i="16"/>
  <c r="M89" i="16"/>
  <c r="L89" i="16"/>
  <c r="O88" i="16"/>
  <c r="N88" i="16"/>
  <c r="M88" i="16"/>
  <c r="L88" i="16"/>
  <c r="O87" i="16"/>
  <c r="N87" i="16"/>
  <c r="M87" i="16"/>
  <c r="L87" i="16"/>
  <c r="O86" i="16"/>
  <c r="N86" i="16"/>
  <c r="M86" i="16"/>
  <c r="L86" i="16"/>
  <c r="O85" i="16"/>
  <c r="N85" i="16"/>
  <c r="M85" i="16"/>
  <c r="L85" i="16"/>
  <c r="O84" i="16"/>
  <c r="N84" i="16"/>
  <c r="M84" i="16"/>
  <c r="L84" i="16"/>
  <c r="O83" i="16"/>
  <c r="N83" i="16"/>
  <c r="M83" i="16"/>
  <c r="L83" i="16"/>
  <c r="O82" i="16"/>
  <c r="N82" i="16"/>
  <c r="M82" i="16"/>
  <c r="L82" i="16"/>
  <c r="O81" i="16"/>
  <c r="N81" i="16"/>
  <c r="M81" i="16"/>
  <c r="L81" i="16"/>
  <c r="O80" i="16"/>
  <c r="N80" i="16"/>
  <c r="M80" i="16"/>
  <c r="L80" i="16"/>
  <c r="O79" i="16"/>
  <c r="N79" i="16"/>
  <c r="M79" i="16"/>
  <c r="L79" i="16"/>
  <c r="O78" i="16"/>
  <c r="N78" i="16"/>
  <c r="M78" i="16"/>
  <c r="L78" i="16"/>
  <c r="O77" i="16"/>
  <c r="N77" i="16"/>
  <c r="M77" i="16"/>
  <c r="L77" i="16"/>
  <c r="O76" i="16"/>
  <c r="N76" i="16"/>
  <c r="M76" i="16"/>
  <c r="L76" i="16"/>
  <c r="O75" i="16"/>
  <c r="N75" i="16"/>
  <c r="M75" i="16"/>
  <c r="L75" i="16"/>
  <c r="O74" i="16"/>
  <c r="N74" i="16"/>
  <c r="M74" i="16"/>
  <c r="L74" i="16"/>
  <c r="O73" i="16"/>
  <c r="N73" i="16"/>
  <c r="M73" i="16"/>
  <c r="L73" i="16"/>
  <c r="O72" i="16"/>
  <c r="N72" i="16"/>
  <c r="M72" i="16"/>
  <c r="L72" i="16"/>
  <c r="O71" i="16"/>
  <c r="N71" i="16"/>
  <c r="M71" i="16"/>
  <c r="L71" i="16"/>
  <c r="O70" i="16"/>
  <c r="N70" i="16"/>
  <c r="M70" i="16"/>
  <c r="L70" i="16"/>
  <c r="O69" i="16"/>
  <c r="N69" i="16"/>
  <c r="M69" i="16"/>
  <c r="L69" i="16"/>
  <c r="O68" i="16"/>
  <c r="N68" i="16"/>
  <c r="M68" i="16"/>
  <c r="L68" i="16"/>
  <c r="O67" i="16"/>
  <c r="N67" i="16"/>
  <c r="M67" i="16"/>
  <c r="L67" i="16"/>
  <c r="O66" i="16"/>
  <c r="N66" i="16"/>
  <c r="M66" i="16"/>
  <c r="L66" i="16"/>
  <c r="O65" i="16"/>
  <c r="N65" i="16"/>
  <c r="M65" i="16"/>
  <c r="L65" i="16"/>
  <c r="O64" i="16"/>
  <c r="N64" i="16"/>
  <c r="M64" i="16"/>
  <c r="L64" i="16"/>
  <c r="O63" i="16"/>
  <c r="N63" i="16"/>
  <c r="M63" i="16"/>
  <c r="L63" i="16"/>
  <c r="O62" i="16"/>
  <c r="N62" i="16"/>
  <c r="M62" i="16"/>
  <c r="L62" i="16"/>
  <c r="O61" i="16"/>
  <c r="N61" i="16"/>
  <c r="M61" i="16"/>
  <c r="L61" i="16"/>
  <c r="O60" i="16"/>
  <c r="N60" i="16"/>
  <c r="M60" i="16"/>
  <c r="L60" i="16"/>
  <c r="O59" i="16"/>
  <c r="N59" i="16"/>
  <c r="M59" i="16"/>
  <c r="L59" i="16"/>
  <c r="O58" i="16"/>
  <c r="N58" i="16"/>
  <c r="M58" i="16"/>
  <c r="L58" i="16"/>
  <c r="O57" i="16"/>
  <c r="N57" i="16"/>
  <c r="M57" i="16"/>
  <c r="L57" i="16"/>
  <c r="O56" i="16"/>
  <c r="N56" i="16"/>
  <c r="M56" i="16"/>
  <c r="L56" i="16"/>
  <c r="O55" i="16"/>
  <c r="N55" i="16"/>
  <c r="M55" i="16"/>
  <c r="L55" i="16"/>
  <c r="O54" i="16"/>
  <c r="N54" i="16"/>
  <c r="M54" i="16"/>
  <c r="L54" i="16"/>
  <c r="O53" i="16"/>
  <c r="N53" i="16"/>
  <c r="M53" i="16"/>
  <c r="L53" i="16"/>
  <c r="O52" i="16"/>
  <c r="N52" i="16"/>
  <c r="M52" i="16"/>
  <c r="L52" i="16"/>
  <c r="O51" i="16"/>
  <c r="N51" i="16"/>
  <c r="M51" i="16"/>
  <c r="L51" i="16"/>
  <c r="O50" i="16"/>
  <c r="N50" i="16"/>
  <c r="M50" i="16"/>
  <c r="L50" i="16"/>
  <c r="O49" i="16"/>
  <c r="N49" i="16"/>
  <c r="M49" i="16"/>
  <c r="L49" i="16"/>
  <c r="O48" i="16"/>
  <c r="N48" i="16"/>
  <c r="M48" i="16"/>
  <c r="L48" i="16"/>
  <c r="O47" i="16"/>
  <c r="N47" i="16"/>
  <c r="M47" i="16"/>
  <c r="L47" i="16"/>
  <c r="O46" i="16"/>
  <c r="N46" i="16"/>
  <c r="M46" i="16"/>
  <c r="L46" i="16"/>
  <c r="O45" i="16"/>
  <c r="N45" i="16"/>
  <c r="M45" i="16"/>
  <c r="L45" i="16"/>
  <c r="O44" i="16"/>
  <c r="N44" i="16"/>
  <c r="M44" i="16"/>
  <c r="L44" i="16"/>
  <c r="O43" i="16"/>
  <c r="N43" i="16"/>
  <c r="M43" i="16"/>
  <c r="L43" i="16"/>
  <c r="O42" i="16"/>
  <c r="N42" i="16"/>
  <c r="M42" i="16"/>
  <c r="L42" i="16"/>
  <c r="O41" i="16"/>
  <c r="N41" i="16"/>
  <c r="M41" i="16"/>
  <c r="L41" i="16"/>
  <c r="O40" i="16"/>
  <c r="N40" i="16"/>
  <c r="M40" i="16"/>
  <c r="L40" i="16"/>
  <c r="O39" i="16"/>
  <c r="N39" i="16"/>
  <c r="M39" i="16"/>
  <c r="L39" i="16"/>
  <c r="O38" i="16"/>
  <c r="N38" i="16"/>
  <c r="M38" i="16"/>
  <c r="L38" i="16"/>
  <c r="O37" i="16"/>
  <c r="N37" i="16"/>
  <c r="M37" i="16"/>
  <c r="L37" i="16"/>
  <c r="O36" i="16"/>
  <c r="N36" i="16"/>
  <c r="M36" i="16"/>
  <c r="L36" i="16"/>
  <c r="O35" i="16"/>
  <c r="N35" i="16"/>
  <c r="M35" i="16"/>
  <c r="L35" i="16"/>
  <c r="O34" i="16"/>
  <c r="N34" i="16"/>
  <c r="M34" i="16"/>
  <c r="L34" i="16"/>
  <c r="O33" i="16"/>
  <c r="N33" i="16"/>
  <c r="M33" i="16"/>
  <c r="L33" i="16"/>
  <c r="O32" i="16"/>
  <c r="N32" i="16"/>
  <c r="M32" i="16"/>
  <c r="L32" i="16"/>
  <c r="O31" i="16"/>
  <c r="N31" i="16"/>
  <c r="M31" i="16"/>
  <c r="L31" i="16"/>
  <c r="O30" i="16"/>
  <c r="N30" i="16"/>
  <c r="M30" i="16"/>
  <c r="L30" i="16"/>
  <c r="O29" i="16"/>
  <c r="N29" i="16"/>
  <c r="M29" i="16"/>
  <c r="L29" i="16"/>
  <c r="O28" i="16"/>
  <c r="N28" i="16"/>
  <c r="M28" i="16"/>
  <c r="L28" i="16"/>
  <c r="O27" i="16"/>
  <c r="N27" i="16"/>
  <c r="M27" i="16"/>
  <c r="L27" i="16"/>
  <c r="O26" i="16"/>
  <c r="N26" i="16"/>
  <c r="M26" i="16"/>
  <c r="L26" i="16"/>
  <c r="O25" i="16"/>
  <c r="N25" i="16"/>
  <c r="M25" i="16"/>
  <c r="L25" i="16"/>
  <c r="O24" i="16"/>
  <c r="N24" i="16"/>
  <c r="M24" i="16"/>
  <c r="L24" i="16"/>
  <c r="O23" i="16"/>
  <c r="N23" i="16"/>
  <c r="M23" i="16"/>
  <c r="L23" i="16"/>
  <c r="O22" i="16"/>
  <c r="N22" i="16"/>
  <c r="M22" i="16"/>
  <c r="L22" i="16"/>
  <c r="O21" i="16"/>
  <c r="N21" i="16"/>
  <c r="M21" i="16"/>
  <c r="L21" i="16"/>
  <c r="O20" i="16"/>
  <c r="N20" i="16"/>
  <c r="M20" i="16"/>
  <c r="L20" i="16"/>
  <c r="O19" i="16"/>
  <c r="N19" i="16"/>
  <c r="M19" i="16"/>
  <c r="L19" i="16"/>
  <c r="O18" i="16"/>
  <c r="N18" i="16"/>
  <c r="M18" i="16"/>
  <c r="L18" i="16"/>
  <c r="O17" i="16"/>
  <c r="N17" i="16"/>
  <c r="M17" i="16"/>
  <c r="L17" i="16"/>
  <c r="O16" i="16"/>
  <c r="N16" i="16"/>
  <c r="M16" i="16"/>
  <c r="L16" i="16"/>
  <c r="O15" i="16"/>
  <c r="N15" i="16"/>
  <c r="M15" i="16"/>
  <c r="L15" i="16"/>
  <c r="O14" i="16"/>
  <c r="N14" i="16"/>
  <c r="M14" i="16"/>
  <c r="L14" i="16"/>
  <c r="O13" i="16"/>
  <c r="N13" i="16"/>
  <c r="M13" i="16"/>
  <c r="L13" i="16"/>
  <c r="O12" i="16"/>
  <c r="N12" i="16"/>
  <c r="M12" i="16"/>
  <c r="L12" i="16"/>
  <c r="O11" i="16"/>
  <c r="N11" i="16"/>
  <c r="M11" i="16"/>
  <c r="L11" i="16"/>
  <c r="O10" i="16"/>
  <c r="N10" i="16"/>
  <c r="M10" i="16"/>
  <c r="L10" i="16"/>
  <c r="O9" i="16"/>
  <c r="N9" i="16"/>
  <c r="M9" i="16"/>
  <c r="L9" i="16"/>
  <c r="O8" i="16"/>
  <c r="N8" i="16"/>
  <c r="M8" i="16"/>
  <c r="L8" i="16"/>
  <c r="O7" i="16"/>
  <c r="N7" i="16"/>
  <c r="M7" i="16"/>
  <c r="L7" i="16"/>
  <c r="O6" i="16"/>
  <c r="N6" i="16"/>
  <c r="M6" i="16"/>
  <c r="L6" i="16"/>
  <c r="O5" i="16"/>
  <c r="N5" i="16"/>
  <c r="M5" i="16"/>
  <c r="L5" i="16"/>
  <c r="O4" i="16"/>
  <c r="N4" i="16"/>
  <c r="M4" i="16"/>
  <c r="L4" i="16"/>
  <c r="O3" i="16"/>
  <c r="N3" i="16"/>
  <c r="M3" i="16"/>
  <c r="L3" i="16"/>
  <c r="O2" i="16"/>
  <c r="N2" i="16"/>
  <c r="M2" i="16"/>
  <c r="L2" i="16"/>
  <c r="R404" i="10"/>
  <c r="Q404" i="10"/>
  <c r="P404" i="10"/>
  <c r="V404" i="10"/>
  <c r="C404" i="10"/>
  <c r="R402" i="10"/>
  <c r="Q402" i="10"/>
  <c r="P402" i="10"/>
  <c r="C402" i="10"/>
  <c r="R401" i="10"/>
  <c r="Q401" i="10"/>
  <c r="P401" i="10"/>
  <c r="N401" i="10"/>
  <c r="U401" i="10" s="1"/>
  <c r="C401" i="10"/>
  <c r="R403" i="10"/>
  <c r="Q403" i="10"/>
  <c r="C403" i="10"/>
  <c r="R398" i="10"/>
  <c r="Q398" i="10"/>
  <c r="C398" i="10"/>
  <c r="R399" i="10"/>
  <c r="Q399" i="10"/>
  <c r="P399" i="10"/>
  <c r="V399" i="10"/>
  <c r="C399" i="10"/>
  <c r="R400" i="10"/>
  <c r="Q400" i="10"/>
  <c r="P400" i="10"/>
  <c r="C400" i="10"/>
  <c r="R397" i="10"/>
  <c r="Q397" i="10"/>
  <c r="P397" i="10"/>
  <c r="C397" i="10"/>
  <c r="R380" i="10"/>
  <c r="Q380" i="10"/>
  <c r="P380" i="10"/>
  <c r="N380" i="10" s="1"/>
  <c r="U380" i="10" s="1"/>
  <c r="E380" i="10"/>
  <c r="C380" i="10"/>
  <c r="R393" i="10"/>
  <c r="Q393" i="10"/>
  <c r="P393" i="10"/>
  <c r="W393" i="10"/>
  <c r="C393" i="10"/>
  <c r="R389" i="10"/>
  <c r="Q389" i="10"/>
  <c r="P389" i="10"/>
  <c r="C389" i="10"/>
  <c r="R381" i="10"/>
  <c r="Q381" i="10"/>
  <c r="P381" i="10"/>
  <c r="E381" i="10"/>
  <c r="C381" i="10"/>
  <c r="R382" i="10"/>
  <c r="Q382" i="10"/>
  <c r="P382" i="10"/>
  <c r="C382" i="10"/>
  <c r="R387" i="10"/>
  <c r="Q387" i="10"/>
  <c r="P387" i="10"/>
  <c r="N387" i="10" s="1"/>
  <c r="U387" i="10" s="1"/>
  <c r="C387" i="10"/>
  <c r="R396" i="10"/>
  <c r="Q396" i="10"/>
  <c r="P396" i="10"/>
  <c r="V396" i="10" s="1"/>
  <c r="C396" i="10"/>
  <c r="R395" i="10"/>
  <c r="Q395" i="10"/>
  <c r="P395" i="10"/>
  <c r="C395" i="10"/>
  <c r="R392" i="10"/>
  <c r="Q392" i="10"/>
  <c r="P392" i="10"/>
  <c r="C392" i="10"/>
  <c r="R394" i="10"/>
  <c r="Q394" i="10"/>
  <c r="P394" i="10"/>
  <c r="C394" i="10"/>
  <c r="R391" i="10"/>
  <c r="Q391" i="10"/>
  <c r="P391" i="10"/>
  <c r="V391" i="10"/>
  <c r="C391" i="10"/>
  <c r="R388" i="10"/>
  <c r="Q388" i="10"/>
  <c r="P388" i="10"/>
  <c r="C388" i="10"/>
  <c r="R390" i="10"/>
  <c r="Q390" i="10"/>
  <c r="P390" i="10"/>
  <c r="W390" i="10" s="1"/>
  <c r="C390" i="10"/>
  <c r="R379" i="10"/>
  <c r="Q379" i="10"/>
  <c r="P379" i="10"/>
  <c r="N379" i="10" s="1"/>
  <c r="U379" i="10"/>
  <c r="E379" i="10"/>
  <c r="C379" i="10"/>
  <c r="R376" i="10"/>
  <c r="Q376" i="10"/>
  <c r="P376" i="10"/>
  <c r="E376" i="10"/>
  <c r="C376" i="10"/>
  <c r="R378" i="10"/>
  <c r="Q378" i="10"/>
  <c r="P378" i="10"/>
  <c r="V378" i="10"/>
  <c r="E378" i="10"/>
  <c r="C378" i="10"/>
  <c r="R377" i="10"/>
  <c r="Q377" i="10"/>
  <c r="P377" i="10"/>
  <c r="N377" i="10" s="1"/>
  <c r="U377" i="10" s="1"/>
  <c r="E377" i="10"/>
  <c r="C377" i="10"/>
  <c r="R374" i="10"/>
  <c r="Q374" i="10"/>
  <c r="P374" i="10"/>
  <c r="E374" i="10"/>
  <c r="C374" i="10"/>
  <c r="R375" i="10"/>
  <c r="Q375" i="10"/>
  <c r="P375" i="10"/>
  <c r="V375" i="10" s="1"/>
  <c r="E375" i="10"/>
  <c r="C375" i="10"/>
  <c r="R372" i="10"/>
  <c r="Q372" i="10"/>
  <c r="E372" i="10"/>
  <c r="C372" i="10"/>
  <c r="R373" i="10"/>
  <c r="Q373" i="10"/>
  <c r="E373" i="10"/>
  <c r="C373" i="10"/>
  <c r="R371" i="10"/>
  <c r="Q371" i="10"/>
  <c r="P371" i="10"/>
  <c r="V371" i="10"/>
  <c r="E371" i="10"/>
  <c r="C371" i="10"/>
  <c r="R370" i="10"/>
  <c r="Q370" i="10"/>
  <c r="P370" i="10"/>
  <c r="N370" i="10"/>
  <c r="U370" i="10" s="1"/>
  <c r="C370" i="10"/>
  <c r="R369" i="10"/>
  <c r="Q369" i="10"/>
  <c r="P369" i="10"/>
  <c r="N369" i="10"/>
  <c r="U369" i="10" s="1"/>
  <c r="E369" i="10"/>
  <c r="C369" i="10"/>
  <c r="R368" i="10"/>
  <c r="Q368" i="10"/>
  <c r="P368" i="10"/>
  <c r="E368" i="10"/>
  <c r="C368" i="10"/>
  <c r="R366" i="10"/>
  <c r="Q366" i="10"/>
  <c r="E366" i="10"/>
  <c r="C366" i="10"/>
  <c r="R364" i="10"/>
  <c r="Q364" i="10"/>
  <c r="P364" i="10"/>
  <c r="N364" i="10" s="1"/>
  <c r="U364" i="10" s="1"/>
  <c r="E364" i="10"/>
  <c r="C364" i="10"/>
  <c r="R360" i="10"/>
  <c r="Q360" i="10"/>
  <c r="P360" i="10"/>
  <c r="V360" i="10"/>
  <c r="E360" i="10"/>
  <c r="C360" i="10"/>
  <c r="R359" i="10"/>
  <c r="Q359" i="10"/>
  <c r="P359" i="10"/>
  <c r="E359" i="10"/>
  <c r="C359" i="10"/>
  <c r="R362" i="10"/>
  <c r="Q362" i="10"/>
  <c r="P362" i="10"/>
  <c r="E362" i="10"/>
  <c r="C362" i="10"/>
  <c r="R363" i="10"/>
  <c r="Q363" i="10"/>
  <c r="P363" i="10"/>
  <c r="N363" i="10" s="1"/>
  <c r="W363" i="10"/>
  <c r="E363" i="10"/>
  <c r="C363" i="10"/>
  <c r="R361" i="10"/>
  <c r="Q361" i="10"/>
  <c r="P361" i="10"/>
  <c r="V361" i="10"/>
  <c r="E361" i="10"/>
  <c r="C361" i="10"/>
  <c r="R358" i="10"/>
  <c r="Q358" i="10"/>
  <c r="P358" i="10"/>
  <c r="E358" i="10"/>
  <c r="C358" i="10"/>
  <c r="R356" i="10"/>
  <c r="Q356" i="10"/>
  <c r="P356" i="10"/>
  <c r="N356" i="10" s="1"/>
  <c r="U356" i="10"/>
  <c r="E356" i="10"/>
  <c r="C356" i="10"/>
  <c r="R357" i="10"/>
  <c r="Q357" i="10"/>
  <c r="P357" i="10"/>
  <c r="N357" i="10" s="1"/>
  <c r="U357" i="10" s="1"/>
  <c r="E357" i="10"/>
  <c r="C357" i="10"/>
  <c r="R354" i="10"/>
  <c r="Q354" i="10"/>
  <c r="P354" i="10"/>
  <c r="N354" i="10"/>
  <c r="U354" i="10" s="1"/>
  <c r="E354" i="10"/>
  <c r="C354" i="10"/>
  <c r="R355" i="10"/>
  <c r="Q355" i="10"/>
  <c r="P355" i="10"/>
  <c r="W355" i="10"/>
  <c r="E355" i="10"/>
  <c r="C355" i="10"/>
  <c r="R352" i="10"/>
  <c r="Q352" i="10"/>
  <c r="P352" i="10"/>
  <c r="N352" i="10" s="1"/>
  <c r="U352" i="10" s="1"/>
  <c r="E352" i="10"/>
  <c r="C352" i="10"/>
  <c r="R353" i="10"/>
  <c r="Q353" i="10"/>
  <c r="P353" i="10"/>
  <c r="W353" i="10"/>
  <c r="E353" i="10"/>
  <c r="C353" i="10"/>
  <c r="R351" i="10"/>
  <c r="Q351" i="10"/>
  <c r="P351" i="10"/>
  <c r="E351" i="10"/>
  <c r="C351" i="10"/>
  <c r="R348" i="10"/>
  <c r="Q348" i="10"/>
  <c r="P348" i="10"/>
  <c r="E348" i="10"/>
  <c r="C348" i="10"/>
  <c r="R349" i="10"/>
  <c r="Q349" i="10"/>
  <c r="P349" i="10"/>
  <c r="V349" i="10"/>
  <c r="E349" i="10"/>
  <c r="C349" i="10"/>
  <c r="R350" i="10"/>
  <c r="Q350" i="10"/>
  <c r="P350" i="10"/>
  <c r="W350" i="10" s="1"/>
  <c r="E350" i="10"/>
  <c r="C350" i="10"/>
  <c r="R347" i="10"/>
  <c r="Q347" i="10"/>
  <c r="P347" i="10"/>
  <c r="E347" i="10"/>
  <c r="C347" i="10"/>
  <c r="R346" i="10"/>
  <c r="Q346" i="10"/>
  <c r="P346" i="10"/>
  <c r="W346" i="10"/>
  <c r="E346" i="10"/>
  <c r="C346" i="10"/>
  <c r="R345" i="10"/>
  <c r="Q345" i="10"/>
  <c r="E345" i="10"/>
  <c r="C345" i="10"/>
  <c r="R343" i="10"/>
  <c r="Q343" i="10"/>
  <c r="P343" i="10"/>
  <c r="W343" i="10"/>
  <c r="E343" i="10"/>
  <c r="C343" i="10"/>
  <c r="R344" i="10"/>
  <c r="Q344" i="10"/>
  <c r="P344" i="10"/>
  <c r="V344" i="10"/>
  <c r="E344" i="10"/>
  <c r="C344" i="10"/>
  <c r="R341" i="10"/>
  <c r="Q341" i="10"/>
  <c r="E341" i="10"/>
  <c r="C341" i="10"/>
  <c r="R340" i="10"/>
  <c r="Q340" i="10"/>
  <c r="P340" i="10"/>
  <c r="N340" i="10"/>
  <c r="U340" i="10"/>
  <c r="E340" i="10"/>
  <c r="C340" i="10"/>
  <c r="R338" i="10"/>
  <c r="Q338" i="10"/>
  <c r="P338" i="10"/>
  <c r="N338" i="10" s="1"/>
  <c r="U338" i="10" s="1"/>
  <c r="E338" i="10"/>
  <c r="C338" i="10"/>
  <c r="R335" i="10"/>
  <c r="Q335" i="10"/>
  <c r="P335" i="10"/>
  <c r="W335" i="10" s="1"/>
  <c r="E335" i="10"/>
  <c r="C335" i="10"/>
  <c r="R339" i="10"/>
  <c r="Q339" i="10"/>
  <c r="P339" i="10"/>
  <c r="E339" i="10"/>
  <c r="C339" i="10"/>
  <c r="R337" i="10"/>
  <c r="Q337" i="10"/>
  <c r="P337" i="10"/>
  <c r="E337" i="10"/>
  <c r="C337" i="10"/>
  <c r="R336" i="10"/>
  <c r="Q336" i="10"/>
  <c r="P336" i="10"/>
  <c r="N336" i="10" s="1"/>
  <c r="U336" i="10" s="1"/>
  <c r="E336" i="10"/>
  <c r="C336" i="10"/>
  <c r="R333" i="10"/>
  <c r="Q333" i="10"/>
  <c r="P333" i="10"/>
  <c r="N333" i="10"/>
  <c r="U333" i="10" s="1"/>
  <c r="E333" i="10"/>
  <c r="C333" i="10"/>
  <c r="R332" i="10"/>
  <c r="Q332" i="10"/>
  <c r="P332" i="10"/>
  <c r="V332" i="10" s="1"/>
  <c r="E332" i="10"/>
  <c r="C332" i="10"/>
  <c r="R334" i="10"/>
  <c r="Q334" i="10"/>
  <c r="P334" i="10"/>
  <c r="E334" i="10"/>
  <c r="C334" i="10"/>
  <c r="R331" i="10"/>
  <c r="Q331" i="10"/>
  <c r="P331" i="10"/>
  <c r="V331" i="10"/>
  <c r="E331" i="10"/>
  <c r="C331" i="10"/>
  <c r="R330" i="10"/>
  <c r="Q330" i="10"/>
  <c r="P330" i="10"/>
  <c r="V330" i="10" s="1"/>
  <c r="E330" i="10"/>
  <c r="C330" i="10"/>
  <c r="R329" i="10"/>
  <c r="Q329" i="10"/>
  <c r="P329" i="10"/>
  <c r="N329" i="10"/>
  <c r="U329" i="10" s="1"/>
  <c r="E329" i="10"/>
  <c r="C329" i="10"/>
  <c r="R327" i="10"/>
  <c r="Q327" i="10"/>
  <c r="P327" i="10"/>
  <c r="W327" i="10" s="1"/>
  <c r="E327" i="10"/>
  <c r="C327" i="10"/>
  <c r="R328" i="10"/>
  <c r="Q328" i="10"/>
  <c r="E328" i="10"/>
  <c r="C328" i="10"/>
  <c r="R326" i="10"/>
  <c r="Q326" i="10"/>
  <c r="P326" i="10"/>
  <c r="E326" i="10"/>
  <c r="C326" i="10"/>
  <c r="R325" i="10"/>
  <c r="Q325" i="10"/>
  <c r="P325" i="10"/>
  <c r="O325" i="10" s="1"/>
  <c r="E325" i="10"/>
  <c r="C325" i="10"/>
  <c r="R324" i="10"/>
  <c r="Q324" i="10"/>
  <c r="P324" i="10"/>
  <c r="V324" i="10"/>
  <c r="E324" i="10"/>
  <c r="C324" i="10"/>
  <c r="R323" i="10"/>
  <c r="Q323" i="10"/>
  <c r="E323" i="10"/>
  <c r="C323" i="10"/>
  <c r="R322" i="10"/>
  <c r="Q322" i="10"/>
  <c r="E322" i="10"/>
  <c r="C322" i="10"/>
  <c r="R320" i="10"/>
  <c r="Q320" i="10"/>
  <c r="P320" i="10"/>
  <c r="E320" i="10"/>
  <c r="C320" i="10"/>
  <c r="R319" i="10"/>
  <c r="Q319" i="10"/>
  <c r="P319" i="10"/>
  <c r="N319" i="10"/>
  <c r="U319" i="10"/>
  <c r="E319" i="10"/>
  <c r="C319" i="10"/>
  <c r="R321" i="10"/>
  <c r="Q321" i="10"/>
  <c r="P321" i="10"/>
  <c r="V321" i="10" s="1"/>
  <c r="E321" i="10"/>
  <c r="C321" i="10"/>
  <c r="R317" i="10"/>
  <c r="Q317" i="10"/>
  <c r="P317" i="10"/>
  <c r="N317" i="10"/>
  <c r="U317" i="10"/>
  <c r="E317" i="10"/>
  <c r="C317" i="10"/>
  <c r="R318" i="10"/>
  <c r="Q318" i="10"/>
  <c r="E318" i="10"/>
  <c r="C318" i="10"/>
  <c r="R314" i="10"/>
  <c r="Q314" i="10"/>
  <c r="P314" i="10"/>
  <c r="N314" i="10"/>
  <c r="U314" i="10"/>
  <c r="E314" i="10"/>
  <c r="C314" i="10"/>
  <c r="R315" i="10"/>
  <c r="Q315" i="10"/>
  <c r="P315" i="10"/>
  <c r="E315" i="10"/>
  <c r="C315" i="10"/>
  <c r="R316" i="10"/>
  <c r="Q316" i="10"/>
  <c r="P316" i="10"/>
  <c r="N316" i="10"/>
  <c r="U316" i="10" s="1"/>
  <c r="E316" i="10"/>
  <c r="C316" i="10"/>
  <c r="R310" i="10"/>
  <c r="Q310" i="10"/>
  <c r="P310" i="10"/>
  <c r="W310" i="10" s="1"/>
  <c r="E310" i="10"/>
  <c r="C310" i="10"/>
  <c r="R312" i="10"/>
  <c r="Q312" i="10"/>
  <c r="P312" i="10"/>
  <c r="E312" i="10"/>
  <c r="C312" i="10"/>
  <c r="R309" i="10"/>
  <c r="Q309" i="10"/>
  <c r="P309" i="10"/>
  <c r="V309" i="10"/>
  <c r="E309" i="10"/>
  <c r="C309" i="10"/>
  <c r="R308" i="10"/>
  <c r="Q308" i="10"/>
  <c r="P308" i="10"/>
  <c r="N308" i="10" s="1"/>
  <c r="U308" i="10" s="1"/>
  <c r="E308" i="10"/>
  <c r="C308" i="10"/>
  <c r="R307" i="10"/>
  <c r="Q307" i="10"/>
  <c r="P307" i="10"/>
  <c r="V307" i="10"/>
  <c r="E307" i="10"/>
  <c r="C307" i="10"/>
  <c r="R306" i="10"/>
  <c r="Q306" i="10"/>
  <c r="P306" i="10"/>
  <c r="E306" i="10"/>
  <c r="C306" i="10"/>
  <c r="R305" i="10"/>
  <c r="Q305" i="10"/>
  <c r="P305" i="10"/>
  <c r="W305" i="10"/>
  <c r="E305" i="10"/>
  <c r="C305" i="10"/>
  <c r="R303" i="10"/>
  <c r="Q303" i="10"/>
  <c r="E303" i="10"/>
  <c r="C303" i="10"/>
  <c r="R304" i="10"/>
  <c r="Q304" i="10"/>
  <c r="P304" i="10"/>
  <c r="E304" i="10"/>
  <c r="C304" i="10"/>
  <c r="R302" i="10"/>
  <c r="Q302" i="10"/>
  <c r="P302" i="10"/>
  <c r="V302" i="10"/>
  <c r="E302" i="10"/>
  <c r="C302" i="10"/>
  <c r="R300" i="10"/>
  <c r="Q300" i="10"/>
  <c r="P300" i="10"/>
  <c r="N300" i="10" s="1"/>
  <c r="U300" i="10" s="1"/>
  <c r="E300" i="10"/>
  <c r="C300" i="10"/>
  <c r="R301" i="10"/>
  <c r="Q301" i="10"/>
  <c r="P301" i="10"/>
  <c r="N301" i="10"/>
  <c r="U301" i="10" s="1"/>
  <c r="E301" i="10"/>
  <c r="C301" i="10"/>
  <c r="R298" i="10"/>
  <c r="Q298" i="10"/>
  <c r="P298" i="10"/>
  <c r="E298" i="10"/>
  <c r="C298" i="10"/>
  <c r="R299" i="10"/>
  <c r="Q299" i="10"/>
  <c r="P299" i="10"/>
  <c r="W299" i="10" s="1"/>
  <c r="E299" i="10"/>
  <c r="C299" i="10"/>
  <c r="R297" i="10"/>
  <c r="Q297" i="10"/>
  <c r="E297" i="10"/>
  <c r="C297" i="10"/>
  <c r="R296" i="10"/>
  <c r="Q296" i="10"/>
  <c r="P296" i="10"/>
  <c r="E296" i="10"/>
  <c r="C296" i="10"/>
  <c r="R295" i="10"/>
  <c r="Q295" i="10"/>
  <c r="P295" i="10"/>
  <c r="E295" i="10"/>
  <c r="C295" i="10"/>
  <c r="R294" i="10"/>
  <c r="Q294" i="10"/>
  <c r="P294" i="10"/>
  <c r="V294" i="10"/>
  <c r="E294" i="10"/>
  <c r="C294" i="10"/>
  <c r="R293" i="10"/>
  <c r="Q293" i="10"/>
  <c r="P293" i="10"/>
  <c r="E293" i="10"/>
  <c r="C293" i="10"/>
  <c r="R290" i="10"/>
  <c r="Q290" i="10"/>
  <c r="P290" i="10"/>
  <c r="W290" i="10"/>
  <c r="E290" i="10"/>
  <c r="C290" i="10"/>
  <c r="R291" i="10"/>
  <c r="Q291" i="10"/>
  <c r="P291" i="10"/>
  <c r="N291" i="10" s="1"/>
  <c r="U291" i="10" s="1"/>
  <c r="E291" i="10"/>
  <c r="C291" i="10"/>
  <c r="R292" i="10"/>
  <c r="Q292" i="10"/>
  <c r="P292" i="10"/>
  <c r="V292" i="10"/>
  <c r="E292" i="10"/>
  <c r="C292" i="10"/>
  <c r="R288" i="10"/>
  <c r="Q288" i="10"/>
  <c r="P288" i="10"/>
  <c r="N288" i="10"/>
  <c r="U288" i="10" s="1"/>
  <c r="E288" i="10"/>
  <c r="C288" i="10"/>
  <c r="R289" i="10"/>
  <c r="Q289" i="10"/>
  <c r="P289" i="10"/>
  <c r="W289" i="10" s="1"/>
  <c r="E289" i="10"/>
  <c r="C289" i="10"/>
  <c r="R287" i="10"/>
  <c r="Q287" i="10"/>
  <c r="E287" i="10"/>
  <c r="C287" i="10"/>
  <c r="R286" i="10"/>
  <c r="Q286" i="10"/>
  <c r="P286" i="10"/>
  <c r="E286" i="10"/>
  <c r="C286" i="10"/>
  <c r="R285" i="10"/>
  <c r="Q285" i="10"/>
  <c r="P285" i="10"/>
  <c r="W285" i="10" s="1"/>
  <c r="E285" i="10"/>
  <c r="C285" i="10"/>
  <c r="R284" i="10"/>
  <c r="Q284" i="10"/>
  <c r="P284" i="10"/>
  <c r="N284" i="10"/>
  <c r="U284" i="10" s="1"/>
  <c r="E284" i="10"/>
  <c r="C284" i="10"/>
  <c r="R283" i="10"/>
  <c r="Q283" i="10"/>
  <c r="P283" i="10"/>
  <c r="E283" i="10"/>
  <c r="C283" i="10"/>
  <c r="R281" i="10"/>
  <c r="Q281" i="10"/>
  <c r="P281" i="10"/>
  <c r="W281" i="10" s="1"/>
  <c r="N281" i="10"/>
  <c r="U281" i="10" s="1"/>
  <c r="E281" i="10"/>
  <c r="C281" i="10"/>
  <c r="R282" i="10"/>
  <c r="Q282" i="10"/>
  <c r="P282" i="10"/>
  <c r="N282" i="10"/>
  <c r="U282" i="10"/>
  <c r="E282" i="10"/>
  <c r="C282" i="10"/>
  <c r="R280" i="10"/>
  <c r="Q280" i="10"/>
  <c r="P280" i="10"/>
  <c r="V280" i="10" s="1"/>
  <c r="E280" i="10"/>
  <c r="C280" i="10"/>
  <c r="R279" i="10"/>
  <c r="Q279" i="10"/>
  <c r="P279" i="10"/>
  <c r="W279" i="10"/>
  <c r="E279" i="10"/>
  <c r="C279" i="10"/>
  <c r="R278" i="10"/>
  <c r="Q278" i="10"/>
  <c r="P278" i="10"/>
  <c r="E278" i="10"/>
  <c r="C278" i="10"/>
  <c r="R276" i="10"/>
  <c r="Q276" i="10"/>
  <c r="P276" i="10"/>
  <c r="V276" i="10" s="1"/>
  <c r="E276" i="10"/>
  <c r="C276" i="10"/>
  <c r="R277" i="10"/>
  <c r="Q277" i="10"/>
  <c r="P277" i="10"/>
  <c r="W277" i="10" s="1"/>
  <c r="E277" i="10"/>
  <c r="C277" i="10"/>
  <c r="R275" i="10"/>
  <c r="Q275" i="10"/>
  <c r="P275" i="10"/>
  <c r="E275" i="10"/>
  <c r="C275" i="10"/>
  <c r="R273" i="10"/>
  <c r="Q273" i="10"/>
  <c r="P273" i="10"/>
  <c r="N273" i="10" s="1"/>
  <c r="U273" i="10"/>
  <c r="E273" i="10"/>
  <c r="C273" i="10"/>
  <c r="R271" i="10"/>
  <c r="Q271" i="10"/>
  <c r="P271" i="10"/>
  <c r="E271" i="10"/>
  <c r="C271" i="10"/>
  <c r="R272" i="10"/>
  <c r="Q272" i="10"/>
  <c r="P272" i="10"/>
  <c r="V272" i="10"/>
  <c r="E272" i="10"/>
  <c r="C272" i="10"/>
  <c r="R274" i="10"/>
  <c r="Q274" i="10"/>
  <c r="P274" i="10"/>
  <c r="E274" i="10"/>
  <c r="C274" i="10"/>
  <c r="R270" i="10"/>
  <c r="Q270" i="10"/>
  <c r="P270" i="10"/>
  <c r="V270" i="10" s="1"/>
  <c r="E270" i="10"/>
  <c r="C270" i="10"/>
  <c r="R269" i="10"/>
  <c r="Q269" i="10"/>
  <c r="P269" i="10"/>
  <c r="W269" i="10"/>
  <c r="E269" i="10"/>
  <c r="C269" i="10"/>
  <c r="R268" i="10"/>
  <c r="Q268" i="10"/>
  <c r="E268" i="10"/>
  <c r="C268" i="10"/>
  <c r="R267" i="10"/>
  <c r="Q267" i="10"/>
  <c r="P267" i="10"/>
  <c r="N267" i="10" s="1"/>
  <c r="U267" i="10" s="1"/>
  <c r="E267" i="10"/>
  <c r="C267" i="10"/>
  <c r="R266" i="10"/>
  <c r="Q266" i="10"/>
  <c r="P266" i="10"/>
  <c r="E266" i="10"/>
  <c r="C266" i="10"/>
  <c r="R264" i="10"/>
  <c r="Q264" i="10"/>
  <c r="P264" i="10"/>
  <c r="E264" i="10"/>
  <c r="C264" i="10"/>
  <c r="R265" i="10"/>
  <c r="Q265" i="10"/>
  <c r="P265" i="10"/>
  <c r="V265" i="10"/>
  <c r="E265" i="10"/>
  <c r="C265" i="10"/>
  <c r="R263" i="10"/>
  <c r="Q263" i="10"/>
  <c r="P263" i="10"/>
  <c r="N263" i="10"/>
  <c r="U263" i="10" s="1"/>
  <c r="E263" i="10"/>
  <c r="C263" i="10"/>
  <c r="R262" i="10"/>
  <c r="Q262" i="10"/>
  <c r="P262" i="10"/>
  <c r="E262" i="10"/>
  <c r="C262" i="10"/>
  <c r="R261" i="10"/>
  <c r="Q261" i="10"/>
  <c r="E261" i="10"/>
  <c r="C261" i="10"/>
  <c r="R259" i="10"/>
  <c r="Q259" i="10"/>
  <c r="P259" i="10"/>
  <c r="N259" i="10" s="1"/>
  <c r="U259" i="10"/>
  <c r="E259" i="10"/>
  <c r="C259" i="10"/>
  <c r="R260" i="10"/>
  <c r="Q260" i="10"/>
  <c r="P260" i="10"/>
  <c r="O260" i="10" s="1"/>
  <c r="E260" i="10"/>
  <c r="C260" i="10"/>
  <c r="R258" i="10"/>
  <c r="Q258" i="10"/>
  <c r="P258" i="10"/>
  <c r="V258" i="10"/>
  <c r="E258" i="10"/>
  <c r="C258" i="10"/>
  <c r="R257" i="10"/>
  <c r="Q257" i="10"/>
  <c r="P257" i="10"/>
  <c r="E257" i="10"/>
  <c r="C257" i="10"/>
  <c r="R256" i="10"/>
  <c r="Q256" i="10"/>
  <c r="P256" i="10"/>
  <c r="W256" i="10"/>
  <c r="E256" i="10"/>
  <c r="C256" i="10"/>
  <c r="R253" i="10"/>
  <c r="Q253" i="10"/>
  <c r="P253" i="10"/>
  <c r="E253" i="10"/>
  <c r="C253" i="10"/>
  <c r="R255" i="10"/>
  <c r="Q255" i="10"/>
  <c r="P255" i="10"/>
  <c r="W255" i="10" s="1"/>
  <c r="E255" i="10"/>
  <c r="C255" i="10"/>
  <c r="R254" i="10"/>
  <c r="Q254" i="10"/>
  <c r="P254" i="10"/>
  <c r="N254" i="10" s="1"/>
  <c r="U254" i="10"/>
  <c r="E254" i="10"/>
  <c r="C254" i="10"/>
  <c r="R252" i="10"/>
  <c r="Q252" i="10"/>
  <c r="P252" i="10"/>
  <c r="W252" i="10" s="1"/>
  <c r="E252" i="10"/>
  <c r="C252" i="10"/>
  <c r="R251" i="10"/>
  <c r="Q251" i="10"/>
  <c r="P251" i="10"/>
  <c r="V251" i="10"/>
  <c r="E251" i="10"/>
  <c r="C251" i="10"/>
  <c r="R249" i="10"/>
  <c r="Q249" i="10"/>
  <c r="P249" i="10"/>
  <c r="V249" i="10" s="1"/>
  <c r="E249" i="10"/>
  <c r="C249" i="10"/>
  <c r="R250" i="10"/>
  <c r="Q250" i="10"/>
  <c r="P250" i="10"/>
  <c r="N250" i="10"/>
  <c r="U250" i="10" s="1"/>
  <c r="E250" i="10"/>
  <c r="C250" i="10"/>
  <c r="R248" i="10"/>
  <c r="Q248" i="10"/>
  <c r="P248" i="10"/>
  <c r="N248" i="10" s="1"/>
  <c r="U248" i="10"/>
  <c r="E248" i="10"/>
  <c r="C248" i="10"/>
  <c r="R247" i="10"/>
  <c r="Q247" i="10"/>
  <c r="E247" i="10"/>
  <c r="C247" i="10"/>
  <c r="R246" i="10"/>
  <c r="Q246" i="10"/>
  <c r="P246" i="10"/>
  <c r="E246" i="10"/>
  <c r="C246" i="10"/>
  <c r="R245" i="10"/>
  <c r="Q245" i="10"/>
  <c r="P245" i="10"/>
  <c r="W245" i="10"/>
  <c r="E245" i="10"/>
  <c r="C245" i="10"/>
  <c r="R244" i="10"/>
  <c r="Q244" i="10"/>
  <c r="E244" i="10"/>
  <c r="C244" i="10"/>
  <c r="R243" i="10"/>
  <c r="Q243" i="10"/>
  <c r="P243" i="10"/>
  <c r="E243" i="10"/>
  <c r="C243" i="10"/>
  <c r="R242" i="10"/>
  <c r="Q242" i="10"/>
  <c r="P242" i="10"/>
  <c r="O242" i="10"/>
  <c r="E242" i="10"/>
  <c r="C242" i="10"/>
  <c r="R241" i="10"/>
  <c r="Q241" i="10"/>
  <c r="P241" i="10"/>
  <c r="V241" i="10"/>
  <c r="E241" i="10"/>
  <c r="C241" i="10"/>
  <c r="R239" i="10"/>
  <c r="Q239" i="10"/>
  <c r="P239" i="10"/>
  <c r="N239" i="10"/>
  <c r="U239" i="10" s="1"/>
  <c r="E239" i="10"/>
  <c r="C239" i="10"/>
  <c r="R238" i="10"/>
  <c r="Q238" i="10"/>
  <c r="P238" i="10"/>
  <c r="V238" i="10" s="1"/>
  <c r="E238" i="10"/>
  <c r="C238" i="10"/>
  <c r="R240" i="10"/>
  <c r="Q240" i="10"/>
  <c r="P240" i="10"/>
  <c r="N240" i="10" s="1"/>
  <c r="U240" i="10"/>
  <c r="E240" i="10"/>
  <c r="C240" i="10"/>
  <c r="R237" i="10"/>
  <c r="Q237" i="10"/>
  <c r="P237" i="10"/>
  <c r="E237" i="10"/>
  <c r="C237" i="10"/>
  <c r="R236" i="10"/>
  <c r="Q236" i="10"/>
  <c r="P236" i="10"/>
  <c r="N236" i="10"/>
  <c r="U236" i="10"/>
  <c r="E236" i="10"/>
  <c r="C236" i="10"/>
  <c r="R235" i="10"/>
  <c r="Q235" i="10"/>
  <c r="P235" i="10"/>
  <c r="W235" i="10" s="1"/>
  <c r="E235" i="10"/>
  <c r="C235" i="10"/>
  <c r="R234" i="10"/>
  <c r="Q234" i="10"/>
  <c r="P234" i="10"/>
  <c r="V234" i="10"/>
  <c r="E234" i="10"/>
  <c r="C234" i="10"/>
  <c r="R233" i="10"/>
  <c r="Q233" i="10"/>
  <c r="P233" i="10"/>
  <c r="W233" i="10" s="1"/>
  <c r="E233" i="10"/>
  <c r="C233" i="10"/>
  <c r="R232" i="10"/>
  <c r="Q232" i="10"/>
  <c r="P232" i="10"/>
  <c r="N232" i="10" s="1"/>
  <c r="U232" i="10" s="1"/>
  <c r="E232" i="10"/>
  <c r="C232" i="10"/>
  <c r="R231" i="10"/>
  <c r="Q231" i="10"/>
  <c r="P231" i="10"/>
  <c r="N231" i="10"/>
  <c r="U231" i="10" s="1"/>
  <c r="E231" i="10"/>
  <c r="C231" i="10"/>
  <c r="R230" i="10"/>
  <c r="Q230" i="10"/>
  <c r="P230" i="10"/>
  <c r="W230" i="10" s="1"/>
  <c r="E230" i="10"/>
  <c r="C230" i="10"/>
  <c r="R229" i="10"/>
  <c r="Q229" i="10"/>
  <c r="P229" i="10"/>
  <c r="E229" i="10"/>
  <c r="C229" i="10"/>
  <c r="R228" i="10"/>
  <c r="Q228" i="10"/>
  <c r="E228" i="10"/>
  <c r="C228" i="10"/>
  <c r="R227" i="10"/>
  <c r="Q227" i="10"/>
  <c r="P227" i="10"/>
  <c r="N227" i="10"/>
  <c r="U227" i="10" s="1"/>
  <c r="E227" i="10"/>
  <c r="C227" i="10"/>
  <c r="R226" i="10"/>
  <c r="Q226" i="10"/>
  <c r="P226" i="10"/>
  <c r="N226" i="10" s="1"/>
  <c r="U226" i="10"/>
  <c r="E226" i="10"/>
  <c r="C226" i="10"/>
  <c r="R225" i="10"/>
  <c r="Q225" i="10"/>
  <c r="P225" i="10"/>
  <c r="E225" i="10"/>
  <c r="C225" i="10"/>
  <c r="R224" i="10"/>
  <c r="Q224" i="10"/>
  <c r="E224" i="10"/>
  <c r="C224" i="10"/>
  <c r="R223" i="10"/>
  <c r="Q223" i="10"/>
  <c r="P223" i="10"/>
  <c r="N223" i="10"/>
  <c r="U223" i="10"/>
  <c r="E223" i="10"/>
  <c r="C223" i="10"/>
  <c r="R222" i="10"/>
  <c r="Q222" i="10"/>
  <c r="P222" i="10"/>
  <c r="W222" i="10"/>
  <c r="E222" i="10"/>
  <c r="C222" i="10"/>
  <c r="R221" i="10"/>
  <c r="Q221" i="10"/>
  <c r="E221" i="10"/>
  <c r="C221" i="10"/>
  <c r="R220" i="10"/>
  <c r="Q220" i="10"/>
  <c r="P220" i="10"/>
  <c r="V220" i="10" s="1"/>
  <c r="N220" i="10"/>
  <c r="U220" i="10" s="1"/>
  <c r="E220" i="10"/>
  <c r="C220" i="10"/>
  <c r="R219" i="10"/>
  <c r="Q219" i="10"/>
  <c r="P219" i="10"/>
  <c r="W219" i="10" s="1"/>
  <c r="E219" i="10"/>
  <c r="C219" i="10"/>
  <c r="R218" i="10"/>
  <c r="Q218" i="10"/>
  <c r="P218" i="10"/>
  <c r="W218" i="10" s="1"/>
  <c r="E218" i="10"/>
  <c r="C218" i="10"/>
  <c r="R217" i="10"/>
  <c r="Q217" i="10"/>
  <c r="P217" i="10"/>
  <c r="E217" i="10"/>
  <c r="C217" i="10"/>
  <c r="R216" i="10"/>
  <c r="Q216" i="10"/>
  <c r="P216" i="10"/>
  <c r="W216" i="10" s="1"/>
  <c r="E216" i="10"/>
  <c r="C216" i="10"/>
  <c r="R215" i="10"/>
  <c r="Q215" i="10"/>
  <c r="P215" i="10"/>
  <c r="W215" i="10" s="1"/>
  <c r="N215" i="10"/>
  <c r="U215" i="10" s="1"/>
  <c r="E215" i="10"/>
  <c r="C215" i="10"/>
  <c r="R214" i="10"/>
  <c r="Q214" i="10"/>
  <c r="P214" i="10"/>
  <c r="V214" i="10"/>
  <c r="E214" i="10"/>
  <c r="C214" i="10"/>
  <c r="R212" i="10"/>
  <c r="Q212" i="10"/>
  <c r="P212" i="10"/>
  <c r="W212" i="10" s="1"/>
  <c r="E212" i="10"/>
  <c r="C212" i="10"/>
  <c r="R211" i="10"/>
  <c r="Q211" i="10"/>
  <c r="P211" i="10"/>
  <c r="N211" i="10"/>
  <c r="U211" i="10"/>
  <c r="E211" i="10"/>
  <c r="C211" i="10"/>
  <c r="R213" i="10"/>
  <c r="Q213" i="10"/>
  <c r="P213" i="10"/>
  <c r="V213" i="10" s="1"/>
  <c r="E213" i="10"/>
  <c r="C213" i="10"/>
  <c r="R210" i="10"/>
  <c r="Q210" i="10"/>
  <c r="P210" i="10"/>
  <c r="V210" i="10"/>
  <c r="E210" i="10"/>
  <c r="C210" i="10"/>
  <c r="R209" i="10"/>
  <c r="Q209" i="10"/>
  <c r="P209" i="10"/>
  <c r="E209" i="10"/>
  <c r="C209" i="10"/>
  <c r="R208" i="10"/>
  <c r="Q208" i="10"/>
  <c r="P208" i="10"/>
  <c r="E208" i="10"/>
  <c r="C208" i="10"/>
  <c r="R207" i="10"/>
  <c r="Q207" i="10"/>
  <c r="P207" i="10"/>
  <c r="E207" i="10"/>
  <c r="C207" i="10"/>
  <c r="R206" i="10"/>
  <c r="Q206" i="10"/>
  <c r="E206" i="10"/>
  <c r="C206" i="10"/>
  <c r="R205" i="10"/>
  <c r="Q205" i="10"/>
  <c r="P205" i="10"/>
  <c r="W205" i="10"/>
  <c r="E205" i="10"/>
  <c r="C205" i="10"/>
  <c r="R204" i="10"/>
  <c r="Q204" i="10"/>
  <c r="P204" i="10"/>
  <c r="V204" i="10"/>
  <c r="E204" i="10"/>
  <c r="C204" i="10"/>
  <c r="R203" i="10"/>
  <c r="Q203" i="10"/>
  <c r="P203" i="10"/>
  <c r="V203" i="10"/>
  <c r="E203" i="10"/>
  <c r="C203" i="10"/>
  <c r="R202" i="10"/>
  <c r="Q202" i="10"/>
  <c r="P202" i="10"/>
  <c r="N202" i="10"/>
  <c r="U202" i="10" s="1"/>
  <c r="E202" i="10"/>
  <c r="C202" i="10"/>
  <c r="R201" i="10"/>
  <c r="Q201" i="10"/>
  <c r="P201" i="10"/>
  <c r="W201" i="10" s="1"/>
  <c r="E201" i="10"/>
  <c r="C201" i="10"/>
  <c r="R200" i="10"/>
  <c r="Q200" i="10"/>
  <c r="P200" i="10"/>
  <c r="W200" i="10" s="1"/>
  <c r="E200" i="10"/>
  <c r="C200" i="10"/>
  <c r="R199" i="10"/>
  <c r="Q199" i="10"/>
  <c r="P199" i="10"/>
  <c r="V199" i="10"/>
  <c r="E199" i="10"/>
  <c r="C199" i="10"/>
  <c r="R198" i="10"/>
  <c r="Q198" i="10"/>
  <c r="P198" i="10"/>
  <c r="V198" i="10" s="1"/>
  <c r="E198" i="10"/>
  <c r="C198" i="10"/>
  <c r="R197" i="10"/>
  <c r="Q197" i="10"/>
  <c r="P197" i="10"/>
  <c r="N197" i="10"/>
  <c r="U197" i="10"/>
  <c r="E197" i="10"/>
  <c r="C197" i="10"/>
  <c r="R196" i="10"/>
  <c r="Q196" i="10"/>
  <c r="P196" i="10"/>
  <c r="W196" i="10"/>
  <c r="E196" i="10"/>
  <c r="C196" i="10"/>
  <c r="R195" i="10"/>
  <c r="Q195" i="10"/>
  <c r="P195" i="10"/>
  <c r="E195" i="10"/>
  <c r="C195" i="10"/>
  <c r="R194" i="10"/>
  <c r="Q194" i="10"/>
  <c r="P194" i="10"/>
  <c r="V194" i="10" s="1"/>
  <c r="E194" i="10"/>
  <c r="C194" i="10"/>
  <c r="R193" i="10"/>
  <c r="Q193" i="10"/>
  <c r="P193" i="10"/>
  <c r="V193" i="10" s="1"/>
  <c r="E193" i="10"/>
  <c r="C193" i="10"/>
  <c r="R192" i="10"/>
  <c r="Q192" i="10"/>
  <c r="P192" i="10"/>
  <c r="E192" i="10"/>
  <c r="C192" i="10"/>
  <c r="R191" i="10"/>
  <c r="Q191" i="10"/>
  <c r="E191" i="10"/>
  <c r="C191" i="10"/>
  <c r="R190" i="10"/>
  <c r="Q190" i="10"/>
  <c r="P190" i="10"/>
  <c r="V190" i="10"/>
  <c r="E190" i="10"/>
  <c r="C190" i="10"/>
  <c r="R189" i="10"/>
  <c r="Q189" i="10"/>
  <c r="P189" i="10"/>
  <c r="N189" i="10"/>
  <c r="U189" i="10" s="1"/>
  <c r="E189" i="10"/>
  <c r="C189" i="10"/>
  <c r="R188" i="10"/>
  <c r="Q188" i="10"/>
  <c r="P188" i="10"/>
  <c r="O188" i="10" s="1"/>
  <c r="E188" i="10"/>
  <c r="C188" i="10"/>
  <c r="R187" i="10"/>
  <c r="Q187" i="10"/>
  <c r="P187" i="10"/>
  <c r="E187" i="10"/>
  <c r="C187" i="10"/>
  <c r="R186" i="10"/>
  <c r="Q186" i="10"/>
  <c r="P186" i="10"/>
  <c r="W186" i="10"/>
  <c r="E186" i="10"/>
  <c r="C186" i="10"/>
  <c r="R185" i="10"/>
  <c r="Q185" i="10"/>
  <c r="P185" i="10"/>
  <c r="N185" i="10" s="1"/>
  <c r="U185" i="10" s="1"/>
  <c r="E185" i="10"/>
  <c r="C185" i="10"/>
  <c r="R184" i="10"/>
  <c r="Q184" i="10"/>
  <c r="P184" i="10"/>
  <c r="W184" i="10" s="1"/>
  <c r="V184" i="10"/>
  <c r="E184" i="10"/>
  <c r="C184" i="10"/>
  <c r="R183" i="10"/>
  <c r="Q183" i="10"/>
  <c r="P183" i="10"/>
  <c r="W183" i="10" s="1"/>
  <c r="E183" i="10"/>
  <c r="C183" i="10"/>
  <c r="R182" i="10"/>
  <c r="Q182" i="10"/>
  <c r="P182" i="10"/>
  <c r="V182" i="10"/>
  <c r="E182" i="10"/>
  <c r="C182" i="10"/>
  <c r="R181" i="10"/>
  <c r="Q181" i="10"/>
  <c r="P181" i="10"/>
  <c r="E181" i="10"/>
  <c r="C181" i="10"/>
  <c r="R180" i="10"/>
  <c r="Q180" i="10"/>
  <c r="P180" i="10"/>
  <c r="N180" i="10" s="1"/>
  <c r="U180" i="10" s="1"/>
  <c r="E180" i="10"/>
  <c r="C180" i="10"/>
  <c r="R179" i="10"/>
  <c r="Q179" i="10"/>
  <c r="P179" i="10"/>
  <c r="N179" i="10"/>
  <c r="U179" i="10" s="1"/>
  <c r="E179" i="10"/>
  <c r="C179" i="10"/>
  <c r="R178" i="10"/>
  <c r="Q178" i="10"/>
  <c r="P178" i="10"/>
  <c r="V178" i="10" s="1"/>
  <c r="E178" i="10"/>
  <c r="C178" i="10"/>
  <c r="R177" i="10"/>
  <c r="Q177" i="10"/>
  <c r="P177" i="10"/>
  <c r="V177" i="10" s="1"/>
  <c r="E177" i="10"/>
  <c r="C177" i="10"/>
  <c r="R176" i="10"/>
  <c r="Q176" i="10"/>
  <c r="P176" i="10"/>
  <c r="W176" i="10"/>
  <c r="E176" i="10"/>
  <c r="C176" i="10"/>
  <c r="R175" i="10"/>
  <c r="Q175" i="10"/>
  <c r="P175" i="10"/>
  <c r="N175" i="10" s="1"/>
  <c r="U175" i="10" s="1"/>
  <c r="E175" i="10"/>
  <c r="C175" i="10"/>
  <c r="R174" i="10"/>
  <c r="Q174" i="10"/>
  <c r="P174" i="10"/>
  <c r="O174" i="10" s="1"/>
  <c r="W174" i="10"/>
  <c r="E174" i="10"/>
  <c r="C174" i="10"/>
  <c r="R173" i="10"/>
  <c r="Q173" i="10"/>
  <c r="P173" i="10"/>
  <c r="E173" i="10"/>
  <c r="C173" i="10"/>
  <c r="R172" i="10"/>
  <c r="Q172" i="10"/>
  <c r="P172" i="10"/>
  <c r="W172" i="10"/>
  <c r="E172" i="10"/>
  <c r="C172" i="10"/>
  <c r="R171" i="10"/>
  <c r="Q171" i="10"/>
  <c r="P171" i="10"/>
  <c r="W171" i="10" s="1"/>
  <c r="E171" i="10"/>
  <c r="C171" i="10"/>
  <c r="R170" i="10"/>
  <c r="Q170" i="10"/>
  <c r="P170" i="10"/>
  <c r="E170" i="10"/>
  <c r="C170" i="10"/>
  <c r="R169" i="10"/>
  <c r="Q169" i="10"/>
  <c r="P169" i="10"/>
  <c r="N169" i="10" s="1"/>
  <c r="W169" i="10"/>
  <c r="E169" i="10"/>
  <c r="C169" i="10"/>
  <c r="R168" i="10"/>
  <c r="Q168" i="10"/>
  <c r="P168" i="10"/>
  <c r="W168" i="10" s="1"/>
  <c r="E168" i="10"/>
  <c r="C168" i="10"/>
  <c r="R167" i="10"/>
  <c r="Q167" i="10"/>
  <c r="P167" i="10"/>
  <c r="V167" i="10"/>
  <c r="E167" i="10"/>
  <c r="C167" i="10"/>
  <c r="R166" i="10"/>
  <c r="Q166" i="10"/>
  <c r="P166" i="10"/>
  <c r="E166" i="10"/>
  <c r="C166" i="10"/>
  <c r="R165" i="10"/>
  <c r="Q165" i="10"/>
  <c r="E165" i="10"/>
  <c r="C165" i="10"/>
  <c r="R164" i="10"/>
  <c r="Q164" i="10"/>
  <c r="E164" i="10"/>
  <c r="C164" i="10"/>
  <c r="R163" i="10"/>
  <c r="Q163" i="10"/>
  <c r="P163" i="10"/>
  <c r="N163" i="10"/>
  <c r="U163" i="10" s="1"/>
  <c r="E163" i="10"/>
  <c r="C163" i="10"/>
  <c r="R162" i="10"/>
  <c r="Q162" i="10"/>
  <c r="P162" i="10"/>
  <c r="E162" i="10"/>
  <c r="C162" i="10"/>
  <c r="R161" i="10"/>
  <c r="Q161" i="10"/>
  <c r="P161" i="10"/>
  <c r="N161" i="10" s="1"/>
  <c r="U161" i="10"/>
  <c r="E161" i="10"/>
  <c r="C161" i="10"/>
  <c r="R160" i="10"/>
  <c r="Q160" i="10"/>
  <c r="P160" i="10"/>
  <c r="W160" i="10" s="1"/>
  <c r="E160" i="10"/>
  <c r="C160" i="10"/>
  <c r="R159" i="10"/>
  <c r="Q159" i="10"/>
  <c r="P159" i="10"/>
  <c r="W159" i="10"/>
  <c r="E159" i="10"/>
  <c r="C159" i="10"/>
  <c r="R158" i="10"/>
  <c r="Q158" i="10"/>
  <c r="P158" i="10"/>
  <c r="W158" i="10" s="1"/>
  <c r="E158" i="10"/>
  <c r="C158" i="10"/>
  <c r="R157" i="10"/>
  <c r="Q157" i="10"/>
  <c r="P157" i="10"/>
  <c r="E157" i="10"/>
  <c r="C157" i="10"/>
  <c r="R156" i="10"/>
  <c r="Q156" i="10"/>
  <c r="P156" i="10"/>
  <c r="N156" i="10" s="1"/>
  <c r="V156" i="10"/>
  <c r="E156" i="10"/>
  <c r="C156" i="10"/>
  <c r="R155" i="10"/>
  <c r="Q155" i="10"/>
  <c r="P155" i="10"/>
  <c r="V155" i="10" s="1"/>
  <c r="E155" i="10"/>
  <c r="C155" i="10"/>
  <c r="R153" i="10"/>
  <c r="Q153" i="10"/>
  <c r="P153" i="10"/>
  <c r="E153" i="10"/>
  <c r="C153" i="10"/>
  <c r="R154" i="10"/>
  <c r="Q154" i="10"/>
  <c r="P154" i="10"/>
  <c r="V154" i="10"/>
  <c r="E154" i="10"/>
  <c r="C154" i="10"/>
  <c r="R152" i="10"/>
  <c r="Q152" i="10"/>
  <c r="P152" i="10"/>
  <c r="V152" i="10"/>
  <c r="E152" i="10"/>
  <c r="C152" i="10"/>
  <c r="R151" i="10"/>
  <c r="Q151" i="10"/>
  <c r="E151" i="10"/>
  <c r="C151" i="10"/>
  <c r="R150" i="10"/>
  <c r="Q150" i="10"/>
  <c r="P150" i="10"/>
  <c r="W150" i="10"/>
  <c r="E150" i="10"/>
  <c r="C150" i="10"/>
  <c r="R149" i="10"/>
  <c r="Q149" i="10"/>
  <c r="P149" i="10"/>
  <c r="N149" i="10"/>
  <c r="U149" i="10"/>
  <c r="E149" i="10"/>
  <c r="C149" i="10"/>
  <c r="R148" i="10"/>
  <c r="Q148" i="10"/>
  <c r="P148" i="10"/>
  <c r="E148" i="10"/>
  <c r="C148" i="10"/>
  <c r="R147" i="10"/>
  <c r="Q147" i="10"/>
  <c r="P147" i="10"/>
  <c r="O147" i="10"/>
  <c r="E147" i="10"/>
  <c r="C147" i="10"/>
  <c r="R146" i="10"/>
  <c r="Q146" i="10"/>
  <c r="P146" i="10"/>
  <c r="V146" i="10" s="1"/>
  <c r="W146" i="10"/>
  <c r="E146" i="10"/>
  <c r="C146" i="10"/>
  <c r="R145" i="10"/>
  <c r="Q145" i="10"/>
  <c r="P145" i="10"/>
  <c r="W145" i="10"/>
  <c r="E145" i="10"/>
  <c r="C145" i="10"/>
  <c r="R144" i="10"/>
  <c r="Q144" i="10"/>
  <c r="P144" i="10"/>
  <c r="V144" i="10"/>
  <c r="E144" i="10"/>
  <c r="C144" i="10"/>
  <c r="R143" i="10"/>
  <c r="Q143" i="10"/>
  <c r="P143" i="10"/>
  <c r="N143" i="10"/>
  <c r="U143" i="10"/>
  <c r="E143" i="10"/>
  <c r="C143" i="10"/>
  <c r="R142" i="10"/>
  <c r="Q142" i="10"/>
  <c r="P142" i="10"/>
  <c r="E142" i="10"/>
  <c r="C142" i="10"/>
  <c r="R141" i="10"/>
  <c r="Q141" i="10"/>
  <c r="P141" i="10"/>
  <c r="W141" i="10"/>
  <c r="E141" i="10"/>
  <c r="C141" i="10"/>
  <c r="R140" i="10"/>
  <c r="Q140" i="10"/>
  <c r="P140" i="10"/>
  <c r="W140" i="10"/>
  <c r="E140" i="10"/>
  <c r="C140" i="10"/>
  <c r="R139" i="10"/>
  <c r="Q139" i="10"/>
  <c r="P139" i="10"/>
  <c r="N139" i="10"/>
  <c r="U139" i="10"/>
  <c r="E139" i="10"/>
  <c r="C139" i="10"/>
  <c r="R138" i="10"/>
  <c r="Q138" i="10"/>
  <c r="P138" i="10"/>
  <c r="E138" i="10"/>
  <c r="C138" i="10"/>
  <c r="R136" i="10"/>
  <c r="Q136" i="10"/>
  <c r="P136" i="10"/>
  <c r="V136" i="10"/>
  <c r="E136" i="10"/>
  <c r="C136" i="10"/>
  <c r="R137" i="10"/>
  <c r="Q137" i="10"/>
  <c r="E137" i="10"/>
  <c r="C137" i="10"/>
  <c r="R135" i="10"/>
  <c r="Q135" i="10"/>
  <c r="E135" i="10"/>
  <c r="C135" i="10"/>
  <c r="R134" i="10"/>
  <c r="Q134" i="10"/>
  <c r="P134" i="10"/>
  <c r="V134" i="10" s="1"/>
  <c r="W134" i="10"/>
  <c r="E134" i="10"/>
  <c r="C134" i="10"/>
  <c r="R133" i="10"/>
  <c r="Q133" i="10"/>
  <c r="P133" i="10"/>
  <c r="N133" i="10"/>
  <c r="U133" i="10"/>
  <c r="E133" i="10"/>
  <c r="C133" i="10"/>
  <c r="R132" i="10"/>
  <c r="Q132" i="10"/>
  <c r="P132" i="10"/>
  <c r="E132" i="10"/>
  <c r="C132" i="10"/>
  <c r="R131" i="10"/>
  <c r="Q131" i="10"/>
  <c r="P131" i="10"/>
  <c r="N131" i="10"/>
  <c r="U131" i="10"/>
  <c r="E131" i="10"/>
  <c r="C131" i="10"/>
  <c r="R130" i="10"/>
  <c r="Q130" i="10"/>
  <c r="P130" i="10"/>
  <c r="E130" i="10"/>
  <c r="C130" i="10"/>
  <c r="R129" i="10"/>
  <c r="Q129" i="10"/>
  <c r="P129" i="10"/>
  <c r="W129" i="10"/>
  <c r="E129" i="10"/>
  <c r="C129" i="10"/>
  <c r="R127" i="10"/>
  <c r="Q127" i="10"/>
  <c r="P127" i="10"/>
  <c r="W127" i="10"/>
  <c r="E127" i="10"/>
  <c r="C127" i="10"/>
  <c r="R128" i="10"/>
  <c r="Q128" i="10"/>
  <c r="P128" i="10"/>
  <c r="V128" i="10"/>
  <c r="E128" i="10"/>
  <c r="C128" i="10"/>
  <c r="R126" i="10"/>
  <c r="Q126" i="10"/>
  <c r="E126" i="10"/>
  <c r="C126" i="10"/>
  <c r="R125" i="10"/>
  <c r="Q125" i="10"/>
  <c r="P125" i="10"/>
  <c r="V125" i="10"/>
  <c r="E125" i="10"/>
  <c r="C125" i="10"/>
  <c r="R124" i="10"/>
  <c r="Q124" i="10"/>
  <c r="P124" i="10"/>
  <c r="E124" i="10"/>
  <c r="C124" i="10"/>
  <c r="R123" i="10"/>
  <c r="Q123" i="10"/>
  <c r="P123" i="10"/>
  <c r="V123" i="10" s="1"/>
  <c r="E123" i="10"/>
  <c r="C123" i="10"/>
  <c r="R122" i="10"/>
  <c r="Q122" i="10"/>
  <c r="P122" i="10"/>
  <c r="W122" i="10"/>
  <c r="E122" i="10"/>
  <c r="C122" i="10"/>
  <c r="R121" i="10"/>
  <c r="Q121" i="10"/>
  <c r="P121" i="10"/>
  <c r="N121" i="10"/>
  <c r="U121" i="10" s="1"/>
  <c r="E121" i="10"/>
  <c r="C121" i="10"/>
  <c r="R120" i="10"/>
  <c r="Q120" i="10"/>
  <c r="P120" i="10"/>
  <c r="V120" i="10" s="1"/>
  <c r="E120" i="10"/>
  <c r="C120" i="10"/>
  <c r="R119" i="10"/>
  <c r="Q119" i="10"/>
  <c r="P119" i="10"/>
  <c r="V119" i="10" s="1"/>
  <c r="E119" i="10"/>
  <c r="C119" i="10"/>
  <c r="R118" i="10"/>
  <c r="Q118" i="10"/>
  <c r="P118" i="10"/>
  <c r="O118" i="10" s="1"/>
  <c r="W118" i="10"/>
  <c r="E118" i="10"/>
  <c r="C118" i="10"/>
  <c r="R117" i="10"/>
  <c r="Q117" i="10"/>
  <c r="P117" i="10"/>
  <c r="N117" i="10" s="1"/>
  <c r="U117" i="10" s="1"/>
  <c r="E117" i="10"/>
  <c r="C117" i="10"/>
  <c r="R116" i="10"/>
  <c r="Q116" i="10"/>
  <c r="P116" i="10"/>
  <c r="V116" i="10"/>
  <c r="E116" i="10"/>
  <c r="C116" i="10"/>
  <c r="R114" i="10"/>
  <c r="Q114" i="10"/>
  <c r="P114" i="10"/>
  <c r="W114" i="10"/>
  <c r="E114" i="10"/>
  <c r="C114" i="10"/>
  <c r="R115" i="10"/>
  <c r="Q115" i="10"/>
  <c r="P115" i="10"/>
  <c r="W115" i="10" s="1"/>
  <c r="V115" i="10"/>
  <c r="E115" i="10"/>
  <c r="C115" i="10"/>
  <c r="R111" i="10"/>
  <c r="Q111" i="10"/>
  <c r="P111" i="10"/>
  <c r="W111" i="10"/>
  <c r="E111" i="10"/>
  <c r="C111" i="10"/>
  <c r="R112" i="10"/>
  <c r="Q112" i="10"/>
  <c r="E112" i="10"/>
  <c r="C112" i="10"/>
  <c r="R113" i="10"/>
  <c r="Q113" i="10"/>
  <c r="P113" i="10"/>
  <c r="E113" i="10"/>
  <c r="C113" i="10"/>
  <c r="R110" i="10"/>
  <c r="Q110" i="10"/>
  <c r="P110" i="10"/>
  <c r="E110" i="10"/>
  <c r="C110" i="10"/>
  <c r="R108" i="10"/>
  <c r="Q108" i="10"/>
  <c r="P108" i="10"/>
  <c r="W108" i="10"/>
  <c r="E108" i="10"/>
  <c r="C108" i="10"/>
  <c r="R109" i="10"/>
  <c r="Q109" i="10"/>
  <c r="P109" i="10"/>
  <c r="W109" i="10"/>
  <c r="E109" i="10"/>
  <c r="C109" i="10"/>
  <c r="R107" i="10"/>
  <c r="Q107" i="10"/>
  <c r="P107" i="10"/>
  <c r="E107" i="10"/>
  <c r="C107" i="10"/>
  <c r="R106" i="10"/>
  <c r="Q106" i="10"/>
  <c r="P106" i="10"/>
  <c r="E106" i="10"/>
  <c r="C106" i="10"/>
  <c r="R105" i="10"/>
  <c r="Q105" i="10"/>
  <c r="E105" i="10"/>
  <c r="C105" i="10"/>
  <c r="R104" i="10"/>
  <c r="Q104" i="10"/>
  <c r="P104" i="10"/>
  <c r="W104" i="10"/>
  <c r="E104" i="10"/>
  <c r="C104" i="10"/>
  <c r="R103" i="10"/>
  <c r="Q103" i="10"/>
  <c r="E103" i="10"/>
  <c r="C103" i="10"/>
  <c r="R102" i="10"/>
  <c r="Q102" i="10"/>
  <c r="P102" i="10"/>
  <c r="V102" i="10"/>
  <c r="E102" i="10"/>
  <c r="C102" i="10"/>
  <c r="R101" i="10"/>
  <c r="Q101" i="10"/>
  <c r="P101" i="10"/>
  <c r="E101" i="10"/>
  <c r="C101" i="10"/>
  <c r="R100" i="10"/>
  <c r="Q100" i="10"/>
  <c r="P100" i="10"/>
  <c r="W100" i="10" s="1"/>
  <c r="E100" i="10"/>
  <c r="C100" i="10"/>
  <c r="R99" i="10"/>
  <c r="Q99" i="10"/>
  <c r="P99" i="10"/>
  <c r="W99" i="10" s="1"/>
  <c r="E99" i="10"/>
  <c r="C99" i="10"/>
  <c r="R98" i="10"/>
  <c r="Q98" i="10"/>
  <c r="P98" i="10"/>
  <c r="E98" i="10"/>
  <c r="C98" i="10"/>
  <c r="R97" i="10"/>
  <c r="Q97" i="10"/>
  <c r="P97" i="10"/>
  <c r="W97" i="10" s="1"/>
  <c r="E97" i="10"/>
  <c r="C97" i="10"/>
  <c r="R96" i="10"/>
  <c r="Q96" i="10"/>
  <c r="P96" i="10"/>
  <c r="V96" i="10"/>
  <c r="E96" i="10"/>
  <c r="C96" i="10"/>
  <c r="R95" i="10"/>
  <c r="Q95" i="10"/>
  <c r="P95" i="10"/>
  <c r="E95" i="10"/>
  <c r="C95" i="10"/>
  <c r="R94" i="10"/>
  <c r="Q94" i="10"/>
  <c r="E94" i="10"/>
  <c r="C94" i="10"/>
  <c r="R93" i="10"/>
  <c r="Q93" i="10"/>
  <c r="P93" i="10"/>
  <c r="W93" i="10"/>
  <c r="E93" i="10"/>
  <c r="C93" i="10"/>
  <c r="R92" i="10"/>
  <c r="Q92" i="10"/>
  <c r="P92" i="10"/>
  <c r="E92" i="10"/>
  <c r="C92" i="10"/>
  <c r="R91" i="10"/>
  <c r="Q91" i="10"/>
  <c r="P91" i="10"/>
  <c r="V91" i="10"/>
  <c r="E91" i="10"/>
  <c r="C91" i="10"/>
  <c r="R90" i="10"/>
  <c r="Q90" i="10"/>
  <c r="P90" i="10"/>
  <c r="N90" i="10" s="1"/>
  <c r="U90" i="10" s="1"/>
  <c r="E90" i="10"/>
  <c r="C90" i="10"/>
  <c r="R89" i="10"/>
  <c r="Q89" i="10"/>
  <c r="P89" i="10"/>
  <c r="W89" i="10"/>
  <c r="E89" i="10"/>
  <c r="C89" i="10"/>
  <c r="R88" i="10"/>
  <c r="Q88" i="10"/>
  <c r="P88" i="10"/>
  <c r="E88" i="10"/>
  <c r="C88" i="10"/>
  <c r="R87" i="10"/>
  <c r="Q87" i="10"/>
  <c r="P87" i="10"/>
  <c r="W87" i="10" s="1"/>
  <c r="E87" i="10"/>
  <c r="C87" i="10"/>
  <c r="R86" i="10"/>
  <c r="Q86" i="10"/>
  <c r="P86" i="10"/>
  <c r="V86" i="10" s="1"/>
  <c r="E86" i="10"/>
  <c r="C86" i="10"/>
  <c r="R85" i="10"/>
  <c r="Q85" i="10"/>
  <c r="E85" i="10"/>
  <c r="C85" i="10"/>
  <c r="R84" i="10"/>
  <c r="Q84" i="10"/>
  <c r="P84" i="10"/>
  <c r="W84" i="10" s="1"/>
  <c r="E84" i="10"/>
  <c r="C84" i="10"/>
  <c r="R83" i="10"/>
  <c r="Q83" i="10"/>
  <c r="P83" i="10"/>
  <c r="E83" i="10"/>
  <c r="C83" i="10"/>
  <c r="R82" i="10"/>
  <c r="Q82" i="10"/>
  <c r="P82" i="10"/>
  <c r="E82" i="10"/>
  <c r="C82" i="10"/>
  <c r="R81" i="10"/>
  <c r="Q81" i="10"/>
  <c r="P81" i="10"/>
  <c r="E81" i="10"/>
  <c r="C81" i="10"/>
  <c r="R80" i="10"/>
  <c r="Q80" i="10"/>
  <c r="P80" i="10"/>
  <c r="N80" i="10" s="1"/>
  <c r="U80" i="10"/>
  <c r="E80" i="10"/>
  <c r="C80" i="10"/>
  <c r="R77" i="10"/>
  <c r="Q77" i="10"/>
  <c r="P77" i="10"/>
  <c r="E77" i="10"/>
  <c r="C77" i="10"/>
  <c r="R79" i="10"/>
  <c r="Q79" i="10"/>
  <c r="P79" i="10"/>
  <c r="W79" i="10"/>
  <c r="E79" i="10"/>
  <c r="C79" i="10"/>
  <c r="R76" i="10"/>
  <c r="Q76" i="10"/>
  <c r="P76" i="10"/>
  <c r="E76" i="10"/>
  <c r="C76" i="10"/>
  <c r="R78" i="10"/>
  <c r="Q78" i="10"/>
  <c r="E78" i="10"/>
  <c r="C78" i="10"/>
  <c r="R75" i="10"/>
  <c r="Q75" i="10"/>
  <c r="P75" i="10"/>
  <c r="N75" i="10" s="1"/>
  <c r="U75" i="10" s="1"/>
  <c r="E75" i="10"/>
  <c r="C75" i="10"/>
  <c r="R74" i="10"/>
  <c r="Q74" i="10"/>
  <c r="P74" i="10"/>
  <c r="V74" i="10"/>
  <c r="E74" i="10"/>
  <c r="C74" i="10"/>
  <c r="R73" i="10"/>
  <c r="Q73" i="10"/>
  <c r="P73" i="10"/>
  <c r="E73" i="10"/>
  <c r="C73" i="10"/>
  <c r="R72" i="10"/>
  <c r="Q72" i="10"/>
  <c r="P72" i="10"/>
  <c r="E72" i="10"/>
  <c r="C72" i="10"/>
  <c r="R71" i="10"/>
  <c r="Q71" i="10"/>
  <c r="P71" i="10"/>
  <c r="W71" i="10"/>
  <c r="E71" i="10"/>
  <c r="C71" i="10"/>
  <c r="R69" i="10"/>
  <c r="Q69" i="10"/>
  <c r="P69" i="10"/>
  <c r="W69" i="10"/>
  <c r="E69" i="10"/>
  <c r="C69" i="10"/>
  <c r="R68" i="10"/>
  <c r="Q68" i="10"/>
  <c r="P68" i="10"/>
  <c r="W68" i="10"/>
  <c r="E68" i="10"/>
  <c r="C68" i="10"/>
  <c r="R70" i="10"/>
  <c r="Q70" i="10"/>
  <c r="P70" i="10"/>
  <c r="E70" i="10"/>
  <c r="C70" i="10"/>
  <c r="R66" i="10"/>
  <c r="Q66" i="10"/>
  <c r="P66" i="10"/>
  <c r="V66" i="10" s="1"/>
  <c r="E66" i="10"/>
  <c r="C66" i="10"/>
  <c r="R67" i="10"/>
  <c r="Q67" i="10"/>
  <c r="P67" i="10"/>
  <c r="E67" i="10"/>
  <c r="C67" i="10"/>
  <c r="R64" i="10"/>
  <c r="Q64" i="10"/>
  <c r="P64" i="10"/>
  <c r="V64" i="10" s="1"/>
  <c r="E64" i="10"/>
  <c r="C64" i="10"/>
  <c r="R65" i="10"/>
  <c r="Q65" i="10"/>
  <c r="P65" i="10"/>
  <c r="O65" i="10" s="1"/>
  <c r="E65" i="10"/>
  <c r="C65" i="10"/>
  <c r="R63" i="10"/>
  <c r="Q63" i="10"/>
  <c r="P63" i="10"/>
  <c r="N63" i="10" s="1"/>
  <c r="U63" i="10" s="1"/>
  <c r="E63" i="10"/>
  <c r="C63" i="10"/>
  <c r="R62" i="10"/>
  <c r="Q62" i="10"/>
  <c r="P62" i="10"/>
  <c r="E62" i="10"/>
  <c r="C62" i="10"/>
  <c r="R61" i="10"/>
  <c r="Q61" i="10"/>
  <c r="P61" i="10"/>
  <c r="N61" i="10" s="1"/>
  <c r="W61" i="10"/>
  <c r="E61" i="10"/>
  <c r="C61" i="10"/>
  <c r="R59" i="10"/>
  <c r="Q59" i="10"/>
  <c r="P59" i="10"/>
  <c r="N59" i="10"/>
  <c r="U59" i="10"/>
  <c r="E59" i="10"/>
  <c r="C59" i="10"/>
  <c r="R60" i="10"/>
  <c r="Q60" i="10"/>
  <c r="P60" i="10"/>
  <c r="E60" i="10"/>
  <c r="C60" i="10"/>
  <c r="R58" i="10"/>
  <c r="Q58" i="10"/>
  <c r="P58" i="10"/>
  <c r="E58" i="10"/>
  <c r="C58" i="10"/>
  <c r="R57" i="10"/>
  <c r="Q57" i="10"/>
  <c r="P57" i="10"/>
  <c r="N57" i="10"/>
  <c r="U57" i="10"/>
  <c r="E57" i="10"/>
  <c r="C57" i="10"/>
  <c r="R56" i="10"/>
  <c r="Q56" i="10"/>
  <c r="P56" i="10"/>
  <c r="N56" i="10"/>
  <c r="U56" i="10"/>
  <c r="E56" i="10"/>
  <c r="C56" i="10"/>
  <c r="R54" i="10"/>
  <c r="Q54" i="10"/>
  <c r="P54" i="10"/>
  <c r="E54" i="10"/>
  <c r="C54" i="10"/>
  <c r="R55" i="10"/>
  <c r="Q55" i="10"/>
  <c r="E55" i="10"/>
  <c r="C55" i="10"/>
  <c r="R53" i="10"/>
  <c r="Q53" i="10"/>
  <c r="P53" i="10"/>
  <c r="W53" i="10"/>
  <c r="E53" i="10"/>
  <c r="C53" i="10"/>
  <c r="R52" i="10"/>
  <c r="Q52" i="10"/>
  <c r="P52" i="10"/>
  <c r="O52" i="10"/>
  <c r="E52" i="10"/>
  <c r="C52" i="10"/>
  <c r="R51" i="10"/>
  <c r="Q51" i="10"/>
  <c r="P51" i="10"/>
  <c r="E51" i="10"/>
  <c r="C51" i="10"/>
  <c r="R50" i="10"/>
  <c r="Q50" i="10"/>
  <c r="P50" i="10"/>
  <c r="V50" i="10" s="1"/>
  <c r="E50" i="10"/>
  <c r="C50" i="10"/>
  <c r="R49" i="10"/>
  <c r="Q49" i="10"/>
  <c r="P49" i="10"/>
  <c r="E49" i="10"/>
  <c r="C49" i="10"/>
  <c r="R47" i="10"/>
  <c r="Q47" i="10"/>
  <c r="P47" i="10"/>
  <c r="E47" i="10"/>
  <c r="C47" i="10"/>
  <c r="R48" i="10"/>
  <c r="Q48" i="10"/>
  <c r="P48" i="10"/>
  <c r="N48" i="10"/>
  <c r="U48" i="10" s="1"/>
  <c r="E48" i="10"/>
  <c r="C48" i="10"/>
  <c r="R46" i="10"/>
  <c r="Q46" i="10"/>
  <c r="P46" i="10"/>
  <c r="N46" i="10" s="1"/>
  <c r="U46" i="10"/>
  <c r="E46" i="10"/>
  <c r="C46" i="10"/>
  <c r="R45" i="10"/>
  <c r="Q45" i="10"/>
  <c r="P45" i="10"/>
  <c r="N45" i="10" s="1"/>
  <c r="E45" i="10"/>
  <c r="C45" i="10"/>
  <c r="R44" i="10"/>
  <c r="Q44" i="10"/>
  <c r="P44" i="10"/>
  <c r="W44" i="10" s="1"/>
  <c r="E44" i="10"/>
  <c r="C44" i="10"/>
  <c r="R43" i="10"/>
  <c r="Q43" i="10"/>
  <c r="E43" i="10"/>
  <c r="C43" i="10"/>
  <c r="R42" i="10"/>
  <c r="Q42" i="10"/>
  <c r="P42" i="10"/>
  <c r="N42" i="10"/>
  <c r="U42" i="10"/>
  <c r="E42" i="10"/>
  <c r="C42" i="10"/>
  <c r="R41" i="10"/>
  <c r="Q41" i="10"/>
  <c r="P41" i="10"/>
  <c r="E41" i="10"/>
  <c r="C41" i="10"/>
  <c r="R40" i="10"/>
  <c r="Q40" i="10"/>
  <c r="P40" i="10"/>
  <c r="W40" i="10"/>
  <c r="E40" i="10"/>
  <c r="C40" i="10"/>
  <c r="R39" i="10"/>
  <c r="Q39" i="10"/>
  <c r="E39" i="10"/>
  <c r="C39" i="10"/>
  <c r="R38" i="10"/>
  <c r="Q38" i="10"/>
  <c r="P38" i="10"/>
  <c r="E38" i="10"/>
  <c r="C38" i="10"/>
  <c r="R37" i="10"/>
  <c r="Q37" i="10"/>
  <c r="E37" i="10"/>
  <c r="C37" i="10"/>
  <c r="R35" i="10"/>
  <c r="Q35" i="10"/>
  <c r="P35" i="10"/>
  <c r="V35" i="10" s="1"/>
  <c r="E35" i="10"/>
  <c r="C35" i="10"/>
  <c r="R36" i="10"/>
  <c r="Q36" i="10"/>
  <c r="P36" i="10"/>
  <c r="N36" i="10" s="1"/>
  <c r="U36" i="10"/>
  <c r="E36" i="10"/>
  <c r="C36" i="10"/>
  <c r="R34" i="10"/>
  <c r="Q34" i="10"/>
  <c r="P34" i="10"/>
  <c r="V34" i="10" s="1"/>
  <c r="E34" i="10"/>
  <c r="C34" i="10"/>
  <c r="R32" i="10"/>
  <c r="Q32" i="10"/>
  <c r="P32" i="10"/>
  <c r="E32" i="10"/>
  <c r="C32" i="10"/>
  <c r="R33" i="10"/>
  <c r="Q33" i="10"/>
  <c r="P33" i="10"/>
  <c r="E33" i="10"/>
  <c r="C33" i="10"/>
  <c r="R31" i="10"/>
  <c r="Q31" i="10"/>
  <c r="P31" i="10"/>
  <c r="V31" i="10"/>
  <c r="E31" i="10"/>
  <c r="C31" i="10"/>
  <c r="R30" i="10"/>
  <c r="Q30" i="10"/>
  <c r="P30" i="10"/>
  <c r="N30" i="10" s="1"/>
  <c r="U30" i="10" s="1"/>
  <c r="E30" i="10"/>
  <c r="C30" i="10"/>
  <c r="R29" i="10"/>
  <c r="Q29" i="10"/>
  <c r="P29" i="10"/>
  <c r="N29" i="10" s="1"/>
  <c r="V29" i="10"/>
  <c r="E29" i="10"/>
  <c r="C29" i="10"/>
  <c r="R28" i="10"/>
  <c r="Q28" i="10"/>
  <c r="P28" i="10"/>
  <c r="O28" i="10" s="1"/>
  <c r="E28" i="10"/>
  <c r="C28" i="10"/>
  <c r="R27" i="10"/>
  <c r="Q27" i="10"/>
  <c r="P27" i="10"/>
  <c r="W27" i="10"/>
  <c r="E27" i="10"/>
  <c r="C27" i="10"/>
  <c r="R26" i="10"/>
  <c r="Q26" i="10"/>
  <c r="P26" i="10"/>
  <c r="E26" i="10"/>
  <c r="C26" i="10"/>
  <c r="R25" i="10"/>
  <c r="Q25" i="10"/>
  <c r="P25" i="10"/>
  <c r="V25" i="10"/>
  <c r="E25" i="10"/>
  <c r="C25" i="10"/>
  <c r="R24" i="10"/>
  <c r="Q24" i="10"/>
  <c r="P24" i="10"/>
  <c r="N24" i="10" s="1"/>
  <c r="U24" i="10" s="1"/>
  <c r="E24" i="10"/>
  <c r="C24" i="10"/>
  <c r="R23" i="10"/>
  <c r="Q23" i="10"/>
  <c r="E23" i="10"/>
  <c r="R22" i="10"/>
  <c r="Q22" i="10"/>
  <c r="P22" i="10"/>
  <c r="E22" i="10"/>
  <c r="C22" i="10"/>
  <c r="R21" i="10"/>
  <c r="Q21" i="10"/>
  <c r="P21" i="10"/>
  <c r="W21" i="10"/>
  <c r="E21" i="10"/>
  <c r="C21" i="10"/>
  <c r="R20" i="10"/>
  <c r="Q20" i="10"/>
  <c r="P20" i="10"/>
  <c r="E20" i="10"/>
  <c r="C20" i="10"/>
  <c r="R19" i="10"/>
  <c r="Q19" i="10"/>
  <c r="P19" i="10"/>
  <c r="N19" i="10"/>
  <c r="U19" i="10"/>
  <c r="E19" i="10"/>
  <c r="C19" i="10"/>
  <c r="R18" i="10"/>
  <c r="Q18" i="10"/>
  <c r="P18" i="10"/>
  <c r="E18" i="10"/>
  <c r="C18" i="10"/>
  <c r="R17" i="10"/>
  <c r="Q17" i="10"/>
  <c r="P17" i="10"/>
  <c r="E17" i="10"/>
  <c r="C17" i="10"/>
  <c r="R16" i="10"/>
  <c r="Q16" i="10"/>
  <c r="P16" i="10"/>
  <c r="W16" i="10"/>
  <c r="E16" i="10"/>
  <c r="C16" i="10"/>
  <c r="R15" i="10"/>
  <c r="Q15" i="10"/>
  <c r="P15" i="10"/>
  <c r="E15" i="10"/>
  <c r="C15" i="10"/>
  <c r="R14" i="10"/>
  <c r="Q14" i="10"/>
  <c r="P14" i="10"/>
  <c r="V14" i="10"/>
  <c r="E14" i="10"/>
  <c r="C14" i="10"/>
  <c r="R13" i="10"/>
  <c r="Q13" i="10"/>
  <c r="P13" i="10"/>
  <c r="E13" i="10"/>
  <c r="C13" i="10"/>
  <c r="R12" i="10"/>
  <c r="Q12" i="10"/>
  <c r="P12" i="10"/>
  <c r="V12" i="10"/>
  <c r="E12" i="10"/>
  <c r="C12" i="10"/>
  <c r="R11" i="10"/>
  <c r="Q11" i="10"/>
  <c r="P11" i="10"/>
  <c r="E11" i="10"/>
  <c r="C11" i="10"/>
  <c r="R10" i="10"/>
  <c r="Q10" i="10"/>
  <c r="P10" i="10"/>
  <c r="N10" i="10"/>
  <c r="U10" i="10"/>
  <c r="E10" i="10"/>
  <c r="C10" i="10"/>
  <c r="R9" i="10"/>
  <c r="Q9" i="10"/>
  <c r="E9" i="10"/>
  <c r="C9" i="10"/>
  <c r="R8" i="10"/>
  <c r="Q8" i="10"/>
  <c r="P8" i="10"/>
  <c r="N8" i="10"/>
  <c r="U8" i="10"/>
  <c r="E8" i="10"/>
  <c r="C8" i="10"/>
  <c r="R7" i="10"/>
  <c r="Q7" i="10"/>
  <c r="P7" i="10"/>
  <c r="W7" i="10" s="1"/>
  <c r="E7" i="10"/>
  <c r="C7" i="10"/>
  <c r="R6" i="10"/>
  <c r="Q6" i="10"/>
  <c r="P6" i="10"/>
  <c r="E6" i="10"/>
  <c r="C6" i="10"/>
  <c r="R5" i="10"/>
  <c r="Q5" i="10"/>
  <c r="P5" i="10"/>
  <c r="W5" i="10"/>
  <c r="E5" i="10"/>
  <c r="C5" i="10"/>
  <c r="R4" i="10"/>
  <c r="Q4" i="10"/>
  <c r="P4" i="10"/>
  <c r="E4" i="10"/>
  <c r="C4" i="10"/>
  <c r="R3" i="10"/>
  <c r="Q3" i="10"/>
  <c r="P3" i="10"/>
  <c r="W3" i="10" s="1"/>
  <c r="E3" i="10"/>
  <c r="C3" i="10"/>
  <c r="R2" i="10"/>
  <c r="Q2" i="10"/>
  <c r="P2" i="10"/>
  <c r="V2" i="10" s="1"/>
  <c r="E2" i="10"/>
  <c r="C2" i="10"/>
  <c r="W384" i="10"/>
  <c r="V384" i="10"/>
  <c r="Q384" i="10"/>
  <c r="N384" i="10"/>
  <c r="U384" i="10" s="1"/>
  <c r="O384" i="10"/>
  <c r="C384" i="10"/>
  <c r="Q383" i="10"/>
  <c r="C383" i="10"/>
  <c r="R365" i="10"/>
  <c r="P365" i="10"/>
  <c r="N365" i="10"/>
  <c r="U365" i="10" s="1"/>
  <c r="C365" i="10"/>
  <c r="Q367" i="10"/>
  <c r="P367" i="10"/>
  <c r="N367" i="10" s="1"/>
  <c r="U367" i="10" s="1"/>
  <c r="C367" i="10"/>
  <c r="R311" i="10"/>
  <c r="Q311" i="10"/>
  <c r="P311" i="10"/>
  <c r="E311" i="10"/>
  <c r="C311" i="10"/>
  <c r="R313" i="10"/>
  <c r="Q313" i="10"/>
  <c r="P313" i="10"/>
  <c r="W313" i="10"/>
  <c r="K313" i="10"/>
  <c r="C313" i="10"/>
  <c r="H11" i="10"/>
  <c r="K367" i="10"/>
  <c r="M192" i="10"/>
  <c r="M176" i="10"/>
  <c r="DF268" i="1"/>
  <c r="DE148" i="1"/>
  <c r="DF448" i="1"/>
  <c r="BT305" i="1"/>
  <c r="DF54" i="1"/>
  <c r="M234" i="10"/>
  <c r="BS103" i="1"/>
  <c r="CT59" i="1"/>
  <c r="CV59" i="1" s="1"/>
  <c r="CW59" i="1" s="1"/>
  <c r="BT395" i="1"/>
  <c r="DE108" i="1"/>
  <c r="DE96" i="1"/>
  <c r="DE67" i="1"/>
  <c r="DF20" i="1"/>
  <c r="DE20" i="1"/>
  <c r="BP288" i="1"/>
  <c r="BS288" i="1"/>
  <c r="BP259" i="1"/>
  <c r="DE106" i="1"/>
  <c r="DF106" i="1"/>
  <c r="DE44" i="1"/>
  <c r="DF44" i="1"/>
  <c r="BT25" i="1"/>
  <c r="BP352" i="1"/>
  <c r="DF384" i="1"/>
  <c r="DF156" i="1"/>
  <c r="DE252" i="1"/>
  <c r="DF252" i="1"/>
  <c r="DF194" i="1"/>
  <c r="DE194" i="1"/>
  <c r="BS33" i="1"/>
  <c r="DE430" i="1"/>
  <c r="DF345" i="1"/>
  <c r="DF496" i="1"/>
  <c r="CT107" i="1"/>
  <c r="CV107" i="1" s="1"/>
  <c r="CW107" i="1" s="1"/>
  <c r="H105" i="10" s="1"/>
  <c r="DE291" i="1"/>
  <c r="DE297" i="1"/>
  <c r="DF278" i="1"/>
  <c r="DF383" i="1"/>
  <c r="CT4" i="1"/>
  <c r="BS167" i="1"/>
  <c r="CT150" i="1"/>
  <c r="BS148" i="1"/>
  <c r="DE23" i="1"/>
  <c r="DF12" i="1"/>
  <c r="DE12" i="1"/>
  <c r="DF10" i="1"/>
  <c r="BT9" i="1"/>
  <c r="DF8" i="1"/>
  <c r="DE8" i="1"/>
  <c r="BT7" i="1"/>
  <c r="DF4" i="1"/>
  <c r="DE4" i="1"/>
  <c r="BS3" i="1"/>
  <c r="BT3" i="1"/>
  <c r="DF2" i="1"/>
  <c r="DE2" i="1"/>
  <c r="M495" i="10"/>
  <c r="DE489" i="1"/>
  <c r="DF489" i="1"/>
  <c r="BT490" i="1"/>
  <c r="M498" i="10"/>
  <c r="DF317" i="1"/>
  <c r="DE317" i="1"/>
  <c r="BS22" i="1"/>
  <c r="DE334" i="1"/>
  <c r="DE182" i="1"/>
  <c r="DF182" i="1"/>
  <c r="DE167" i="1"/>
  <c r="DF167" i="1"/>
  <c r="DF395" i="1"/>
  <c r="DF320" i="1"/>
  <c r="DF224" i="1"/>
  <c r="DE224" i="1"/>
  <c r="DF204" i="1"/>
  <c r="BT189" i="1"/>
  <c r="DF187" i="1"/>
  <c r="DE105" i="1"/>
  <c r="DF105" i="1"/>
  <c r="DE39" i="1"/>
  <c r="DF39" i="1"/>
  <c r="BT11" i="1"/>
  <c r="CT60" i="1"/>
  <c r="BS68" i="1"/>
  <c r="BS66" i="1"/>
  <c r="BS64" i="1"/>
  <c r="BS193" i="1"/>
  <c r="DE271" i="1"/>
  <c r="DF271" i="1"/>
  <c r="DE388" i="1"/>
  <c r="BT335" i="1"/>
  <c r="DF386" i="1"/>
  <c r="BS185" i="1"/>
  <c r="DF500" i="1"/>
  <c r="BS152" i="1"/>
  <c r="DF391" i="1"/>
  <c r="DF301" i="1"/>
  <c r="DF256" i="1"/>
  <c r="DF140" i="1"/>
  <c r="BT139" i="1"/>
  <c r="DE494" i="1"/>
  <c r="DF494" i="1"/>
  <c r="DF179" i="1"/>
  <c r="BS60" i="1"/>
  <c r="BT60" i="1"/>
  <c r="DE55" i="1"/>
  <c r="DF55" i="1"/>
  <c r="BT49" i="1"/>
  <c r="DE329" i="1"/>
  <c r="DE374" i="1"/>
  <c r="DF81" i="1"/>
  <c r="DE81" i="1"/>
  <c r="DE419" i="1"/>
  <c r="BT128" i="1"/>
  <c r="BT124" i="1"/>
  <c r="CT160" i="1"/>
  <c r="DE18" i="1"/>
  <c r="DF18" i="1"/>
  <c r="DE236" i="1"/>
  <c r="BT156" i="1"/>
  <c r="DE61" i="1"/>
  <c r="DF61" i="1"/>
  <c r="DF274" i="1"/>
  <c r="DE254" i="1"/>
  <c r="DF254" i="1"/>
  <c r="DF159" i="1"/>
  <c r="DE46" i="1"/>
  <c r="DF46" i="1"/>
  <c r="DF40" i="1"/>
  <c r="BS17" i="1"/>
  <c r="DE389" i="1"/>
  <c r="DE149" i="1"/>
  <c r="DF149" i="1"/>
  <c r="DE444" i="1"/>
  <c r="M308" i="10"/>
  <c r="O308" i="10" s="1"/>
  <c r="BT230" i="1"/>
  <c r="BT184" i="1"/>
  <c r="DF503" i="1"/>
  <c r="BT372" i="1"/>
  <c r="DE243" i="1"/>
  <c r="DF243" i="1"/>
  <c r="BP240" i="1"/>
  <c r="BS240" i="1" s="1"/>
  <c r="BT170" i="1"/>
  <c r="DE169" i="1"/>
  <c r="DE336" i="1"/>
  <c r="BT506" i="1"/>
  <c r="BS160" i="1"/>
  <c r="DE502" i="1"/>
  <c r="DF502" i="1"/>
  <c r="BS503" i="1"/>
  <c r="CT505" i="1"/>
  <c r="BS501" i="1"/>
  <c r="BP502" i="1"/>
  <c r="BS502" i="1" s="1"/>
  <c r="DF506" i="1"/>
  <c r="DF499" i="1"/>
  <c r="BP416" i="1"/>
  <c r="BS416" i="1" s="1"/>
  <c r="BT231" i="1"/>
  <c r="DF309" i="1"/>
  <c r="DE309" i="1"/>
  <c r="BS171" i="1"/>
  <c r="BS46" i="1"/>
  <c r="CT169" i="1"/>
  <c r="BS100" i="1"/>
  <c r="BS496" i="1"/>
  <c r="BS237" i="1"/>
  <c r="CT212" i="1"/>
  <c r="DE191" i="1"/>
  <c r="DF191" i="1"/>
  <c r="BT190" i="1"/>
  <c r="BS186" i="1"/>
  <c r="BT186" i="1"/>
  <c r="BT182" i="1"/>
  <c r="DE471" i="1"/>
  <c r="DE331" i="1"/>
  <c r="DF331" i="1"/>
  <c r="DE210" i="1"/>
  <c r="BT209" i="1"/>
  <c r="DE377" i="1"/>
  <c r="DF373" i="1"/>
  <c r="DF365" i="1"/>
  <c r="DE365" i="1"/>
  <c r="BT356" i="1"/>
  <c r="BS112" i="1"/>
  <c r="DF109" i="1"/>
  <c r="BS2" i="1"/>
  <c r="DE486" i="1"/>
  <c r="BS57" i="1"/>
  <c r="DE260" i="1"/>
  <c r="BS27" i="1"/>
  <c r="BS102" i="1"/>
  <c r="CT503" i="1"/>
  <c r="CT28" i="1"/>
  <c r="L29" i="10"/>
  <c r="BS25" i="1"/>
  <c r="BT290" i="1"/>
  <c r="BT282" i="1"/>
  <c r="DF227" i="1"/>
  <c r="BT210" i="1"/>
  <c r="BS210" i="1"/>
  <c r="DE192" i="1"/>
  <c r="DF192" i="1"/>
  <c r="DE177" i="1"/>
  <c r="DE168" i="1"/>
  <c r="DF168" i="1"/>
  <c r="BT142" i="1"/>
  <c r="DE103" i="1"/>
  <c r="DF86" i="1"/>
  <c r="DF85" i="1"/>
  <c r="DE85" i="1"/>
  <c r="DF27" i="1"/>
  <c r="DE27" i="1"/>
  <c r="DF175" i="1"/>
  <c r="DE369" i="1"/>
  <c r="DF369" i="1"/>
  <c r="DE381" i="1"/>
  <c r="BT285" i="1"/>
  <c r="DF505" i="1"/>
  <c r="DE505" i="1"/>
  <c r="DF238" i="1"/>
  <c r="DF258" i="1"/>
  <c r="DF250" i="1"/>
  <c r="DF226" i="1"/>
  <c r="BS74" i="1"/>
  <c r="DE326" i="1"/>
  <c r="DF318" i="1"/>
  <c r="DF215" i="1"/>
  <c r="BS217" i="1"/>
  <c r="BS213" i="1"/>
  <c r="DF426" i="1"/>
  <c r="DE398" i="1"/>
  <c r="DE90" i="1"/>
  <c r="BS77" i="1"/>
  <c r="BS110" i="1"/>
  <c r="DF322" i="1"/>
  <c r="DE223" i="1"/>
  <c r="DF442" i="1"/>
  <c r="DE199" i="1"/>
  <c r="BS122" i="1"/>
  <c r="BS161" i="1"/>
  <c r="CT215" i="1"/>
  <c r="CU215" i="1"/>
  <c r="CX215" i="1"/>
  <c r="G215" i="10"/>
  <c r="K215" i="10" s="1"/>
  <c r="BS201" i="1"/>
  <c r="CT179" i="1"/>
  <c r="DF306" i="1"/>
  <c r="BS159" i="1"/>
  <c r="DF185" i="1"/>
  <c r="DF158" i="1"/>
  <c r="DF312" i="1"/>
  <c r="DF181" i="1"/>
  <c r="BS174" i="1"/>
  <c r="DF366" i="1"/>
  <c r="DF142" i="1"/>
  <c r="DE150" i="1"/>
  <c r="DE300" i="1"/>
  <c r="BS157" i="1"/>
  <c r="DF265" i="1"/>
  <c r="DF154" i="1"/>
  <c r="DE245" i="1"/>
  <c r="BS280" i="1"/>
  <c r="DF513" i="1"/>
  <c r="DF134" i="1"/>
  <c r="DE343" i="1"/>
  <c r="BS145" i="1"/>
  <c r="DF289" i="1"/>
  <c r="DF189" i="1"/>
  <c r="DF138" i="1"/>
  <c r="BS272" i="1"/>
  <c r="CT38" i="1"/>
  <c r="L38" i="10" s="1"/>
  <c r="BS37" i="1"/>
  <c r="CT18" i="1"/>
  <c r="L18" i="10" s="1"/>
  <c r="BS492" i="1"/>
  <c r="CT343" i="1"/>
  <c r="CT227" i="1"/>
  <c r="L226" i="10" s="1"/>
  <c r="CU218" i="1"/>
  <c r="F218" i="10" s="1"/>
  <c r="BS196" i="1"/>
  <c r="CT190" i="1"/>
  <c r="BS184" i="1"/>
  <c r="CT182" i="1"/>
  <c r="CV182" i="1" s="1"/>
  <c r="CW182" i="1" s="1"/>
  <c r="H182" i="10" s="1"/>
  <c r="BS158" i="1"/>
  <c r="CT148" i="1"/>
  <c r="L148" i="10" s="1"/>
  <c r="DE33" i="1"/>
  <c r="DF33" i="1"/>
  <c r="BT32" i="1"/>
  <c r="BS32" i="1"/>
  <c r="BT28" i="1"/>
  <c r="BS28" i="1"/>
  <c r="BT24" i="1"/>
  <c r="BS24" i="1"/>
  <c r="BS20" i="1"/>
  <c r="BT20" i="1"/>
  <c r="BT500" i="1"/>
  <c r="BS123" i="1"/>
  <c r="DE116" i="1"/>
  <c r="DF116" i="1"/>
  <c r="DE112" i="1"/>
  <c r="DE99" i="1"/>
  <c r="DF99" i="1"/>
  <c r="DE91" i="1"/>
  <c r="DF87" i="1"/>
  <c r="DE87" i="1"/>
  <c r="BT82" i="1"/>
  <c r="DF79" i="1"/>
  <c r="DE79" i="1"/>
  <c r="BT78" i="1"/>
  <c r="DF75" i="1"/>
  <c r="BS67" i="1"/>
  <c r="BT63" i="1"/>
  <c r="DF60" i="1"/>
  <c r="DF319" i="1"/>
  <c r="BT298" i="1"/>
  <c r="BT275" i="1"/>
  <c r="BT236" i="1"/>
  <c r="DF205" i="1"/>
  <c r="DE205" i="1"/>
  <c r="BT204" i="1"/>
  <c r="BT200" i="1"/>
  <c r="DE197" i="1"/>
  <c r="DF197" i="1"/>
  <c r="M182" i="10"/>
  <c r="BT176" i="1"/>
  <c r="BS176" i="1"/>
  <c r="DF173" i="1"/>
  <c r="DE173" i="1"/>
  <c r="BT172" i="1"/>
  <c r="BS172" i="1"/>
  <c r="DE161" i="1"/>
  <c r="DF161" i="1"/>
  <c r="DE362" i="1"/>
  <c r="DF362" i="1"/>
  <c r="DE358" i="1"/>
  <c r="BT349" i="1"/>
  <c r="BT310" i="1"/>
  <c r="DE299" i="1"/>
  <c r="DE284" i="1"/>
  <c r="DF284" i="1"/>
  <c r="BT232" i="1"/>
  <c r="DE225" i="1"/>
  <c r="DF436" i="1"/>
  <c r="DE436" i="1"/>
  <c r="BT361" i="1"/>
  <c r="DF354" i="1"/>
  <c r="DE354" i="1"/>
  <c r="DE342" i="1"/>
  <c r="DF342" i="1"/>
  <c r="DE292" i="1"/>
  <c r="DF288" i="1"/>
  <c r="BT287" i="1"/>
  <c r="DE280" i="1"/>
  <c r="BT220" i="1"/>
  <c r="BS168" i="1"/>
  <c r="DF512" i="1"/>
  <c r="BS333" i="1"/>
  <c r="BS104" i="1"/>
  <c r="CT153" i="1"/>
  <c r="CU153" i="1" s="1"/>
  <c r="CZ153" i="1" s="1"/>
  <c r="BS493" i="1"/>
  <c r="BS202" i="1"/>
  <c r="DE511" i="1"/>
  <c r="BS512" i="1"/>
  <c r="CT156" i="1"/>
  <c r="BS44" i="1"/>
  <c r="CT490" i="1"/>
  <c r="CT159" i="1"/>
  <c r="BS215" i="1"/>
  <c r="CT67" i="1"/>
  <c r="L66" i="10" s="1"/>
  <c r="CT87" i="1"/>
  <c r="L87" i="10"/>
  <c r="BS108" i="1"/>
  <c r="CT22" i="1"/>
  <c r="CU22" i="1" s="1"/>
  <c r="F22" i="10"/>
  <c r="BS180" i="1"/>
  <c r="CT36" i="1"/>
  <c r="CU36" i="1"/>
  <c r="CX36" i="1" s="1"/>
  <c r="G35" i="10" s="1"/>
  <c r="K35" i="10" s="1"/>
  <c r="CT29" i="1"/>
  <c r="CV29" i="1" s="1"/>
  <c r="CW29" i="1" s="1"/>
  <c r="DE428" i="1"/>
  <c r="DF428" i="1"/>
  <c r="DE209" i="1"/>
  <c r="DF209" i="1"/>
  <c r="DF127" i="1"/>
  <c r="DE52" i="1"/>
  <c r="DF52" i="1"/>
  <c r="M497" i="10"/>
  <c r="BT208" i="1"/>
  <c r="BS130" i="1"/>
  <c r="BT51" i="1"/>
  <c r="DE468" i="1"/>
  <c r="DE234" i="1"/>
  <c r="DF234" i="1"/>
  <c r="DE212" i="1"/>
  <c r="DF212" i="1"/>
  <c r="BT164" i="1"/>
  <c r="BT62" i="1"/>
  <c r="BS62" i="1"/>
  <c r="BT72" i="1"/>
  <c r="DF66" i="1"/>
  <c r="DF402" i="1"/>
  <c r="DE402" i="1"/>
  <c r="DF283" i="1"/>
  <c r="DE283" i="1"/>
  <c r="DF146" i="1"/>
  <c r="DE146" i="1"/>
  <c r="DF76" i="1"/>
  <c r="DE76" i="1"/>
  <c r="DE17" i="1"/>
  <c r="DF17" i="1"/>
  <c r="DF11" i="1"/>
  <c r="DE11" i="1"/>
  <c r="BT10" i="1"/>
  <c r="DF324" i="1"/>
  <c r="DE324" i="1"/>
  <c r="DE286" i="1"/>
  <c r="DF286" i="1"/>
  <c r="DF113" i="1"/>
  <c r="DE113" i="1"/>
  <c r="BT336" i="1"/>
  <c r="DE247" i="1"/>
  <c r="DF247" i="1"/>
  <c r="DF28" i="1"/>
  <c r="DE28" i="1"/>
  <c r="DE509" i="1"/>
  <c r="DF509" i="1"/>
  <c r="BS34" i="1"/>
  <c r="BT34" i="1"/>
  <c r="BT30" i="1"/>
  <c r="BS30" i="1"/>
  <c r="DE493" i="1"/>
  <c r="CT161" i="1"/>
  <c r="CU161" i="1" s="1"/>
  <c r="CV161" i="1"/>
  <c r="BS116" i="1"/>
  <c r="BT116" i="1"/>
  <c r="DF515" i="1"/>
  <c r="DF517" i="1"/>
  <c r="DF524" i="1"/>
  <c r="DF518" i="1"/>
  <c r="BS524" i="1"/>
  <c r="CT526" i="1"/>
  <c r="L534" i="10" s="1"/>
  <c r="CT528" i="1"/>
  <c r="BS519" i="1"/>
  <c r="BS532" i="1"/>
  <c r="DF530" i="1"/>
  <c r="CT531" i="1"/>
  <c r="DF434" i="1"/>
  <c r="BP430" i="1"/>
  <c r="BS430" i="1" s="1"/>
  <c r="BP378" i="1"/>
  <c r="BS378" i="1"/>
  <c r="BP376" i="1"/>
  <c r="BS376" i="1" s="1"/>
  <c r="DF368" i="1"/>
  <c r="DE368" i="1"/>
  <c r="BT350" i="1"/>
  <c r="BP346" i="1"/>
  <c r="BS346" i="1" s="1"/>
  <c r="DE344" i="1"/>
  <c r="DF344" i="1"/>
  <c r="BP343" i="1"/>
  <c r="BS343" i="1" s="1"/>
  <c r="BT342" i="1"/>
  <c r="BT286" i="1"/>
  <c r="BT253" i="1"/>
  <c r="BS253" i="1"/>
  <c r="M251" i="10"/>
  <c r="O251" i="10" s="1"/>
  <c r="BT136" i="1"/>
  <c r="BS127" i="1"/>
  <c r="BS118" i="1"/>
  <c r="BT106" i="1"/>
  <c r="BT94" i="1"/>
  <c r="BS94" i="1"/>
  <c r="DE95" i="1"/>
  <c r="DF461" i="1"/>
  <c r="DF376" i="1"/>
  <c r="DE190" i="1"/>
  <c r="DF190" i="1"/>
  <c r="BS528" i="1"/>
  <c r="BT528" i="1"/>
  <c r="BT529" i="1"/>
  <c r="BS529" i="1"/>
  <c r="DE521" i="1"/>
  <c r="DF521" i="1"/>
  <c r="DE522" i="1"/>
  <c r="DF522" i="1"/>
  <c r="BT523" i="1"/>
  <c r="BS523" i="1"/>
  <c r="DF531" i="1"/>
  <c r="DE531" i="1"/>
  <c r="BP534" i="1"/>
  <c r="BS534" i="1"/>
  <c r="DF525" i="1"/>
  <c r="DE525" i="1"/>
  <c r="M533" i="10"/>
  <c r="O533" i="10"/>
  <c r="CT525" i="1"/>
  <c r="BP527" i="1"/>
  <c r="BS527" i="1" s="1"/>
  <c r="BT530" i="1"/>
  <c r="BS530" i="1"/>
  <c r="CT534" i="1"/>
  <c r="CU534" i="1" s="1"/>
  <c r="BS521" i="1"/>
  <c r="DF230" i="1"/>
  <c r="DF532" i="1"/>
  <c r="DE523" i="1"/>
  <c r="DE528" i="1"/>
  <c r="BS536" i="1"/>
  <c r="AQ5" i="8"/>
  <c r="BS370" i="1"/>
  <c r="BS526" i="1"/>
  <c r="BS525" i="1"/>
  <c r="BS287" i="1"/>
  <c r="DF520" i="1"/>
  <c r="CT521" i="1"/>
  <c r="L528" i="10"/>
  <c r="DE534" i="1"/>
  <c r="BS535" i="1"/>
  <c r="CT535" i="1"/>
  <c r="CT536" i="1"/>
  <c r="CV536" i="1" s="1"/>
  <c r="BS518" i="1"/>
  <c r="BS522" i="1"/>
  <c r="BS520" i="1"/>
  <c r="DE535" i="1"/>
  <c r="DF526" i="1"/>
  <c r="DE449" i="1"/>
  <c r="BP208" i="1"/>
  <c r="BS208" i="1"/>
  <c r="M209" i="10"/>
  <c r="BT205" i="1"/>
  <c r="BT154" i="1"/>
  <c r="BT138" i="1"/>
  <c r="BS138" i="1"/>
  <c r="BT48" i="1"/>
  <c r="DF47" i="1"/>
  <c r="DF467" i="1"/>
  <c r="BT435" i="1"/>
  <c r="DE425" i="1"/>
  <c r="DE372" i="1"/>
  <c r="DF372" i="1"/>
  <c r="DE370" i="1"/>
  <c r="DF370" i="1"/>
  <c r="DF352" i="1"/>
  <c r="DE352" i="1"/>
  <c r="BT233" i="1"/>
  <c r="BS233" i="1"/>
  <c r="BT224" i="1"/>
  <c r="BS224" i="1"/>
  <c r="DE221" i="1"/>
  <c r="DF221" i="1"/>
  <c r="DF206" i="1"/>
  <c r="DE206" i="1"/>
  <c r="DF203" i="1"/>
  <c r="DE198" i="1"/>
  <c r="BT192" i="1"/>
  <c r="BS192" i="1"/>
  <c r="BS134" i="1"/>
  <c r="BT134" i="1"/>
  <c r="BT131" i="1"/>
  <c r="BS131" i="1"/>
  <c r="DE102" i="1"/>
  <c r="DF102" i="1"/>
  <c r="DE100" i="1"/>
  <c r="DF98" i="1"/>
  <c r="BT495" i="1"/>
  <c r="BS495" i="1"/>
  <c r="DF497" i="1"/>
  <c r="DE497" i="1"/>
  <c r="DF104" i="1"/>
  <c r="CT369" i="1"/>
  <c r="CU369" i="1" s="1"/>
  <c r="F371" i="10"/>
  <c r="BS358" i="1"/>
  <c r="BS305" i="1"/>
  <c r="BS257" i="1"/>
  <c r="CT229" i="1"/>
  <c r="BS225" i="1"/>
  <c r="CT224" i="1"/>
  <c r="CT216" i="1"/>
  <c r="CV216" i="1"/>
  <c r="CW216" i="1" s="1"/>
  <c r="H217" i="10" s="1"/>
  <c r="CT196" i="1"/>
  <c r="CU196" i="1"/>
  <c r="F196" i="10"/>
  <c r="CT195" i="1"/>
  <c r="CT194" i="1"/>
  <c r="CT189" i="1"/>
  <c r="CU189" i="1"/>
  <c r="F190" i="10" s="1"/>
  <c r="CY189" i="1"/>
  <c r="CT163" i="1"/>
  <c r="CT162" i="1"/>
  <c r="BS149" i="1"/>
  <c r="BS209" i="1"/>
  <c r="CT541" i="1"/>
  <c r="L549" i="10" s="1"/>
  <c r="CU541" i="1"/>
  <c r="CZ541" i="1" s="1"/>
  <c r="F549" i="10"/>
  <c r="BS128" i="1"/>
  <c r="CT115" i="1"/>
  <c r="L115" i="10"/>
  <c r="CT74" i="1"/>
  <c r="BS72" i="1"/>
  <c r="CT54" i="1"/>
  <c r="L55" i="10"/>
  <c r="CT7" i="1"/>
  <c r="BS7" i="1"/>
  <c r="CT6" i="1"/>
  <c r="CU6" i="1"/>
  <c r="CZ6" i="1" s="1"/>
  <c r="BS538" i="1"/>
  <c r="CT537" i="1"/>
  <c r="L545" i="10"/>
  <c r="BT431" i="1"/>
  <c r="BS431" i="1"/>
  <c r="BT386" i="1"/>
  <c r="BS386" i="1"/>
  <c r="BT344" i="1"/>
  <c r="DE314" i="1"/>
  <c r="DF314" i="1"/>
  <c r="DF282" i="1"/>
  <c r="DE282" i="1"/>
  <c r="BT267" i="1"/>
  <c r="BS267" i="1"/>
  <c r="M223" i="10"/>
  <c r="BT114" i="1"/>
  <c r="BS114" i="1"/>
  <c r="BT79" i="1"/>
  <c r="BS50" i="1"/>
  <c r="DF32" i="1"/>
  <c r="DF6" i="1"/>
  <c r="DE6" i="1"/>
  <c r="DF470" i="1"/>
  <c r="BT216" i="1"/>
  <c r="BS216" i="1"/>
  <c r="DE211" i="1"/>
  <c r="BT119" i="1"/>
  <c r="BS119" i="1"/>
  <c r="DF516" i="1"/>
  <c r="DE516" i="1"/>
  <c r="BS360" i="1"/>
  <c r="DE473" i="1"/>
  <c r="DE401" i="1"/>
  <c r="BT392" i="1"/>
  <c r="BS392" i="1"/>
  <c r="BT387" i="1"/>
  <c r="BS387" i="1"/>
  <c r="DE361" i="1"/>
  <c r="DF361" i="1"/>
  <c r="BT330" i="1"/>
  <c r="BS330" i="1"/>
  <c r="BT270" i="1"/>
  <c r="DE237" i="1"/>
  <c r="DF237" i="1"/>
  <c r="M231" i="10"/>
  <c r="BT218" i="1"/>
  <c r="BS218" i="1"/>
  <c r="DE195" i="1"/>
  <c r="DF195" i="1"/>
  <c r="BT194" i="1"/>
  <c r="BS194" i="1"/>
  <c r="BT188" i="1"/>
  <c r="BS188" i="1"/>
  <c r="DF163" i="1"/>
  <c r="DE163" i="1"/>
  <c r="BT162" i="1"/>
  <c r="DE155" i="1"/>
  <c r="DF155" i="1"/>
  <c r="BT86" i="1"/>
  <c r="BT61" i="1"/>
  <c r="DE56" i="1"/>
  <c r="DF56" i="1"/>
  <c r="BT514" i="1"/>
  <c r="W519" i="10"/>
  <c r="DF475" i="1"/>
  <c r="DE475" i="1"/>
  <c r="DF538" i="1"/>
  <c r="DF542" i="1"/>
  <c r="DE542" i="1"/>
  <c r="DF539" i="1"/>
  <c r="DE539" i="1"/>
  <c r="M545" i="10"/>
  <c r="CT540" i="1"/>
  <c r="L548" i="10" s="1"/>
  <c r="CT538" i="1"/>
  <c r="CV538" i="1"/>
  <c r="CW538" i="1" s="1"/>
  <c r="H546" i="10" s="1"/>
  <c r="CT543" i="1"/>
  <c r="CT544" i="1"/>
  <c r="L552" i="10"/>
  <c r="CT542" i="1"/>
  <c r="CU542" i="1"/>
  <c r="CX542" i="1"/>
  <c r="G550" i="10"/>
  <c r="K550" i="10" s="1"/>
  <c r="CT539" i="1"/>
  <c r="N547" i="10"/>
  <c r="U547" i="10"/>
  <c r="V547" i="10"/>
  <c r="V552" i="10"/>
  <c r="DF537" i="1"/>
  <c r="BS540" i="1"/>
  <c r="BS398" i="1"/>
  <c r="BS375" i="1"/>
  <c r="BS23" i="1"/>
  <c r="BS361" i="1"/>
  <c r="BS309" i="1"/>
  <c r="V421" i="10"/>
  <c r="CT368" i="1"/>
  <c r="CV368" i="1"/>
  <c r="CW368" i="1" s="1"/>
  <c r="CT165" i="1"/>
  <c r="L163" i="10" s="1"/>
  <c r="BS9" i="1"/>
  <c r="BS211" i="1"/>
  <c r="BS236" i="1"/>
  <c r="BS98" i="1"/>
  <c r="CT377" i="1"/>
  <c r="CV377" i="1" s="1"/>
  <c r="CW377" i="1" s="1"/>
  <c r="CU377" i="1"/>
  <c r="CZ377" i="1" s="1"/>
  <c r="CT378" i="1"/>
  <c r="CT350" i="1"/>
  <c r="CU350" i="1" s="1"/>
  <c r="CZ350" i="1" s="1"/>
  <c r="CV350" i="1"/>
  <c r="CW350" i="1" s="1"/>
  <c r="CT222" i="1"/>
  <c r="CU222" i="1" s="1"/>
  <c r="L223" i="10"/>
  <c r="BS165" i="1"/>
  <c r="CT164" i="1"/>
  <c r="CT197" i="1"/>
  <c r="CV197" i="1"/>
  <c r="CW197" i="1" s="1"/>
  <c r="H197" i="10"/>
  <c r="CT203" i="1"/>
  <c r="CT53" i="1"/>
  <c r="CV53" i="1"/>
  <c r="CW53" i="1" s="1"/>
  <c r="H53" i="10" s="1"/>
  <c r="CT488" i="1"/>
  <c r="L496" i="10" s="1"/>
  <c r="CT23" i="1"/>
  <c r="CV23" i="1"/>
  <c r="CW23" i="1" s="1"/>
  <c r="H23" i="10" s="1"/>
  <c r="CT520" i="1"/>
  <c r="CU520" i="1"/>
  <c r="CZ520" i="1" s="1"/>
  <c r="CX520" i="1"/>
  <c r="G527" i="10" s="1"/>
  <c r="K527" i="10" s="1"/>
  <c r="CT529" i="1"/>
  <c r="CT8" i="1"/>
  <c r="L6" i="10" s="1"/>
  <c r="CT523" i="1"/>
  <c r="CT66" i="1"/>
  <c r="BS53" i="1"/>
  <c r="CT9" i="1"/>
  <c r="L9" i="10"/>
  <c r="CT486" i="1"/>
  <c r="BS537" i="1"/>
  <c r="BS541" i="1"/>
  <c r="L357" i="10"/>
  <c r="CT100" i="1"/>
  <c r="L100" i="10"/>
  <c r="BT85" i="1"/>
  <c r="CT522" i="1"/>
  <c r="CV522" i="1" s="1"/>
  <c r="CW522" i="1" s="1"/>
  <c r="H529" i="10" s="1"/>
  <c r="AP13" i="8"/>
  <c r="CT437" i="1"/>
  <c r="L447" i="10" s="1"/>
  <c r="CT433" i="1"/>
  <c r="BS380" i="1"/>
  <c r="CT226" i="1"/>
  <c r="CT299" i="1"/>
  <c r="CV299" i="1"/>
  <c r="CW299" i="1"/>
  <c r="H299" i="10" s="1"/>
  <c r="CT233" i="1"/>
  <c r="CU233" i="1"/>
  <c r="CX233" i="1"/>
  <c r="G233" i="10" s="1"/>
  <c r="K233" i="10" s="1"/>
  <c r="CT114" i="1"/>
  <c r="L114" i="10"/>
  <c r="CT111" i="1"/>
  <c r="CV111" i="1" s="1"/>
  <c r="CT103" i="1"/>
  <c r="CU103" i="1"/>
  <c r="F103" i="10"/>
  <c r="CT99" i="1"/>
  <c r="CV99" i="1" s="1"/>
  <c r="CW99" i="1" s="1"/>
  <c r="H99" i="10" s="1"/>
  <c r="BS82" i="1"/>
  <c r="BS78" i="1"/>
  <c r="CT65" i="1"/>
  <c r="L65" i="10" s="1"/>
  <c r="CU65" i="1"/>
  <c r="CT61" i="1"/>
  <c r="CT2" i="1"/>
  <c r="CV2" i="1"/>
  <c r="CW2" i="1" s="1"/>
  <c r="H2" i="10"/>
  <c r="CT491" i="1"/>
  <c r="CT496" i="1"/>
  <c r="CT500" i="1"/>
  <c r="CX541" i="1"/>
  <c r="G549" i="10" s="1"/>
  <c r="K549" i="10" s="1"/>
  <c r="CT396" i="1"/>
  <c r="CT272" i="1"/>
  <c r="CT228" i="1"/>
  <c r="BS49" i="1"/>
  <c r="BS45" i="1"/>
  <c r="CT286" i="1"/>
  <c r="L286" i="10" s="1"/>
  <c r="CU286" i="1"/>
  <c r="BS147" i="1"/>
  <c r="CT113" i="1"/>
  <c r="CV113" i="1"/>
  <c r="CW113" i="1" s="1"/>
  <c r="H110" i="10"/>
  <c r="CT112" i="1"/>
  <c r="L111" i="10" s="1"/>
  <c r="CT104" i="1"/>
  <c r="CU104" i="1"/>
  <c r="CT98" i="1"/>
  <c r="CU98" i="1" s="1"/>
  <c r="CX98" i="1"/>
  <c r="G98" i="10"/>
  <c r="K98" i="10" s="1"/>
  <c r="CT64" i="1"/>
  <c r="CT32" i="1"/>
  <c r="CU32" i="1" s="1"/>
  <c r="CX32" i="1" s="1"/>
  <c r="G33" i="10" s="1"/>
  <c r="K33" i="10"/>
  <c r="CT527" i="1"/>
  <c r="CV527" i="1"/>
  <c r="CW527" i="1"/>
  <c r="H535" i="10"/>
  <c r="CT487" i="1"/>
  <c r="CU487" i="1"/>
  <c r="CZ487" i="1"/>
  <c r="BS490" i="1"/>
  <c r="CT493" i="1"/>
  <c r="DE546" i="1"/>
  <c r="W410" i="10"/>
  <c r="DE479" i="1"/>
  <c r="DF479" i="1"/>
  <c r="DE472" i="1"/>
  <c r="BT274" i="1"/>
  <c r="DE242" i="1"/>
  <c r="DF242" i="1"/>
  <c r="BT101" i="1"/>
  <c r="BS101" i="1"/>
  <c r="DE62" i="1"/>
  <c r="DF62" i="1"/>
  <c r="DF58" i="1"/>
  <c r="DE58" i="1"/>
  <c r="BT52" i="1"/>
  <c r="BS52" i="1"/>
  <c r="DE30" i="1"/>
  <c r="DF30" i="1"/>
  <c r="BS65" i="1"/>
  <c r="W391" i="10"/>
  <c r="DE64" i="1"/>
  <c r="DF488" i="1"/>
  <c r="DF70" i="1"/>
  <c r="DF92" i="1"/>
  <c r="BS304" i="1"/>
  <c r="BT35" i="1"/>
  <c r="DF110" i="1"/>
  <c r="DF439" i="1"/>
  <c r="DE439" i="1"/>
  <c r="DE323" i="1"/>
  <c r="DF323" i="1"/>
  <c r="BS6" i="1"/>
  <c r="BT6" i="1"/>
  <c r="DF3" i="1"/>
  <c r="DE3" i="1"/>
  <c r="BT489" i="1"/>
  <c r="BS489" i="1"/>
  <c r="DE495" i="1"/>
  <c r="DF495" i="1"/>
  <c r="V457" i="10"/>
  <c r="DE462" i="1"/>
  <c r="DE458" i="1"/>
  <c r="DF458" i="1"/>
  <c r="DE77" i="1"/>
  <c r="DE447" i="1"/>
  <c r="DE477" i="1"/>
  <c r="DE316" i="1"/>
  <c r="DE261" i="1"/>
  <c r="DF49" i="1"/>
  <c r="BS95" i="1"/>
  <c r="DF379" i="1"/>
  <c r="DE379" i="1"/>
  <c r="DF357" i="1"/>
  <c r="DE357" i="1"/>
  <c r="DF123" i="1"/>
  <c r="DE123" i="1"/>
  <c r="BS419" i="1"/>
  <c r="DE400" i="1"/>
  <c r="DE396" i="1"/>
  <c r="DF396" i="1"/>
  <c r="DE337" i="1"/>
  <c r="DF337" i="1"/>
  <c r="CT221" i="1"/>
  <c r="L221" i="10"/>
  <c r="CT220" i="1"/>
  <c r="CU220" i="1" s="1"/>
  <c r="CX220" i="1" s="1"/>
  <c r="BS220" i="1"/>
  <c r="BS500" i="1"/>
  <c r="BS29" i="1"/>
  <c r="CT10" i="1"/>
  <c r="CU10" i="1" s="1"/>
  <c r="CX10" i="1"/>
  <c r="G10" i="10"/>
  <c r="K10" i="10" s="1"/>
  <c r="BS10" i="1"/>
  <c r="CT492" i="1"/>
  <c r="CV492" i="1" s="1"/>
  <c r="CW492" i="1" s="1"/>
  <c r="H500" i="10" s="1"/>
  <c r="CU492" i="1"/>
  <c r="CT494" i="1"/>
  <c r="L502" i="10"/>
  <c r="CT495" i="1"/>
  <c r="CT374" i="1"/>
  <c r="L376" i="10"/>
  <c r="BS251" i="1"/>
  <c r="CT155" i="1"/>
  <c r="L155" i="10"/>
  <c r="BS155" i="1"/>
  <c r="BS132" i="1"/>
  <c r="CT130" i="1"/>
  <c r="L129" i="10"/>
  <c r="BS129" i="1"/>
  <c r="CT128" i="1"/>
  <c r="L128" i="10"/>
  <c r="CT117" i="1"/>
  <c r="CV117" i="1" s="1"/>
  <c r="CW117" i="1" s="1"/>
  <c r="CT96" i="1"/>
  <c r="L96" i="10" s="1"/>
  <c r="CT52" i="1"/>
  <c r="CT50" i="1"/>
  <c r="CV50" i="1"/>
  <c r="CW50" i="1"/>
  <c r="H50" i="10" s="1"/>
  <c r="CT49" i="1"/>
  <c r="CV49" i="1" s="1"/>
  <c r="CW49" i="1" s="1"/>
  <c r="H49" i="10" s="1"/>
  <c r="CT48" i="1"/>
  <c r="CV48" i="1" s="1"/>
  <c r="CW48" i="1" s="1"/>
  <c r="CT47" i="1"/>
  <c r="CV47" i="1" s="1"/>
  <c r="CW47" i="1" s="1"/>
  <c r="CT45" i="1"/>
  <c r="CV45" i="1" s="1"/>
  <c r="CW45" i="1" s="1"/>
  <c r="H45" i="10" s="1"/>
  <c r="L45" i="10"/>
  <c r="V451" i="10"/>
  <c r="V506" i="10"/>
  <c r="DE527" i="1"/>
  <c r="DF527" i="1"/>
  <c r="N545" i="10"/>
  <c r="U545" i="10" s="1"/>
  <c r="V206" i="10"/>
  <c r="W85" i="10"/>
  <c r="N85" i="10"/>
  <c r="U85" i="10"/>
  <c r="DE431" i="1"/>
  <c r="DF431" i="1"/>
  <c r="BT409" i="1"/>
  <c r="BS409" i="1"/>
  <c r="DF305" i="1"/>
  <c r="DE305" i="1"/>
  <c r="BT317" i="1"/>
  <c r="BS317" i="1"/>
  <c r="DF435" i="1"/>
  <c r="DE259" i="1"/>
  <c r="DF259" i="1"/>
  <c r="DF255" i="1"/>
  <c r="DE255" i="1"/>
  <c r="BS417" i="1"/>
  <c r="DF433" i="1"/>
  <c r="W474" i="10"/>
  <c r="CT460" i="1"/>
  <c r="CV460" i="1" s="1"/>
  <c r="CW460" i="1" s="1"/>
  <c r="L471" i="10"/>
  <c r="DE232" i="1"/>
  <c r="DF232" i="1"/>
  <c r="DF196" i="1"/>
  <c r="DE196" i="1"/>
  <c r="DE347" i="1"/>
  <c r="DE393" i="1"/>
  <c r="DE164" i="1"/>
  <c r="DF164" i="1"/>
  <c r="DE152" i="1"/>
  <c r="DF152" i="1"/>
  <c r="BT80" i="1"/>
  <c r="BS80" i="1"/>
  <c r="DE53" i="1"/>
  <c r="DF53" i="1"/>
  <c r="BS341" i="1"/>
  <c r="CT264" i="1"/>
  <c r="CU264" i="1" s="1"/>
  <c r="CT261" i="1"/>
  <c r="CU261" i="1" s="1"/>
  <c r="CX261" i="1"/>
  <c r="G261" i="10" s="1"/>
  <c r="K261" i="10" s="1"/>
  <c r="CT258" i="1"/>
  <c r="CU258" i="1"/>
  <c r="BS258" i="1"/>
  <c r="CT257" i="1"/>
  <c r="CT256" i="1"/>
  <c r="CU256" i="1" s="1"/>
  <c r="CX256" i="1" s="1"/>
  <c r="G256" i="10" s="1"/>
  <c r="K256" i="10" s="1"/>
  <c r="BS256" i="1"/>
  <c r="CT236" i="1"/>
  <c r="L235" i="10"/>
  <c r="CT232" i="1"/>
  <c r="L232" i="10"/>
  <c r="CT230" i="1"/>
  <c r="CU230" i="1"/>
  <c r="CZ230" i="1" s="1"/>
  <c r="BS226" i="1"/>
  <c r="BS223" i="1"/>
  <c r="CT200" i="1"/>
  <c r="L200" i="10" s="1"/>
  <c r="CT136" i="1"/>
  <c r="BS136" i="1"/>
  <c r="BS135" i="1"/>
  <c r="CT134" i="1"/>
  <c r="CT133" i="1"/>
  <c r="CT119" i="1"/>
  <c r="CV119" i="1" s="1"/>
  <c r="CW119" i="1"/>
  <c r="H119" i="10"/>
  <c r="CU119" i="1"/>
  <c r="CX119" i="1" s="1"/>
  <c r="G119" i="10" s="1"/>
  <c r="K119" i="10" s="1"/>
  <c r="CT82" i="1"/>
  <c r="CT75" i="1"/>
  <c r="CU75" i="1" s="1"/>
  <c r="BS75" i="1"/>
  <c r="CT72" i="1"/>
  <c r="CV72" i="1" s="1"/>
  <c r="CW72" i="1" s="1"/>
  <c r="H72" i="10" s="1"/>
  <c r="CT71" i="1"/>
  <c r="CT70" i="1"/>
  <c r="CT69" i="1"/>
  <c r="L68" i="10" s="1"/>
  <c r="CT68" i="1"/>
  <c r="CV68" i="1"/>
  <c r="CW68" i="1" s="1"/>
  <c r="H69" i="10" s="1"/>
  <c r="CT3" i="1"/>
  <c r="L3" i="10"/>
  <c r="CT504" i="1"/>
  <c r="CV504" i="1" s="1"/>
  <c r="CT502" i="1"/>
  <c r="CV502" i="1" s="1"/>
  <c r="CW502" i="1" s="1"/>
  <c r="H510" i="10" s="1"/>
  <c r="CT508" i="1"/>
  <c r="CV508" i="1" s="1"/>
  <c r="CT509" i="1"/>
  <c r="L516" i="10"/>
  <c r="CT512" i="1"/>
  <c r="CV512" i="1" s="1"/>
  <c r="CW512" i="1" s="1"/>
  <c r="H519" i="10" s="1"/>
  <c r="L519" i="10"/>
  <c r="CT514" i="1"/>
  <c r="L521" i="10"/>
  <c r="CT515" i="1"/>
  <c r="CU515" i="1" s="1"/>
  <c r="CV515" i="1"/>
  <c r="CW515" i="1" s="1"/>
  <c r="H522" i="10" s="1"/>
  <c r="CT516" i="1"/>
  <c r="CV516" i="1" s="1"/>
  <c r="CW516" i="1" s="1"/>
  <c r="CT518" i="1"/>
  <c r="CU518" i="1"/>
  <c r="F525" i="10" s="1"/>
  <c r="CT519" i="1"/>
  <c r="L526" i="10" s="1"/>
  <c r="BS421" i="1"/>
  <c r="CT292" i="1"/>
  <c r="L290" i="10"/>
  <c r="CT281" i="1"/>
  <c r="CU281" i="1" s="1"/>
  <c r="BS207" i="1"/>
  <c r="CT177" i="1"/>
  <c r="L177" i="10" s="1"/>
  <c r="CT176" i="1"/>
  <c r="CT175" i="1"/>
  <c r="CT173" i="1"/>
  <c r="CV173" i="1" s="1"/>
  <c r="CW173" i="1" s="1"/>
  <c r="H173" i="10" s="1"/>
  <c r="L173" i="10"/>
  <c r="CT172" i="1"/>
  <c r="CU172" i="1" s="1"/>
  <c r="CX172" i="1" s="1"/>
  <c r="G172" i="10" s="1"/>
  <c r="K172" i="10" s="1"/>
  <c r="CT168" i="1"/>
  <c r="CT167" i="1"/>
  <c r="L167" i="10" s="1"/>
  <c r="CT166" i="1"/>
  <c r="BS154" i="1"/>
  <c r="CT143" i="1"/>
  <c r="L143" i="10"/>
  <c r="BS141" i="1"/>
  <c r="CT137" i="1"/>
  <c r="L136" i="10" s="1"/>
  <c r="BS137" i="1"/>
  <c r="CT78" i="1"/>
  <c r="CT76" i="1"/>
  <c r="CV76" i="1"/>
  <c r="CW76" i="1" s="1"/>
  <c r="BS76" i="1"/>
  <c r="CT27" i="1"/>
  <c r="CT26" i="1"/>
  <c r="CU26" i="1"/>
  <c r="CX26" i="1" s="1"/>
  <c r="G26" i="10" s="1"/>
  <c r="K26" i="10" s="1"/>
  <c r="BS26" i="1"/>
  <c r="CT25" i="1"/>
  <c r="L24" i="10" s="1"/>
  <c r="BS391" i="1"/>
  <c r="CT345" i="1"/>
  <c r="CU345" i="1" s="1"/>
  <c r="CZ345" i="1"/>
  <c r="CT342" i="1"/>
  <c r="BS342" i="1"/>
  <c r="BS283" i="1"/>
  <c r="BS279" i="1"/>
  <c r="BS275" i="1"/>
  <c r="BS270" i="1"/>
  <c r="CT269" i="1"/>
  <c r="CT267" i="1"/>
  <c r="CU267" i="1" s="1"/>
  <c r="CZ267" i="1" s="1"/>
  <c r="BS246" i="1"/>
  <c r="BS239" i="1"/>
  <c r="CT238" i="1"/>
  <c r="CV238" i="1" s="1"/>
  <c r="CW238" i="1"/>
  <c r="H238" i="10" s="1"/>
  <c r="CT186" i="1"/>
  <c r="BS182" i="1"/>
  <c r="CT181" i="1"/>
  <c r="CV181" i="1" s="1"/>
  <c r="BS142" i="1"/>
  <c r="BS126" i="1"/>
  <c r="CT125" i="1"/>
  <c r="BS125" i="1"/>
  <c r="CT122" i="1"/>
  <c r="CU122" i="1" s="1"/>
  <c r="CT121" i="1"/>
  <c r="L121" i="10"/>
  <c r="CT17" i="1"/>
  <c r="CT15" i="1"/>
  <c r="CU15" i="1"/>
  <c r="CX15" i="1"/>
  <c r="G15" i="10" s="1"/>
  <c r="K15" i="10" s="1"/>
  <c r="CT14" i="1"/>
  <c r="BS13" i="1"/>
  <c r="CT12" i="1"/>
  <c r="BS396" i="1"/>
  <c r="DE346" i="1"/>
  <c r="DF346" i="1"/>
  <c r="BT294" i="1"/>
  <c r="DE293" i="1"/>
  <c r="DF272" i="1"/>
  <c r="DE272" i="1"/>
  <c r="DF269" i="1"/>
  <c r="DE269" i="1"/>
  <c r="DF145" i="1"/>
  <c r="DE145" i="1"/>
  <c r="BT505" i="1"/>
  <c r="BS505" i="1"/>
  <c r="DF507" i="1"/>
  <c r="DE507" i="1"/>
  <c r="BT509" i="1"/>
  <c r="BS509" i="1"/>
  <c r="DF248" i="1"/>
  <c r="BT486" i="1"/>
  <c r="DF483" i="1"/>
  <c r="DE483" i="1"/>
  <c r="BT242" i="1"/>
  <c r="BS242" i="1"/>
  <c r="DE124" i="1"/>
  <c r="DE31" i="1"/>
  <c r="DF31" i="1"/>
  <c r="DE25" i="1"/>
  <c r="DF25" i="1"/>
  <c r="DF13" i="1"/>
  <c r="DE13" i="1"/>
  <c r="DF508" i="1"/>
  <c r="DE508" i="1"/>
  <c r="BT510" i="1"/>
  <c r="BS510" i="1"/>
  <c r="CT274" i="1"/>
  <c r="CU274" i="1" s="1"/>
  <c r="DF348" i="1"/>
  <c r="DE348" i="1"/>
  <c r="BT345" i="1"/>
  <c r="BS345" i="1"/>
  <c r="DF295" i="1"/>
  <c r="DE295" i="1"/>
  <c r="DF263" i="1"/>
  <c r="DE263" i="1"/>
  <c r="DF143" i="1"/>
  <c r="DE143" i="1"/>
  <c r="BT133" i="1"/>
  <c r="DE128" i="1"/>
  <c r="DF128" i="1"/>
  <c r="DE122" i="1"/>
  <c r="DF122" i="1"/>
  <c r="DE118" i="1"/>
  <c r="DF118" i="1"/>
  <c r="BS117" i="1"/>
  <c r="BT117" i="1"/>
  <c r="BT16" i="1"/>
  <c r="DF15" i="1"/>
  <c r="DE15" i="1"/>
  <c r="BS14" i="1"/>
  <c r="BT14" i="1"/>
  <c r="DE510" i="1"/>
  <c r="DF510" i="1"/>
  <c r="BT513" i="1"/>
  <c r="BS513" i="1"/>
  <c r="BT516" i="1"/>
  <c r="BS516" i="1"/>
  <c r="M523" i="10"/>
  <c r="DE519" i="1"/>
  <c r="DF519" i="1"/>
  <c r="L7" i="10"/>
  <c r="DE264" i="1"/>
  <c r="DE403" i="1"/>
  <c r="DE399" i="1"/>
  <c r="DF399" i="1"/>
  <c r="DF397" i="1"/>
  <c r="CT277" i="1"/>
  <c r="BT243" i="1"/>
  <c r="BS243" i="1"/>
  <c r="V479" i="10"/>
  <c r="BT396" i="1"/>
  <c r="DF270" i="1"/>
  <c r="DF349" i="1"/>
  <c r="DF485" i="1"/>
  <c r="DF482" i="1"/>
  <c r="DE482" i="1"/>
  <c r="DF480" i="1"/>
  <c r="DE480" i="1"/>
  <c r="DE469" i="1"/>
  <c r="BT423" i="1"/>
  <c r="BS423" i="1"/>
  <c r="DE422" i="1"/>
  <c r="DF422" i="1"/>
  <c r="BT412" i="1"/>
  <c r="DE411" i="1"/>
  <c r="DE281" i="1"/>
  <c r="DF281" i="1"/>
  <c r="BT276" i="1"/>
  <c r="BS276" i="1"/>
  <c r="DF275" i="1"/>
  <c r="DE275" i="1"/>
  <c r="CT265" i="1"/>
  <c r="CT244" i="1"/>
  <c r="L241" i="10" s="1"/>
  <c r="BS199" i="1"/>
  <c r="BT177" i="1"/>
  <c r="BS177" i="1"/>
  <c r="DF176" i="1"/>
  <c r="BS175" i="1"/>
  <c r="BT175" i="1"/>
  <c r="DE174" i="1"/>
  <c r="DF174" i="1"/>
  <c r="BT173" i="1"/>
  <c r="BS173" i="1"/>
  <c r="DE165" i="1"/>
  <c r="DF165" i="1"/>
  <c r="CT144" i="1"/>
  <c r="CU144" i="1"/>
  <c r="CX144" i="1" s="1"/>
  <c r="G144" i="10" s="1"/>
  <c r="K144" i="10" s="1"/>
  <c r="BS144" i="1"/>
  <c r="CT141" i="1"/>
  <c r="CV141" i="1"/>
  <c r="CW141" i="1"/>
  <c r="H141" i="10"/>
  <c r="L141" i="10"/>
  <c r="CT138" i="1"/>
  <c r="DE135" i="1"/>
  <c r="DF135" i="1"/>
  <c r="DF132" i="1"/>
  <c r="DE132" i="1"/>
  <c r="DE129" i="1"/>
  <c r="DF129" i="1"/>
  <c r="CT129" i="1"/>
  <c r="CV129" i="1"/>
  <c r="CW129" i="1"/>
  <c r="H130" i="10"/>
  <c r="CT127" i="1"/>
  <c r="BS90" i="1"/>
  <c r="BT90" i="1"/>
  <c r="DE51" i="1"/>
  <c r="DF51" i="1"/>
  <c r="BT488" i="1"/>
  <c r="BS488" i="1"/>
  <c r="DF498" i="1"/>
  <c r="DE498" i="1"/>
  <c r="DE501" i="1"/>
  <c r="DF501" i="1"/>
  <c r="CT349" i="1"/>
  <c r="DF279" i="1"/>
  <c r="DE279" i="1"/>
  <c r="DE277" i="1"/>
  <c r="DF277" i="1"/>
  <c r="CT275" i="1"/>
  <c r="CU275" i="1" s="1"/>
  <c r="CX275" i="1" s="1"/>
  <c r="CT270" i="1"/>
  <c r="CU270" i="1"/>
  <c r="CX270" i="1" s="1"/>
  <c r="G269" i="10" s="1"/>
  <c r="BS254" i="1"/>
  <c r="CT251" i="1"/>
  <c r="DE201" i="1"/>
  <c r="BT476" i="1"/>
  <c r="DF443" i="1"/>
  <c r="DE443" i="1"/>
  <c r="DF441" i="1"/>
  <c r="DF424" i="1"/>
  <c r="DE421" i="1"/>
  <c r="DF421" i="1"/>
  <c r="DF410" i="1"/>
  <c r="DE408" i="1"/>
  <c r="DE446" i="1"/>
  <c r="DF446" i="1"/>
  <c r="CT387" i="1"/>
  <c r="L391" i="10" s="1"/>
  <c r="DF363" i="1"/>
  <c r="DE363" i="1"/>
  <c r="DF340" i="1"/>
  <c r="DE340" i="1"/>
  <c r="CT329" i="1"/>
  <c r="BS328" i="1"/>
  <c r="DE327" i="1"/>
  <c r="DF327" i="1"/>
  <c r="DE321" i="1"/>
  <c r="DF88" i="1"/>
  <c r="DE88" i="1"/>
  <c r="BT465" i="1"/>
  <c r="DF387" i="1"/>
  <c r="DE387" i="1"/>
  <c r="DF375" i="1"/>
  <c r="DE375" i="1"/>
  <c r="BT178" i="1"/>
  <c r="BS178" i="1"/>
  <c r="DF157" i="1"/>
  <c r="DE157" i="1"/>
  <c r="BT99" i="1"/>
  <c r="BS99" i="1"/>
  <c r="BT97" i="1"/>
  <c r="BS97" i="1"/>
  <c r="CT477" i="1"/>
  <c r="CT476" i="1"/>
  <c r="L484" i="10"/>
  <c r="CT418" i="1"/>
  <c r="CT402" i="1"/>
  <c r="L405" i="10"/>
  <c r="CT384" i="1"/>
  <c r="CT352" i="1"/>
  <c r="BS531" i="1"/>
  <c r="CT81" i="1"/>
  <c r="L81" i="10"/>
  <c r="BS81" i="1"/>
  <c r="CT80" i="1"/>
  <c r="CU80" i="1" s="1"/>
  <c r="CT79" i="1"/>
  <c r="CV79" i="1"/>
  <c r="CW79" i="1" s="1"/>
  <c r="H76" i="10" s="1"/>
  <c r="BS79" i="1"/>
  <c r="CT57" i="1"/>
  <c r="CV57" i="1" s="1"/>
  <c r="CW57" i="1" s="1"/>
  <c r="H56" i="10" s="1"/>
  <c r="CT471" i="1"/>
  <c r="L478" i="10" s="1"/>
  <c r="CT469" i="1"/>
  <c r="L476" i="10" s="1"/>
  <c r="CT395" i="1"/>
  <c r="CU395" i="1" s="1"/>
  <c r="CZ395" i="1" s="1"/>
  <c r="CX395" i="1"/>
  <c r="G399" i="10" s="1"/>
  <c r="K399" i="10" s="1"/>
  <c r="L397" i="10"/>
  <c r="CT381" i="1"/>
  <c r="BS205" i="1"/>
  <c r="CT204" i="1"/>
  <c r="CV204" i="1"/>
  <c r="BS183" i="1"/>
  <c r="CT21" i="1"/>
  <c r="CV21" i="1"/>
  <c r="CW21" i="1"/>
  <c r="H21" i="10" s="1"/>
  <c r="DE540" i="1"/>
  <c r="DF540" i="1"/>
  <c r="CT300" i="1"/>
  <c r="BS299" i="1"/>
  <c r="BS87" i="1"/>
  <c r="BS337" i="1"/>
  <c r="CT262" i="1"/>
  <c r="L262" i="10" s="1"/>
  <c r="BS234" i="1"/>
  <c r="CT88" i="1"/>
  <c r="L88" i="10"/>
  <c r="CT62" i="1"/>
  <c r="CU62" i="1" s="1"/>
  <c r="CX62" i="1" s="1"/>
  <c r="BS551" i="1"/>
  <c r="DF246" i="1"/>
  <c r="L522" i="10"/>
  <c r="DE476" i="1"/>
  <c r="DE68" i="1"/>
  <c r="DF429" i="1"/>
  <c r="BT475" i="1"/>
  <c r="BT245" i="1"/>
  <c r="DE244" i="1"/>
  <c r="DF244" i="1"/>
  <c r="M204" i="10"/>
  <c r="O204" i="10" s="1"/>
  <c r="DE141" i="1"/>
  <c r="DF141" i="1"/>
  <c r="BT121" i="1"/>
  <c r="BS121" i="1"/>
  <c r="BS71" i="1"/>
  <c r="BT71" i="1"/>
  <c r="DE57" i="1"/>
  <c r="DF57" i="1"/>
  <c r="DF351" i="1"/>
  <c r="DF412" i="1"/>
  <c r="BT483" i="1"/>
  <c r="DE465" i="1"/>
  <c r="DF465" i="1"/>
  <c r="BT441" i="1"/>
  <c r="BT408" i="1"/>
  <c r="BT407" i="1"/>
  <c r="DF332" i="1"/>
  <c r="DE332" i="1"/>
  <c r="BT252" i="1"/>
  <c r="BS252" i="1"/>
  <c r="DE249" i="1"/>
  <c r="DF249" i="1"/>
  <c r="BT163" i="1"/>
  <c r="BS163" i="1"/>
  <c r="DF78" i="1"/>
  <c r="DE78" i="1"/>
  <c r="DE73" i="1"/>
  <c r="DF73" i="1"/>
  <c r="BS69" i="1"/>
  <c r="BT69" i="1"/>
  <c r="L69" i="10"/>
  <c r="DF120" i="1"/>
  <c r="N382" i="10"/>
  <c r="U382" i="10"/>
  <c r="V401" i="10"/>
  <c r="N404" i="10"/>
  <c r="U404" i="10"/>
  <c r="N456" i="10"/>
  <c r="U456" i="10"/>
  <c r="W466" i="10"/>
  <c r="DF464" i="1"/>
  <c r="DE464" i="1"/>
  <c r="BT427" i="1"/>
  <c r="DF382" i="1"/>
  <c r="DE382" i="1"/>
  <c r="BT265" i="1"/>
  <c r="BS265" i="1"/>
  <c r="DE457" i="1"/>
  <c r="DF457" i="1"/>
  <c r="DE455" i="1"/>
  <c r="DE453" i="1"/>
  <c r="DF453" i="1"/>
  <c r="DE450" i="1"/>
  <c r="DF450" i="1"/>
  <c r="DE378" i="1"/>
  <c r="DF359" i="1"/>
  <c r="DE359" i="1"/>
  <c r="DE339" i="1"/>
  <c r="DF339" i="1"/>
  <c r="M311" i="10"/>
  <c r="M313" i="10"/>
  <c r="DF303" i="1"/>
  <c r="DE303" i="1"/>
  <c r="BT302" i="1"/>
  <c r="DE294" i="1"/>
  <c r="DF294" i="1"/>
  <c r="BT262" i="1"/>
  <c r="BS262" i="1"/>
  <c r="W426" i="10"/>
  <c r="DE438" i="1"/>
  <c r="DE432" i="1"/>
  <c r="DF432" i="1"/>
  <c r="DF405" i="1"/>
  <c r="DE405" i="1"/>
  <c r="DE390" i="1"/>
  <c r="DF390" i="1"/>
  <c r="BT320" i="1"/>
  <c r="BS320" i="1"/>
  <c r="CT409" i="1"/>
  <c r="CU409" i="1" s="1"/>
  <c r="CT392" i="1"/>
  <c r="L396" i="10" s="1"/>
  <c r="CT309" i="1"/>
  <c r="CT290" i="1"/>
  <c r="CT279" i="1"/>
  <c r="CT426" i="1"/>
  <c r="CT337" i="1"/>
  <c r="CV337" i="1" s="1"/>
  <c r="CW337" i="1" s="1"/>
  <c r="H338" i="10" s="1"/>
  <c r="CT427" i="1"/>
  <c r="CV427" i="1"/>
  <c r="CW427" i="1"/>
  <c r="CT386" i="1"/>
  <c r="CU386" i="1" s="1"/>
  <c r="BS372" i="1"/>
  <c r="CT146" i="1"/>
  <c r="L145" i="10" s="1"/>
  <c r="CT145" i="1"/>
  <c r="CT83" i="1"/>
  <c r="CU83" i="1" s="1"/>
  <c r="DE547" i="1"/>
  <c r="DF547" i="1"/>
  <c r="CT248" i="1"/>
  <c r="L248" i="10"/>
  <c r="CT192" i="1"/>
  <c r="L192" i="10" s="1"/>
  <c r="CT191" i="1"/>
  <c r="CV191" i="1"/>
  <c r="CT171" i="1"/>
  <c r="CT170" i="1"/>
  <c r="CU170" i="1" s="1"/>
  <c r="BS170" i="1"/>
  <c r="CT139" i="1"/>
  <c r="CT106" i="1"/>
  <c r="CU106" i="1" s="1"/>
  <c r="L107" i="10"/>
  <c r="BS106" i="1"/>
  <c r="CT91" i="1"/>
  <c r="BS91" i="1"/>
  <c r="CT90" i="1"/>
  <c r="CV90" i="1" s="1"/>
  <c r="CW90" i="1" s="1"/>
  <c r="H90" i="10" s="1"/>
  <c r="CT89" i="1"/>
  <c r="CV89" i="1" s="1"/>
  <c r="CW89" i="1" s="1"/>
  <c r="H89" i="10" s="1"/>
  <c r="CT86" i="1"/>
  <c r="BS86" i="1"/>
  <c r="CT85" i="1"/>
  <c r="L85" i="10"/>
  <c r="CT24" i="1"/>
  <c r="L25" i="10"/>
  <c r="V536" i="10"/>
  <c r="W536" i="10"/>
  <c r="DF550" i="1"/>
  <c r="CT363" i="1"/>
  <c r="BS290" i="1"/>
  <c r="BS286" i="1"/>
  <c r="CT259" i="1"/>
  <c r="CT249" i="1"/>
  <c r="CV249" i="1"/>
  <c r="CW249" i="1" s="1"/>
  <c r="H249" i="10" s="1"/>
  <c r="CT183" i="1"/>
  <c r="CU183" i="1" s="1"/>
  <c r="CT140" i="1"/>
  <c r="CV140" i="1" s="1"/>
  <c r="CW140" i="1" s="1"/>
  <c r="H140" i="10" s="1"/>
  <c r="BS140" i="1"/>
  <c r="BS113" i="1"/>
  <c r="DF553" i="1"/>
  <c r="DE553" i="1"/>
  <c r="CT510" i="1"/>
  <c r="BS115" i="1"/>
  <c r="CT95" i="1"/>
  <c r="CT94" i="1"/>
  <c r="L94" i="10"/>
  <c r="CT93" i="1"/>
  <c r="CT92" i="1"/>
  <c r="L93" i="10" s="1"/>
  <c r="BS92" i="1"/>
  <c r="BS73" i="1"/>
  <c r="CT20" i="1"/>
  <c r="CT532" i="1"/>
  <c r="CV532" i="1" s="1"/>
  <c r="CW532" i="1" s="1"/>
  <c r="H540" i="10" s="1"/>
  <c r="BS533" i="1"/>
  <c r="CT533" i="1"/>
  <c r="CU533" i="1" s="1"/>
  <c r="DF548" i="1"/>
  <c r="CW161" i="1"/>
  <c r="CU72" i="1"/>
  <c r="CZ72" i="1" s="1"/>
  <c r="CV221" i="1"/>
  <c r="CW221" i="1"/>
  <c r="H221" i="10" s="1"/>
  <c r="CU423" i="1"/>
  <c r="CV233" i="1"/>
  <c r="CW233" i="1"/>
  <c r="M438" i="10"/>
  <c r="L190" i="10"/>
  <c r="DE413" i="1"/>
  <c r="DF413" i="1"/>
  <c r="DE313" i="1"/>
  <c r="DF313" i="1"/>
  <c r="DE153" i="1"/>
  <c r="DF153" i="1"/>
  <c r="DE144" i="1"/>
  <c r="DF144" i="1"/>
  <c r="DE130" i="1"/>
  <c r="DF130" i="1"/>
  <c r="BS354" i="1"/>
  <c r="BS481" i="1"/>
  <c r="CT480" i="1"/>
  <c r="CU480" i="1" s="1"/>
  <c r="CT479" i="1"/>
  <c r="BS479" i="1"/>
  <c r="L426" i="10"/>
  <c r="BS339" i="1"/>
  <c r="CT333" i="1"/>
  <c r="L455" i="10"/>
  <c r="CT415" i="1"/>
  <c r="CT340" i="1"/>
  <c r="L341" i="10"/>
  <c r="CT301" i="1"/>
  <c r="CV301" i="1" s="1"/>
  <c r="CW301" i="1" s="1"/>
  <c r="BS298" i="1"/>
  <c r="CT231" i="1"/>
  <c r="CT473" i="1"/>
  <c r="CV473" i="1" s="1"/>
  <c r="CW473" i="1" s="1"/>
  <c r="CU473" i="1"/>
  <c r="F481" i="10" s="1"/>
  <c r="CT450" i="1"/>
  <c r="CT440" i="1"/>
  <c r="CV440" i="1" s="1"/>
  <c r="CW440" i="1" s="1"/>
  <c r="L448" i="10"/>
  <c r="L445" i="10"/>
  <c r="CT294" i="1"/>
  <c r="CV294" i="1"/>
  <c r="CW294" i="1" s="1"/>
  <c r="CY294" i="1" s="1"/>
  <c r="CT240" i="1"/>
  <c r="CT375" i="1"/>
  <c r="CT324" i="1"/>
  <c r="CT321" i="1"/>
  <c r="CU321" i="1"/>
  <c r="CT285" i="1"/>
  <c r="CT250" i="1"/>
  <c r="L251" i="10"/>
  <c r="CT198" i="1"/>
  <c r="CT185" i="1"/>
  <c r="CV185" i="1"/>
  <c r="CW185" i="1" s="1"/>
  <c r="H186" i="10" s="1"/>
  <c r="CT184" i="1"/>
  <c r="BS164" i="1"/>
  <c r="CT131" i="1"/>
  <c r="CT120" i="1"/>
  <c r="CV120" i="1" s="1"/>
  <c r="CW120" i="1"/>
  <c r="H120" i="10" s="1"/>
  <c r="CT55" i="1"/>
  <c r="CU55" i="1" s="1"/>
  <c r="CZ55" i="1"/>
  <c r="BS55" i="1"/>
  <c r="CT457" i="1"/>
  <c r="CU457" i="1" s="1"/>
  <c r="CZ457" i="1" s="1"/>
  <c r="CT439" i="1"/>
  <c r="L446" i="10" s="1"/>
  <c r="CT425" i="1"/>
  <c r="CU425" i="1" s="1"/>
  <c r="CV411" i="1"/>
  <c r="CW411" i="1" s="1"/>
  <c r="H416" i="10" s="1"/>
  <c r="L420" i="10"/>
  <c r="CT389" i="1"/>
  <c r="CU389" i="1" s="1"/>
  <c r="CT367" i="1"/>
  <c r="CU367" i="1" s="1"/>
  <c r="CZ367" i="1" s="1"/>
  <c r="BS336" i="1"/>
  <c r="CT327" i="1"/>
  <c r="L328" i="10" s="1"/>
  <c r="BS327" i="1"/>
  <c r="CT319" i="1"/>
  <c r="CT312" i="1"/>
  <c r="CV312" i="1"/>
  <c r="CW312" i="1"/>
  <c r="H312" i="10"/>
  <c r="CT307" i="1"/>
  <c r="BS278" i="1"/>
  <c r="CT245" i="1"/>
  <c r="CV245" i="1"/>
  <c r="CW245" i="1" s="1"/>
  <c r="H246" i="10"/>
  <c r="CT151" i="1"/>
  <c r="CU151" i="1" s="1"/>
  <c r="CT124" i="1"/>
  <c r="CT252" i="1"/>
  <c r="CU252" i="1"/>
  <c r="CX252" i="1" s="1"/>
  <c r="F250" i="10"/>
  <c r="CT193" i="1"/>
  <c r="CT157" i="1"/>
  <c r="CV157" i="1"/>
  <c r="CW157" i="1"/>
  <c r="H156" i="10" s="1"/>
  <c r="CT126" i="1"/>
  <c r="L126" i="10" s="1"/>
  <c r="CT97" i="1"/>
  <c r="CU97" i="1" s="1"/>
  <c r="CZ97" i="1" s="1"/>
  <c r="BS204" i="1"/>
  <c r="BS189" i="1"/>
  <c r="CT180" i="1"/>
  <c r="L178" i="10" s="1"/>
  <c r="CT147" i="1"/>
  <c r="CU147" i="1" s="1"/>
  <c r="L147" i="10"/>
  <c r="BS146" i="1"/>
  <c r="CT84" i="1"/>
  <c r="L84" i="10" s="1"/>
  <c r="CT73" i="1"/>
  <c r="L73" i="10" s="1"/>
  <c r="CT46" i="1"/>
  <c r="CT506" i="1"/>
  <c r="CU506" i="1"/>
  <c r="CT44" i="1"/>
  <c r="CU44" i="1" s="1"/>
  <c r="CT40" i="1"/>
  <c r="BS542" i="1"/>
  <c r="CT551" i="1"/>
  <c r="CT549" i="1"/>
  <c r="CT548" i="1"/>
  <c r="BS506" i="1"/>
  <c r="CV92" i="1"/>
  <c r="CW92" i="1" s="1"/>
  <c r="H93" i="10" s="1"/>
  <c r="BP451" i="1"/>
  <c r="BS451" i="1"/>
  <c r="M453" i="10"/>
  <c r="BT415" i="1"/>
  <c r="BS415" i="1"/>
  <c r="M409" i="10"/>
  <c r="O409" i="10" s="1"/>
  <c r="DF139" i="1"/>
  <c r="DE139" i="1"/>
  <c r="DF131" i="1"/>
  <c r="DE131" i="1"/>
  <c r="DE119" i="1"/>
  <c r="DF119" i="1"/>
  <c r="DE83" i="1"/>
  <c r="DF83" i="1"/>
  <c r="DF21" i="1"/>
  <c r="DE21" i="1"/>
  <c r="DE514" i="1"/>
  <c r="DF514" i="1"/>
  <c r="DE364" i="1"/>
  <c r="DF427" i="1"/>
  <c r="DF481" i="1"/>
  <c r="BT478" i="1"/>
  <c r="CU451" i="1"/>
  <c r="BT449" i="1"/>
  <c r="M416" i="10"/>
  <c r="BT410" i="1"/>
  <c r="DF307" i="1"/>
  <c r="BT337" i="1"/>
  <c r="CV488" i="1"/>
  <c r="CW488" i="1"/>
  <c r="CU203" i="1"/>
  <c r="F203" i="10" s="1"/>
  <c r="DE409" i="1"/>
  <c r="DF409" i="1"/>
  <c r="DE406" i="1"/>
  <c r="BP406" i="1"/>
  <c r="BS406" i="1" s="1"/>
  <c r="DF385" i="1"/>
  <c r="DE385" i="1"/>
  <c r="BT382" i="1"/>
  <c r="DF380" i="1"/>
  <c r="DE380" i="1"/>
  <c r="M386" i="10"/>
  <c r="BT377" i="1"/>
  <c r="BT371" i="1"/>
  <c r="BS371" i="1"/>
  <c r="BT347" i="1"/>
  <c r="BS347" i="1"/>
  <c r="M347" i="10"/>
  <c r="DE341" i="1"/>
  <c r="DF341" i="1"/>
  <c r="M342" i="10"/>
  <c r="DF310" i="1"/>
  <c r="DE310" i="1"/>
  <c r="DE302" i="1"/>
  <c r="DF302" i="1"/>
  <c r="M290" i="10"/>
  <c r="DF290" i="1"/>
  <c r="DE290" i="1"/>
  <c r="M269" i="10"/>
  <c r="O269" i="10" s="1"/>
  <c r="BS268" i="1"/>
  <c r="BT268" i="1"/>
  <c r="M249" i="10"/>
  <c r="BS247" i="1"/>
  <c r="BT247" i="1"/>
  <c r="DE239" i="1"/>
  <c r="DF239" i="1"/>
  <c r="BS235" i="1"/>
  <c r="BT235" i="1"/>
  <c r="DE231" i="1"/>
  <c r="DF231" i="1"/>
  <c r="BT222" i="1"/>
  <c r="BS222" i="1"/>
  <c r="BT191" i="1"/>
  <c r="BS191" i="1"/>
  <c r="DF184" i="1"/>
  <c r="DE184" i="1"/>
  <c r="DE97" i="1"/>
  <c r="DF97" i="1"/>
  <c r="DE94" i="1"/>
  <c r="DF94" i="1"/>
  <c r="BT89" i="1"/>
  <c r="BS89" i="1"/>
  <c r="DE19" i="1"/>
  <c r="DF19" i="1"/>
  <c r="BT499" i="1"/>
  <c r="BS499" i="1"/>
  <c r="BT55" i="1"/>
  <c r="DF466" i="1"/>
  <c r="DE451" i="1"/>
  <c r="DF451" i="1"/>
  <c r="CT449" i="1"/>
  <c r="BT429" i="1"/>
  <c r="BS429" i="1"/>
  <c r="BS428" i="1"/>
  <c r="BT404" i="1"/>
  <c r="CT403" i="1"/>
  <c r="BT403" i="1"/>
  <c r="BT399" i="1"/>
  <c r="BT319" i="1"/>
  <c r="BS319" i="1"/>
  <c r="BT313" i="1"/>
  <c r="BS313" i="1"/>
  <c r="M307" i="10"/>
  <c r="BT264" i="1"/>
  <c r="BS264" i="1"/>
  <c r="CV236" i="1"/>
  <c r="CW236" i="1" s="1"/>
  <c r="H235" i="10" s="1"/>
  <c r="CU236" i="1"/>
  <c r="CX236" i="1"/>
  <c r="G235" i="10" s="1"/>
  <c r="K235" i="10"/>
  <c r="BS381" i="1"/>
  <c r="CV275" i="1"/>
  <c r="CW275" i="1"/>
  <c r="H276" i="10" s="1"/>
  <c r="BT469" i="1"/>
  <c r="M336" i="10"/>
  <c r="O336" i="10" s="1"/>
  <c r="DF333" i="1"/>
  <c r="DE333" i="1"/>
  <c r="CU535" i="1"/>
  <c r="CZ535" i="1"/>
  <c r="DE459" i="1"/>
  <c r="DF459" i="1"/>
  <c r="CT320" i="1"/>
  <c r="CU320" i="1" s="1"/>
  <c r="BT456" i="1"/>
  <c r="M374" i="10"/>
  <c r="BS369" i="1"/>
  <c r="M329" i="10"/>
  <c r="U427" i="10"/>
  <c r="BT484" i="1"/>
  <c r="DE420" i="1"/>
  <c r="DF420" i="1"/>
  <c r="DE367" i="1"/>
  <c r="DF367" i="1"/>
  <c r="BS292" i="1"/>
  <c r="BT292" i="1"/>
  <c r="DF285" i="1"/>
  <c r="DE285" i="1"/>
  <c r="V470" i="10"/>
  <c r="L424" i="10"/>
  <c r="DE392" i="1"/>
  <c r="DF392" i="1"/>
  <c r="DF267" i="1"/>
  <c r="DE267" i="1"/>
  <c r="BT151" i="1"/>
  <c r="BS151" i="1"/>
  <c r="CT297" i="1"/>
  <c r="CV297" i="1" s="1"/>
  <c r="CW297" i="1" s="1"/>
  <c r="H297" i="10" s="1"/>
  <c r="M297" i="10"/>
  <c r="O297" i="10" s="1"/>
  <c r="BT281" i="1"/>
  <c r="BS281" i="1"/>
  <c r="DE257" i="1"/>
  <c r="DE251" i="1"/>
  <c r="DF251" i="1"/>
  <c r="BT203" i="1"/>
  <c r="BS203" i="1"/>
  <c r="DF180" i="1"/>
  <c r="DE180" i="1"/>
  <c r="DF178" i="1"/>
  <c r="DE178" i="1"/>
  <c r="DF111" i="1"/>
  <c r="DE111" i="1"/>
  <c r="BT88" i="1"/>
  <c r="BS88" i="1"/>
  <c r="BS472" i="1"/>
  <c r="DF460" i="1"/>
  <c r="DE460" i="1"/>
  <c r="DE423" i="1"/>
  <c r="DF423" i="1"/>
  <c r="L428" i="10"/>
  <c r="DE418" i="1"/>
  <c r="DF418" i="1"/>
  <c r="DF394" i="1"/>
  <c r="BT331" i="1"/>
  <c r="BS331" i="1"/>
  <c r="M321" i="10"/>
  <c r="BS259" i="1"/>
  <c r="BS464" i="1"/>
  <c r="CT132" i="1"/>
  <c r="BS297" i="1"/>
  <c r="BS85" i="1"/>
  <c r="BT553" i="1"/>
  <c r="BS546" i="1"/>
  <c r="DF549" i="1"/>
  <c r="DE549" i="1"/>
  <c r="CT547" i="1"/>
  <c r="L555" i="10"/>
  <c r="CT545" i="1"/>
  <c r="BS494" i="1"/>
  <c r="DF552" i="1"/>
  <c r="BS552" i="1"/>
  <c r="CT553" i="1"/>
  <c r="L561" i="10"/>
  <c r="CT552" i="1"/>
  <c r="CU552" i="1"/>
  <c r="CX552" i="1" s="1"/>
  <c r="G560" i="10" s="1"/>
  <c r="K560" i="10" s="1"/>
  <c r="CT546" i="1"/>
  <c r="DE545" i="1"/>
  <c r="BS545" i="1"/>
  <c r="BS547" i="1"/>
  <c r="BS550" i="1"/>
  <c r="CT550" i="1"/>
  <c r="CU550" i="1" s="1"/>
  <c r="CX550" i="1" s="1"/>
  <c r="G558" i="10" s="1"/>
  <c r="K558" i="10"/>
  <c r="V557" i="10"/>
  <c r="W398" i="10"/>
  <c r="V542" i="10"/>
  <c r="W542" i="10"/>
  <c r="V556" i="10"/>
  <c r="V172" i="10"/>
  <c r="W268" i="10"/>
  <c r="N37" i="10"/>
  <c r="U37" i="10" s="1"/>
  <c r="U363" i="10"/>
  <c r="V363" i="10"/>
  <c r="W392" i="10"/>
  <c r="N549" i="10"/>
  <c r="U549" i="10"/>
  <c r="V549" i="10"/>
  <c r="V85" i="10"/>
  <c r="N555" i="10"/>
  <c r="U555" i="10"/>
  <c r="V510" i="10"/>
  <c r="N540" i="10"/>
  <c r="U540" i="10"/>
  <c r="W555" i="10"/>
  <c r="L529" i="10"/>
  <c r="CZ222" i="1"/>
  <c r="CU49" i="1"/>
  <c r="CY49" i="1" s="1"/>
  <c r="CV9" i="1"/>
  <c r="CW9" i="1"/>
  <c r="CU368" i="1"/>
  <c r="F370" i="10" s="1"/>
  <c r="L72" i="10"/>
  <c r="L246" i="10"/>
  <c r="BT472" i="1"/>
  <c r="BT455" i="1"/>
  <c r="DE551" i="1"/>
  <c r="CZ196" i="1"/>
  <c r="CX196" i="1"/>
  <c r="G196" i="10" s="1"/>
  <c r="K196" i="10" s="1"/>
  <c r="CX161" i="1"/>
  <c r="G160" i="10" s="1"/>
  <c r="K160" i="10" s="1"/>
  <c r="CU2" i="1"/>
  <c r="F2" i="10" s="1"/>
  <c r="CZ2" i="1"/>
  <c r="L26" i="10"/>
  <c r="CU154" i="1"/>
  <c r="CU126" i="1"/>
  <c r="F126" i="10" s="1"/>
  <c r="CX126" i="1"/>
  <c r="G126" i="10" s="1"/>
  <c r="K126" i="10" s="1"/>
  <c r="CU81" i="1"/>
  <c r="CV81" i="1"/>
  <c r="CW81" i="1"/>
  <c r="H81" i="10"/>
  <c r="L74" i="10"/>
  <c r="CU509" i="1"/>
  <c r="CU155" i="1"/>
  <c r="CZ155" i="1" s="1"/>
  <c r="CU221" i="1"/>
  <c r="CV26" i="1"/>
  <c r="CW26" i="1"/>
  <c r="H26" i="10" s="1"/>
  <c r="CV154" i="1"/>
  <c r="CW154" i="1"/>
  <c r="H154" i="10" s="1"/>
  <c r="CU70" i="1"/>
  <c r="CZ70" i="1" s="1"/>
  <c r="L523" i="10"/>
  <c r="CV121" i="1"/>
  <c r="CW121" i="1"/>
  <c r="H121" i="10" s="1"/>
  <c r="L10" i="10"/>
  <c r="CV10" i="1"/>
  <c r="CW10" i="1"/>
  <c r="H10" i="10" s="1"/>
  <c r="CV186" i="1"/>
  <c r="CW186" i="1" s="1"/>
  <c r="CW508" i="1"/>
  <c r="H515" i="10" s="1"/>
  <c r="CU168" i="1"/>
  <c r="F166" i="10"/>
  <c r="CU245" i="1"/>
  <c r="CV519" i="1"/>
  <c r="CW519" i="1"/>
  <c r="H526" i="10" s="1"/>
  <c r="CU232" i="1"/>
  <c r="L76" i="10"/>
  <c r="L425" i="10"/>
  <c r="CU94" i="1"/>
  <c r="L144" i="10"/>
  <c r="CV144" i="1"/>
  <c r="CW144" i="1"/>
  <c r="H144" i="10" s="1"/>
  <c r="CV94" i="1"/>
  <c r="CW94" i="1"/>
  <c r="H94" i="10" s="1"/>
  <c r="CY94" i="1"/>
  <c r="CV80" i="1"/>
  <c r="CW80" i="1" s="1"/>
  <c r="H80" i="10" s="1"/>
  <c r="L269" i="10"/>
  <c r="CU418" i="1"/>
  <c r="CZ418" i="1" s="1"/>
  <c r="L260" i="10"/>
  <c r="CU85" i="1"/>
  <c r="CU145" i="1"/>
  <c r="F146" i="10"/>
  <c r="CU279" i="1"/>
  <c r="CU319" i="1"/>
  <c r="CX319" i="1" s="1"/>
  <c r="G322" i="10" s="1"/>
  <c r="K322" i="10" s="1"/>
  <c r="L294" i="10"/>
  <c r="CV40" i="1"/>
  <c r="CW40" i="1" s="1"/>
  <c r="CV131" i="1"/>
  <c r="CW131" i="1" s="1"/>
  <c r="H132" i="10" s="1"/>
  <c r="CU84" i="1"/>
  <c r="CX84" i="1" s="1"/>
  <c r="G84" i="10" s="1"/>
  <c r="K84" i="10" s="1"/>
  <c r="F84" i="10"/>
  <c r="CV151" i="1"/>
  <c r="CW151" i="1" s="1"/>
  <c r="L250" i="10"/>
  <c r="CU411" i="1"/>
  <c r="L377" i="10"/>
  <c r="CZ10" i="1"/>
  <c r="F10" i="10"/>
  <c r="F33" i="10"/>
  <c r="CU421" i="1"/>
  <c r="CV421" i="1"/>
  <c r="CW421" i="1"/>
  <c r="H428" i="10" s="1"/>
  <c r="F550" i="10"/>
  <c r="CZ542" i="1"/>
  <c r="CU336" i="1"/>
  <c r="F337" i="10"/>
  <c r="L383" i="10"/>
  <c r="H424" i="10"/>
  <c r="F94" i="10"/>
  <c r="CZ236" i="1"/>
  <c r="F223" i="10"/>
  <c r="CX418" i="1"/>
  <c r="G425" i="10" s="1"/>
  <c r="K425" i="10" s="1"/>
  <c r="F425" i="10"/>
  <c r="CZ15" i="1"/>
  <c r="F15" i="10"/>
  <c r="F516" i="10"/>
  <c r="L186" i="10"/>
  <c r="CU130" i="1"/>
  <c r="L196" i="10"/>
  <c r="CU356" i="1"/>
  <c r="CV356" i="1"/>
  <c r="L382" i="10"/>
  <c r="CU121" i="1"/>
  <c r="F121" i="10" s="1"/>
  <c r="CX189" i="1"/>
  <c r="G190" i="10" s="1"/>
  <c r="K190" i="10" s="1"/>
  <c r="CU182" i="1"/>
  <c r="CV333" i="1"/>
  <c r="CW333" i="1"/>
  <c r="L119" i="10"/>
  <c r="L508" i="10"/>
  <c r="L238" i="10"/>
  <c r="CU440" i="1"/>
  <c r="V232" i="10"/>
  <c r="CT463" i="1"/>
  <c r="CT445" i="1"/>
  <c r="CT444" i="1"/>
  <c r="CU444" i="1" s="1"/>
  <c r="CZ444" i="1" s="1"/>
  <c r="CT474" i="1"/>
  <c r="CU474" i="1" s="1"/>
  <c r="CT458" i="1"/>
  <c r="CT454" i="1"/>
  <c r="CT467" i="1"/>
  <c r="L475" i="10"/>
  <c r="CX436" i="1"/>
  <c r="G444" i="10" s="1"/>
  <c r="K444" i="10" s="1"/>
  <c r="CT431" i="1"/>
  <c r="L437" i="10"/>
  <c r="CT429" i="1"/>
  <c r="CT464" i="1"/>
  <c r="CU464" i="1" s="1"/>
  <c r="F473" i="10" s="1"/>
  <c r="CT468" i="1"/>
  <c r="CV468" i="1" s="1"/>
  <c r="CT434" i="1"/>
  <c r="CT383" i="1"/>
  <c r="L387" i="10" s="1"/>
  <c r="CT357" i="1"/>
  <c r="BS310" i="1"/>
  <c r="CT405" i="1"/>
  <c r="CT365" i="1"/>
  <c r="CU365" i="1" s="1"/>
  <c r="L366" i="10"/>
  <c r="CT339" i="1"/>
  <c r="CV339" i="1" s="1"/>
  <c r="CT334" i="1"/>
  <c r="CU334" i="1"/>
  <c r="F335" i="10" s="1"/>
  <c r="CT266" i="1"/>
  <c r="L266" i="10" s="1"/>
  <c r="CT430" i="1"/>
  <c r="CT424" i="1"/>
  <c r="L431" i="10" s="1"/>
  <c r="CT407" i="1"/>
  <c r="L415" i="10"/>
  <c r="CT404" i="1"/>
  <c r="CU404" i="1" s="1"/>
  <c r="CT373" i="1"/>
  <c r="CT276" i="1"/>
  <c r="CT397" i="1"/>
  <c r="CV397" i="1"/>
  <c r="CW397" i="1"/>
  <c r="H401" i="10" s="1"/>
  <c r="CT385" i="1"/>
  <c r="L390" i="10" s="1"/>
  <c r="CT355" i="1"/>
  <c r="CV355" i="1"/>
  <c r="CW355" i="1" s="1"/>
  <c r="H356" i="10" s="1"/>
  <c r="CT414" i="1"/>
  <c r="CT391" i="1"/>
  <c r="CU391" i="1" s="1"/>
  <c r="CX391" i="1" s="1"/>
  <c r="G395" i="10" s="1"/>
  <c r="F395" i="10"/>
  <c r="CT370" i="1"/>
  <c r="CT254" i="1"/>
  <c r="CU254" i="1" s="1"/>
  <c r="F254" i="10" s="1"/>
  <c r="CT223" i="1"/>
  <c r="CT214" i="1"/>
  <c r="L214" i="10" s="1"/>
  <c r="CT308" i="1"/>
  <c r="CV308" i="1" s="1"/>
  <c r="L309" i="10"/>
  <c r="CT255" i="1"/>
  <c r="CV255" i="1" s="1"/>
  <c r="CT217" i="1"/>
  <c r="BS296" i="1"/>
  <c r="CT260" i="1"/>
  <c r="CU260" i="1" s="1"/>
  <c r="CT253" i="1"/>
  <c r="BS238" i="1"/>
  <c r="CT208" i="1"/>
  <c r="CV208" i="1" s="1"/>
  <c r="CW208" i="1"/>
  <c r="H209" i="10" s="1"/>
  <c r="BS504" i="1"/>
  <c r="DE136" i="1"/>
  <c r="CT108" i="1"/>
  <c r="L109" i="10"/>
  <c r="CT13" i="1"/>
  <c r="L11" i="10" s="1"/>
  <c r="CT35" i="1"/>
  <c r="CU35" i="1"/>
  <c r="CX35" i="1" s="1"/>
  <c r="BS16" i="1"/>
  <c r="CT39" i="1"/>
  <c r="CV39" i="1" s="1"/>
  <c r="CW39" i="1" s="1"/>
  <c r="H39" i="10" s="1"/>
  <c r="CT33" i="1"/>
  <c r="CU33" i="1" s="1"/>
  <c r="CT31" i="1"/>
  <c r="CV31" i="1" s="1"/>
  <c r="CW31" i="1" s="1"/>
  <c r="CT511" i="1"/>
  <c r="CT530" i="1"/>
  <c r="CT489" i="1"/>
  <c r="CV489" i="1"/>
  <c r="CW489" i="1"/>
  <c r="H497" i="10" s="1"/>
  <c r="CT499" i="1"/>
  <c r="L507" i="10"/>
  <c r="CT501" i="1"/>
  <c r="CT58" i="1"/>
  <c r="CV58" i="1"/>
  <c r="CW58" i="1"/>
  <c r="H58" i="10" s="1"/>
  <c r="CT19" i="1"/>
  <c r="L17" i="10"/>
  <c r="CT16" i="1"/>
  <c r="CT507" i="1"/>
  <c r="CV507" i="1"/>
  <c r="CW507" i="1" s="1"/>
  <c r="CT42" i="1"/>
  <c r="L42" i="10"/>
  <c r="BS38" i="1"/>
  <c r="CT11" i="1"/>
  <c r="CU11" i="1" s="1"/>
  <c r="F13" i="10" s="1"/>
  <c r="CT497" i="1"/>
  <c r="CU497" i="1"/>
  <c r="CZ497" i="1" s="1"/>
  <c r="CT517" i="1"/>
  <c r="L524" i="10" s="1"/>
  <c r="AP14" i="8"/>
  <c r="AQ14" i="8"/>
  <c r="CT41" i="1"/>
  <c r="L41" i="10" s="1"/>
  <c r="CT5" i="1"/>
  <c r="AP8" i="8"/>
  <c r="AQ11" i="8"/>
  <c r="V485" i="10"/>
  <c r="N485" i="10"/>
  <c r="U485" i="10"/>
  <c r="W436" i="10"/>
  <c r="N140" i="10"/>
  <c r="U140" i="10" s="1"/>
  <c r="N214" i="10"/>
  <c r="U214" i="10" s="1"/>
  <c r="N532" i="10"/>
  <c r="U532" i="10" s="1"/>
  <c r="W532" i="10"/>
  <c r="O552" i="10"/>
  <c r="N552" i="10"/>
  <c r="U552" i="10" s="1"/>
  <c r="W552" i="10"/>
  <c r="W490" i="10"/>
  <c r="W468" i="10"/>
  <c r="CX386" i="1"/>
  <c r="G389" i="10" s="1"/>
  <c r="K389" i="10" s="1"/>
  <c r="F389" i="10"/>
  <c r="CZ386" i="1"/>
  <c r="CZ26" i="1"/>
  <c r="F26" i="10"/>
  <c r="M473" i="10"/>
  <c r="DF463" i="1"/>
  <c r="DE463" i="1"/>
  <c r="CU454" i="1"/>
  <c r="F462" i="10" s="1"/>
  <c r="L462" i="10"/>
  <c r="DE452" i="1"/>
  <c r="DF452" i="1"/>
  <c r="BS432" i="1"/>
  <c r="BT432" i="1"/>
  <c r="BP410" i="1"/>
  <c r="BS410" i="1" s="1"/>
  <c r="BP353" i="1"/>
  <c r="BS353" i="1"/>
  <c r="BP349" i="1"/>
  <c r="BS349" i="1" s="1"/>
  <c r="BS323" i="1"/>
  <c r="M317" i="10"/>
  <c r="O317" i="10" s="1"/>
  <c r="BP315" i="1"/>
  <c r="BS315" i="1"/>
  <c r="DF308" i="1"/>
  <c r="DE308" i="1"/>
  <c r="BT293" i="1"/>
  <c r="M267" i="10"/>
  <c r="O267" i="10" s="1"/>
  <c r="DF266" i="1"/>
  <c r="DE266" i="1"/>
  <c r="M261" i="10"/>
  <c r="O261" i="10" s="1"/>
  <c r="BT219" i="1"/>
  <c r="BS219" i="1"/>
  <c r="DE208" i="1"/>
  <c r="DF208" i="1"/>
  <c r="BT4" i="1"/>
  <c r="BS4" i="1"/>
  <c r="DE504" i="1"/>
  <c r="DF504" i="1"/>
  <c r="M514" i="10"/>
  <c r="O514" i="10" s="1"/>
  <c r="CV506" i="1"/>
  <c r="CW506" i="1" s="1"/>
  <c r="H514" i="10" s="1"/>
  <c r="BP497" i="1"/>
  <c r="BS497" i="1"/>
  <c r="DE536" i="1"/>
  <c r="DF536" i="1"/>
  <c r="L297" i="10"/>
  <c r="CV415" i="1"/>
  <c r="CW415" i="1" s="1"/>
  <c r="H423" i="10" s="1"/>
  <c r="L335" i="10"/>
  <c r="F152" i="10"/>
  <c r="F269" i="10"/>
  <c r="CZ480" i="1"/>
  <c r="CX80" i="1"/>
  <c r="G80" i="10" s="1"/>
  <c r="K80" i="10"/>
  <c r="F80" i="10"/>
  <c r="CZ80" i="1"/>
  <c r="DE371" i="1"/>
  <c r="DF371" i="1"/>
  <c r="BT366" i="1"/>
  <c r="BS366" i="1"/>
  <c r="BT348" i="1"/>
  <c r="BS348" i="1"/>
  <c r="M312" i="10"/>
  <c r="O312" i="10" s="1"/>
  <c r="BP294" i="1"/>
  <c r="BS294" i="1" s="1"/>
  <c r="M254" i="10"/>
  <c r="DE217" i="1"/>
  <c r="DF217" i="1"/>
  <c r="M202" i="10"/>
  <c r="CU42" i="1"/>
  <c r="CZ42" i="1"/>
  <c r="DF41" i="1"/>
  <c r="DE41" i="1"/>
  <c r="L497" i="10"/>
  <c r="L531" i="10"/>
  <c r="CU507" i="1"/>
  <c r="F531" i="10" s="1"/>
  <c r="M518" i="10"/>
  <c r="O518" i="10" s="1"/>
  <c r="DF543" i="1"/>
  <c r="DE543" i="1"/>
  <c r="CU327" i="1"/>
  <c r="F328" i="10" s="1"/>
  <c r="DE454" i="1"/>
  <c r="DF454" i="1"/>
  <c r="CV424" i="1"/>
  <c r="CW424" i="1"/>
  <c r="H431" i="10" s="1"/>
  <c r="DE414" i="1"/>
  <c r="DF414" i="1"/>
  <c r="BP412" i="1"/>
  <c r="BS412" i="1" s="1"/>
  <c r="DF404" i="1"/>
  <c r="DE404" i="1"/>
  <c r="BT394" i="1"/>
  <c r="BT384" i="1"/>
  <c r="BS384" i="1"/>
  <c r="L374" i="10"/>
  <c r="BT357" i="1"/>
  <c r="BS357" i="1"/>
  <c r="BS332" i="1"/>
  <c r="BT332" i="1"/>
  <c r="BT329" i="1"/>
  <c r="BS329" i="1"/>
  <c r="BP324" i="1"/>
  <c r="BS324" i="1" s="1"/>
  <c r="DF311" i="1"/>
  <c r="DE311" i="1"/>
  <c r="BT307" i="1"/>
  <c r="M301" i="10"/>
  <c r="O301" i="10" s="1"/>
  <c r="DF276" i="1"/>
  <c r="DE276" i="1"/>
  <c r="DE253" i="1"/>
  <c r="DF253" i="1"/>
  <c r="BS214" i="1"/>
  <c r="BT214" i="1"/>
  <c r="DF207" i="1"/>
  <c r="DE207" i="1"/>
  <c r="DE43" i="1"/>
  <c r="DF43" i="1"/>
  <c r="DE34" i="1"/>
  <c r="DF34" i="1"/>
  <c r="H31" i="10"/>
  <c r="BT19" i="1"/>
  <c r="BS19" i="1"/>
  <c r="BT15" i="1"/>
  <c r="BS15" i="1"/>
  <c r="BT5" i="1"/>
  <c r="BS5" i="1"/>
  <c r="M501" i="10"/>
  <c r="O501" i="10" s="1"/>
  <c r="BP517" i="1"/>
  <c r="BS517" i="1" s="1"/>
  <c r="DE529" i="1"/>
  <c r="DF529" i="1"/>
  <c r="DF533" i="1"/>
  <c r="DE533" i="1"/>
  <c r="DE544" i="1"/>
  <c r="DF544" i="1"/>
  <c r="BP544" i="1"/>
  <c r="BS544" i="1" s="1"/>
  <c r="BP548" i="1"/>
  <c r="BS548" i="1" s="1"/>
  <c r="CY10" i="1"/>
  <c r="CX145" i="1"/>
  <c r="G146" i="10" s="1"/>
  <c r="K146" i="10" s="1"/>
  <c r="CZ145" i="1"/>
  <c r="F70" i="10"/>
  <c r="CU547" i="1"/>
  <c r="CZ172" i="1"/>
  <c r="L130" i="10"/>
  <c r="CU129" i="1"/>
  <c r="CY129" i="1" s="1"/>
  <c r="CV52" i="1"/>
  <c r="CW52" i="1" s="1"/>
  <c r="H52" i="10" s="1"/>
  <c r="L52" i="10"/>
  <c r="CU52" i="1"/>
  <c r="CU516" i="1"/>
  <c r="CU512" i="1"/>
  <c r="F519" i="10" s="1"/>
  <c r="CX512" i="1"/>
  <c r="G519" i="10" s="1"/>
  <c r="K519" i="10" s="1"/>
  <c r="L501" i="10"/>
  <c r="CU171" i="1"/>
  <c r="CX171" i="1" s="1"/>
  <c r="G171" i="10" s="1"/>
  <c r="K171" i="10" s="1"/>
  <c r="L394" i="10"/>
  <c r="V149" i="10"/>
  <c r="N188" i="10"/>
  <c r="U188" i="10" s="1"/>
  <c r="W227" i="10"/>
  <c r="N242" i="10"/>
  <c r="U242" i="10" s="1"/>
  <c r="BT480" i="1"/>
  <c r="CZ448" i="1"/>
  <c r="CU92" i="1"/>
  <c r="CV258" i="1"/>
  <c r="CW258" i="1"/>
  <c r="H257" i="10" s="1"/>
  <c r="CV73" i="1"/>
  <c r="CW73" i="1" s="1"/>
  <c r="H73" i="10" s="1"/>
  <c r="L257" i="10"/>
  <c r="L79" i="10"/>
  <c r="F35" i="10"/>
  <c r="CZ36" i="1"/>
  <c r="L344" i="10"/>
  <c r="CU343" i="1"/>
  <c r="CX343" i="1" s="1"/>
  <c r="G344" i="10" s="1"/>
  <c r="K344" i="10" s="1"/>
  <c r="N255" i="10"/>
  <c r="U255" i="10" s="1"/>
  <c r="W294" i="10"/>
  <c r="CV100" i="1"/>
  <c r="CW100" i="1" s="1"/>
  <c r="H100" i="10" s="1"/>
  <c r="CU53" i="1"/>
  <c r="F53" i="10"/>
  <c r="L53" i="10"/>
  <c r="L217" i="10"/>
  <c r="CU216" i="1"/>
  <c r="L511" i="10"/>
  <c r="BP390" i="1"/>
  <c r="BS390" i="1" s="1"/>
  <c r="BT325" i="1"/>
  <c r="BT269" i="1"/>
  <c r="BS269" i="1"/>
  <c r="DE228" i="1"/>
  <c r="DF228" i="1"/>
  <c r="L104" i="10"/>
  <c r="CV104" i="1"/>
  <c r="CW104" i="1" s="1"/>
  <c r="H104" i="10" s="1"/>
  <c r="CV115" i="1"/>
  <c r="CW115" i="1" s="1"/>
  <c r="H115" i="10" s="1"/>
  <c r="CU115" i="1"/>
  <c r="CX115" i="1" s="1"/>
  <c r="F115" i="10"/>
  <c r="DF355" i="1"/>
  <c r="DE355" i="1"/>
  <c r="CT322" i="1"/>
  <c r="L324" i="10" s="1"/>
  <c r="DE262" i="1"/>
  <c r="DF262" i="1"/>
  <c r="BT261" i="1"/>
  <c r="BS261" i="1"/>
  <c r="CV537" i="1"/>
  <c r="CW537" i="1" s="1"/>
  <c r="H545" i="10"/>
  <c r="L542" i="10"/>
  <c r="CT303" i="1"/>
  <c r="CV303" i="1"/>
  <c r="CW303" i="1" s="1"/>
  <c r="H302" i="10" s="1"/>
  <c r="BS230" i="1"/>
  <c r="BS308" i="1"/>
  <c r="BS266" i="1"/>
  <c r="CT116" i="1"/>
  <c r="CU116" i="1" s="1"/>
  <c r="CX116" i="1"/>
  <c r="G117" i="10"/>
  <c r="K117" i="10" s="1"/>
  <c r="BS59" i="1"/>
  <c r="CT34" i="1"/>
  <c r="L34" i="10"/>
  <c r="CT30" i="1"/>
  <c r="L30" i="10" s="1"/>
  <c r="CV501" i="1"/>
  <c r="CW501" i="1" s="1"/>
  <c r="H509" i="10" s="1"/>
  <c r="CU385" i="1"/>
  <c r="F390" i="10" s="1"/>
  <c r="L477" i="10"/>
  <c r="CV436" i="1"/>
  <c r="L444" i="10"/>
  <c r="CV108" i="1"/>
  <c r="CW108" i="1" s="1"/>
  <c r="H109" i="10" s="1"/>
  <c r="CU405" i="1"/>
  <c r="L411" i="10"/>
  <c r="CX356" i="1"/>
  <c r="G357" i="10"/>
  <c r="K357" i="10" s="1"/>
  <c r="CX55" i="1"/>
  <c r="G54" i="10" s="1"/>
  <c r="K54" i="10"/>
  <c r="F54" i="10"/>
  <c r="L117" i="10"/>
  <c r="G394" i="10"/>
  <c r="K394" i="10"/>
  <c r="CV64" i="1"/>
  <c r="CW64" i="1" s="1"/>
  <c r="CU64" i="1"/>
  <c r="F232" i="10"/>
  <c r="CZ232" i="1"/>
  <c r="CX221" i="1"/>
  <c r="G221" i="10" s="1"/>
  <c r="K221" i="10" s="1"/>
  <c r="F221" i="10"/>
  <c r="CV38" i="1"/>
  <c r="CW38" i="1" s="1"/>
  <c r="H38" i="10" s="1"/>
  <c r="CU38" i="1"/>
  <c r="CZ440" i="1"/>
  <c r="CV179" i="1"/>
  <c r="CW179" i="1"/>
  <c r="H179" i="10" s="1"/>
  <c r="L179" i="10"/>
  <c r="CZ171" i="1"/>
  <c r="CX222" i="1"/>
  <c r="G223" i="10" s="1"/>
  <c r="K223" i="10" s="1"/>
  <c r="F394" i="10"/>
  <c r="CZ390" i="1"/>
  <c r="CV493" i="1"/>
  <c r="CW493" i="1" s="1"/>
  <c r="H501" i="10"/>
  <c r="CU493" i="1"/>
  <c r="CU224" i="1"/>
  <c r="CZ221" i="1"/>
  <c r="CZ94" i="1"/>
  <c r="CX94" i="1"/>
  <c r="G94" i="10" s="1"/>
  <c r="K94" i="10" s="1"/>
  <c r="L116" i="10"/>
  <c r="CZ421" i="1"/>
  <c r="CV373" i="1"/>
  <c r="CW373" i="1" s="1"/>
  <c r="H374" i="10"/>
  <c r="CU373" i="1"/>
  <c r="CX373" i="1" s="1"/>
  <c r="G374" i="10" s="1"/>
  <c r="K374" i="10" s="1"/>
  <c r="F357" i="10"/>
  <c r="CZ356" i="1"/>
  <c r="CV193" i="1"/>
  <c r="CW193" i="1"/>
  <c r="H194" i="10" s="1"/>
  <c r="CU193" i="1"/>
  <c r="L194" i="10"/>
  <c r="L276" i="10"/>
  <c r="CV138" i="1"/>
  <c r="CW138" i="1" s="1"/>
  <c r="H139" i="10" s="1"/>
  <c r="CU138" i="1"/>
  <c r="L139" i="10"/>
  <c r="CV56" i="1"/>
  <c r="CW56" i="1" s="1"/>
  <c r="H57" i="10" s="1"/>
  <c r="CV175" i="1"/>
  <c r="CW175" i="1" s="1"/>
  <c r="L515" i="10"/>
  <c r="CU508" i="1"/>
  <c r="CU496" i="1"/>
  <c r="CV496" i="1"/>
  <c r="CW496" i="1"/>
  <c r="CY496" i="1" s="1"/>
  <c r="L504" i="10"/>
  <c r="H504" i="10"/>
  <c r="CZ391" i="1"/>
  <c r="K395" i="10"/>
  <c r="CU477" i="1"/>
  <c r="L485" i="10"/>
  <c r="CV54" i="1"/>
  <c r="CW54" i="1"/>
  <c r="H55" i="10" s="1"/>
  <c r="CU54" i="1"/>
  <c r="CV505" i="1"/>
  <c r="CW505" i="1"/>
  <c r="H513" i="10" s="1"/>
  <c r="CU505" i="1"/>
  <c r="CX505" i="1" s="1"/>
  <c r="G513" i="10" s="1"/>
  <c r="K513" i="10"/>
  <c r="L513" i="10"/>
  <c r="CU13" i="1"/>
  <c r="CX13" i="1" s="1"/>
  <c r="CV196" i="1"/>
  <c r="CW196" i="1"/>
  <c r="L553" i="10"/>
  <c r="CV220" i="1"/>
  <c r="CW220" i="1" s="1"/>
  <c r="CX65" i="1"/>
  <c r="G65" i="10" s="1"/>
  <c r="K65" i="10" s="1"/>
  <c r="CU9" i="1"/>
  <c r="CX9" i="1" s="1"/>
  <c r="G9" i="10" s="1"/>
  <c r="K9" i="10" s="1"/>
  <c r="L47" i="10"/>
  <c r="CV112" i="1"/>
  <c r="CW112" i="1" s="1"/>
  <c r="H111" i="10" s="1"/>
  <c r="BS471" i="1"/>
  <c r="BS449" i="1"/>
  <c r="CT447" i="1"/>
  <c r="CU447" i="1" s="1"/>
  <c r="CX447" i="1" s="1"/>
  <c r="CT446" i="1"/>
  <c r="CV446" i="1" s="1"/>
  <c r="BS445" i="1"/>
  <c r="BS325" i="1"/>
  <c r="BS314" i="1"/>
  <c r="CT199" i="1"/>
  <c r="CY555" i="1"/>
  <c r="H563" i="10"/>
  <c r="F565" i="10"/>
  <c r="CX557" i="1"/>
  <c r="G565" i="10" s="1"/>
  <c r="K565" i="10"/>
  <c r="CZ557" i="1"/>
  <c r="CX566" i="1"/>
  <c r="G574" i="10" s="1"/>
  <c r="K574" i="10"/>
  <c r="F574" i="10"/>
  <c r="CZ566" i="1"/>
  <c r="DA566" i="1" s="1"/>
  <c r="T574" i="10"/>
  <c r="F568" i="10"/>
  <c r="CZ560" i="1"/>
  <c r="CX560" i="1"/>
  <c r="G568" i="10"/>
  <c r="K568" i="10"/>
  <c r="CV130" i="1"/>
  <c r="CW130" i="1" s="1"/>
  <c r="H129" i="10" s="1"/>
  <c r="CV32" i="1"/>
  <c r="CW32" i="1"/>
  <c r="BS31" i="1"/>
  <c r="BS553" i="1"/>
  <c r="CU499" i="1"/>
  <c r="CU294" i="1"/>
  <c r="CX294" i="1"/>
  <c r="G294" i="10"/>
  <c r="K294" i="10" s="1"/>
  <c r="CV22" i="1"/>
  <c r="CW22" i="1"/>
  <c r="CY22" i="1" s="1"/>
  <c r="CZ512" i="1"/>
  <c r="L182" i="10"/>
  <c r="CZ168" i="1"/>
  <c r="CZ32" i="1"/>
  <c r="CV85" i="1"/>
  <c r="CW85" i="1" s="1"/>
  <c r="H85" i="10" s="1"/>
  <c r="L220" i="10"/>
  <c r="CV136" i="1"/>
  <c r="CW136" i="1" s="1"/>
  <c r="CU250" i="1"/>
  <c r="F251" i="10"/>
  <c r="CX104" i="1"/>
  <c r="G104" i="10" s="1"/>
  <c r="K104" i="10" s="1"/>
  <c r="CU47" i="1"/>
  <c r="F47" i="10" s="1"/>
  <c r="CV250" i="1"/>
  <c r="CW250" i="1" s="1"/>
  <c r="H251" i="10" s="1"/>
  <c r="CV65" i="1"/>
  <c r="CW65" i="1"/>
  <c r="H65" i="10" s="1"/>
  <c r="CT475" i="1"/>
  <c r="CU475" i="1" s="1"/>
  <c r="BS455" i="1"/>
  <c r="BS515" i="1"/>
  <c r="CT399" i="1"/>
  <c r="CU399" i="1" s="1"/>
  <c r="CT398" i="1"/>
  <c r="CT348" i="1"/>
  <c r="CT268" i="1"/>
  <c r="CX565" i="1"/>
  <c r="G573" i="10"/>
  <c r="K573" i="10" s="1"/>
  <c r="F573" i="10"/>
  <c r="CZ565" i="1"/>
  <c r="DA565" i="1" s="1"/>
  <c r="CX130" i="1"/>
  <c r="G129" i="10" s="1"/>
  <c r="K129" i="10" s="1"/>
  <c r="L120" i="10"/>
  <c r="CV78" i="1"/>
  <c r="CW78" i="1" s="1"/>
  <c r="H78" i="10" s="1"/>
  <c r="CV382" i="1"/>
  <c r="CW382" i="1" s="1"/>
  <c r="CU387" i="1"/>
  <c r="L2" i="10"/>
  <c r="L370" i="10"/>
  <c r="CU299" i="1"/>
  <c r="L33" i="10"/>
  <c r="L35" i="10"/>
  <c r="BS480" i="1"/>
  <c r="CT441" i="1"/>
  <c r="CU441" i="1"/>
  <c r="CT406" i="1"/>
  <c r="L412" i="10" s="1"/>
  <c r="CT401" i="1"/>
  <c r="CY565" i="1"/>
  <c r="N3" i="18"/>
  <c r="BS453" i="1"/>
  <c r="BS403" i="1"/>
  <c r="BS399" i="1"/>
  <c r="BS395" i="1"/>
  <c r="BS364" i="1"/>
  <c r="CT317" i="1"/>
  <c r="CT283" i="1"/>
  <c r="CU283" i="1" s="1"/>
  <c r="CZ283" i="1" s="1"/>
  <c r="CT282" i="1"/>
  <c r="BS245" i="1"/>
  <c r="BS241" i="1"/>
  <c r="CT152" i="1"/>
  <c r="CV152" i="1" s="1"/>
  <c r="CY560" i="1"/>
  <c r="DA560" i="1" s="1"/>
  <c r="T568" i="10" s="1"/>
  <c r="CX555" i="1"/>
  <c r="G563" i="10"/>
  <c r="K563" i="10" s="1"/>
  <c r="F563" i="10"/>
  <c r="CZ555" i="1"/>
  <c r="O41" i="10"/>
  <c r="O17" i="10"/>
  <c r="V227" i="10"/>
  <c r="N438" i="10"/>
  <c r="U438" i="10" s="1"/>
  <c r="O556" i="10"/>
  <c r="W556" i="10"/>
  <c r="W493" i="10"/>
  <c r="O239" i="10"/>
  <c r="V415" i="10"/>
  <c r="V468" i="10"/>
  <c r="W239" i="10"/>
  <c r="N222" i="10"/>
  <c r="U222" i="10" s="1"/>
  <c r="V277" i="10"/>
  <c r="V538" i="10"/>
  <c r="V486" i="10"/>
  <c r="O438" i="10"/>
  <c r="N486" i="10"/>
  <c r="U486" i="10" s="1"/>
  <c r="V438" i="10"/>
  <c r="O66" i="10"/>
  <c r="V239" i="10"/>
  <c r="W557" i="10"/>
  <c r="W494" i="10"/>
  <c r="W507" i="10"/>
  <c r="N494" i="10"/>
  <c r="U494" i="10" s="1"/>
  <c r="N23" i="10"/>
  <c r="U23" i="10" s="1"/>
  <c r="N9" i="10"/>
  <c r="U9" i="10" s="1"/>
  <c r="W297" i="10"/>
  <c r="V524" i="10"/>
  <c r="W524" i="10"/>
  <c r="W469" i="10"/>
  <c r="O507" i="10"/>
  <c r="W137" i="10"/>
  <c r="W23" i="10"/>
  <c r="V9" i="10"/>
  <c r="V546" i="10"/>
  <c r="O547" i="10"/>
  <c r="V519" i="10"/>
  <c r="V228" i="10"/>
  <c r="W525" i="10"/>
  <c r="O431" i="10"/>
  <c r="V540" i="10"/>
  <c r="W126" i="10"/>
  <c r="N525" i="10"/>
  <c r="U525" i="10"/>
  <c r="N481" i="10"/>
  <c r="U481" i="10" s="1"/>
  <c r="N126" i="10"/>
  <c r="U126" i="10"/>
  <c r="O495" i="10"/>
  <c r="W502" i="10"/>
  <c r="V495" i="10"/>
  <c r="N502" i="10"/>
  <c r="U502" i="10" s="1"/>
  <c r="CV401" i="1"/>
  <c r="CW401" i="1"/>
  <c r="H407" i="10" s="1"/>
  <c r="CV405" i="1"/>
  <c r="CW405" i="1" s="1"/>
  <c r="CV477" i="1"/>
  <c r="CW477" i="1" s="1"/>
  <c r="H485" i="10" s="1"/>
  <c r="CV343" i="1"/>
  <c r="CW343" i="1"/>
  <c r="H344" i="10" s="1"/>
  <c r="O157" i="10"/>
  <c r="O2" i="10"/>
  <c r="O306" i="10"/>
  <c r="N514" i="10"/>
  <c r="U514" i="10" s="1"/>
  <c r="V520" i="10"/>
  <c r="V224" i="10"/>
  <c r="W526" i="10"/>
  <c r="N520" i="10"/>
  <c r="U520" i="10" s="1"/>
  <c r="V526" i="10"/>
  <c r="W496" i="10"/>
  <c r="W533" i="10"/>
  <c r="O520" i="10"/>
  <c r="O224" i="10"/>
  <c r="V533" i="10"/>
  <c r="W514" i="10"/>
  <c r="W224" i="10"/>
  <c r="N479" i="10"/>
  <c r="U479" i="10" s="1"/>
  <c r="N193" i="10"/>
  <c r="U193" i="10" s="1"/>
  <c r="W456" i="10"/>
  <c r="W401" i="10"/>
  <c r="N321" i="10"/>
  <c r="U321" i="10" s="1"/>
  <c r="W131" i="10"/>
  <c r="W333" i="10"/>
  <c r="W491" i="10"/>
  <c r="W452" i="10"/>
  <c r="V180" i="10"/>
  <c r="V427" i="10"/>
  <c r="V403" i="10"/>
  <c r="V368" i="10"/>
  <c r="N410" i="10"/>
  <c r="U410" i="10" s="1"/>
  <c r="V481" i="10"/>
  <c r="O410" i="10"/>
  <c r="W125" i="10"/>
  <c r="V390" i="10"/>
  <c r="N391" i="10"/>
  <c r="U391" i="10"/>
  <c r="N452" i="10"/>
  <c r="U452" i="10" s="1"/>
  <c r="W180" i="10"/>
  <c r="W403" i="10"/>
  <c r="N396" i="10"/>
  <c r="U396" i="10" s="1"/>
  <c r="W214" i="10"/>
  <c r="N390" i="10"/>
  <c r="U390" i="10" s="1"/>
  <c r="V141" i="10"/>
  <c r="O321" i="10"/>
  <c r="O404" i="10"/>
  <c r="W396" i="10"/>
  <c r="V466" i="10"/>
  <c r="W404" i="10"/>
  <c r="O387" i="10"/>
  <c r="O268" i="10"/>
  <c r="O526" i="10"/>
  <c r="CV465" i="1"/>
  <c r="CW465" i="1" s="1"/>
  <c r="CY465" i="1"/>
  <c r="DA465" i="1" s="1"/>
  <c r="O434" i="10"/>
  <c r="W457" i="10"/>
  <c r="N534" i="10"/>
  <c r="U534" i="10"/>
  <c r="N521" i="10"/>
  <c r="U521" i="10" s="1"/>
  <c r="W534" i="10"/>
  <c r="N508" i="10"/>
  <c r="U508" i="10" s="1"/>
  <c r="N444" i="10"/>
  <c r="U444" i="10"/>
  <c r="V527" i="10"/>
  <c r="V508" i="10"/>
  <c r="W521" i="10"/>
  <c r="N434" i="10"/>
  <c r="U434" i="10" s="1"/>
  <c r="N504" i="10"/>
  <c r="U504" i="10" s="1"/>
  <c r="W527" i="10"/>
  <c r="O117" i="10"/>
  <c r="O534" i="10"/>
  <c r="V413" i="10"/>
  <c r="V483" i="10"/>
  <c r="N473" i="10"/>
  <c r="U473" i="10" s="1"/>
  <c r="N353" i="10"/>
  <c r="U353" i="10"/>
  <c r="W421" i="10"/>
  <c r="W483" i="10"/>
  <c r="N310" i="10"/>
  <c r="U310" i="10"/>
  <c r="O527" i="10"/>
  <c r="O363" i="10"/>
  <c r="O521" i="10"/>
  <c r="V444" i="10"/>
  <c r="O497" i="10"/>
  <c r="N451" i="10"/>
  <c r="U451" i="10" s="1"/>
  <c r="O154" i="10"/>
  <c r="V560" i="10"/>
  <c r="V449" i="10"/>
  <c r="V440" i="10"/>
  <c r="W497" i="10"/>
  <c r="W504" i="10"/>
  <c r="V161" i="10"/>
  <c r="N285" i="10"/>
  <c r="U285" i="10" s="1"/>
  <c r="O560" i="10"/>
  <c r="O206" i="10"/>
  <c r="W206" i="10"/>
  <c r="N497" i="10"/>
  <c r="U497" i="10" s="1"/>
  <c r="N413" i="10"/>
  <c r="U413" i="10"/>
  <c r="O227" i="10"/>
  <c r="O70" i="10"/>
  <c r="O62" i="10"/>
  <c r="O103" i="10"/>
  <c r="N55" i="10"/>
  <c r="U55" i="10" s="1"/>
  <c r="V55" i="10"/>
  <c r="O55" i="10"/>
  <c r="O473" i="10"/>
  <c r="N484" i="10"/>
  <c r="U484" i="10"/>
  <c r="V473" i="10"/>
  <c r="W136" i="10"/>
  <c r="O326" i="10"/>
  <c r="O353" i="10"/>
  <c r="CV418" i="1"/>
  <c r="CW418" i="1"/>
  <c r="O73" i="10"/>
  <c r="V491" i="10"/>
  <c r="V535" i="10"/>
  <c r="W417" i="10"/>
  <c r="N535" i="10"/>
  <c r="U535" i="10"/>
  <c r="W523" i="10"/>
  <c r="O470" i="10"/>
  <c r="N523" i="10"/>
  <c r="U523" i="10"/>
  <c r="O446" i="10"/>
  <c r="N487" i="10"/>
  <c r="U487" i="10" s="1"/>
  <c r="O523" i="10"/>
  <c r="V528" i="10"/>
  <c r="W482" i="10"/>
  <c r="W39" i="10"/>
  <c r="O535" i="10"/>
  <c r="W198" i="10"/>
  <c r="W487" i="10"/>
  <c r="O423" i="10"/>
  <c r="N398" i="10"/>
  <c r="U398" i="10" s="1"/>
  <c r="N470" i="10"/>
  <c r="U470" i="10"/>
  <c r="V297" i="10"/>
  <c r="O279" i="10"/>
  <c r="O294" i="10"/>
  <c r="CV390" i="1"/>
  <c r="CW390" i="1" s="1"/>
  <c r="H394" i="10" s="1"/>
  <c r="W560" i="10"/>
  <c r="V548" i="10"/>
  <c r="N116" i="10"/>
  <c r="U116" i="10" s="1"/>
  <c r="W537" i="10"/>
  <c r="O498" i="10"/>
  <c r="O529" i="10"/>
  <c r="W463" i="10"/>
  <c r="N279" i="10"/>
  <c r="U279" i="10"/>
  <c r="W147" i="10"/>
  <c r="N469" i="10"/>
  <c r="U469" i="10"/>
  <c r="O340" i="10"/>
  <c r="O453" i="10"/>
  <c r="V279" i="10"/>
  <c r="N129" i="10"/>
  <c r="U129" i="10" s="1"/>
  <c r="V529" i="10"/>
  <c r="V3" i="10"/>
  <c r="V16" i="10"/>
  <c r="V543" i="10"/>
  <c r="N463" i="10"/>
  <c r="U463" i="10"/>
  <c r="W34" i="10"/>
  <c r="N537" i="10"/>
  <c r="U537" i="10" s="1"/>
  <c r="O537" i="10"/>
  <c r="V135" i="10"/>
  <c r="N453" i="10"/>
  <c r="U453" i="10" s="1"/>
  <c r="W135" i="10"/>
  <c r="O463" i="10"/>
  <c r="N371" i="10"/>
  <c r="U371" i="10" s="1"/>
  <c r="N543" i="10"/>
  <c r="U543" i="10" s="1"/>
  <c r="W243" i="10"/>
  <c r="V453" i="10"/>
  <c r="O178" i="10"/>
  <c r="N34" i="10"/>
  <c r="U34" i="10"/>
  <c r="W211" i="10"/>
  <c r="N498" i="10"/>
  <c r="U498" i="10"/>
  <c r="O254" i="10"/>
  <c r="V334" i="10"/>
  <c r="O116" i="10"/>
  <c r="W498" i="10"/>
  <c r="W548" i="10"/>
  <c r="N147" i="10"/>
  <c r="U147" i="10" s="1"/>
  <c r="W220" i="10"/>
  <c r="W152" i="10"/>
  <c r="W116" i="10"/>
  <c r="V211" i="10"/>
  <c r="W78" i="10"/>
  <c r="N529" i="10"/>
  <c r="U529" i="10" s="1"/>
  <c r="N538" i="10"/>
  <c r="U538" i="10"/>
  <c r="V393" i="10"/>
  <c r="W516" i="10"/>
  <c r="V516" i="10"/>
  <c r="N553" i="10"/>
  <c r="U553" i="10"/>
  <c r="O9" i="10"/>
  <c r="O519" i="10"/>
  <c r="W551" i="10"/>
  <c r="N510" i="10"/>
  <c r="U510" i="10" s="1"/>
  <c r="N551" i="10"/>
  <c r="U551" i="10"/>
  <c r="V41" i="10"/>
  <c r="W64" i="10"/>
  <c r="O516" i="10"/>
  <c r="O474" i="10"/>
  <c r="O459" i="10"/>
  <c r="O452" i="10"/>
  <c r="O151" i="10"/>
  <c r="CY275" i="1"/>
  <c r="CV425" i="1"/>
  <c r="O69" i="10"/>
  <c r="V70" i="10"/>
  <c r="V422" i="10"/>
  <c r="V418" i="10"/>
  <c r="V461" i="10"/>
  <c r="N447" i="10"/>
  <c r="U447" i="10" s="1"/>
  <c r="W448" i="10"/>
  <c r="V445" i="10"/>
  <c r="O548" i="10"/>
  <c r="N461" i="10"/>
  <c r="U461" i="10"/>
  <c r="V447" i="10"/>
  <c r="N445" i="10"/>
  <c r="U445" i="10"/>
  <c r="W422" i="10"/>
  <c r="N433" i="10"/>
  <c r="U433" i="10"/>
  <c r="N205" i="10"/>
  <c r="U205" i="10" s="1"/>
  <c r="V365" i="10"/>
  <c r="W480" i="10"/>
  <c r="O42" i="10"/>
  <c r="V269" i="10"/>
  <c r="W341" i="10"/>
  <c r="O379" i="10"/>
  <c r="V94" i="10"/>
  <c r="N554" i="10"/>
  <c r="U554" i="10" s="1"/>
  <c r="N412" i="10"/>
  <c r="U412" i="10"/>
  <c r="N341" i="10"/>
  <c r="U341" i="10" s="1"/>
  <c r="W412" i="10"/>
  <c r="O445" i="10"/>
  <c r="O122" i="10"/>
  <c r="N343" i="10"/>
  <c r="U343" i="10" s="1"/>
  <c r="W94" i="10"/>
  <c r="O390" i="10"/>
  <c r="O210" i="10"/>
  <c r="O205" i="10"/>
  <c r="O197" i="10"/>
  <c r="O141" i="10"/>
  <c r="W86" i="10"/>
  <c r="N70" i="10"/>
  <c r="U70" i="10" s="1"/>
  <c r="O14" i="10"/>
  <c r="N349" i="10"/>
  <c r="U349" i="10" s="1"/>
  <c r="V343" i="10"/>
  <c r="V42" i="10"/>
  <c r="N269" i="10"/>
  <c r="U269" i="10" s="1"/>
  <c r="W379" i="10"/>
  <c r="N335" i="10"/>
  <c r="U335" i="10" s="1"/>
  <c r="O84" i="10"/>
  <c r="O22" i="10"/>
  <c r="O277" i="10"/>
  <c r="O59" i="10"/>
  <c r="O551" i="10"/>
  <c r="N86" i="10"/>
  <c r="U86" i="10" s="1"/>
  <c r="V104" i="10"/>
  <c r="W70" i="10"/>
  <c r="W14" i="10"/>
  <c r="W251" i="10"/>
  <c r="V335" i="10"/>
  <c r="V379" i="10"/>
  <c r="O356" i="10"/>
  <c r="O104" i="10"/>
  <c r="N14" i="10"/>
  <c r="U14" i="10"/>
  <c r="V308" i="10"/>
  <c r="W42" i="10"/>
  <c r="V325" i="10"/>
  <c r="V260" i="10"/>
  <c r="W308" i="10"/>
  <c r="N168" i="10"/>
  <c r="U168" i="10"/>
  <c r="N276" i="10"/>
  <c r="U276" i="10" s="1"/>
  <c r="O285" i="10"/>
  <c r="V168" i="10"/>
  <c r="W276" i="10"/>
  <c r="W260" i="10"/>
  <c r="N251" i="10"/>
  <c r="U251" i="10" s="1"/>
  <c r="N210" i="10"/>
  <c r="U210" i="10"/>
  <c r="N81" i="10"/>
  <c r="U81" i="10" s="1"/>
  <c r="W128" i="10"/>
  <c r="W292" i="10"/>
  <c r="V387" i="10"/>
  <c r="O176" i="10"/>
  <c r="V205" i="10"/>
  <c r="W210" i="10"/>
  <c r="O365" i="10"/>
  <c r="V285" i="10"/>
  <c r="W365" i="10"/>
  <c r="N136" i="10"/>
  <c r="U136" i="10" s="1"/>
  <c r="V158" i="10"/>
  <c r="W387" i="10"/>
  <c r="V99" i="10"/>
  <c r="CV470" i="1"/>
  <c r="CW470" i="1" s="1"/>
  <c r="CV420" i="1"/>
  <c r="CW420" i="1" s="1"/>
  <c r="H429" i="10"/>
  <c r="CV483" i="1"/>
  <c r="CW483" i="1" s="1"/>
  <c r="H491" i="10" s="1"/>
  <c r="O72" i="10"/>
  <c r="O82" i="10"/>
  <c r="O179" i="10"/>
  <c r="N506" i="10"/>
  <c r="U506" i="10" s="1"/>
  <c r="V511" i="10"/>
  <c r="W511" i="10"/>
  <c r="O554" i="10"/>
  <c r="O228" i="10"/>
  <c r="V319" i="10"/>
  <c r="W554" i="10"/>
  <c r="W328" i="10"/>
  <c r="V430" i="10"/>
  <c r="O506" i="10"/>
  <c r="W164" i="10"/>
  <c r="V301" i="10"/>
  <c r="W228" i="10"/>
  <c r="N328" i="10"/>
  <c r="U328" i="10"/>
  <c r="N164" i="10"/>
  <c r="U164" i="10" s="1"/>
  <c r="O502" i="10"/>
  <c r="N359" i="10"/>
  <c r="U359" i="10" s="1"/>
  <c r="V305" i="10"/>
  <c r="O433" i="10"/>
  <c r="O398" i="10"/>
  <c r="O362" i="10"/>
  <c r="N256" i="10"/>
  <c r="U256" i="10" s="1"/>
  <c r="N414" i="10"/>
  <c r="U414" i="10" s="1"/>
  <c r="V230" i="10"/>
  <c r="N381" i="10"/>
  <c r="U381" i="10" s="1"/>
  <c r="V165" i="10"/>
  <c r="O456" i="10"/>
  <c r="O450" i="10"/>
  <c r="V437" i="10"/>
  <c r="O359" i="10"/>
  <c r="W437" i="10"/>
  <c r="O406" i="10"/>
  <c r="N443" i="10"/>
  <c r="U443" i="10"/>
  <c r="V256" i="10"/>
  <c r="O230" i="10"/>
  <c r="N165" i="10"/>
  <c r="U165" i="10" s="1"/>
  <c r="N406" i="10"/>
  <c r="U406" i="10"/>
  <c r="W443" i="10"/>
  <c r="W248" i="10"/>
  <c r="N230" i="10"/>
  <c r="U230" i="10"/>
  <c r="V406" i="10"/>
  <c r="V336" i="10"/>
  <c r="O311" i="10"/>
  <c r="N355" i="10"/>
  <c r="U355" i="10" s="1"/>
  <c r="W383" i="10"/>
  <c r="O247" i="10"/>
  <c r="V281" i="10"/>
  <c r="V414" i="10"/>
  <c r="N393" i="10"/>
  <c r="U393" i="10" s="1"/>
  <c r="W301" i="10"/>
  <c r="W336" i="10"/>
  <c r="N430" i="10"/>
  <c r="U430" i="10" s="1"/>
  <c r="O437" i="10"/>
  <c r="O346" i="10"/>
  <c r="W319" i="10"/>
  <c r="O457" i="10"/>
  <c r="W377" i="10"/>
  <c r="O486" i="10"/>
  <c r="O466" i="10"/>
  <c r="O504" i="10"/>
  <c r="CV369" i="1"/>
  <c r="CW369" i="1" s="1"/>
  <c r="H371" i="10" s="1"/>
  <c r="O25" i="10"/>
  <c r="CW436" i="1"/>
  <c r="CY436" i="1" s="1"/>
  <c r="CV281" i="1"/>
  <c r="CW281" i="1"/>
  <c r="H282" i="10" s="1"/>
  <c r="G62" i="10"/>
  <c r="K62" i="10" s="1"/>
  <c r="CZ62" i="1"/>
  <c r="L185" i="10"/>
  <c r="CU184" i="1"/>
  <c r="CX184" i="1" s="1"/>
  <c r="G185" i="10" s="1"/>
  <c r="K185" i="10"/>
  <c r="V264" i="10"/>
  <c r="N264" i="10"/>
  <c r="U264" i="10" s="1"/>
  <c r="L156" i="10"/>
  <c r="CV439" i="1"/>
  <c r="W370" i="10"/>
  <c r="W213" i="10"/>
  <c r="L131" i="10"/>
  <c r="CV132" i="1"/>
  <c r="CW132" i="1" s="1"/>
  <c r="H131" i="10" s="1"/>
  <c r="L322" i="10"/>
  <c r="CU415" i="1"/>
  <c r="L423" i="10"/>
  <c r="CU146" i="1"/>
  <c r="F145" i="10" s="1"/>
  <c r="CV146" i="1"/>
  <c r="CW146" i="1"/>
  <c r="CY146" i="1" s="1"/>
  <c r="CV14" i="1"/>
  <c r="L14" i="10"/>
  <c r="CU14" i="1"/>
  <c r="CY14" i="1" s="1"/>
  <c r="CU28" i="1"/>
  <c r="CZ261" i="1"/>
  <c r="V370" i="10"/>
  <c r="O358" i="10"/>
  <c r="CU163" i="1"/>
  <c r="CV163" i="1"/>
  <c r="CW163" i="1" s="1"/>
  <c r="L164" i="10"/>
  <c r="N47" i="10"/>
  <c r="U47" i="10" s="1"/>
  <c r="W47" i="10"/>
  <c r="V127" i="10"/>
  <c r="N326" i="10"/>
  <c r="U326" i="10"/>
  <c r="CV184" i="1"/>
  <c r="CW184" i="1" s="1"/>
  <c r="H185" i="10" s="1"/>
  <c r="CU24" i="1"/>
  <c r="CV116" i="1"/>
  <c r="CW116" i="1" s="1"/>
  <c r="H117" i="10" s="1"/>
  <c r="L410" i="10"/>
  <c r="N198" i="10"/>
  <c r="U198" i="10" s="1"/>
  <c r="CV28" i="1"/>
  <c r="CW28" i="1"/>
  <c r="H29" i="10" s="1"/>
  <c r="V326" i="10"/>
  <c r="F261" i="10"/>
  <c r="F9" i="10"/>
  <c r="F235" i="10"/>
  <c r="L385" i="10"/>
  <c r="CU132" i="1"/>
  <c r="CV24" i="1"/>
  <c r="CW24" i="1"/>
  <c r="L22" i="10"/>
  <c r="CV259" i="1"/>
  <c r="CW259" i="1" s="1"/>
  <c r="CU259" i="1"/>
  <c r="CX259" i="1"/>
  <c r="G260" i="10"/>
  <c r="K260" i="10" s="1"/>
  <c r="CX274" i="1"/>
  <c r="G271" i="10"/>
  <c r="K271" i="10" s="1"/>
  <c r="CV274" i="1"/>
  <c r="CW274" i="1" s="1"/>
  <c r="CV286" i="1"/>
  <c r="CW286" i="1" s="1"/>
  <c r="H286" i="10" s="1"/>
  <c r="L48" i="10"/>
  <c r="CU48" i="1"/>
  <c r="F48" i="10" s="1"/>
  <c r="CZ48" i="1"/>
  <c r="L537" i="10"/>
  <c r="CU529" i="1"/>
  <c r="CV529" i="1"/>
  <c r="CW529" i="1" s="1"/>
  <c r="CU164" i="1"/>
  <c r="CY164" i="1" s="1"/>
  <c r="L165" i="10"/>
  <c r="CU194" i="1"/>
  <c r="CY194" i="1" s="1"/>
  <c r="CV194" i="1"/>
  <c r="CW194" i="1" s="1"/>
  <c r="H195" i="10"/>
  <c r="W123" i="10"/>
  <c r="N123" i="10"/>
  <c r="U123" i="10" s="1"/>
  <c r="N348" i="10"/>
  <c r="U348" i="10"/>
  <c r="W348" i="10"/>
  <c r="V389" i="10"/>
  <c r="N417" i="10"/>
  <c r="U417" i="10" s="1"/>
  <c r="V417" i="10"/>
  <c r="W423" i="10"/>
  <c r="N423" i="10"/>
  <c r="U423" i="10" s="1"/>
  <c r="CX493" i="1"/>
  <c r="G501" i="10" s="1"/>
  <c r="K501" i="10" s="1"/>
  <c r="CV30" i="1"/>
  <c r="CW30" i="1" s="1"/>
  <c r="CU431" i="1"/>
  <c r="F437" i="10"/>
  <c r="CV385" i="1"/>
  <c r="CW385" i="1" s="1"/>
  <c r="N270" i="10"/>
  <c r="U270" i="10"/>
  <c r="N159" i="10"/>
  <c r="U159" i="10" s="1"/>
  <c r="CU76" i="1"/>
  <c r="CX76" i="1" s="1"/>
  <c r="CZ76" i="1"/>
  <c r="CV248" i="1"/>
  <c r="CW248" i="1" s="1"/>
  <c r="F294" i="10"/>
  <c r="CU489" i="1"/>
  <c r="CZ489" i="1" s="1"/>
  <c r="CV261" i="1"/>
  <c r="CW261" i="1"/>
  <c r="CZ9" i="1"/>
  <c r="CV438" i="1"/>
  <c r="CW438" i="1"/>
  <c r="L416" i="10"/>
  <c r="L191" i="10"/>
  <c r="CX232" i="1"/>
  <c r="G232" i="10" s="1"/>
  <c r="K232" i="10" s="1"/>
  <c r="CV270" i="1"/>
  <c r="CW270" i="1" s="1"/>
  <c r="CU265" i="1"/>
  <c r="CX265" i="1" s="1"/>
  <c r="CU522" i="1"/>
  <c r="CV62" i="1"/>
  <c r="CW62" i="1" s="1"/>
  <c r="L62" i="10"/>
  <c r="V38" i="10"/>
  <c r="N309" i="10"/>
  <c r="U309" i="10"/>
  <c r="W309" i="10"/>
  <c r="V358" i="10"/>
  <c r="W358" i="10"/>
  <c r="CZ493" i="1"/>
  <c r="CU30" i="1"/>
  <c r="CX30" i="1" s="1"/>
  <c r="G30" i="10" s="1"/>
  <c r="K30" i="10" s="1"/>
  <c r="CV431" i="1"/>
  <c r="CW431" i="1"/>
  <c r="H437" i="10" s="1"/>
  <c r="W270" i="10"/>
  <c r="V159" i="10"/>
  <c r="CU248" i="1"/>
  <c r="F248" i="10"/>
  <c r="CV35" i="1"/>
  <c r="CW35" i="1" s="1"/>
  <c r="H36" i="10" s="1"/>
  <c r="CV41" i="1"/>
  <c r="CW41" i="1" s="1"/>
  <c r="H41" i="10" s="1"/>
  <c r="O370" i="10"/>
  <c r="CU438" i="1"/>
  <c r="CX438" i="1" s="1"/>
  <c r="F445" i="10"/>
  <c r="CV244" i="1"/>
  <c r="CW244" i="1" s="1"/>
  <c r="H241" i="10" s="1"/>
  <c r="L429" i="10"/>
  <c r="V291" i="10"/>
  <c r="W338" i="10"/>
  <c r="V82" i="10"/>
  <c r="L195" i="10"/>
  <c r="CV487" i="1"/>
  <c r="CW487" i="1" s="1"/>
  <c r="CY487" i="1" s="1"/>
  <c r="DA487" i="1" s="1"/>
  <c r="T495" i="10" s="1"/>
  <c r="L307" i="10"/>
  <c r="CU307" i="1"/>
  <c r="L138" i="10"/>
  <c r="CU139" i="1"/>
  <c r="F138" i="10"/>
  <c r="CU469" i="1"/>
  <c r="CV469" i="1"/>
  <c r="L166" i="10"/>
  <c r="CV168" i="1"/>
  <c r="CW168" i="1" s="1"/>
  <c r="CY168" i="1" s="1"/>
  <c r="N331" i="10"/>
  <c r="U331" i="10" s="1"/>
  <c r="CW536" i="1"/>
  <c r="H544" i="10" s="1"/>
  <c r="L544" i="10"/>
  <c r="O110" i="10"/>
  <c r="L36" i="10"/>
  <c r="CU157" i="1"/>
  <c r="CZ157" i="1"/>
  <c r="CU166" i="1"/>
  <c r="CV552" i="1"/>
  <c r="CW552" i="1"/>
  <c r="H560" i="10" s="1"/>
  <c r="W291" i="10"/>
  <c r="L495" i="10"/>
  <c r="L472" i="10"/>
  <c r="CX465" i="1"/>
  <c r="G472" i="10" s="1"/>
  <c r="K472" i="10" s="1"/>
  <c r="CU417" i="1"/>
  <c r="CZ417" i="1" s="1"/>
  <c r="CX417" i="1"/>
  <c r="G426" i="10" s="1"/>
  <c r="K426" i="10" s="1"/>
  <c r="CV417" i="1"/>
  <c r="CW417" i="1" s="1"/>
  <c r="CU262" i="1"/>
  <c r="CV521" i="1"/>
  <c r="CW521" i="1" s="1"/>
  <c r="H528" i="10"/>
  <c r="L227" i="10"/>
  <c r="CU41" i="1"/>
  <c r="CV254" i="1"/>
  <c r="CW254" i="1" s="1"/>
  <c r="H254" i="10" s="1"/>
  <c r="V100" i="10"/>
  <c r="CU191" i="1"/>
  <c r="CY191" i="1" s="1"/>
  <c r="CU416" i="1"/>
  <c r="CV285" i="1"/>
  <c r="CW285" i="1" s="1"/>
  <c r="H284" i="10" s="1"/>
  <c r="CU439" i="1"/>
  <c r="CV307" i="1"/>
  <c r="CW307" i="1" s="1"/>
  <c r="H307" i="10" s="1"/>
  <c r="N219" i="10"/>
  <c r="U219" i="10"/>
  <c r="U61" i="10"/>
  <c r="L56" i="10"/>
  <c r="CU57" i="1"/>
  <c r="F56" i="10" s="1"/>
  <c r="V169" i="10"/>
  <c r="CV402" i="1"/>
  <c r="CW402" i="1" s="1"/>
  <c r="CY402" i="1" s="1"/>
  <c r="CU537" i="1"/>
  <c r="CX537" i="1" s="1"/>
  <c r="BS485" i="1"/>
  <c r="CT481" i="1"/>
  <c r="BS470" i="1"/>
  <c r="BS461" i="1"/>
  <c r="O464" i="10"/>
  <c r="CT453" i="1"/>
  <c r="BS439" i="1"/>
  <c r="O447" i="10"/>
  <c r="O430" i="10"/>
  <c r="BS420" i="1"/>
  <c r="CT419" i="1"/>
  <c r="CU419" i="1" s="1"/>
  <c r="CT77" i="1"/>
  <c r="CT206" i="1"/>
  <c r="CT158" i="1"/>
  <c r="BS491" i="1"/>
  <c r="CU374" i="1"/>
  <c r="F376" i="10" s="1"/>
  <c r="L550" i="10"/>
  <c r="L64" i="10"/>
  <c r="CT376" i="1"/>
  <c r="BS363" i="1"/>
  <c r="BS359" i="1"/>
  <c r="CT209" i="1"/>
  <c r="CU209" i="1" s="1"/>
  <c r="BS187" i="1"/>
  <c r="CV386" i="1"/>
  <c r="CW386" i="1" s="1"/>
  <c r="H389" i="10" s="1"/>
  <c r="CV542" i="1"/>
  <c r="CW542" i="1"/>
  <c r="CY542" i="1" s="1"/>
  <c r="DA542" i="1" s="1"/>
  <c r="T550" i="10" s="1"/>
  <c r="V482" i="10"/>
  <c r="CT243" i="1"/>
  <c r="CT242" i="1"/>
  <c r="CU242" i="1" s="1"/>
  <c r="O165" i="10"/>
  <c r="CT135" i="1"/>
  <c r="BS437" i="1"/>
  <c r="CT435" i="1"/>
  <c r="CT305" i="1"/>
  <c r="CV305" i="1" s="1"/>
  <c r="CW305" i="1" s="1"/>
  <c r="H306" i="10" s="1"/>
  <c r="BS282" i="1"/>
  <c r="BS248" i="1"/>
  <c r="CT246" i="1"/>
  <c r="L245" i="10" s="1"/>
  <c r="CT142" i="1"/>
  <c r="BS397" i="1"/>
  <c r="BS365" i="1"/>
  <c r="CT344" i="1"/>
  <c r="BS322" i="1"/>
  <c r="O318" i="10"/>
  <c r="CT278" i="1"/>
  <c r="CT225" i="1"/>
  <c r="CT178" i="1"/>
  <c r="L180" i="10" s="1"/>
  <c r="CT174" i="1"/>
  <c r="CT149" i="1"/>
  <c r="CV149" i="1" s="1"/>
  <c r="CW149" i="1" s="1"/>
  <c r="CT109" i="1"/>
  <c r="CV109" i="1" s="1"/>
  <c r="CW109" i="1"/>
  <c r="H108" i="10" s="1"/>
  <c r="BS107" i="1"/>
  <c r="CT105" i="1"/>
  <c r="L106" i="10"/>
  <c r="CT102" i="1"/>
  <c r="L102" i="10" s="1"/>
  <c r="O102" i="10"/>
  <c r="CT101" i="1"/>
  <c r="BS96" i="1"/>
  <c r="O543" i="10"/>
  <c r="CV217" i="1"/>
  <c r="CW217" i="1" s="1"/>
  <c r="H216" i="10" s="1"/>
  <c r="CV334" i="1"/>
  <c r="CV232" i="1"/>
  <c r="CW232" i="1"/>
  <c r="CY232" i="1" s="1"/>
  <c r="CV252" i="1"/>
  <c r="CW252" i="1" s="1"/>
  <c r="H250" i="10" s="1"/>
  <c r="CV450" i="1"/>
  <c r="CV374" i="1"/>
  <c r="CW374" i="1" s="1"/>
  <c r="H376" i="10" s="1"/>
  <c r="CY374" i="1"/>
  <c r="CV463" i="1"/>
  <c r="CW463" i="1" s="1"/>
  <c r="F344" i="10"/>
  <c r="CZ343" i="1"/>
  <c r="L483" i="10"/>
  <c r="CU446" i="1"/>
  <c r="L453" i="10"/>
  <c r="CZ507" i="1"/>
  <c r="CX507" i="1"/>
  <c r="G531" i="10" s="1"/>
  <c r="K531" i="10"/>
  <c r="CV517" i="1"/>
  <c r="CW517" i="1" s="1"/>
  <c r="CU217" i="1"/>
  <c r="L216" i="10"/>
  <c r="CW339" i="1"/>
  <c r="H340" i="10" s="1"/>
  <c r="L340" i="10"/>
  <c r="L442" i="10"/>
  <c r="CV434" i="1"/>
  <c r="CW434" i="1" s="1"/>
  <c r="CU434" i="1"/>
  <c r="CZ434" i="1" s="1"/>
  <c r="L482" i="10"/>
  <c r="CX444" i="1"/>
  <c r="G452" i="10" s="1"/>
  <c r="K452" i="10" s="1"/>
  <c r="F452" i="10"/>
  <c r="CX64" i="1"/>
  <c r="G64" i="10" s="1"/>
  <c r="K64" i="10" s="1"/>
  <c r="CX487" i="1"/>
  <c r="G495" i="10" s="1"/>
  <c r="K495" i="10" s="1"/>
  <c r="F495" i="10"/>
  <c r="CV37" i="1"/>
  <c r="CW37" i="1" s="1"/>
  <c r="H37" i="10"/>
  <c r="CU37" i="1"/>
  <c r="CZ37" i="1" s="1"/>
  <c r="CV389" i="1"/>
  <c r="CW389" i="1"/>
  <c r="L21" i="10"/>
  <c r="L393" i="10"/>
  <c r="CZ245" i="1"/>
  <c r="CV44" i="1"/>
  <c r="CW44" i="1" s="1"/>
  <c r="CV375" i="1"/>
  <c r="CW375" i="1" s="1"/>
  <c r="CU375" i="1"/>
  <c r="CZ375" i="1" s="1"/>
  <c r="L20" i="10"/>
  <c r="CU20" i="1"/>
  <c r="F20" i="10"/>
  <c r="CV510" i="1"/>
  <c r="CW510" i="1" s="1"/>
  <c r="H517" i="10" s="1"/>
  <c r="L517" i="10"/>
  <c r="CV170" i="1"/>
  <c r="CW170" i="1" s="1"/>
  <c r="H170" i="10" s="1"/>
  <c r="L146" i="10"/>
  <c r="CV145" i="1"/>
  <c r="CW145" i="1"/>
  <c r="H146" i="10" s="1"/>
  <c r="CV98" i="1"/>
  <c r="CW98" i="1"/>
  <c r="H98" i="10" s="1"/>
  <c r="CV125" i="1"/>
  <c r="CW125" i="1" s="1"/>
  <c r="H124" i="10" s="1"/>
  <c r="L124" i="10"/>
  <c r="L70" i="10"/>
  <c r="CV70" i="1"/>
  <c r="CW70" i="1" s="1"/>
  <c r="CU159" i="1"/>
  <c r="L159" i="10"/>
  <c r="CV159" i="1"/>
  <c r="CW159" i="1" s="1"/>
  <c r="CX153" i="1"/>
  <c r="G153" i="10" s="1"/>
  <c r="K153" i="10" s="1"/>
  <c r="V37" i="10"/>
  <c r="O37" i="10"/>
  <c r="W37" i="10"/>
  <c r="V471" i="10"/>
  <c r="W471" i="10"/>
  <c r="DF417" i="1"/>
  <c r="DE417" i="1"/>
  <c r="L417" i="10"/>
  <c r="BT318" i="1"/>
  <c r="BS318" i="1"/>
  <c r="CV317" i="1"/>
  <c r="CW317" i="1"/>
  <c r="H318" i="10"/>
  <c r="CV283" i="1"/>
  <c r="CW283" i="1" s="1"/>
  <c r="H283" i="10" s="1"/>
  <c r="CV497" i="1"/>
  <c r="CW497" i="1" s="1"/>
  <c r="H505" i="10"/>
  <c r="CU450" i="1"/>
  <c r="F98" i="10"/>
  <c r="CZ144" i="1"/>
  <c r="DA144" i="1" s="1"/>
  <c r="T144" i="10" s="1"/>
  <c r="L320" i="10"/>
  <c r="CX506" i="1"/>
  <c r="G514" i="10" s="1"/>
  <c r="K514" i="10" s="1"/>
  <c r="CZ506" i="1"/>
  <c r="CV124" i="1"/>
  <c r="CW124" i="1" s="1"/>
  <c r="H125" i="10" s="1"/>
  <c r="CU124" i="1"/>
  <c r="L98" i="10"/>
  <c r="CV215" i="1"/>
  <c r="CW215" i="1" s="1"/>
  <c r="H215" i="10" s="1"/>
  <c r="L215" i="10"/>
  <c r="CZ252" i="1"/>
  <c r="CU467" i="1"/>
  <c r="L13" i="10"/>
  <c r="G250" i="10"/>
  <c r="K250" i="10"/>
  <c r="CU200" i="1"/>
  <c r="CX200" i="1" s="1"/>
  <c r="G200" i="10" s="1"/>
  <c r="CU410" i="1"/>
  <c r="CZ410" i="1"/>
  <c r="CV475" i="1"/>
  <c r="CW475" i="1" s="1"/>
  <c r="H483" i="10" s="1"/>
  <c r="CZ98" i="1"/>
  <c r="CU197" i="1"/>
  <c r="CZ197" i="1" s="1"/>
  <c r="N66" i="10"/>
  <c r="U66" i="10" s="1"/>
  <c r="W8" i="10"/>
  <c r="W484" i="10"/>
  <c r="N471" i="10"/>
  <c r="U471" i="10" s="1"/>
  <c r="F560" i="10"/>
  <c r="CV336" i="1"/>
  <c r="CW336" i="1" s="1"/>
  <c r="L337" i="10"/>
  <c r="CX535" i="1"/>
  <c r="G543" i="10"/>
  <c r="K543" i="10" s="1"/>
  <c r="F543" i="10"/>
  <c r="CZ14" i="1"/>
  <c r="CU337" i="1"/>
  <c r="L338" i="10"/>
  <c r="CV392" i="1"/>
  <c r="CW392" i="1" s="1"/>
  <c r="H396" i="10" s="1"/>
  <c r="L110" i="10"/>
  <c r="CU113" i="1"/>
  <c r="CY113" i="1" s="1"/>
  <c r="L23" i="10"/>
  <c r="CU23" i="1"/>
  <c r="CY23" i="1" s="1"/>
  <c r="CV544" i="1"/>
  <c r="CW544" i="1" s="1"/>
  <c r="H552" i="10"/>
  <c r="CU544" i="1"/>
  <c r="CX194" i="1"/>
  <c r="G195" i="10"/>
  <c r="K195" i="10" s="1"/>
  <c r="CZ431" i="1"/>
  <c r="F215" i="10"/>
  <c r="L404" i="10"/>
  <c r="CX155" i="1"/>
  <c r="G155" i="10" s="1"/>
  <c r="K155" i="10" s="1"/>
  <c r="L254" i="10"/>
  <c r="CZ550" i="1"/>
  <c r="CZ184" i="1"/>
  <c r="F185" i="10"/>
  <c r="CV180" i="1"/>
  <c r="CW180" i="1" s="1"/>
  <c r="H178" i="10" s="1"/>
  <c r="CV457" i="1"/>
  <c r="CW457" i="1"/>
  <c r="CV20" i="1"/>
  <c r="CW20" i="1" s="1"/>
  <c r="L197" i="10"/>
  <c r="CU449" i="1"/>
  <c r="L457" i="10"/>
  <c r="CZ203" i="1"/>
  <c r="L132" i="10"/>
  <c r="CU131" i="1"/>
  <c r="CX409" i="1"/>
  <c r="G413" i="10"/>
  <c r="K413" i="10" s="1"/>
  <c r="F413" i="10"/>
  <c r="CU342" i="1"/>
  <c r="CV342" i="1"/>
  <c r="CW342" i="1" s="1"/>
  <c r="H343" i="10"/>
  <c r="L343" i="10"/>
  <c r="O105" i="10"/>
  <c r="CU50" i="1"/>
  <c r="L50" i="10"/>
  <c r="CX457" i="1"/>
  <c r="G463" i="10" s="1"/>
  <c r="K463" i="10" s="1"/>
  <c r="F463" i="10"/>
  <c r="CX448" i="1"/>
  <c r="G455" i="10" s="1"/>
  <c r="K455" i="10" s="1"/>
  <c r="F79" i="10"/>
  <c r="CX129" i="1"/>
  <c r="G130" i="10" s="1"/>
  <c r="K130" i="10" s="1"/>
  <c r="F93" i="10"/>
  <c r="CZ215" i="1"/>
  <c r="CV69" i="1"/>
  <c r="CW69" i="1" s="1"/>
  <c r="H68" i="10" s="1"/>
  <c r="CZ319" i="1"/>
  <c r="CY144" i="1"/>
  <c r="CU180" i="1"/>
  <c r="F178" i="10" s="1"/>
  <c r="CZ270" i="1"/>
  <c r="K269" i="10"/>
  <c r="CY81" i="1"/>
  <c r="CZ154" i="1"/>
  <c r="F154" i="10"/>
  <c r="L558" i="10"/>
  <c r="CV550" i="1"/>
  <c r="CW550" i="1" s="1"/>
  <c r="H558" i="10" s="1"/>
  <c r="CY550" i="1"/>
  <c r="DA550" i="1" s="1"/>
  <c r="T558" i="10" s="1"/>
  <c r="CX382" i="1"/>
  <c r="G383" i="10" s="1"/>
  <c r="K383" i="10" s="1"/>
  <c r="F383" i="10"/>
  <c r="CU173" i="1"/>
  <c r="CU257" i="1"/>
  <c r="CX47" i="1"/>
  <c r="G47" i="10"/>
  <c r="K47" i="10" s="1"/>
  <c r="CX425" i="1"/>
  <c r="G433" i="10" s="1"/>
  <c r="K433" i="10" s="1"/>
  <c r="F433" i="10"/>
  <c r="CZ57" i="1"/>
  <c r="CY57" i="1"/>
  <c r="DA57" i="1" s="1"/>
  <c r="T56" i="10" s="1"/>
  <c r="CV106" i="1"/>
  <c r="CW106" i="1" s="1"/>
  <c r="H107" i="10" s="1"/>
  <c r="CV279" i="1"/>
  <c r="CW279" i="1"/>
  <c r="L280" i="10"/>
  <c r="F267" i="10"/>
  <c r="CV267" i="1"/>
  <c r="CW267" i="1" s="1"/>
  <c r="H267" i="10" s="1"/>
  <c r="CU504" i="1"/>
  <c r="F512" i="10" s="1"/>
  <c r="L512" i="10"/>
  <c r="CU59" i="1"/>
  <c r="CZ59" i="1" s="1"/>
  <c r="L60" i="10"/>
  <c r="L540" i="10"/>
  <c r="L83" i="10"/>
  <c r="CV407" i="1"/>
  <c r="CW407" i="1" s="1"/>
  <c r="H415" i="10" s="1"/>
  <c r="CU407" i="1"/>
  <c r="CY407" i="1" s="1"/>
  <c r="CU455" i="1"/>
  <c r="CU69" i="1"/>
  <c r="CV292" i="1"/>
  <c r="CW292" i="1"/>
  <c r="CU292" i="1"/>
  <c r="CZ292" i="1" s="1"/>
  <c r="L518" i="10"/>
  <c r="F322" i="10"/>
  <c r="F426" i="10"/>
  <c r="L491" i="10"/>
  <c r="CU471" i="1"/>
  <c r="CU483" i="1"/>
  <c r="CZ483" i="1" s="1"/>
  <c r="L458" i="10"/>
  <c r="CZ122" i="1"/>
  <c r="CX122" i="1"/>
  <c r="G122" i="10" s="1"/>
  <c r="K122" i="10" s="1"/>
  <c r="L378" i="10"/>
  <c r="CV451" i="1"/>
  <c r="CW451" i="1" s="1"/>
  <c r="H459" i="10" s="1"/>
  <c r="L459" i="10"/>
  <c r="CU510" i="1"/>
  <c r="F517" i="10"/>
  <c r="L334" i="10"/>
  <c r="CU333" i="1"/>
  <c r="CU86" i="1"/>
  <c r="CX86" i="1" s="1"/>
  <c r="G86" i="10" s="1"/>
  <c r="CV86" i="1"/>
  <c r="CW86" i="1" s="1"/>
  <c r="L86" i="10"/>
  <c r="CV139" i="1"/>
  <c r="CW139" i="1" s="1"/>
  <c r="H138" i="10" s="1"/>
  <c r="CV88" i="1"/>
  <c r="CW88" i="1"/>
  <c r="CU88" i="1"/>
  <c r="CY88" i="1" s="1"/>
  <c r="L184" i="10"/>
  <c r="CU186" i="1"/>
  <c r="CV269" i="1"/>
  <c r="CW269" i="1"/>
  <c r="CU269" i="1"/>
  <c r="L270" i="10"/>
  <c r="CV203" i="1"/>
  <c r="CW203" i="1" s="1"/>
  <c r="L203" i="10"/>
  <c r="CV540" i="1"/>
  <c r="CW540" i="1" s="1"/>
  <c r="CU540" i="1"/>
  <c r="L8" i="10"/>
  <c r="CV7" i="1"/>
  <c r="CU7" i="1"/>
  <c r="L543" i="10"/>
  <c r="CV535" i="1"/>
  <c r="CW535" i="1" s="1"/>
  <c r="L452" i="10"/>
  <c r="F555" i="10"/>
  <c r="G79" i="10"/>
  <c r="K79" i="10" s="1"/>
  <c r="CZ129" i="1"/>
  <c r="CV455" i="1"/>
  <c r="CW455" i="1" s="1"/>
  <c r="CZ115" i="1"/>
  <c r="CU39" i="1"/>
  <c r="CY26" i="1"/>
  <c r="DA26" i="1"/>
  <c r="T26" i="10"/>
  <c r="CU249" i="1"/>
  <c r="CY80" i="1"/>
  <c r="DA80" i="1" s="1"/>
  <c r="T80" i="10"/>
  <c r="CZ193" i="1"/>
  <c r="L43" i="10"/>
  <c r="F81" i="10"/>
  <c r="CU89" i="1"/>
  <c r="CX166" i="1"/>
  <c r="G168" i="10" s="1"/>
  <c r="K168" i="10" s="1"/>
  <c r="L368" i="10"/>
  <c r="CV321" i="1"/>
  <c r="CW321" i="1" s="1"/>
  <c r="H321" i="10"/>
  <c r="L321" i="10"/>
  <c r="L298" i="10"/>
  <c r="H298" i="10"/>
  <c r="CU301" i="1"/>
  <c r="CZ301" i="1" s="1"/>
  <c r="L37" i="10"/>
  <c r="CU99" i="1"/>
  <c r="L99" i="10"/>
  <c r="CV360" i="1"/>
  <c r="CW360" i="1" s="1"/>
  <c r="BT385" i="1"/>
  <c r="BS385" i="1"/>
  <c r="BT273" i="1"/>
  <c r="BS273" i="1"/>
  <c r="DF222" i="1"/>
  <c r="DE222" i="1"/>
  <c r="BT221" i="1"/>
  <c r="BS221" i="1"/>
  <c r="CV174" i="1"/>
  <c r="CW174" i="1" s="1"/>
  <c r="H174" i="10"/>
  <c r="CU174" i="1"/>
  <c r="CX174" i="1" s="1"/>
  <c r="DF172" i="1"/>
  <c r="DE172" i="1"/>
  <c r="BT150" i="1"/>
  <c r="BS150" i="1"/>
  <c r="BT111" i="1"/>
  <c r="BS111" i="1"/>
  <c r="CU109" i="1"/>
  <c r="CZ109" i="1" s="1"/>
  <c r="L108" i="10"/>
  <c r="W415" i="10"/>
  <c r="O415" i="10"/>
  <c r="DF350" i="1"/>
  <c r="DE350" i="1"/>
  <c r="V322" i="10"/>
  <c r="N322" i="10"/>
  <c r="U322" i="10"/>
  <c r="CU460" i="1"/>
  <c r="CX460" i="1" s="1"/>
  <c r="G471" i="10" s="1"/>
  <c r="K471" i="10" s="1"/>
  <c r="CU45" i="1"/>
  <c r="BS153" i="1"/>
  <c r="BS301" i="1"/>
  <c r="CU160" i="1"/>
  <c r="CV160" i="1"/>
  <c r="CW160" i="1" s="1"/>
  <c r="H161" i="10" s="1"/>
  <c r="L161" i="10"/>
  <c r="DE233" i="1"/>
  <c r="DF233" i="1"/>
  <c r="DE121" i="1"/>
  <c r="DF121" i="1"/>
  <c r="CV282" i="1"/>
  <c r="CW282" i="1" s="1"/>
  <c r="L299" i="10"/>
  <c r="N84" i="10"/>
  <c r="U84" i="10" s="1"/>
  <c r="W161" i="10"/>
  <c r="BT355" i="1"/>
  <c r="DE353" i="1"/>
  <c r="DF353" i="1"/>
  <c r="BT326" i="1"/>
  <c r="BS326" i="1"/>
  <c r="DE160" i="1"/>
  <c r="DF160" i="1"/>
  <c r="BT383" i="1"/>
  <c r="BS383" i="1"/>
  <c r="DF170" i="1"/>
  <c r="DE170" i="1"/>
  <c r="BT169" i="1"/>
  <c r="BS169" i="1"/>
  <c r="DF166" i="1"/>
  <c r="DE166" i="1"/>
  <c r="DF440" i="1"/>
  <c r="DE440" i="1"/>
  <c r="DF304" i="1"/>
  <c r="DE304" i="1"/>
  <c r="DF220" i="1"/>
  <c r="DE220" i="1"/>
  <c r="DF214" i="1"/>
  <c r="DE214" i="1"/>
  <c r="DE193" i="1"/>
  <c r="DF193" i="1"/>
  <c r="BT93" i="1"/>
  <c r="BS93" i="1"/>
  <c r="CU179" i="1"/>
  <c r="L80" i="10"/>
  <c r="L408" i="10"/>
  <c r="CU128" i="1"/>
  <c r="CV128" i="1"/>
  <c r="CW128" i="1" s="1"/>
  <c r="CU488" i="1"/>
  <c r="CX488" i="1" s="1"/>
  <c r="CU526" i="1"/>
  <c r="CZ526" i="1" s="1"/>
  <c r="CV541" i="1"/>
  <c r="CW541" i="1"/>
  <c r="H549" i="10"/>
  <c r="CV189" i="1"/>
  <c r="CV6" i="1"/>
  <c r="CW6" i="1"/>
  <c r="H7" i="10" s="1"/>
  <c r="BS284" i="1"/>
  <c r="BT195" i="1"/>
  <c r="BS195" i="1"/>
  <c r="BT143" i="1"/>
  <c r="BS143" i="1"/>
  <c r="BS462" i="1"/>
  <c r="BS459" i="1"/>
  <c r="BS454" i="1"/>
  <c r="BS465" i="1"/>
  <c r="BS450" i="1"/>
  <c r="CW446" i="1"/>
  <c r="BS232" i="1"/>
  <c r="CT498" i="1"/>
  <c r="CV498" i="1" s="1"/>
  <c r="CW498" i="1" s="1"/>
  <c r="H506" i="10" s="1"/>
  <c r="BS508" i="1"/>
  <c r="BS468" i="1"/>
  <c r="O468" i="10"/>
  <c r="O471" i="10"/>
  <c r="CT452" i="1"/>
  <c r="BS444" i="1"/>
  <c r="BS441" i="1"/>
  <c r="O440" i="10"/>
  <c r="O435" i="10"/>
  <c r="O426" i="10"/>
  <c r="O401" i="10"/>
  <c r="O351" i="10"/>
  <c r="O328" i="10"/>
  <c r="BS303" i="1"/>
  <c r="O235" i="10"/>
  <c r="O94" i="10"/>
  <c r="BS228" i="1"/>
  <c r="CT187" i="1"/>
  <c r="BS54" i="1"/>
  <c r="BS379" i="1"/>
  <c r="BS41" i="1"/>
  <c r="O508" i="10"/>
  <c r="CW204" i="1"/>
  <c r="H206" i="10" s="1"/>
  <c r="O127" i="10"/>
  <c r="BS467" i="1"/>
  <c r="BS452" i="1"/>
  <c r="BS438" i="1"/>
  <c r="BS414" i="1"/>
  <c r="BS401" i="1"/>
  <c r="BS507" i="1"/>
  <c r="O525" i="10"/>
  <c r="CT371" i="1"/>
  <c r="N493" i="10"/>
  <c r="U493" i="10"/>
  <c r="N530" i="10"/>
  <c r="U530" i="10"/>
  <c r="V289" i="10"/>
  <c r="O559" i="10"/>
  <c r="V559" i="10"/>
  <c r="O532" i="10"/>
  <c r="N327" i="10"/>
  <c r="U327" i="10" s="1"/>
  <c r="W559" i="10"/>
  <c r="N507" i="10"/>
  <c r="U507" i="10"/>
  <c r="W190" i="10"/>
  <c r="O53" i="10"/>
  <c r="O489" i="10"/>
  <c r="N477" i="10"/>
  <c r="U477" i="10" s="1"/>
  <c r="V465" i="10"/>
  <c r="N513" i="10"/>
  <c r="U513" i="10"/>
  <c r="W513" i="10"/>
  <c r="N441" i="10"/>
  <c r="U441" i="10" s="1"/>
  <c r="O513" i="10"/>
  <c r="N7" i="10"/>
  <c r="U7" i="10" s="1"/>
  <c r="O190" i="10"/>
  <c r="O465" i="10"/>
  <c r="O441" i="10"/>
  <c r="V439" i="10"/>
  <c r="O343" i="10"/>
  <c r="W203" i="10"/>
  <c r="V441" i="10"/>
  <c r="N465" i="10"/>
  <c r="U465" i="10"/>
  <c r="O182" i="10"/>
  <c r="N190" i="10"/>
  <c r="U190" i="10" s="1"/>
  <c r="N97" i="10"/>
  <c r="U97" i="10"/>
  <c r="W518" i="10"/>
  <c r="W156" i="10"/>
  <c r="O493" i="10"/>
  <c r="O262" i="10"/>
  <c r="N518" i="10"/>
  <c r="U518" i="10"/>
  <c r="N247" i="10"/>
  <c r="U247" i="10"/>
  <c r="W477" i="10"/>
  <c r="V247" i="10"/>
  <c r="N137" i="10"/>
  <c r="U137" i="10"/>
  <c r="N373" i="10"/>
  <c r="U373" i="10"/>
  <c r="O33" i="10"/>
  <c r="W31" i="10"/>
  <c r="V117" i="10"/>
  <c r="N200" i="10"/>
  <c r="U200" i="10" s="1"/>
  <c r="V183" i="10"/>
  <c r="O125" i="10"/>
  <c r="V140" i="10"/>
  <c r="W317" i="10"/>
  <c r="N13" i="10"/>
  <c r="U13" i="10" s="1"/>
  <c r="O161" i="10"/>
  <c r="N196" i="10"/>
  <c r="U196" i="10" s="1"/>
  <c r="O213" i="10"/>
  <c r="N286" i="10"/>
  <c r="U286" i="10" s="1"/>
  <c r="W179" i="10"/>
  <c r="O286" i="10"/>
  <c r="N31" i="10"/>
  <c r="U31" i="10" s="1"/>
  <c r="W102" i="10"/>
  <c r="O68" i="10"/>
  <c r="V348" i="10"/>
  <c r="V252" i="10"/>
  <c r="O309" i="10"/>
  <c r="W263" i="10"/>
  <c r="W331" i="10"/>
  <c r="N204" i="10"/>
  <c r="U204" i="10"/>
  <c r="W117" i="10"/>
  <c r="W46" i="10"/>
  <c r="O46" i="10"/>
  <c r="O217" i="10"/>
  <c r="V179" i="10"/>
  <c r="N102" i="10"/>
  <c r="U102" i="10"/>
  <c r="V61" i="10"/>
  <c r="O129" i="10"/>
  <c r="O81" i="10"/>
  <c r="O236" i="10"/>
  <c r="O47" i="10"/>
  <c r="V219" i="10"/>
  <c r="N213" i="10"/>
  <c r="U213" i="10"/>
  <c r="O171" i="10"/>
  <c r="N89" i="10"/>
  <c r="U89" i="10"/>
  <c r="O13" i="10"/>
  <c r="V47" i="10"/>
  <c r="V46" i="10"/>
  <c r="N258" i="10"/>
  <c r="U258" i="10"/>
  <c r="O484" i="10"/>
  <c r="O232" i="10"/>
  <c r="O159" i="10"/>
  <c r="N125" i="10"/>
  <c r="U125" i="10"/>
  <c r="O305" i="10"/>
  <c r="V255" i="10"/>
  <c r="N332" i="10"/>
  <c r="U332" i="10"/>
  <c r="V310" i="10"/>
  <c r="N100" i="10"/>
  <c r="U100" i="10"/>
  <c r="V353" i="10"/>
  <c r="N217" i="10"/>
  <c r="U217" i="10" s="1"/>
  <c r="N154" i="10"/>
  <c r="U154" i="10" s="1"/>
  <c r="O299" i="10"/>
  <c r="W204" i="10"/>
  <c r="N358" i="10"/>
  <c r="U358" i="10"/>
  <c r="O333" i="10"/>
  <c r="O212" i="10"/>
  <c r="W154" i="10"/>
  <c r="V299" i="10"/>
  <c r="O140" i="10"/>
  <c r="N212" i="10"/>
  <c r="U212" i="10"/>
  <c r="O280" i="10"/>
  <c r="W272" i="10"/>
  <c r="W232" i="10"/>
  <c r="O249" i="10"/>
  <c r="N68" i="10"/>
  <c r="U68" i="10"/>
  <c r="V68" i="10"/>
  <c r="N299" i="10"/>
  <c r="U299" i="10"/>
  <c r="N127" i="10"/>
  <c r="U127" i="10"/>
  <c r="U169" i="10"/>
  <c r="O337" i="10"/>
  <c r="O461" i="10"/>
  <c r="O442" i="10"/>
  <c r="O414" i="10"/>
  <c r="O316" i="10"/>
  <c r="CW471" i="1"/>
  <c r="O472" i="10"/>
  <c r="CW450" i="1"/>
  <c r="H458" i="10" s="1"/>
  <c r="H496" i="10"/>
  <c r="CW456" i="1"/>
  <c r="CV449" i="1"/>
  <c r="CW449" i="1" s="1"/>
  <c r="H457" i="10" s="1"/>
  <c r="O45" i="10"/>
  <c r="O283" i="10"/>
  <c r="O505" i="10"/>
  <c r="O512" i="10"/>
  <c r="O225" i="10"/>
  <c r="O3" i="10"/>
  <c r="O407" i="10"/>
  <c r="W223" i="10"/>
  <c r="W320" i="10"/>
  <c r="V151" i="10"/>
  <c r="O223" i="10"/>
  <c r="V327" i="10"/>
  <c r="N442" i="10"/>
  <c r="U442" i="10" s="1"/>
  <c r="V512" i="10"/>
  <c r="W151" i="10"/>
  <c r="W189" i="10"/>
  <c r="W546" i="10"/>
  <c r="O454" i="10"/>
  <c r="O238" i="10"/>
  <c r="V202" i="10"/>
  <c r="N150" i="10"/>
  <c r="U150" i="10" s="1"/>
  <c r="N372" i="10"/>
  <c r="U372" i="10"/>
  <c r="W163" i="10"/>
  <c r="W454" i="10"/>
  <c r="O119" i="10"/>
  <c r="W250" i="10"/>
  <c r="W372" i="10"/>
  <c r="O163" i="10"/>
  <c r="N52" i="10"/>
  <c r="U52" i="10"/>
  <c r="N478" i="10"/>
  <c r="U478" i="10" s="1"/>
  <c r="W194" i="10"/>
  <c r="V505" i="10"/>
  <c r="W446" i="10"/>
  <c r="V539" i="10"/>
  <c r="W550" i="10"/>
  <c r="O540" i="10"/>
  <c r="O373" i="10"/>
  <c r="V57" i="10"/>
  <c r="N454" i="10"/>
  <c r="U454" i="10" s="1"/>
  <c r="W29" i="10"/>
  <c r="N119" i="10"/>
  <c r="U119" i="10"/>
  <c r="O221" i="10"/>
  <c r="V250" i="10"/>
  <c r="O79" i="10"/>
  <c r="N462" i="10"/>
  <c r="U462" i="10" s="1"/>
  <c r="N283" i="10"/>
  <c r="U283" i="10"/>
  <c r="W416" i="10"/>
  <c r="V52" i="10"/>
  <c r="O64" i="10"/>
  <c r="N64" i="10"/>
  <c r="U64" i="10" s="1"/>
  <c r="W52" i="10"/>
  <c r="O39" i="10"/>
  <c r="N194" i="10"/>
  <c r="U194" i="10" s="1"/>
  <c r="V492" i="10"/>
  <c r="N531" i="10"/>
  <c r="U531" i="10"/>
  <c r="V544" i="10"/>
  <c r="O511" i="10"/>
  <c r="V163" i="10"/>
  <c r="O57" i="10"/>
  <c r="O380" i="10"/>
  <c r="U29" i="10"/>
  <c r="W19" i="10"/>
  <c r="W119" i="10"/>
  <c r="W221" i="10"/>
  <c r="W96" i="10"/>
  <c r="W505" i="10"/>
  <c r="O150" i="10"/>
  <c r="N306" i="10"/>
  <c r="U306" i="10"/>
  <c r="V189" i="10"/>
  <c r="V416" i="10"/>
  <c r="O500" i="10"/>
  <c r="W57" i="10"/>
  <c r="N79" i="10"/>
  <c r="U79" i="10" s="1"/>
  <c r="O517" i="10"/>
  <c r="W517" i="10"/>
  <c r="N261" i="10"/>
  <c r="U261" i="10" s="1"/>
  <c r="N492" i="10"/>
  <c r="U492" i="10" s="1"/>
  <c r="V345" i="10"/>
  <c r="N446" i="10"/>
  <c r="U446" i="10"/>
  <c r="V500" i="10"/>
  <c r="O467" i="10"/>
  <c r="N544" i="10"/>
  <c r="U544" i="10"/>
  <c r="W380" i="10"/>
  <c r="N155" i="10"/>
  <c r="U155" i="10"/>
  <c r="N505" i="10"/>
  <c r="U505" i="10"/>
  <c r="V442" i="10"/>
  <c r="W306" i="10"/>
  <c r="O155" i="10"/>
  <c r="O530" i="10"/>
  <c r="O250" i="10"/>
  <c r="V517" i="10"/>
  <c r="V150" i="10"/>
  <c r="W500" i="10"/>
  <c r="V467" i="10"/>
  <c r="V19" i="10"/>
  <c r="N221" i="10"/>
  <c r="U221" i="10"/>
  <c r="O202" i="10"/>
  <c r="W261" i="10"/>
  <c r="V380" i="10"/>
  <c r="N467" i="10"/>
  <c r="U467" i="10" s="1"/>
  <c r="W155" i="10"/>
  <c r="W202" i="10"/>
  <c r="W512" i="10"/>
  <c r="O189" i="10"/>
  <c r="W207" i="10"/>
  <c r="O546" i="10"/>
  <c r="V236" i="10"/>
  <c r="N78" i="10"/>
  <c r="U78" i="10" s="1"/>
  <c r="V223" i="10"/>
  <c r="W531" i="10"/>
  <c r="N539" i="10"/>
  <c r="U539" i="10" s="1"/>
  <c r="W236" i="10"/>
  <c r="W530" i="10"/>
  <c r="V462" i="10"/>
  <c r="N439" i="10"/>
  <c r="U439" i="10" s="1"/>
  <c r="O215" i="10"/>
  <c r="V215" i="10"/>
  <c r="N480" i="10"/>
  <c r="U480" i="10"/>
  <c r="O416" i="10"/>
  <c r="O539" i="10"/>
  <c r="W373" i="10"/>
  <c r="N550" i="10"/>
  <c r="U550" i="10"/>
  <c r="V39" i="10"/>
  <c r="O137" i="10"/>
  <c r="O193" i="10"/>
  <c r="V97" i="10"/>
  <c r="N378" i="10"/>
  <c r="U378" i="10" s="1"/>
  <c r="V283" i="10"/>
  <c r="O480" i="10"/>
  <c r="O372" i="10"/>
  <c r="O364" i="10"/>
  <c r="O361" i="10"/>
  <c r="O143" i="10"/>
  <c r="O19" i="10"/>
  <c r="O544" i="10"/>
  <c r="U156" i="10"/>
  <c r="V71" i="10"/>
  <c r="W378" i="10"/>
  <c r="W133" i="10"/>
  <c r="W63" i="10"/>
  <c r="N280" i="10"/>
  <c r="U280" i="10" s="1"/>
  <c r="W283" i="10"/>
  <c r="V337" i="10"/>
  <c r="W300" i="10"/>
  <c r="N27" i="10"/>
  <c r="U27" i="10" s="1"/>
  <c r="O31" i="10"/>
  <c r="O272" i="10"/>
  <c r="O180" i="10"/>
  <c r="O149" i="10"/>
  <c r="O23" i="10"/>
  <c r="O531" i="10"/>
  <c r="V143" i="10"/>
  <c r="W337" i="10"/>
  <c r="N17" i="10"/>
  <c r="U17" i="10"/>
  <c r="O300" i="10"/>
  <c r="W314" i="10"/>
  <c r="O485" i="10"/>
  <c r="O393" i="10"/>
  <c r="O375" i="10"/>
  <c r="O276" i="10"/>
  <c r="O86" i="10"/>
  <c r="O71" i="10"/>
  <c r="V77" i="10"/>
  <c r="O27" i="10"/>
  <c r="N233" i="10"/>
  <c r="U233" i="10" s="1"/>
  <c r="W143" i="10"/>
  <c r="W36" i="10"/>
  <c r="N337" i="10"/>
  <c r="U337" i="10" s="1"/>
  <c r="N74" i="10"/>
  <c r="U74" i="10" s="1"/>
  <c r="W17" i="10"/>
  <c r="O469" i="10"/>
  <c r="O403" i="10"/>
  <c r="O396" i="10"/>
  <c r="W267" i="10"/>
  <c r="V233" i="10"/>
  <c r="V133" i="10"/>
  <c r="O378" i="10"/>
  <c r="W74" i="10"/>
  <c r="O133" i="10"/>
  <c r="V17" i="10"/>
  <c r="V354" i="10"/>
  <c r="V306" i="10"/>
  <c r="O492" i="10"/>
  <c r="O444" i="10"/>
  <c r="O310" i="10"/>
  <c r="O245" i="10"/>
  <c r="V27" i="10"/>
  <c r="V267" i="10"/>
  <c r="W360" i="10"/>
  <c r="W120" i="10"/>
  <c r="V185" i="10"/>
  <c r="N272" i="10"/>
  <c r="U272" i="10"/>
  <c r="W280" i="10"/>
  <c r="O185" i="10"/>
  <c r="V300" i="10"/>
  <c r="O24" i="10"/>
  <c r="O327" i="10"/>
  <c r="O214" i="10"/>
  <c r="N92" i="10"/>
  <c r="U92" i="10"/>
  <c r="O97" i="10"/>
  <c r="N360" i="10"/>
  <c r="U360" i="10"/>
  <c r="N120" i="10"/>
  <c r="U120" i="10"/>
  <c r="W185" i="10"/>
  <c r="O74" i="10"/>
  <c r="O92" i="10"/>
  <c r="V314" i="10"/>
  <c r="H294" i="10"/>
  <c r="H175" i="10"/>
  <c r="H495" i="10"/>
  <c r="O145" i="10"/>
  <c r="CY421" i="1"/>
  <c r="DA421" i="1" s="1"/>
  <c r="T428" i="10" s="1"/>
  <c r="O106" i="10"/>
  <c r="O15" i="10"/>
  <c r="O233" i="10"/>
  <c r="N425" i="10"/>
  <c r="U425" i="10" s="1"/>
  <c r="V191" i="10"/>
  <c r="N436" i="10"/>
  <c r="U436" i="10"/>
  <c r="V509" i="10"/>
  <c r="V175" i="10"/>
  <c r="O134" i="10"/>
  <c r="O35" i="10"/>
  <c r="V383" i="10"/>
  <c r="V80" i="10"/>
  <c r="V515" i="10"/>
  <c r="V545" i="10"/>
  <c r="O496" i="10"/>
  <c r="O538" i="10"/>
  <c r="O545" i="10"/>
  <c r="W167" i="10"/>
  <c r="V425" i="10"/>
  <c r="O503" i="10"/>
  <c r="W121" i="10"/>
  <c r="N157" i="10"/>
  <c r="U157" i="10" s="1"/>
  <c r="W509" i="10"/>
  <c r="W324" i="10"/>
  <c r="W175" i="10"/>
  <c r="O80" i="10"/>
  <c r="O175" i="10"/>
  <c r="N496" i="10"/>
  <c r="U496" i="10"/>
  <c r="W407" i="10"/>
  <c r="O488" i="10"/>
  <c r="O144" i="10"/>
  <c r="O167" i="10"/>
  <c r="N407" i="10"/>
  <c r="U407" i="10"/>
  <c r="V93" i="10"/>
  <c r="V303" i="10"/>
  <c r="O191" i="10"/>
  <c r="W65" i="10"/>
  <c r="O558" i="10"/>
  <c r="O234" i="10"/>
  <c r="O302" i="10"/>
  <c r="O284" i="10"/>
  <c r="N503" i="10"/>
  <c r="U503" i="10"/>
  <c r="O509" i="10"/>
  <c r="V121" i="10"/>
  <c r="W10" i="10"/>
  <c r="V458" i="10"/>
  <c r="V226" i="10"/>
  <c r="O561" i="10"/>
  <c r="N515" i="10"/>
  <c r="U515" i="10" s="1"/>
  <c r="W244" i="10"/>
  <c r="V72" i="10"/>
  <c r="O93" i="10"/>
  <c r="O303" i="10"/>
  <c r="O515" i="10"/>
  <c r="W234" i="10"/>
  <c r="V109" i="10"/>
  <c r="V561" i="10"/>
  <c r="W342" i="10"/>
  <c r="O244" i="10"/>
  <c r="W558" i="10"/>
  <c r="N464" i="10"/>
  <c r="U464" i="10"/>
  <c r="W284" i="10"/>
  <c r="W503" i="10"/>
  <c r="W253" i="10"/>
  <c r="N458" i="10"/>
  <c r="U458" i="10" s="1"/>
  <c r="O226" i="10"/>
  <c r="O121" i="10"/>
  <c r="O307" i="10"/>
  <c r="O288" i="10"/>
  <c r="N488" i="10"/>
  <c r="U488" i="10"/>
  <c r="V43" i="10"/>
  <c r="N244" i="10"/>
  <c r="U244" i="10"/>
  <c r="O542" i="10"/>
  <c r="N144" i="10"/>
  <c r="U144" i="10" s="1"/>
  <c r="V472" i="10"/>
  <c r="N186" i="10"/>
  <c r="U186" i="10"/>
  <c r="W144" i="10"/>
  <c r="N72" i="10"/>
  <c r="U72" i="10" s="1"/>
  <c r="V407" i="10"/>
  <c r="N93" i="10"/>
  <c r="U93" i="10" s="1"/>
  <c r="W303" i="10"/>
  <c r="O112" i="10"/>
  <c r="V558" i="10"/>
  <c r="W464" i="10"/>
  <c r="V282" i="10"/>
  <c r="V357" i="10"/>
  <c r="W226" i="10"/>
  <c r="W561" i="10"/>
  <c r="W323" i="10"/>
  <c r="O342" i="10"/>
  <c r="W488" i="10"/>
  <c r="W43" i="10"/>
  <c r="N472" i="10"/>
  <c r="U472" i="10"/>
  <c r="O135" i="10"/>
  <c r="O111" i="10"/>
  <c r="V112" i="10"/>
  <c r="N191" i="10"/>
  <c r="U191" i="10" s="1"/>
  <c r="N109" i="10"/>
  <c r="U109" i="10" s="1"/>
  <c r="O357" i="10"/>
  <c r="W282" i="10"/>
  <c r="N253" i="10"/>
  <c r="U253" i="10" s="1"/>
  <c r="N111" i="10"/>
  <c r="U111" i="10" s="1"/>
  <c r="N323" i="10"/>
  <c r="U323" i="10" s="1"/>
  <c r="N234" i="10"/>
  <c r="U234" i="10" s="1"/>
  <c r="N342" i="10"/>
  <c r="U342" i="10"/>
  <c r="N134" i="10"/>
  <c r="U134" i="10" s="1"/>
  <c r="O344" i="10"/>
  <c r="V111" i="10"/>
  <c r="V436" i="10"/>
  <c r="N112" i="10"/>
  <c r="U112" i="10"/>
  <c r="O383" i="10"/>
  <c r="O458" i="10"/>
  <c r="W357" i="10"/>
  <c r="O109" i="10"/>
  <c r="O282" i="10"/>
  <c r="N313" i="10"/>
  <c r="U313" i="10" s="1"/>
  <c r="W528" i="10"/>
  <c r="O455" i="10"/>
  <c r="W242" i="10"/>
  <c r="O439" i="10"/>
  <c r="V329" i="10"/>
  <c r="V298" i="10"/>
  <c r="W264" i="10"/>
  <c r="N324" i="10"/>
  <c r="U324" i="10" s="1"/>
  <c r="O329" i="10"/>
  <c r="O339" i="10"/>
  <c r="O350" i="10"/>
  <c r="W259" i="10"/>
  <c r="O181" i="10"/>
  <c r="W367" i="10"/>
  <c r="N5" i="10"/>
  <c r="U5" i="10" s="1"/>
  <c r="O482" i="10"/>
  <c r="O427" i="10"/>
  <c r="O298" i="10"/>
  <c r="O131" i="10"/>
  <c r="W149" i="10"/>
  <c r="N12" i="10"/>
  <c r="U12" i="10"/>
  <c r="O490" i="10"/>
  <c r="O487" i="10"/>
  <c r="O443" i="10"/>
  <c r="O136" i="10"/>
  <c r="O85" i="10"/>
  <c r="O536" i="10"/>
  <c r="O549" i="10"/>
  <c r="O231" i="10"/>
  <c r="N122" i="10"/>
  <c r="U122" i="10" s="1"/>
  <c r="V122" i="10"/>
  <c r="O270" i="10"/>
  <c r="W72" i="10"/>
  <c r="N141" i="10"/>
  <c r="U141" i="10" s="1"/>
  <c r="O67" i="10"/>
  <c r="O7" i="10"/>
  <c r="V222" i="10"/>
  <c r="O371" i="10"/>
  <c r="N278" i="10"/>
  <c r="U278" i="10"/>
  <c r="V75" i="10"/>
  <c r="W371" i="10"/>
  <c r="V147" i="10"/>
  <c r="O256" i="10"/>
  <c r="O128" i="10"/>
  <c r="V10" i="10"/>
  <c r="V316" i="10"/>
  <c r="N69" i="10"/>
  <c r="U69" i="10"/>
  <c r="O248" i="10"/>
  <c r="O172" i="10"/>
  <c r="O120" i="10"/>
  <c r="N96" i="10"/>
  <c r="U96" i="10" s="1"/>
  <c r="V263" i="10"/>
  <c r="V245" i="10"/>
  <c r="O483" i="10"/>
  <c r="O494" i="10"/>
  <c r="O164" i="10"/>
  <c r="O448" i="10"/>
  <c r="O100" i="10"/>
  <c r="N53" i="10"/>
  <c r="U53" i="10"/>
  <c r="V162" i="10"/>
  <c r="W82" i="10"/>
  <c r="V242" i="10"/>
  <c r="V313" i="10"/>
  <c r="W344" i="10"/>
  <c r="W2" i="10"/>
  <c r="O12" i="10"/>
  <c r="N65" i="10"/>
  <c r="U65" i="10"/>
  <c r="W20" i="10"/>
  <c r="O8" i="10"/>
  <c r="V48" i="10"/>
  <c r="V248" i="10"/>
  <c r="O196" i="10"/>
  <c r="N145" i="10"/>
  <c r="U145" i="10"/>
  <c r="O152" i="10"/>
  <c r="V367" i="10"/>
  <c r="W316" i="10"/>
  <c r="N104" i="10"/>
  <c r="U104" i="10"/>
  <c r="V84" i="10"/>
  <c r="W35" i="10"/>
  <c r="V89" i="10"/>
  <c r="V79" i="10"/>
  <c r="O96" i="10"/>
  <c r="O75" i="10"/>
  <c r="O481" i="10"/>
  <c r="O477" i="10"/>
  <c r="O264" i="10"/>
  <c r="O211" i="10"/>
  <c r="O124" i="10"/>
  <c r="O78" i="10"/>
  <c r="N82" i="10"/>
  <c r="U82" i="10" s="1"/>
  <c r="N344" i="10"/>
  <c r="U344" i="10"/>
  <c r="N160" i="10"/>
  <c r="U160" i="10" s="1"/>
  <c r="O139" i="10"/>
  <c r="V145" i="10"/>
  <c r="O367" i="10"/>
  <c r="N399" i="10"/>
  <c r="U399" i="10" s="1"/>
  <c r="V67" i="10"/>
  <c r="W56" i="10"/>
  <c r="N35" i="10"/>
  <c r="U35" i="10" s="1"/>
  <c r="N252" i="10"/>
  <c r="U252" i="10"/>
  <c r="W329" i="10"/>
  <c r="N361" i="10"/>
  <c r="U361" i="10"/>
  <c r="N235" i="10"/>
  <c r="U235" i="10"/>
  <c r="W75" i="10"/>
  <c r="O160" i="10"/>
  <c r="O462" i="10"/>
  <c r="O216" i="10"/>
  <c r="O198" i="10"/>
  <c r="O99" i="10"/>
  <c r="V53" i="10"/>
  <c r="V231" i="10"/>
  <c r="V7" i="10"/>
  <c r="N20" i="10"/>
  <c r="U20" i="10"/>
  <c r="V5" i="10"/>
  <c r="O259" i="10"/>
  <c r="N294" i="10"/>
  <c r="U294" i="10"/>
  <c r="W231" i="10"/>
  <c r="W49" i="10"/>
  <c r="O168" i="10"/>
  <c r="O16" i="10"/>
  <c r="O5" i="10"/>
  <c r="N16" i="10"/>
  <c r="U16" i="10" s="1"/>
  <c r="O158" i="10"/>
  <c r="V196" i="10"/>
  <c r="V8" i="10"/>
  <c r="V160" i="10"/>
  <c r="W139" i="10"/>
  <c r="V139" i="10"/>
  <c r="W48" i="10"/>
  <c r="O49" i="10"/>
  <c r="V56" i="10"/>
  <c r="V200" i="10"/>
  <c r="N292" i="10"/>
  <c r="U292" i="10" s="1"/>
  <c r="W354" i="10"/>
  <c r="W361" i="10"/>
  <c r="N305" i="10"/>
  <c r="U305" i="10" s="1"/>
  <c r="V235" i="10"/>
  <c r="V259" i="10"/>
  <c r="O263" i="10"/>
  <c r="N245" i="10"/>
  <c r="U245" i="10"/>
  <c r="V317" i="10"/>
  <c r="H232" i="10"/>
  <c r="DA232" i="1"/>
  <c r="T232" i="10" s="1"/>
  <c r="CV454" i="1"/>
  <c r="CW454" i="1" s="1"/>
  <c r="H462" i="10"/>
  <c r="CY386" i="1"/>
  <c r="DA386" i="1" s="1"/>
  <c r="T389" i="10" s="1"/>
  <c r="CV467" i="1"/>
  <c r="CW467" i="1" s="1"/>
  <c r="H475" i="10"/>
  <c r="CY541" i="1"/>
  <c r="DA541" i="1" s="1"/>
  <c r="T549" i="10" s="1"/>
  <c r="CV482" i="1"/>
  <c r="CW482" i="1"/>
  <c r="H490" i="10" s="1"/>
  <c r="O34" i="10"/>
  <c r="CY369" i="1"/>
  <c r="H334" i="10"/>
  <c r="CV448" i="1"/>
  <c r="CW448" i="1" s="1"/>
  <c r="H455" i="10" s="1"/>
  <c r="CW439" i="1"/>
  <c r="CV419" i="1"/>
  <c r="CW419" i="1"/>
  <c r="CY99" i="1"/>
  <c r="F216" i="10"/>
  <c r="CZ217" i="1"/>
  <c r="CU208" i="1"/>
  <c r="CY208" i="1" s="1"/>
  <c r="DA208" i="1" s="1"/>
  <c r="T209" i="10" s="1"/>
  <c r="CU339" i="1"/>
  <c r="F340" i="10" s="1"/>
  <c r="CV83" i="1"/>
  <c r="CW83" i="1" s="1"/>
  <c r="H82" i="10" s="1"/>
  <c r="CX109" i="1"/>
  <c r="G108" i="10"/>
  <c r="K108" i="10" s="1"/>
  <c r="CY552" i="1"/>
  <c r="L418" i="10"/>
  <c r="CV410" i="1"/>
  <c r="CW410" i="1" s="1"/>
  <c r="L199" i="10"/>
  <c r="CU198" i="1"/>
  <c r="L181" i="10"/>
  <c r="CX183" i="1"/>
  <c r="G181" i="10" s="1"/>
  <c r="K181" i="10" s="1"/>
  <c r="CV55" i="1"/>
  <c r="CW55" i="1" s="1"/>
  <c r="H54" i="10" s="1"/>
  <c r="L54" i="10"/>
  <c r="CZ53" i="1"/>
  <c r="CU458" i="1"/>
  <c r="CZ161" i="1"/>
  <c r="F160" i="10"/>
  <c r="CX377" i="1"/>
  <c r="G378" i="10" s="1"/>
  <c r="K378" i="10"/>
  <c r="F378" i="10"/>
  <c r="CU463" i="1"/>
  <c r="F468" i="10"/>
  <c r="CX367" i="1"/>
  <c r="G368" i="10" s="1"/>
  <c r="K368" i="10" s="1"/>
  <c r="CZ131" i="1"/>
  <c r="CX131" i="1"/>
  <c r="G132" i="10" s="1"/>
  <c r="K132" i="10" s="1"/>
  <c r="L560" i="10"/>
  <c r="CV212" i="1"/>
  <c r="CW212" i="1"/>
  <c r="CU521" i="1"/>
  <c r="CY221" i="1"/>
  <c r="DA221" i="1" s="1"/>
  <c r="T221" i="10" s="1"/>
  <c r="CU251" i="1"/>
  <c r="F252" i="10"/>
  <c r="L282" i="10"/>
  <c r="L233" i="10"/>
  <c r="L306" i="10"/>
  <c r="CV15" i="1"/>
  <c r="CW15" i="1" s="1"/>
  <c r="CV256" i="1"/>
  <c r="CW256" i="1"/>
  <c r="H256" i="10"/>
  <c r="CU79" i="1"/>
  <c r="F76" i="10" s="1"/>
  <c r="L15" i="10"/>
  <c r="CU125" i="1"/>
  <c r="CX125" i="1" s="1"/>
  <c r="F124" i="10"/>
  <c r="CV437" i="1"/>
  <c r="CW437" i="1" s="1"/>
  <c r="H447" i="10" s="1"/>
  <c r="CU527" i="1"/>
  <c r="CU437" i="1"/>
  <c r="F447" i="10" s="1"/>
  <c r="W80" i="10"/>
  <c r="CU21" i="1"/>
  <c r="L535" i="10"/>
  <c r="CV148" i="1"/>
  <c r="CW148" i="1"/>
  <c r="H148" i="10" s="1"/>
  <c r="L252" i="10"/>
  <c r="CV523" i="1"/>
  <c r="CW523" i="1"/>
  <c r="H530" i="10" s="1"/>
  <c r="CV200" i="1"/>
  <c r="CW200" i="1" s="1"/>
  <c r="H200" i="10" s="1"/>
  <c r="CV105" i="1"/>
  <c r="CW105" i="1" s="1"/>
  <c r="H106" i="10" s="1"/>
  <c r="CU494" i="1"/>
  <c r="CV36" i="1"/>
  <c r="CW36" i="1"/>
  <c r="CX57" i="1"/>
  <c r="G56" i="10" s="1"/>
  <c r="K56" i="10" s="1"/>
  <c r="CU105" i="1"/>
  <c r="CZ105" i="1" s="1"/>
  <c r="CU238" i="1"/>
  <c r="CZ238" i="1" s="1"/>
  <c r="BS448" i="1"/>
  <c r="BS424" i="1"/>
  <c r="CT332" i="1"/>
  <c r="CV332" i="1" s="1"/>
  <c r="CT311" i="1"/>
  <c r="CU311" i="1" s="1"/>
  <c r="BS457" i="1"/>
  <c r="CT361" i="1"/>
  <c r="L362" i="10" s="1"/>
  <c r="CT318" i="1"/>
  <c r="L319" i="10" s="1"/>
  <c r="CT432" i="1"/>
  <c r="CV432" i="1" s="1"/>
  <c r="BS418" i="1"/>
  <c r="CT295" i="1"/>
  <c r="BS413" i="1"/>
  <c r="CT289" i="1"/>
  <c r="O550" i="10"/>
  <c r="CT188" i="1"/>
  <c r="BS61" i="1"/>
  <c r="CT211" i="1"/>
  <c r="BS487" i="1"/>
  <c r="H444" i="10"/>
  <c r="CX497" i="1"/>
  <c r="G505" i="10" s="1"/>
  <c r="K505" i="10" s="1"/>
  <c r="CY53" i="1"/>
  <c r="DA53" i="1" s="1"/>
  <c r="T53" i="10" s="1"/>
  <c r="L364" i="10"/>
  <c r="CU363" i="1"/>
  <c r="F364" i="10" s="1"/>
  <c r="CV363" i="1"/>
  <c r="CW363" i="1" s="1"/>
  <c r="H364" i="10" s="1"/>
  <c r="L346" i="10"/>
  <c r="CV345" i="1"/>
  <c r="CW345" i="1"/>
  <c r="CU133" i="1"/>
  <c r="CX133" i="1" s="1"/>
  <c r="L133" i="10"/>
  <c r="CV133" i="1"/>
  <c r="CW133" i="1" s="1"/>
  <c r="H133" i="10" s="1"/>
  <c r="F220" i="10"/>
  <c r="CZ220" i="1"/>
  <c r="G220" i="10"/>
  <c r="K220" i="10" s="1"/>
  <c r="CU500" i="1"/>
  <c r="CX500" i="1" s="1"/>
  <c r="G508" i="10" s="1"/>
  <c r="K508" i="10" s="1"/>
  <c r="CV500" i="1"/>
  <c r="CW500" i="1"/>
  <c r="H508" i="10" s="1"/>
  <c r="L547" i="10"/>
  <c r="CU539" i="1"/>
  <c r="CV539" i="1"/>
  <c r="CW539" i="1" s="1"/>
  <c r="H137" i="10"/>
  <c r="H28" i="10"/>
  <c r="CU108" i="1"/>
  <c r="CY108" i="1"/>
  <c r="CU517" i="1"/>
  <c r="CY517" i="1"/>
  <c r="CX53" i="1"/>
  <c r="G53" i="10" s="1"/>
  <c r="K53" i="10"/>
  <c r="CY37" i="1"/>
  <c r="DA37" i="1" s="1"/>
  <c r="T37" i="10" s="1"/>
  <c r="CX154" i="1"/>
  <c r="G154" i="10" s="1"/>
  <c r="K154" i="10" s="1"/>
  <c r="F515" i="10"/>
  <c r="L401" i="10"/>
  <c r="L481" i="10"/>
  <c r="CU397" i="1"/>
  <c r="F280" i="10"/>
  <c r="L198" i="10"/>
  <c r="CV199" i="1"/>
  <c r="CW199" i="1"/>
  <c r="H198" i="10" s="1"/>
  <c r="CU199" i="1"/>
  <c r="CY154" i="1"/>
  <c r="DA154" i="1" s="1"/>
  <c r="T154" i="10" s="1"/>
  <c r="CU303" i="1"/>
  <c r="F302" i="10"/>
  <c r="CU58" i="1"/>
  <c r="CY145" i="1"/>
  <c r="DA145" i="1"/>
  <c r="T146" i="10" s="1"/>
  <c r="CX83" i="1"/>
  <c r="G82" i="10"/>
  <c r="K82" i="10"/>
  <c r="F82" i="10"/>
  <c r="CZ83" i="1"/>
  <c r="CX299" i="1"/>
  <c r="G299" i="10" s="1"/>
  <c r="K299" i="10"/>
  <c r="CZ299" i="1"/>
  <c r="F299" i="10"/>
  <c r="CX321" i="1"/>
  <c r="G321" i="10" s="1"/>
  <c r="K321" i="10" s="1"/>
  <c r="CZ321" i="1"/>
  <c r="CU266" i="1"/>
  <c r="CX266" i="1" s="1"/>
  <c r="G266" i="10" s="1"/>
  <c r="K266" i="10" s="1"/>
  <c r="CV266" i="1"/>
  <c r="CW266" i="1" s="1"/>
  <c r="H266" i="10" s="1"/>
  <c r="CZ473" i="1"/>
  <c r="CX473" i="1"/>
  <c r="G481" i="10" s="1"/>
  <c r="K481" i="10"/>
  <c r="G11" i="10"/>
  <c r="K11" i="10"/>
  <c r="L479" i="10"/>
  <c r="F117" i="10"/>
  <c r="CY13" i="1"/>
  <c r="L302" i="10"/>
  <c r="CY489" i="1"/>
  <c r="DA489" i="1" s="1"/>
  <c r="T497" i="10" s="1"/>
  <c r="L473" i="10"/>
  <c r="L58" i="10"/>
  <c r="L505" i="10"/>
  <c r="L32" i="10"/>
  <c r="CW308" i="1"/>
  <c r="H309" i="10" s="1"/>
  <c r="F321" i="10"/>
  <c r="CX509" i="1"/>
  <c r="G516" i="10" s="1"/>
  <c r="K516" i="10" s="1"/>
  <c r="CZ116" i="1"/>
  <c r="CZ13" i="1"/>
  <c r="CX248" i="1"/>
  <c r="G248" i="10" s="1"/>
  <c r="K248" i="10" s="1"/>
  <c r="DA10" i="1"/>
  <c r="T10" i="10"/>
  <c r="CZ49" i="1"/>
  <c r="CX49" i="1"/>
  <c r="G49" i="10" s="1"/>
  <c r="K49" i="10" s="1"/>
  <c r="CV171" i="1"/>
  <c r="CW171" i="1" s="1"/>
  <c r="H171" i="10" s="1"/>
  <c r="L171" i="10"/>
  <c r="CU96" i="1"/>
  <c r="CV96" i="1"/>
  <c r="CW96" i="1" s="1"/>
  <c r="CX20" i="1"/>
  <c r="G20" i="10"/>
  <c r="K20" i="10" s="1"/>
  <c r="CZ20" i="1"/>
  <c r="F534" i="10"/>
  <c r="CX124" i="1"/>
  <c r="G125" i="10"/>
  <c r="K125" i="10" s="1"/>
  <c r="L514" i="10"/>
  <c r="CY6" i="1"/>
  <c r="DA6" i="1"/>
  <c r="T7" i="10"/>
  <c r="L122" i="10"/>
  <c r="CV122" i="1"/>
  <c r="CW122" i="1"/>
  <c r="CY122" i="1" s="1"/>
  <c r="CV230" i="1"/>
  <c r="CW230" i="1"/>
  <c r="H230" i="10" s="1"/>
  <c r="L230" i="10"/>
  <c r="CV192" i="1"/>
  <c r="CW192" i="1"/>
  <c r="H192" i="10" s="1"/>
  <c r="CV441" i="1"/>
  <c r="CW441" i="1"/>
  <c r="H449" i="10"/>
  <c r="L449" i="10"/>
  <c r="CW111" i="1"/>
  <c r="H113" i="10"/>
  <c r="CU111" i="1"/>
  <c r="CX111" i="1" s="1"/>
  <c r="G113" i="10" s="1"/>
  <c r="K113" i="10" s="1"/>
  <c r="CV520" i="1"/>
  <c r="CW520" i="1"/>
  <c r="H527" i="10"/>
  <c r="L527" i="10"/>
  <c r="CU378" i="1"/>
  <c r="CV378" i="1"/>
  <c r="CW378" i="1"/>
  <c r="H380" i="10"/>
  <c r="F368" i="10"/>
  <c r="F377" i="10"/>
  <c r="F283" i="10"/>
  <c r="CZ45" i="1"/>
  <c r="CX139" i="1"/>
  <c r="G138" i="10"/>
  <c r="K138" i="10"/>
  <c r="L413" i="10"/>
  <c r="CU340" i="1"/>
  <c r="CV340" i="1"/>
  <c r="CW340" i="1"/>
  <c r="CV114" i="1"/>
  <c r="CW114" i="1" s="1"/>
  <c r="H114" i="10" s="1"/>
  <c r="CU114" i="1"/>
  <c r="CU543" i="1"/>
  <c r="L551" i="10"/>
  <c r="CV543" i="1"/>
  <c r="CW543" i="1" s="1"/>
  <c r="H551" i="10" s="1"/>
  <c r="F558" i="10"/>
  <c r="CZ450" i="1"/>
  <c r="CX375" i="1"/>
  <c r="G377" i="10" s="1"/>
  <c r="K377" i="10"/>
  <c r="H9" i="10"/>
  <c r="H537" i="10"/>
  <c r="CX6" i="1"/>
  <c r="G7" i="10"/>
  <c r="K7" i="10" s="1"/>
  <c r="F7" i="10"/>
  <c r="CV150" i="1"/>
  <c r="CW150" i="1"/>
  <c r="CU150" i="1"/>
  <c r="L150" i="10"/>
  <c r="W32" i="10"/>
  <c r="V32" i="10"/>
  <c r="O32" i="10"/>
  <c r="N32" i="10"/>
  <c r="U32" i="10"/>
  <c r="CY132" i="1"/>
  <c r="CY184" i="1"/>
  <c r="DA184" i="1"/>
  <c r="T185" i="10" s="1"/>
  <c r="CX21" i="1"/>
  <c r="G21" i="10"/>
  <c r="K21" i="10"/>
  <c r="CY21" i="1"/>
  <c r="L384" i="10"/>
  <c r="CX238" i="1"/>
  <c r="G238" i="10" s="1"/>
  <c r="K238" i="10"/>
  <c r="CV137" i="1"/>
  <c r="CW137" i="1" s="1"/>
  <c r="H136" i="10" s="1"/>
  <c r="CU137" i="1"/>
  <c r="W22" i="10"/>
  <c r="N22" i="10"/>
  <c r="U22" i="10" s="1"/>
  <c r="V22" i="10"/>
  <c r="W30" i="10"/>
  <c r="V30" i="10"/>
  <c r="CV499" i="1"/>
  <c r="CW499" i="1"/>
  <c r="H507" i="10" s="1"/>
  <c r="F128" i="10"/>
  <c r="CZ409" i="1"/>
  <c r="F527" i="10"/>
  <c r="CZ510" i="1"/>
  <c r="L380" i="10"/>
  <c r="L113" i="10"/>
  <c r="CV384" i="1"/>
  <c r="CW384" i="1" s="1"/>
  <c r="H388" i="10" s="1"/>
  <c r="L388" i="10"/>
  <c r="L193" i="10"/>
  <c r="CU185" i="1"/>
  <c r="CZ185" i="1" s="1"/>
  <c r="CU140" i="1"/>
  <c r="CZ140" i="1" s="1"/>
  <c r="CX337" i="1"/>
  <c r="G338" i="10" s="1"/>
  <c r="K338" i="10" s="1"/>
  <c r="CV509" i="1"/>
  <c r="CW509" i="1" s="1"/>
  <c r="H516" i="10" s="1"/>
  <c r="CU100" i="1"/>
  <c r="CY100" i="1" s="1"/>
  <c r="CV222" i="1"/>
  <c r="CW222" i="1" s="1"/>
  <c r="CY222" i="1" s="1"/>
  <c r="H149" i="10"/>
  <c r="O429" i="10"/>
  <c r="O38" i="10"/>
  <c r="N71" i="10"/>
  <c r="U71" i="10"/>
  <c r="CT485" i="1"/>
  <c r="L493" i="10" s="1"/>
  <c r="BS463" i="1"/>
  <c r="V15" i="10"/>
  <c r="CV553" i="1"/>
  <c r="CW553" i="1" s="1"/>
  <c r="H561" i="10" s="1"/>
  <c r="G545" i="10"/>
  <c r="K545" i="10"/>
  <c r="L125" i="10"/>
  <c r="K86" i="10"/>
  <c r="CV153" i="1"/>
  <c r="CW153" i="1" s="1"/>
  <c r="H153" i="10" s="1"/>
  <c r="O313" i="10"/>
  <c r="V106" i="10"/>
  <c r="N449" i="10"/>
  <c r="U449" i="10"/>
  <c r="L140" i="10"/>
  <c r="L228" i="10"/>
  <c r="CU402" i="1"/>
  <c r="CU102" i="1"/>
  <c r="CZ102" i="1" s="1"/>
  <c r="F102" i="10"/>
  <c r="N182" i="10"/>
  <c r="U182" i="10"/>
  <c r="CT484" i="1"/>
  <c r="CV484" i="1" s="1"/>
  <c r="O425" i="10"/>
  <c r="CT388" i="1"/>
  <c r="O451" i="10"/>
  <c r="O421" i="10"/>
  <c r="O413" i="10"/>
  <c r="O412" i="10"/>
  <c r="O391" i="10"/>
  <c r="O475" i="10"/>
  <c r="CT466" i="1"/>
  <c r="CV466" i="1" s="1"/>
  <c r="CT461" i="1"/>
  <c r="CV461" i="1"/>
  <c r="CW461" i="1"/>
  <c r="H470" i="10" s="1"/>
  <c r="BS442" i="1"/>
  <c r="BS400" i="1"/>
  <c r="O377" i="10"/>
  <c r="CT462" i="1"/>
  <c r="CT442" i="1"/>
  <c r="CT413" i="1"/>
  <c r="CU413" i="1"/>
  <c r="CT400" i="1"/>
  <c r="L403" i="10" s="1"/>
  <c r="O355" i="10"/>
  <c r="BS350" i="1"/>
  <c r="BS335" i="1"/>
  <c r="BS295" i="1"/>
  <c r="CT326" i="1"/>
  <c r="BS285" i="1"/>
  <c r="O368" i="10"/>
  <c r="CT354" i="1"/>
  <c r="CT323" i="1"/>
  <c r="CT347" i="1"/>
  <c r="CU347" i="1" s="1"/>
  <c r="CZ347" i="1" s="1"/>
  <c r="BS156" i="1"/>
  <c r="CT234" i="1"/>
  <c r="CT43" i="1"/>
  <c r="O89" i="10"/>
  <c r="BS47" i="1"/>
  <c r="O528" i="10"/>
  <c r="BS35" i="1"/>
  <c r="BS543" i="1"/>
  <c r="BS511" i="1"/>
  <c r="O524" i="10"/>
  <c r="CT513" i="1"/>
  <c r="BS539" i="1"/>
  <c r="O510" i="10"/>
  <c r="CT524" i="1"/>
  <c r="N183" i="10"/>
  <c r="U183" i="10" s="1"/>
  <c r="N4" i="10"/>
  <c r="U4" i="10"/>
  <c r="O4" i="10"/>
  <c r="V4" i="10"/>
  <c r="W4" i="10"/>
  <c r="N6" i="10"/>
  <c r="U6" i="10"/>
  <c r="O6" i="10"/>
  <c r="V6" i="10"/>
  <c r="W6" i="10"/>
  <c r="W18" i="10"/>
  <c r="N18" i="10"/>
  <c r="U18" i="10" s="1"/>
  <c r="V18" i="10"/>
  <c r="O195" i="10"/>
  <c r="V195" i="10"/>
  <c r="W195" i="10"/>
  <c r="N195" i="10"/>
  <c r="U195" i="10"/>
  <c r="N199" i="10"/>
  <c r="U199" i="10" s="1"/>
  <c r="W199" i="10"/>
  <c r="N208" i="10"/>
  <c r="U208" i="10"/>
  <c r="W208" i="10"/>
  <c r="N290" i="10"/>
  <c r="U290" i="10" s="1"/>
  <c r="V290" i="10"/>
  <c r="V296" i="10"/>
  <c r="W296" i="10"/>
  <c r="N296" i="10"/>
  <c r="U296" i="10"/>
  <c r="O296" i="10"/>
  <c r="N339" i="10"/>
  <c r="U339" i="10" s="1"/>
  <c r="V339" i="10"/>
  <c r="W339" i="10"/>
  <c r="N362" i="10"/>
  <c r="U362" i="10" s="1"/>
  <c r="V362" i="10"/>
  <c r="W362" i="10"/>
  <c r="N374" i="10"/>
  <c r="U374" i="10" s="1"/>
  <c r="V374" i="10"/>
  <c r="W374" i="10"/>
  <c r="O374" i="10"/>
  <c r="V455" i="10"/>
  <c r="N455" i="10"/>
  <c r="U455" i="10" s="1"/>
  <c r="W455" i="10"/>
  <c r="N460" i="10"/>
  <c r="U460" i="10" s="1"/>
  <c r="V460" i="10"/>
  <c r="O460" i="10"/>
  <c r="V287" i="10"/>
  <c r="W287" i="10"/>
  <c r="O287" i="10"/>
  <c r="O40" i="10"/>
  <c r="N40" i="10"/>
  <c r="U40" i="10" s="1"/>
  <c r="V40" i="10"/>
  <c r="W45" i="10"/>
  <c r="V45" i="10"/>
  <c r="U45" i="10"/>
  <c r="W58" i="10"/>
  <c r="V58" i="10"/>
  <c r="N58" i="10"/>
  <c r="U58" i="10"/>
  <c r="O101" i="10"/>
  <c r="N101" i="10"/>
  <c r="U101" i="10" s="1"/>
  <c r="V101" i="10"/>
  <c r="V108" i="10"/>
  <c r="N108" i="10"/>
  <c r="U108" i="10" s="1"/>
  <c r="O108" i="10"/>
  <c r="N115" i="10"/>
  <c r="U115" i="10" s="1"/>
  <c r="O187" i="10"/>
  <c r="W187" i="10"/>
  <c r="V187" i="10"/>
  <c r="O58" i="10"/>
  <c r="N187" i="10"/>
  <c r="U187" i="10"/>
  <c r="O290" i="10"/>
  <c r="V28" i="10"/>
  <c r="W28" i="10"/>
  <c r="N28" i="10"/>
  <c r="U28" i="10"/>
  <c r="V33" i="10"/>
  <c r="V62" i="10"/>
  <c r="N62" i="10"/>
  <c r="U62" i="10" s="1"/>
  <c r="W62" i="10"/>
  <c r="V87" i="10"/>
  <c r="O87" i="10"/>
  <c r="N87" i="10"/>
  <c r="U87" i="10"/>
  <c r="W91" i="10"/>
  <c r="N91" i="10"/>
  <c r="U91" i="10" s="1"/>
  <c r="O91" i="10"/>
  <c r="V95" i="10"/>
  <c r="W95" i="10"/>
  <c r="V118" i="10"/>
  <c r="O173" i="10"/>
  <c r="V173" i="10"/>
  <c r="N173" i="10"/>
  <c r="U173" i="10"/>
  <c r="N192" i="10"/>
  <c r="U192" i="10"/>
  <c r="V192" i="10"/>
  <c r="W192" i="10"/>
  <c r="O115" i="10"/>
  <c r="N118" i="10"/>
  <c r="U118" i="10" s="1"/>
  <c r="O192" i="10"/>
  <c r="O18" i="10"/>
  <c r="W101" i="10"/>
  <c r="W173" i="10"/>
  <c r="N21" i="10"/>
  <c r="U21" i="10" s="1"/>
  <c r="O21" i="10"/>
  <c r="V21" i="10"/>
  <c r="O499" i="10"/>
  <c r="W499" i="10"/>
  <c r="N541" i="10"/>
  <c r="U541" i="10"/>
  <c r="O541" i="10"/>
  <c r="N174" i="10"/>
  <c r="U174" i="10" s="1"/>
  <c r="V174" i="10"/>
  <c r="V240" i="10"/>
  <c r="W240" i="10"/>
  <c r="V288" i="10"/>
  <c r="W288" i="10"/>
  <c r="V476" i="10"/>
  <c r="N476" i="10"/>
  <c r="U476" i="10" s="1"/>
  <c r="W249" i="10"/>
  <c r="O184" i="10"/>
  <c r="W110" i="10"/>
  <c r="W409" i="10"/>
  <c r="W326" i="10"/>
  <c r="O349" i="10"/>
  <c r="N409" i="10"/>
  <c r="U409" i="10" s="1"/>
  <c r="N495" i="10"/>
  <c r="U495" i="10"/>
  <c r="N106" i="10"/>
  <c r="U106" i="10" s="1"/>
  <c r="O114" i="10"/>
  <c r="W73" i="10"/>
  <c r="O63" i="10"/>
  <c r="W15" i="10"/>
  <c r="W399" i="10"/>
  <c r="N241" i="10"/>
  <c r="U241" i="10" s="1"/>
  <c r="V69" i="10"/>
  <c r="W553" i="10"/>
  <c r="N184" i="10"/>
  <c r="U184" i="10" s="1"/>
  <c r="V98" i="10"/>
  <c r="O240" i="10"/>
  <c r="O255" i="10"/>
  <c r="V333" i="10"/>
  <c r="V51" i="10"/>
  <c r="N51" i="10"/>
  <c r="U51" i="10"/>
  <c r="W51" i="10"/>
  <c r="N124" i="10"/>
  <c r="U124" i="10"/>
  <c r="V124" i="10"/>
  <c r="W124" i="10"/>
  <c r="V216" i="10"/>
  <c r="N216" i="10"/>
  <c r="U216" i="10"/>
  <c r="W273" i="10"/>
  <c r="V273" i="10"/>
  <c r="O273" i="10"/>
  <c r="W302" i="10"/>
  <c r="N302" i="10"/>
  <c r="U302" i="10" s="1"/>
  <c r="N346" i="10"/>
  <c r="U346" i="10" s="1"/>
  <c r="V346" i="10"/>
  <c r="O382" i="10"/>
  <c r="W382" i="10"/>
  <c r="V382" i="10"/>
  <c r="N426" i="10"/>
  <c r="U426" i="10" s="1"/>
  <c r="V426" i="10"/>
  <c r="N429" i="10"/>
  <c r="U429" i="10" s="1"/>
  <c r="V429" i="10"/>
  <c r="W366" i="10"/>
  <c r="N366" i="10"/>
  <c r="U366" i="10" s="1"/>
  <c r="V366" i="10"/>
  <c r="O366" i="10"/>
  <c r="O48" i="10"/>
  <c r="V490" i="10"/>
  <c r="N490" i="10"/>
  <c r="U490" i="10"/>
  <c r="O219" i="10"/>
  <c r="O183" i="10"/>
  <c r="N103" i="10"/>
  <c r="U103" i="10"/>
  <c r="W103" i="10"/>
  <c r="V103" i="10"/>
  <c r="N501" i="10"/>
  <c r="U501" i="10"/>
  <c r="W501" i="10"/>
  <c r="W433" i="10"/>
  <c r="N167" i="10"/>
  <c r="U167" i="10"/>
  <c r="W349" i="10"/>
  <c r="O345" i="10"/>
  <c r="N345" i="10"/>
  <c r="U345" i="10"/>
  <c r="O553" i="10"/>
  <c r="O476" i="10"/>
  <c r="W66" i="10"/>
  <c r="V284" i="10"/>
  <c r="W181" i="10"/>
  <c r="N178" i="10"/>
  <c r="U178" i="10"/>
  <c r="W106" i="10"/>
  <c r="V73" i="10"/>
  <c r="V63" i="10"/>
  <c r="N15" i="10"/>
  <c r="U15" i="10" s="1"/>
  <c r="O399" i="10"/>
  <c r="W241" i="10"/>
  <c r="N448" i="10"/>
  <c r="U448" i="10" s="1"/>
  <c r="V499" i="10"/>
  <c r="N249" i="10"/>
  <c r="U249" i="10"/>
  <c r="V541" i="10"/>
  <c r="W476" i="10"/>
  <c r="W25" i="10"/>
  <c r="N25" i="10"/>
  <c r="U25" i="10" s="1"/>
  <c r="N44" i="10"/>
  <c r="U44" i="10" s="1"/>
  <c r="O44" i="10"/>
  <c r="V44" i="10"/>
  <c r="N207" i="10"/>
  <c r="U207" i="10" s="1"/>
  <c r="V207" i="10"/>
  <c r="N274" i="10"/>
  <c r="U274" i="10" s="1"/>
  <c r="W274" i="10"/>
  <c r="N275" i="10"/>
  <c r="U275" i="10"/>
  <c r="V275" i="10"/>
  <c r="N295" i="10"/>
  <c r="U295" i="10"/>
  <c r="V340" i="10"/>
  <c r="W340" i="10"/>
  <c r="V364" i="10"/>
  <c r="W364" i="10"/>
  <c r="W375" i="10"/>
  <c r="N375" i="10"/>
  <c r="U375" i="10"/>
  <c r="W376" i="10"/>
  <c r="N318" i="10"/>
  <c r="U318" i="10" s="1"/>
  <c r="V318" i="10"/>
  <c r="O422" i="10"/>
  <c r="O319" i="10"/>
  <c r="O314" i="10"/>
  <c r="N522" i="10"/>
  <c r="U522" i="10" s="1"/>
  <c r="V522" i="10"/>
  <c r="O522" i="10"/>
  <c r="V59" i="10"/>
  <c r="W59" i="10"/>
  <c r="N350" i="10"/>
  <c r="U350" i="10" s="1"/>
  <c r="V450" i="10"/>
  <c r="N450" i="10"/>
  <c r="U450" i="10"/>
  <c r="O491" i="10"/>
  <c r="O199" i="10"/>
  <c r="O30" i="10"/>
  <c r="CY343" i="1"/>
  <c r="DA343" i="1" s="1"/>
  <c r="T344" i="10" s="1"/>
  <c r="CY292" i="1"/>
  <c r="DA292" i="1" s="1"/>
  <c r="T290" i="10" s="1"/>
  <c r="H290" i="10"/>
  <c r="CX11" i="1"/>
  <c r="G13" i="10" s="1"/>
  <c r="K13" i="10" s="1"/>
  <c r="CZ11" i="1"/>
  <c r="H466" i="10"/>
  <c r="CY28" i="1"/>
  <c r="H524" i="10"/>
  <c r="F36" i="10"/>
  <c r="CZ35" i="1"/>
  <c r="G36" i="10"/>
  <c r="K36" i="10" s="1"/>
  <c r="CZ254" i="1"/>
  <c r="CX254" i="1"/>
  <c r="G254" i="10" s="1"/>
  <c r="K254" i="10" s="1"/>
  <c r="CZ334" i="1"/>
  <c r="CX334" i="1"/>
  <c r="G335" i="10" s="1"/>
  <c r="K335" i="10" s="1"/>
  <c r="H523" i="10"/>
  <c r="CZ454" i="1"/>
  <c r="CX454" i="1"/>
  <c r="G462" i="10" s="1"/>
  <c r="K462" i="10" s="1"/>
  <c r="CZ180" i="1"/>
  <c r="CX170" i="1"/>
  <c r="G170" i="10" s="1"/>
  <c r="K170" i="10" s="1"/>
  <c r="F170" i="10"/>
  <c r="CZ170" i="1"/>
  <c r="F97" i="10"/>
  <c r="CX72" i="1"/>
  <c r="G72" i="10"/>
  <c r="K72" i="10" s="1"/>
  <c r="F72" i="10"/>
  <c r="CU190" i="1"/>
  <c r="CV190" i="1"/>
  <c r="CW190" i="1" s="1"/>
  <c r="H189" i="10" s="1"/>
  <c r="L189" i="10"/>
  <c r="CY303" i="1"/>
  <c r="DA303" i="1" s="1"/>
  <c r="CZ248" i="1"/>
  <c r="CZ369" i="1"/>
  <c r="CX369" i="1"/>
  <c r="G371" i="10" s="1"/>
  <c r="K371" i="10" s="1"/>
  <c r="CY258" i="1"/>
  <c r="DA129" i="1"/>
  <c r="T130" i="10" s="1"/>
  <c r="F497" i="10"/>
  <c r="F191" i="10"/>
  <c r="CY173" i="1"/>
  <c r="CX157" i="1"/>
  <c r="G156" i="10" s="1"/>
  <c r="K156" i="10" s="1"/>
  <c r="F374" i="10"/>
  <c r="CZ373" i="1"/>
  <c r="L468" i="10"/>
  <c r="CX336" i="1"/>
  <c r="G337" i="10"/>
  <c r="K337" i="10" s="1"/>
  <c r="CX339" i="1"/>
  <c r="G340" i="10" s="1"/>
  <c r="K340" i="10" s="1"/>
  <c r="CV19" i="1"/>
  <c r="CW19" i="1"/>
  <c r="H17" i="10" s="1"/>
  <c r="CU19" i="1"/>
  <c r="F17" i="10" s="1"/>
  <c r="F156" i="10"/>
  <c r="F459" i="10"/>
  <c r="H25" i="10"/>
  <c r="CX250" i="1"/>
  <c r="G251" i="10" s="1"/>
  <c r="K251" i="10" s="1"/>
  <c r="CZ250" i="1"/>
  <c r="CY250" i="1"/>
  <c r="DA250" i="1" s="1"/>
  <c r="T251" i="10" s="1"/>
  <c r="CV533" i="1"/>
  <c r="CW533" i="1"/>
  <c r="H541" i="10" s="1"/>
  <c r="CX230" i="1"/>
  <c r="G230" i="10" s="1"/>
  <c r="K230" i="10" s="1"/>
  <c r="F230" i="10"/>
  <c r="CV549" i="1"/>
  <c r="CW549" i="1" s="1"/>
  <c r="H557" i="10" s="1"/>
  <c r="CU549" i="1"/>
  <c r="L557" i="10"/>
  <c r="CU40" i="1"/>
  <c r="L40" i="10"/>
  <c r="L487" i="10"/>
  <c r="CV479" i="1"/>
  <c r="CW479" i="1" s="1"/>
  <c r="H487" i="10" s="1"/>
  <c r="CU479" i="1"/>
  <c r="CX423" i="1"/>
  <c r="G432" i="10" s="1"/>
  <c r="K432" i="10" s="1"/>
  <c r="CZ423" i="1"/>
  <c r="F432" i="10"/>
  <c r="CU393" i="1"/>
  <c r="CX393" i="1" s="1"/>
  <c r="CV393" i="1"/>
  <c r="CW393" i="1" s="1"/>
  <c r="H397" i="10"/>
  <c r="CU476" i="1"/>
  <c r="CY476" i="1" s="1"/>
  <c r="CV476" i="1"/>
  <c r="CW476" i="1" s="1"/>
  <c r="H484" i="10" s="1"/>
  <c r="CU27" i="1"/>
  <c r="CZ27" i="1" s="1"/>
  <c r="CV27" i="1"/>
  <c r="CW27" i="1" s="1"/>
  <c r="H27" i="10" s="1"/>
  <c r="L27" i="10"/>
  <c r="CU502" i="1"/>
  <c r="L510" i="10"/>
  <c r="CU225" i="1"/>
  <c r="F224" i="10" s="1"/>
  <c r="CV225" i="1"/>
  <c r="CW225" i="1" s="1"/>
  <c r="H224" i="10" s="1"/>
  <c r="L224" i="10"/>
  <c r="CU5" i="1"/>
  <c r="CY5" i="1" s="1"/>
  <c r="CV5" i="1"/>
  <c r="CW5" i="1" s="1"/>
  <c r="H5" i="10" s="1"/>
  <c r="CV428" i="1"/>
  <c r="CW428" i="1"/>
  <c r="H434" i="10" s="1"/>
  <c r="L434" i="10"/>
  <c r="F424" i="10"/>
  <c r="F147" i="10"/>
  <c r="H86" i="10"/>
  <c r="CY86" i="1"/>
  <c r="CY483" i="1"/>
  <c r="DA483" i="1" s="1"/>
  <c r="T491" i="10" s="1"/>
  <c r="F491" i="10"/>
  <c r="CZ186" i="1"/>
  <c r="CX186" i="1"/>
  <c r="G184" i="10" s="1"/>
  <c r="K184" i="10" s="1"/>
  <c r="F184" i="10"/>
  <c r="H453" i="10"/>
  <c r="CY505" i="1"/>
  <c r="CV379" i="1"/>
  <c r="CW379" i="1" s="1"/>
  <c r="H381" i="10"/>
  <c r="CU379" i="1"/>
  <c r="CX379" i="1" s="1"/>
  <c r="L381" i="10"/>
  <c r="CV231" i="1"/>
  <c r="CW231" i="1"/>
  <c r="H231" i="10" s="1"/>
  <c r="L231" i="10"/>
  <c r="F541" i="10"/>
  <c r="CX533" i="1"/>
  <c r="G541" i="10" s="1"/>
  <c r="K541" i="10" s="1"/>
  <c r="L95" i="10"/>
  <c r="CU95" i="1"/>
  <c r="CX95" i="1" s="1"/>
  <c r="CV95" i="1"/>
  <c r="CW95" i="1"/>
  <c r="H95" i="10"/>
  <c r="CX102" i="1"/>
  <c r="G102" i="10"/>
  <c r="K102" i="10" s="1"/>
  <c r="L19" i="10"/>
  <c r="CV17" i="1"/>
  <c r="CW17" i="1"/>
  <c r="H19" i="10" s="1"/>
  <c r="G124" i="10"/>
  <c r="K124" i="10"/>
  <c r="CZ125" i="1"/>
  <c r="CW181" i="1"/>
  <c r="H183" i="10"/>
  <c r="CU181" i="1"/>
  <c r="CY181" i="1" s="1"/>
  <c r="CV143" i="1"/>
  <c r="CW143" i="1"/>
  <c r="H143" i="10"/>
  <c r="CU143" i="1"/>
  <c r="CY143" i="1" s="1"/>
  <c r="CU167" i="1"/>
  <c r="CZ500" i="1"/>
  <c r="F508" i="10"/>
  <c r="CU61" i="1"/>
  <c r="L61" i="10"/>
  <c r="CV61" i="1"/>
  <c r="CW61" i="1"/>
  <c r="H61" i="10" s="1"/>
  <c r="CU459" i="1"/>
  <c r="L467" i="10"/>
  <c r="CU162" i="1"/>
  <c r="L162" i="10"/>
  <c r="CV162" i="1"/>
  <c r="CW162" i="1"/>
  <c r="H162" i="10"/>
  <c r="CV229" i="1"/>
  <c r="CW229" i="1" s="1"/>
  <c r="H229" i="10"/>
  <c r="CU229" i="1"/>
  <c r="F229" i="10" s="1"/>
  <c r="L229" i="10"/>
  <c r="CU178" i="1"/>
  <c r="CV178" i="1"/>
  <c r="CW178" i="1"/>
  <c r="H180" i="10" s="1"/>
  <c r="L498" i="10"/>
  <c r="CU490" i="1"/>
  <c r="CV490" i="1"/>
  <c r="CW490" i="1" s="1"/>
  <c r="H498" i="10"/>
  <c r="CZ218" i="1"/>
  <c r="CX385" i="1"/>
  <c r="G390" i="10"/>
  <c r="K390" i="10"/>
  <c r="CX431" i="1"/>
  <c r="G437" i="10" s="1"/>
  <c r="K437" i="10"/>
  <c r="CY431" i="1"/>
  <c r="DA431" i="1" s="1"/>
  <c r="T437" i="10" s="1"/>
  <c r="F41" i="10"/>
  <c r="CY42" i="1"/>
  <c r="DA42" i="1" s="1"/>
  <c r="T42" i="10" s="1"/>
  <c r="F249" i="10"/>
  <c r="CY52" i="1"/>
  <c r="CZ216" i="1"/>
  <c r="CV34" i="1"/>
  <c r="CW34" i="1"/>
  <c r="H34" i="10" s="1"/>
  <c r="CY115" i="1"/>
  <c r="DA115" i="1"/>
  <c r="T115" i="10" s="1"/>
  <c r="CZ463" i="1"/>
  <c r="CY506" i="1"/>
  <c r="CV365" i="1"/>
  <c r="CW365" i="1"/>
  <c r="CZ303" i="1"/>
  <c r="CX303" i="1"/>
  <c r="G302" i="10"/>
  <c r="K302" i="10" s="1"/>
  <c r="CY339" i="1"/>
  <c r="CX42" i="1"/>
  <c r="G42" i="10"/>
  <c r="K42" i="10" s="1"/>
  <c r="F42" i="10"/>
  <c r="CY104" i="1"/>
  <c r="CY537" i="1"/>
  <c r="CY441" i="1"/>
  <c r="CU34" i="1"/>
  <c r="CY267" i="1"/>
  <c r="CY373" i="1"/>
  <c r="DA373" i="1" s="1"/>
  <c r="T374" i="10" s="1"/>
  <c r="G115" i="10"/>
  <c r="K115" i="10"/>
  <c r="L222" i="10"/>
  <c r="CV547" i="1"/>
  <c r="CW547" i="1" s="1"/>
  <c r="H555" i="10"/>
  <c r="L440" i="10"/>
  <c r="L183" i="10"/>
  <c r="CZ84" i="1"/>
  <c r="L421" i="10"/>
  <c r="CV464" i="1"/>
  <c r="CW464" i="1"/>
  <c r="CZ339" i="1"/>
  <c r="CY266" i="1"/>
  <c r="DA266" i="1" s="1"/>
  <c r="T266" i="10" s="1"/>
  <c r="CU461" i="1"/>
  <c r="CU17" i="1"/>
  <c r="CU165" i="1"/>
  <c r="CY157" i="1"/>
  <c r="DA157" i="1" s="1"/>
  <c r="T156" i="10" s="1"/>
  <c r="CZ294" i="1"/>
  <c r="DA294" i="1"/>
  <c r="T294" i="10"/>
  <c r="DA49" i="1"/>
  <c r="T49" i="10" s="1"/>
  <c r="F260" i="10"/>
  <c r="CZ259" i="1"/>
  <c r="H88" i="10"/>
  <c r="CX168" i="1"/>
  <c r="G166" i="10"/>
  <c r="K166" i="10"/>
  <c r="DA168" i="1"/>
  <c r="T166" i="10" s="1"/>
  <c r="L541" i="10"/>
  <c r="CU312" i="1"/>
  <c r="L312" i="10"/>
  <c r="CX185" i="1"/>
  <c r="G186" i="10"/>
  <c r="K186" i="10" s="1"/>
  <c r="F110" i="10"/>
  <c r="CZ113" i="1"/>
  <c r="DA113" i="1" s="1"/>
  <c r="T110" i="10" s="1"/>
  <c r="H233" i="10"/>
  <c r="CY233" i="1"/>
  <c r="F343" i="10"/>
  <c r="CZ342" i="1"/>
  <c r="CV25" i="1"/>
  <c r="CU25" i="1"/>
  <c r="CU134" i="1"/>
  <c r="F37" i="10"/>
  <c r="CX37" i="1"/>
  <c r="G37" i="10" s="1"/>
  <c r="K37" i="10" s="1"/>
  <c r="CY437" i="1"/>
  <c r="CZ30" i="1"/>
  <c r="CY116" i="1"/>
  <c r="DA116" i="1" s="1"/>
  <c r="T117" i="10"/>
  <c r="F475" i="10"/>
  <c r="F505" i="10"/>
  <c r="CX463" i="1"/>
  <c r="G468" i="10"/>
  <c r="K468" i="10"/>
  <c r="CX97" i="1"/>
  <c r="G97" i="10" s="1"/>
  <c r="K97" i="10" s="1"/>
  <c r="CY65" i="1"/>
  <c r="L249" i="10"/>
  <c r="CZ336" i="1"/>
  <c r="L5" i="10"/>
  <c r="CW468" i="1"/>
  <c r="H477" i="10" s="1"/>
  <c r="CU468" i="1"/>
  <c r="CZ468" i="1" s="1"/>
  <c r="CV165" i="1"/>
  <c r="CW165" i="1"/>
  <c r="H163" i="10" s="1"/>
  <c r="L470" i="10"/>
  <c r="CX180" i="1"/>
  <c r="G178" i="10" s="1"/>
  <c r="K178" i="10"/>
  <c r="CZ274" i="1"/>
  <c r="CY180" i="1"/>
  <c r="F271" i="10"/>
  <c r="CY45" i="1"/>
  <c r="DA45" i="1" s="1"/>
  <c r="T45" i="10"/>
  <c r="F514" i="10"/>
  <c r="CU231" i="1"/>
  <c r="CX231" i="1" s="1"/>
  <c r="G445" i="10"/>
  <c r="K445" i="10"/>
  <c r="CZ438" i="1"/>
  <c r="H152" i="10"/>
  <c r="CY151" i="1"/>
  <c r="CV147" i="1"/>
  <c r="CW147" i="1"/>
  <c r="H147" i="10" s="1"/>
  <c r="CZ533" i="1"/>
  <c r="CX439" i="1"/>
  <c r="G446" i="10"/>
  <c r="K446" i="10" s="1"/>
  <c r="CV167" i="1"/>
  <c r="CW167" i="1" s="1"/>
  <c r="H167" i="10"/>
  <c r="CX345" i="1"/>
  <c r="G346" i="10"/>
  <c r="K346" i="10" s="1"/>
  <c r="F346" i="10"/>
  <c r="CV459" i="1"/>
  <c r="CW459" i="1" s="1"/>
  <c r="H467" i="10" s="1"/>
  <c r="CY72" i="1"/>
  <c r="DA72" i="1"/>
  <c r="T72" i="10" s="1"/>
  <c r="L406" i="10"/>
  <c r="CU403" i="1"/>
  <c r="CV403" i="1"/>
  <c r="CW403" i="1" s="1"/>
  <c r="CU443" i="1"/>
  <c r="CZ443" i="1" s="1"/>
  <c r="CV443" i="1"/>
  <c r="CW443" i="1"/>
  <c r="H450" i="10" s="1"/>
  <c r="CY89" i="1"/>
  <c r="CU91" i="1"/>
  <c r="L91" i="10"/>
  <c r="CV91" i="1"/>
  <c r="CW91" i="1"/>
  <c r="H91" i="10" s="1"/>
  <c r="L436" i="10"/>
  <c r="CV426" i="1"/>
  <c r="CW426" i="1"/>
  <c r="H436" i="10" s="1"/>
  <c r="CU426" i="1"/>
  <c r="F436" i="10" s="1"/>
  <c r="CU329" i="1"/>
  <c r="F330" i="10" s="1"/>
  <c r="CV127" i="1"/>
  <c r="CW127" i="1"/>
  <c r="H127" i="10" s="1"/>
  <c r="L127" i="10"/>
  <c r="CU127" i="1"/>
  <c r="CX267" i="1"/>
  <c r="G267" i="10" s="1"/>
  <c r="K267" i="10" s="1"/>
  <c r="CU176" i="1"/>
  <c r="CZ176" i="1" s="1"/>
  <c r="CV176" i="1"/>
  <c r="CW176" i="1" s="1"/>
  <c r="L176" i="10"/>
  <c r="CX518" i="1"/>
  <c r="G525" i="10"/>
  <c r="K525" i="10" s="1"/>
  <c r="CZ518" i="1"/>
  <c r="CV3" i="1"/>
  <c r="CW3" i="1"/>
  <c r="H3" i="10" s="1"/>
  <c r="CU3" i="1"/>
  <c r="CZ3" i="1" s="1"/>
  <c r="F119" i="10"/>
  <c r="CY119" i="1"/>
  <c r="CZ119" i="1"/>
  <c r="CV495" i="1"/>
  <c r="CW495" i="1" s="1"/>
  <c r="H503" i="10" s="1"/>
  <c r="L503" i="10"/>
  <c r="CU495" i="1"/>
  <c r="L236" i="10"/>
  <c r="CU503" i="1"/>
  <c r="CV503" i="1"/>
  <c r="CW503" i="1"/>
  <c r="H511" i="10"/>
  <c r="CU107" i="1"/>
  <c r="L105" i="10"/>
  <c r="W60" i="10"/>
  <c r="N107" i="10"/>
  <c r="U107" i="10"/>
  <c r="O107" i="10"/>
  <c r="W107" i="10"/>
  <c r="V107" i="10"/>
  <c r="V113" i="10"/>
  <c r="W113" i="10"/>
  <c r="N113" i="10"/>
  <c r="U113" i="10"/>
  <c r="V153" i="10"/>
  <c r="W153" i="10"/>
  <c r="O153" i="10"/>
  <c r="N153" i="10"/>
  <c r="U153" i="10" s="1"/>
  <c r="O203" i="10"/>
  <c r="N203" i="10"/>
  <c r="U203" i="10"/>
  <c r="W266" i="10"/>
  <c r="O266" i="10"/>
  <c r="N266" i="10"/>
  <c r="U266" i="10"/>
  <c r="V266" i="10"/>
  <c r="V312" i="10"/>
  <c r="N312" i="10"/>
  <c r="U312" i="10"/>
  <c r="W312" i="10"/>
  <c r="V347" i="10"/>
  <c r="N347" i="10"/>
  <c r="U347" i="10"/>
  <c r="W347" i="10"/>
  <c r="O347" i="10"/>
  <c r="W394" i="10"/>
  <c r="N394" i="10"/>
  <c r="U394" i="10" s="1"/>
  <c r="O394" i="10"/>
  <c r="V394" i="10"/>
  <c r="O392" i="10"/>
  <c r="N392" i="10"/>
  <c r="U392" i="10"/>
  <c r="V392" i="10"/>
  <c r="V395" i="10"/>
  <c r="O395" i="10"/>
  <c r="N395" i="10"/>
  <c r="U395" i="10"/>
  <c r="W395" i="10"/>
  <c r="N402" i="10"/>
  <c r="U402" i="10"/>
  <c r="W402" i="10"/>
  <c r="V402" i="10"/>
  <c r="O402" i="10"/>
  <c r="CU204" i="1"/>
  <c r="L206" i="10"/>
  <c r="CX477" i="1"/>
  <c r="G485" i="10" s="1"/>
  <c r="K485" i="10" s="1"/>
  <c r="F485" i="10"/>
  <c r="CV518" i="1"/>
  <c r="CW518" i="1" s="1"/>
  <c r="L525" i="10"/>
  <c r="CU396" i="1"/>
  <c r="CV396" i="1"/>
  <c r="CW396" i="1" s="1"/>
  <c r="H400" i="10" s="1"/>
  <c r="CZ114" i="1"/>
  <c r="CX114" i="1"/>
  <c r="G114" i="10" s="1"/>
  <c r="K114" i="10" s="1"/>
  <c r="CV87" i="1"/>
  <c r="CW87" i="1"/>
  <c r="H87" i="10" s="1"/>
  <c r="CU87" i="1"/>
  <c r="CU18" i="1"/>
  <c r="CV18" i="1"/>
  <c r="V83" i="10"/>
  <c r="O83" i="10"/>
  <c r="W83" i="10"/>
  <c r="W265" i="10"/>
  <c r="N307" i="10"/>
  <c r="U307" i="10" s="1"/>
  <c r="W307" i="10"/>
  <c r="N351" i="10"/>
  <c r="U351" i="10"/>
  <c r="W369" i="10"/>
  <c r="V369" i="10"/>
  <c r="V424" i="10"/>
  <c r="O424" i="10"/>
  <c r="W424" i="10"/>
  <c r="N424" i="10"/>
  <c r="U424" i="10"/>
  <c r="N432" i="10"/>
  <c r="U432" i="10" s="1"/>
  <c r="W435" i="10"/>
  <c r="V435" i="10"/>
  <c r="N435" i="10"/>
  <c r="U435" i="10" s="1"/>
  <c r="N474" i="10"/>
  <c r="U474" i="10" s="1"/>
  <c r="V474" i="10"/>
  <c r="N475" i="10"/>
  <c r="U475" i="10"/>
  <c r="W475" i="10"/>
  <c r="V475" i="10"/>
  <c r="DF484" i="1"/>
  <c r="DE484" i="1"/>
  <c r="BT482" i="1"/>
  <c r="BS482" i="1"/>
  <c r="DE445" i="1"/>
  <c r="DF445" i="1"/>
  <c r="BP368" i="1"/>
  <c r="BS368" i="1"/>
  <c r="CZ509" i="1"/>
  <c r="CZ139" i="1"/>
  <c r="F139" i="10"/>
  <c r="F49" i="10"/>
  <c r="F172" i="10"/>
  <c r="CZ488" i="1"/>
  <c r="L554" i="10"/>
  <c r="CV198" i="1"/>
  <c r="CW198" i="1"/>
  <c r="CY98" i="1"/>
  <c r="DA98" i="1" s="1"/>
  <c r="T98" i="10" s="1"/>
  <c r="CU192" i="1"/>
  <c r="CZ192" i="1" s="1"/>
  <c r="CU244" i="1"/>
  <c r="L399" i="10"/>
  <c r="L256" i="10"/>
  <c r="L435" i="10"/>
  <c r="V355" i="10"/>
  <c r="L174" i="10"/>
  <c r="CV406" i="1"/>
  <c r="CW406" i="1" s="1"/>
  <c r="H412" i="10"/>
  <c r="CU406" i="1"/>
  <c r="L172" i="10"/>
  <c r="CV172" i="1"/>
  <c r="CW172" i="1"/>
  <c r="H172" i="10"/>
  <c r="CU514" i="1"/>
  <c r="CV514" i="1"/>
  <c r="CW514" i="1"/>
  <c r="H521" i="10"/>
  <c r="N83" i="10"/>
  <c r="U83" i="10"/>
  <c r="CX103" i="1"/>
  <c r="G103" i="10" s="1"/>
  <c r="K103" i="10" s="1"/>
  <c r="CZ103" i="1"/>
  <c r="L432" i="10"/>
  <c r="CV423" i="1"/>
  <c r="CW423" i="1"/>
  <c r="H432" i="10" s="1"/>
  <c r="L499" i="10"/>
  <c r="CV491" i="1"/>
  <c r="CW491" i="1"/>
  <c r="H499" i="10" s="1"/>
  <c r="CU491" i="1"/>
  <c r="CX491" i="1" s="1"/>
  <c r="CV433" i="1"/>
  <c r="CW433" i="1"/>
  <c r="H441" i="10" s="1"/>
  <c r="CV8" i="1"/>
  <c r="CW8" i="1"/>
  <c r="H6" i="10"/>
  <c r="CU8" i="1"/>
  <c r="L546" i="10"/>
  <c r="CU538" i="1"/>
  <c r="F542" i="10"/>
  <c r="L533" i="10"/>
  <c r="CU525" i="1"/>
  <c r="CV525" i="1"/>
  <c r="CW525" i="1"/>
  <c r="H533" i="10"/>
  <c r="CU156" i="1"/>
  <c r="CX156" i="1" s="1"/>
  <c r="CV169" i="1"/>
  <c r="CW169" i="1"/>
  <c r="H169" i="10" s="1"/>
  <c r="CU4" i="1"/>
  <c r="CV4" i="1"/>
  <c r="CW4" i="1"/>
  <c r="H4" i="10" s="1"/>
  <c r="L4" i="10"/>
  <c r="N311" i="10"/>
  <c r="U311" i="10"/>
  <c r="W311" i="10"/>
  <c r="V311" i="10"/>
  <c r="V36" i="10"/>
  <c r="O36" i="10"/>
  <c r="N50" i="10"/>
  <c r="U50" i="10"/>
  <c r="W50" i="10"/>
  <c r="V170" i="10"/>
  <c r="N170" i="10"/>
  <c r="U170" i="10"/>
  <c r="O170" i="10"/>
  <c r="W170" i="10"/>
  <c r="V186" i="10"/>
  <c r="O186" i="10"/>
  <c r="V197" i="10"/>
  <c r="W197" i="10"/>
  <c r="V208" i="10"/>
  <c r="V246" i="10"/>
  <c r="W254" i="10"/>
  <c r="V254" i="10"/>
  <c r="N289" i="10"/>
  <c r="U289" i="10"/>
  <c r="O289" i="10"/>
  <c r="N330" i="10"/>
  <c r="U330" i="10" s="1"/>
  <c r="W330" i="10"/>
  <c r="O330" i="10"/>
  <c r="W332" i="10"/>
  <c r="CY321" i="1"/>
  <c r="DA321" i="1"/>
  <c r="T321" i="10" s="1"/>
  <c r="CW504" i="1"/>
  <c r="H512" i="10" s="1"/>
  <c r="CV380" i="1"/>
  <c r="CW380" i="1"/>
  <c r="CZ537" i="1"/>
  <c r="DA537" i="1" s="1"/>
  <c r="T545" i="10" s="1"/>
  <c r="F122" i="10"/>
  <c r="F62" i="10"/>
  <c r="CZ50" i="1"/>
  <c r="CY50" i="1"/>
  <c r="CZ126" i="1"/>
  <c r="F181" i="10"/>
  <c r="CU392" i="1"/>
  <c r="CV126" i="1"/>
  <c r="CW126" i="1"/>
  <c r="H126" i="10" s="1"/>
  <c r="CU141" i="1"/>
  <c r="F141" i="10" s="1"/>
  <c r="CV395" i="1"/>
  <c r="CW395" i="1"/>
  <c r="L559" i="10"/>
  <c r="CU553" i="1"/>
  <c r="CX2" i="1"/>
  <c r="G2" i="10"/>
  <c r="K2" i="10" s="1"/>
  <c r="CY2" i="1"/>
  <c r="DA2" i="1" s="1"/>
  <c r="CZ79" i="1"/>
  <c r="O95" i="10"/>
  <c r="N95" i="10"/>
  <c r="U95" i="10"/>
  <c r="N172" i="10"/>
  <c r="U172" i="10" s="1"/>
  <c r="N128" i="10"/>
  <c r="U128" i="10"/>
  <c r="N152" i="10"/>
  <c r="U152" i="10" s="1"/>
  <c r="O369" i="10"/>
  <c r="L433" i="10"/>
  <c r="CV349" i="1"/>
  <c r="CW349" i="1" s="1"/>
  <c r="L400" i="10"/>
  <c r="CV480" i="1"/>
  <c r="CW480" i="1" s="1"/>
  <c r="CY480" i="1" s="1"/>
  <c r="L488" i="10"/>
  <c r="F233" i="10"/>
  <c r="CZ233" i="1"/>
  <c r="DA233" i="1" s="1"/>
  <c r="T233" i="10" s="1"/>
  <c r="CU427" i="1"/>
  <c r="CU68" i="1"/>
  <c r="L261" i="10"/>
  <c r="L375" i="10"/>
  <c r="CU372" i="1"/>
  <c r="L486" i="10"/>
  <c r="DF474" i="1"/>
  <c r="N265" i="10"/>
  <c r="U265" i="10" s="1"/>
  <c r="CV103" i="1"/>
  <c r="CW103" i="1"/>
  <c r="CY103" i="1" s="1"/>
  <c r="H103" i="10"/>
  <c r="L103" i="10"/>
  <c r="CX22" i="1"/>
  <c r="G22" i="10"/>
  <c r="K22" i="10"/>
  <c r="CZ22" i="1"/>
  <c r="N41" i="10"/>
  <c r="U41" i="10"/>
  <c r="W41" i="10"/>
  <c r="N114" i="10"/>
  <c r="U114" i="10"/>
  <c r="V114" i="10"/>
  <c r="N146" i="10"/>
  <c r="U146" i="10"/>
  <c r="O146" i="10"/>
  <c r="V157" i="10"/>
  <c r="W157" i="10"/>
  <c r="V176" i="10"/>
  <c r="N176" i="10"/>
  <c r="U176" i="10"/>
  <c r="V315" i="10"/>
  <c r="CU227" i="1"/>
  <c r="CV227" i="1"/>
  <c r="N218" i="10"/>
  <c r="U218" i="10" s="1"/>
  <c r="O218" i="10"/>
  <c r="O418" i="10"/>
  <c r="N418" i="10"/>
  <c r="U418" i="10" s="1"/>
  <c r="W434" i="10"/>
  <c r="V434" i="10"/>
  <c r="V105" i="10"/>
  <c r="N105" i="10"/>
  <c r="U105" i="10" s="1"/>
  <c r="O10" i="10"/>
  <c r="DF478" i="1"/>
  <c r="DE478" i="1"/>
  <c r="DF416" i="1"/>
  <c r="DE416" i="1"/>
  <c r="CV155" i="1"/>
  <c r="CW155" i="1"/>
  <c r="H155" i="10"/>
  <c r="CU420" i="1"/>
  <c r="CV164" i="1"/>
  <c r="CW164" i="1"/>
  <c r="W12" i="10"/>
  <c r="L267" i="10"/>
  <c r="CU536" i="1"/>
  <c r="CZ159" i="1"/>
  <c r="N73" i="10"/>
  <c r="U73" i="10" s="1"/>
  <c r="F153" i="10"/>
  <c r="CU384" i="1"/>
  <c r="CV494" i="1"/>
  <c r="CW494" i="1" s="1"/>
  <c r="V131" i="10"/>
  <c r="L12" i="10"/>
  <c r="O222" i="10"/>
  <c r="CV67" i="1"/>
  <c r="CW67" i="1"/>
  <c r="CY67" i="1" s="1"/>
  <c r="DA67" i="1" s="1"/>
  <c r="T66" i="10" s="1"/>
  <c r="H66" i="10"/>
  <c r="V129" i="10"/>
  <c r="W182" i="10"/>
  <c r="O51" i="10"/>
  <c r="L160" i="10"/>
  <c r="CU148" i="1"/>
  <c r="N99" i="10"/>
  <c r="U99" i="10"/>
  <c r="V350" i="10"/>
  <c r="V459" i="10"/>
  <c r="N459" i="10"/>
  <c r="U459" i="10"/>
  <c r="O479" i="10"/>
  <c r="CU67" i="1"/>
  <c r="L153" i="10"/>
  <c r="W90" i="10"/>
  <c r="V90" i="10"/>
  <c r="N201" i="10"/>
  <c r="U201" i="10" s="1"/>
  <c r="V201" i="10"/>
  <c r="W258" i="10"/>
  <c r="O258" i="10"/>
  <c r="V489" i="10"/>
  <c r="W489" i="10"/>
  <c r="CT472" i="1"/>
  <c r="BS388" i="1"/>
  <c r="O323" i="10"/>
  <c r="CT306" i="1"/>
  <c r="CT408" i="1"/>
  <c r="CU408" i="1" s="1"/>
  <c r="CT314" i="1"/>
  <c r="L314" i="10" s="1"/>
  <c r="CT288" i="1"/>
  <c r="CT210" i="1"/>
  <c r="BS190" i="1"/>
  <c r="CT63" i="1"/>
  <c r="CU63" i="1" s="1"/>
  <c r="CZ63" i="1" s="1"/>
  <c r="BS48" i="1"/>
  <c r="BS40" i="1"/>
  <c r="BP498" i="1"/>
  <c r="BS498" i="1"/>
  <c r="CY390" i="1"/>
  <c r="DA390" i="1"/>
  <c r="T394" i="10" s="1"/>
  <c r="L151" i="10"/>
  <c r="CU152" i="1"/>
  <c r="CZ152" i="1" s="1"/>
  <c r="CW152" i="1"/>
  <c r="H151" i="10" s="1"/>
  <c r="T472" i="10"/>
  <c r="F140" i="10"/>
  <c r="F513" i="10"/>
  <c r="CX496" i="1"/>
  <c r="G504" i="10" s="1"/>
  <c r="K504" i="10"/>
  <c r="F472" i="10"/>
  <c r="CU401" i="1"/>
  <c r="F407" i="10" s="1"/>
  <c r="L407" i="10"/>
  <c r="CX54" i="1"/>
  <c r="G55" i="10"/>
  <c r="K55" i="10" s="1"/>
  <c r="CZ54" i="1"/>
  <c r="F55" i="10"/>
  <c r="CY54" i="1"/>
  <c r="DA54" i="1" s="1"/>
  <c r="T55" i="10" s="1"/>
  <c r="CX138" i="1"/>
  <c r="G139" i="10"/>
  <c r="K139" i="10"/>
  <c r="F30" i="10"/>
  <c r="CZ505" i="1"/>
  <c r="F504" i="10"/>
  <c r="L281" i="10"/>
  <c r="CU282" i="1"/>
  <c r="CY282" i="1" s="1"/>
  <c r="H116" i="10"/>
  <c r="F225" i="10"/>
  <c r="CZ496" i="1"/>
  <c r="DA496" i="1"/>
  <c r="T504" i="10" s="1"/>
  <c r="T573" i="10"/>
  <c r="CX441" i="1"/>
  <c r="G449" i="10" s="1"/>
  <c r="K449" i="10" s="1"/>
  <c r="CZ441" i="1"/>
  <c r="F449" i="10"/>
  <c r="CU268" i="1"/>
  <c r="F268" i="10" s="1"/>
  <c r="CV268" i="1"/>
  <c r="CW268" i="1"/>
  <c r="L268" i="10"/>
  <c r="CV413" i="1"/>
  <c r="CW413" i="1" s="1"/>
  <c r="DA441" i="1"/>
  <c r="T449" i="10" s="1"/>
  <c r="CY410" i="1"/>
  <c r="DA410" i="1" s="1"/>
  <c r="T418" i="10" s="1"/>
  <c r="CV348" i="1"/>
  <c r="CW348" i="1"/>
  <c r="H350" i="10" s="1"/>
  <c r="L350" i="10"/>
  <c r="CU348" i="1"/>
  <c r="CZ275" i="1"/>
  <c r="DA275" i="1" s="1"/>
  <c r="T276" i="10" s="1"/>
  <c r="G276" i="10"/>
  <c r="K276" i="10"/>
  <c r="F276" i="10"/>
  <c r="CZ38" i="1"/>
  <c r="F38" i="10"/>
  <c r="DA555" i="1"/>
  <c r="T563" i="10" s="1"/>
  <c r="CZ387" i="1"/>
  <c r="F391" i="10"/>
  <c r="CX387" i="1"/>
  <c r="G391" i="10"/>
  <c r="K391" i="10" s="1"/>
  <c r="CV399" i="1"/>
  <c r="CW399" i="1"/>
  <c r="H404" i="10" s="1"/>
  <c r="CX193" i="1"/>
  <c r="G194" i="10"/>
  <c r="K194" i="10" s="1"/>
  <c r="F194" i="10"/>
  <c r="CY230" i="1"/>
  <c r="DA230" i="1" s="1"/>
  <c r="T230" i="10" s="1"/>
  <c r="CY520" i="1"/>
  <c r="DA520" i="1" s="1"/>
  <c r="T527" i="10" s="1"/>
  <c r="CY454" i="1"/>
  <c r="CY216" i="1"/>
  <c r="H280" i="10"/>
  <c r="CU110" i="1"/>
  <c r="CX110" i="1" s="1"/>
  <c r="G112" i="10" s="1"/>
  <c r="K112" i="10" s="1"/>
  <c r="CU246" i="1"/>
  <c r="CZ246" i="1" s="1"/>
  <c r="CV246" i="1"/>
  <c r="CW246" i="1" s="1"/>
  <c r="H245" i="10"/>
  <c r="L134" i="10"/>
  <c r="CV135" i="1"/>
  <c r="CW135" i="1" s="1"/>
  <c r="H134" i="10"/>
  <c r="CU135" i="1"/>
  <c r="CX135" i="1" s="1"/>
  <c r="G134" i="10" s="1"/>
  <c r="K134" i="10" s="1"/>
  <c r="F264" i="10"/>
  <c r="G264" i="10"/>
  <c r="K264" i="10"/>
  <c r="CZ265" i="1"/>
  <c r="L422" i="10"/>
  <c r="CU149" i="1"/>
  <c r="CX149" i="1" s="1"/>
  <c r="L149" i="10"/>
  <c r="L208" i="10"/>
  <c r="CV209" i="1"/>
  <c r="CW209" i="1"/>
  <c r="H208" i="10"/>
  <c r="F476" i="10"/>
  <c r="F195" i="10"/>
  <c r="CZ194" i="1"/>
  <c r="DA194" i="1" s="1"/>
  <c r="T195" i="10" s="1"/>
  <c r="F537" i="10"/>
  <c r="CZ529" i="1"/>
  <c r="CX529" i="1"/>
  <c r="G537" i="10" s="1"/>
  <c r="K537" i="10" s="1"/>
  <c r="CV101" i="1"/>
  <c r="CW101" i="1" s="1"/>
  <c r="H101" i="10" s="1"/>
  <c r="CV242" i="1"/>
  <c r="CW242" i="1" s="1"/>
  <c r="L242" i="10"/>
  <c r="L237" i="10"/>
  <c r="CV158" i="1"/>
  <c r="CW158" i="1" s="1"/>
  <c r="H158" i="10" s="1"/>
  <c r="L158" i="10"/>
  <c r="CU158" i="1"/>
  <c r="CX158" i="1" s="1"/>
  <c r="G158" i="10" s="1"/>
  <c r="K158" i="10" s="1"/>
  <c r="L489" i="10"/>
  <c r="CV481" i="1"/>
  <c r="CW481" i="1" s="1"/>
  <c r="H489" i="10" s="1"/>
  <c r="CU481" i="1"/>
  <c r="CX191" i="1"/>
  <c r="G191" i="10" s="1"/>
  <c r="K191" i="10" s="1"/>
  <c r="CZ41" i="1"/>
  <c r="CU344" i="1"/>
  <c r="CV344" i="1"/>
  <c r="L345" i="10"/>
  <c r="CU243" i="1"/>
  <c r="L243" i="10"/>
  <c r="L205" i="10"/>
  <c r="CV206" i="1"/>
  <c r="CW206" i="1"/>
  <c r="H205" i="10" s="1"/>
  <c r="CU206" i="1"/>
  <c r="CZ262" i="1"/>
  <c r="F29" i="10"/>
  <c r="CX28" i="1"/>
  <c r="G29" i="10"/>
  <c r="K29" i="10"/>
  <c r="CZ28" i="1"/>
  <c r="CU77" i="1"/>
  <c r="CV77" i="1"/>
  <c r="CW77" i="1" s="1"/>
  <c r="H77" i="10" s="1"/>
  <c r="L77" i="10"/>
  <c r="CY163" i="1"/>
  <c r="H164" i="10"/>
  <c r="L443" i="10"/>
  <c r="CU376" i="1"/>
  <c r="F379" i="10" s="1"/>
  <c r="L379" i="10"/>
  <c r="CV376" i="1"/>
  <c r="CW376" i="1" s="1"/>
  <c r="H379" i="10"/>
  <c r="L202" i="10"/>
  <c r="CZ439" i="1"/>
  <c r="F446" i="10"/>
  <c r="CX522" i="1"/>
  <c r="G529" i="10" s="1"/>
  <c r="K529" i="10" s="1"/>
  <c r="CZ522" i="1"/>
  <c r="F529" i="10"/>
  <c r="F164" i="10"/>
  <c r="CZ374" i="1"/>
  <c r="DA374" i="1" s="1"/>
  <c r="T376" i="10" s="1"/>
  <c r="L278" i="10"/>
  <c r="CU278" i="1"/>
  <c r="CX278" i="1" s="1"/>
  <c r="CU351" i="1"/>
  <c r="CZ351" i="1" s="1"/>
  <c r="CX510" i="1"/>
  <c r="G517" i="10" s="1"/>
  <c r="K517" i="10" s="1"/>
  <c r="CX374" i="1"/>
  <c r="G376" i="10"/>
  <c r="K376" i="10" s="1"/>
  <c r="CU142" i="1"/>
  <c r="L142" i="10"/>
  <c r="CV142" i="1"/>
  <c r="CW142" i="1" s="1"/>
  <c r="H142" i="10" s="1"/>
  <c r="CU456" i="1"/>
  <c r="F464" i="10" s="1"/>
  <c r="L464" i="10"/>
  <c r="CV412" i="1"/>
  <c r="CW412" i="1"/>
  <c r="CX164" i="1"/>
  <c r="G165" i="10" s="1"/>
  <c r="K165" i="10" s="1"/>
  <c r="F165" i="10"/>
  <c r="CZ164" i="1"/>
  <c r="DA164" i="1" s="1"/>
  <c r="T165" i="10" s="1"/>
  <c r="H472" i="10"/>
  <c r="F108" i="10"/>
  <c r="CX128" i="1"/>
  <c r="G128" i="10" s="1"/>
  <c r="K128" i="10" s="1"/>
  <c r="CZ128" i="1"/>
  <c r="F334" i="10"/>
  <c r="CX333" i="1"/>
  <c r="G334" i="10" s="1"/>
  <c r="K334" i="10" s="1"/>
  <c r="CX292" i="1"/>
  <c r="G290" i="10" s="1"/>
  <c r="K290" i="10" s="1"/>
  <c r="F290" i="10"/>
  <c r="CZ407" i="1"/>
  <c r="F415" i="10"/>
  <c r="F173" i="10"/>
  <c r="F200" i="10"/>
  <c r="K200" i="10"/>
  <c r="CZ200" i="1"/>
  <c r="CX434" i="1"/>
  <c r="G442" i="10"/>
  <c r="K442" i="10"/>
  <c r="F442" i="10"/>
  <c r="CZ208" i="1"/>
  <c r="CZ99" i="1"/>
  <c r="CX99" i="1"/>
  <c r="G99" i="10"/>
  <c r="K99" i="10"/>
  <c r="F99" i="10"/>
  <c r="CX50" i="1"/>
  <c r="G50" i="10" s="1"/>
  <c r="K50" i="10" s="1"/>
  <c r="F50" i="10"/>
  <c r="CY139" i="1"/>
  <c r="DA139" i="1" s="1"/>
  <c r="T138" i="10" s="1"/>
  <c r="F43" i="10"/>
  <c r="CX44" i="1"/>
  <c r="G43" i="10" s="1"/>
  <c r="K43" i="10" s="1"/>
  <c r="CZ44" i="1"/>
  <c r="DA407" i="1"/>
  <c r="T415" i="10"/>
  <c r="CZ249" i="1"/>
  <c r="CX249" i="1"/>
  <c r="G249" i="10" s="1"/>
  <c r="K249" i="10" s="1"/>
  <c r="H203" i="10"/>
  <c r="CY203" i="1"/>
  <c r="F88" i="10"/>
  <c r="CZ88" i="1"/>
  <c r="CX88" i="1"/>
  <c r="G88" i="10"/>
  <c r="K88" i="10" s="1"/>
  <c r="CX59" i="1"/>
  <c r="G60" i="10"/>
  <c r="K60" i="10" s="1"/>
  <c r="F60" i="10"/>
  <c r="CZ106" i="1"/>
  <c r="CX106" i="1"/>
  <c r="G107" i="10"/>
  <c r="K107" i="10"/>
  <c r="F107" i="10"/>
  <c r="F132" i="10"/>
  <c r="CY131" i="1"/>
  <c r="DA131" i="1"/>
  <c r="T132" i="10" s="1"/>
  <c r="F552" i="10"/>
  <c r="CZ544" i="1"/>
  <c r="F125" i="10"/>
  <c r="CY124" i="1"/>
  <c r="CZ124" i="1"/>
  <c r="CX446" i="1"/>
  <c r="G453" i="10"/>
  <c r="K453" i="10" s="1"/>
  <c r="F453" i="10"/>
  <c r="CZ446" i="1"/>
  <c r="CY133" i="1"/>
  <c r="CU498" i="1"/>
  <c r="CX526" i="1"/>
  <c r="G534" i="10"/>
  <c r="K534" i="10"/>
  <c r="CZ337" i="1"/>
  <c r="F338" i="10"/>
  <c r="CY337" i="1"/>
  <c r="G496" i="10"/>
  <c r="K496" i="10" s="1"/>
  <c r="F496" i="10"/>
  <c r="CZ460" i="1"/>
  <c r="CY174" i="1"/>
  <c r="CZ174" i="1"/>
  <c r="F174" i="10"/>
  <c r="G174" i="10"/>
  <c r="K174" i="10" s="1"/>
  <c r="CY7" i="1"/>
  <c r="CX7" i="1"/>
  <c r="G8" i="10"/>
  <c r="K8" i="10" s="1"/>
  <c r="CZ7" i="1"/>
  <c r="F8" i="10"/>
  <c r="CX504" i="1"/>
  <c r="G512" i="10" s="1"/>
  <c r="K512" i="10" s="1"/>
  <c r="CZ504" i="1"/>
  <c r="CX23" i="1"/>
  <c r="G23" i="10" s="1"/>
  <c r="K23" i="10" s="1"/>
  <c r="F23" i="10"/>
  <c r="CZ23" i="1"/>
  <c r="DA23" i="1" s="1"/>
  <c r="T23" i="10" s="1"/>
  <c r="CX197" i="1"/>
  <c r="G197" i="10" s="1"/>
  <c r="K197" i="10" s="1"/>
  <c r="CZ389" i="1"/>
  <c r="CX389" i="1"/>
  <c r="G393" i="10" s="1"/>
  <c r="K393" i="10" s="1"/>
  <c r="F393" i="10"/>
  <c r="CX475" i="1"/>
  <c r="G483" i="10" s="1"/>
  <c r="K483" i="10" s="1"/>
  <c r="F483" i="10"/>
  <c r="CU371" i="1"/>
  <c r="L373" i="10"/>
  <c r="CV371" i="1"/>
  <c r="CW371" i="1"/>
  <c r="H373" i="10" s="1"/>
  <c r="CX264" i="1"/>
  <c r="G263" i="10" s="1"/>
  <c r="K263" i="10"/>
  <c r="CZ264" i="1"/>
  <c r="F263" i="10"/>
  <c r="CX179" i="1"/>
  <c r="G179" i="10" s="1"/>
  <c r="K179" i="10" s="1"/>
  <c r="CZ179" i="1"/>
  <c r="F179" i="10"/>
  <c r="H281" i="10"/>
  <c r="CX257" i="1"/>
  <c r="G258" i="10"/>
  <c r="K258" i="10"/>
  <c r="F258" i="10"/>
  <c r="CZ257" i="1"/>
  <c r="CX159" i="1"/>
  <c r="G159" i="10"/>
  <c r="K159" i="10"/>
  <c r="F159" i="10"/>
  <c r="DA369" i="1"/>
  <c r="T371" i="10" s="1"/>
  <c r="CU452" i="1"/>
  <c r="CZ452" i="1" s="1"/>
  <c r="CV452" i="1"/>
  <c r="CW452" i="1"/>
  <c r="CY452" i="1" s="1"/>
  <c r="DA452" i="1" s="1"/>
  <c r="T461" i="10" s="1"/>
  <c r="H461" i="10"/>
  <c r="L461" i="10"/>
  <c r="CX160" i="1"/>
  <c r="G161" i="10"/>
  <c r="K161" i="10"/>
  <c r="F161" i="10"/>
  <c r="CZ160" i="1"/>
  <c r="CY160" i="1"/>
  <c r="H361" i="10"/>
  <c r="F298" i="10"/>
  <c r="CX301" i="1"/>
  <c r="G298" i="10" s="1"/>
  <c r="K298" i="10" s="1"/>
  <c r="CX89" i="1"/>
  <c r="G89" i="10"/>
  <c r="K89" i="10" s="1"/>
  <c r="F89" i="10"/>
  <c r="CZ89" i="1"/>
  <c r="CX269" i="1"/>
  <c r="G270" i="10" s="1"/>
  <c r="K270" i="10"/>
  <c r="F270" i="10"/>
  <c r="CZ269" i="1"/>
  <c r="DA89" i="1"/>
  <c r="T89" i="10" s="1"/>
  <c r="DA99" i="1"/>
  <c r="T99" i="10" s="1"/>
  <c r="CY179" i="1"/>
  <c r="DA179" i="1" s="1"/>
  <c r="T179" i="10" s="1"/>
  <c r="CV187" i="1"/>
  <c r="CW187" i="1"/>
  <c r="H188" i="10" s="1"/>
  <c r="CU187" i="1"/>
  <c r="F188" i="10" s="1"/>
  <c r="L188" i="10"/>
  <c r="CY39" i="1"/>
  <c r="F39" i="10"/>
  <c r="CX540" i="1"/>
  <c r="G548" i="10" s="1"/>
  <c r="K548" i="10" s="1"/>
  <c r="CZ540" i="1"/>
  <c r="F548" i="10"/>
  <c r="CZ86" i="1"/>
  <c r="DA86" i="1" s="1"/>
  <c r="T86" i="10" s="1"/>
  <c r="F86" i="10"/>
  <c r="F478" i="10"/>
  <c r="CX471" i="1"/>
  <c r="G478" i="10" s="1"/>
  <c r="K478" i="10" s="1"/>
  <c r="CZ471" i="1"/>
  <c r="CY488" i="1"/>
  <c r="DA488" i="1" s="1"/>
  <c r="T496" i="10" s="1"/>
  <c r="CX320" i="1"/>
  <c r="G320" i="10"/>
  <c r="K320" i="10" s="1"/>
  <c r="F320" i="10"/>
  <c r="CZ320" i="1"/>
  <c r="CX449" i="1"/>
  <c r="G457" i="10"/>
  <c r="K457" i="10" s="1"/>
  <c r="F456" i="10"/>
  <c r="G456" i="10"/>
  <c r="K456" i="10" s="1"/>
  <c r="CZ447" i="1"/>
  <c r="F482" i="10"/>
  <c r="CX474" i="1"/>
  <c r="G482" i="10" s="1"/>
  <c r="K482" i="10" s="1"/>
  <c r="CZ474" i="1"/>
  <c r="H478" i="10"/>
  <c r="H464" i="10"/>
  <c r="CY456" i="1"/>
  <c r="CY467" i="1"/>
  <c r="H448" i="10"/>
  <c r="CY440" i="1"/>
  <c r="DA440" i="1" s="1"/>
  <c r="T448" i="10" s="1"/>
  <c r="L187" i="10"/>
  <c r="CU188" i="1"/>
  <c r="CU318" i="1"/>
  <c r="CV318" i="1"/>
  <c r="CW318" i="1"/>
  <c r="H319" i="10" s="1"/>
  <c r="F238" i="10"/>
  <c r="CZ437" i="1"/>
  <c r="DA437" i="1" s="1"/>
  <c r="T447" i="10" s="1"/>
  <c r="H211" i="10"/>
  <c r="F465" i="10"/>
  <c r="CZ458" i="1"/>
  <c r="CU361" i="1"/>
  <c r="CV361" i="1"/>
  <c r="CW361" i="1" s="1"/>
  <c r="H362" i="10" s="1"/>
  <c r="CX105" i="1"/>
  <c r="G106" i="10"/>
  <c r="K106" i="10" s="1"/>
  <c r="F106" i="10"/>
  <c r="CY105" i="1"/>
  <c r="F535" i="10"/>
  <c r="CY527" i="1"/>
  <c r="CZ527" i="1"/>
  <c r="CX527" i="1"/>
  <c r="G535" i="10"/>
  <c r="K535" i="10" s="1"/>
  <c r="CU289" i="1"/>
  <c r="CZ289" i="1" s="1"/>
  <c r="L289" i="10"/>
  <c r="CV289" i="1"/>
  <c r="CW289" i="1" s="1"/>
  <c r="CY289" i="1" s="1"/>
  <c r="DA289" i="1" s="1"/>
  <c r="T289" i="10" s="1"/>
  <c r="H289" i="10"/>
  <c r="L430" i="10"/>
  <c r="CU422" i="1"/>
  <c r="CV422" i="1"/>
  <c r="CW422" i="1"/>
  <c r="H430" i="10" s="1"/>
  <c r="F199" i="10"/>
  <c r="CX198" i="1"/>
  <c r="G199" i="10"/>
  <c r="K199" i="10" s="1"/>
  <c r="CZ198" i="1"/>
  <c r="CV311" i="1"/>
  <c r="L313" i="10"/>
  <c r="L311" i="10"/>
  <c r="DA216" i="1"/>
  <c r="T217" i="10" s="1"/>
  <c r="CV331" i="1"/>
  <c r="CW331" i="1" s="1"/>
  <c r="H332" i="10" s="1"/>
  <c r="L333" i="10"/>
  <c r="CU332" i="1"/>
  <c r="CX332" i="1" s="1"/>
  <c r="G333" i="10" s="1"/>
  <c r="K333" i="10" s="1"/>
  <c r="CW332" i="1"/>
  <c r="H333" i="10" s="1"/>
  <c r="CX494" i="1"/>
  <c r="G502" i="10" s="1"/>
  <c r="K502" i="10"/>
  <c r="F502" i="10"/>
  <c r="CZ494" i="1"/>
  <c r="CY79" i="1"/>
  <c r="DA79" i="1" s="1"/>
  <c r="T76" i="10" s="1"/>
  <c r="CX521" i="1"/>
  <c r="G528" i="10"/>
  <c r="K528" i="10" s="1"/>
  <c r="CY521" i="1"/>
  <c r="F528" i="10"/>
  <c r="CZ521" i="1"/>
  <c r="CY55" i="1"/>
  <c r="DA55" i="1" s="1"/>
  <c r="T54" i="10" s="1"/>
  <c r="L213" i="10"/>
  <c r="CU211" i="1"/>
  <c r="CV211" i="1"/>
  <c r="CW211" i="1"/>
  <c r="H213" i="10" s="1"/>
  <c r="CZ21" i="1"/>
  <c r="DA21" i="1"/>
  <c r="T21" i="10"/>
  <c r="F21" i="10"/>
  <c r="CW432" i="1"/>
  <c r="H438" i="10"/>
  <c r="CU432" i="1"/>
  <c r="F438" i="10" s="1"/>
  <c r="H15" i="10"/>
  <c r="CY15" i="1"/>
  <c r="DA15" i="1"/>
  <c r="T15" i="10" s="1"/>
  <c r="CU354" i="1"/>
  <c r="CX354" i="1" s="1"/>
  <c r="L355" i="10"/>
  <c r="CV354" i="1"/>
  <c r="CW354" i="1" s="1"/>
  <c r="H355" i="10"/>
  <c r="CZ100" i="1"/>
  <c r="F100" i="10"/>
  <c r="CX100" i="1"/>
  <c r="G100" i="10"/>
  <c r="K100" i="10" s="1"/>
  <c r="F551" i="10"/>
  <c r="CX543" i="1"/>
  <c r="G551" i="10" s="1"/>
  <c r="K551" i="10"/>
  <c r="CZ543" i="1"/>
  <c r="H346" i="10"/>
  <c r="CY345" i="1"/>
  <c r="DA345" i="1" s="1"/>
  <c r="T346" i="10" s="1"/>
  <c r="L520" i="10"/>
  <c r="CV513" i="1"/>
  <c r="CW513" i="1" s="1"/>
  <c r="H520" i="10" s="1"/>
  <c r="CU513" i="1"/>
  <c r="CU400" i="1"/>
  <c r="CY400" i="1" s="1"/>
  <c r="DA400" i="1" s="1"/>
  <c r="T403" i="10" s="1"/>
  <c r="CV400" i="1"/>
  <c r="CW400" i="1" s="1"/>
  <c r="H403" i="10" s="1"/>
  <c r="CU388" i="1"/>
  <c r="CV388" i="1"/>
  <c r="CW388" i="1" s="1"/>
  <c r="L392" i="10"/>
  <c r="F114" i="10"/>
  <c r="CY114" i="1"/>
  <c r="DA114" i="1" s="1"/>
  <c r="T114" i="10" s="1"/>
  <c r="CX58" i="1"/>
  <c r="G58" i="10"/>
  <c r="K58" i="10" s="1"/>
  <c r="CZ58" i="1"/>
  <c r="F109" i="10"/>
  <c r="CX108" i="1"/>
  <c r="G109" i="10"/>
  <c r="K109" i="10"/>
  <c r="CZ108" i="1"/>
  <c r="DA108" i="1"/>
  <c r="T109" i="10"/>
  <c r="CU43" i="1"/>
  <c r="L44" i="10"/>
  <c r="CV43" i="1"/>
  <c r="CW43" i="1"/>
  <c r="H44" i="10" s="1"/>
  <c r="F422" i="10"/>
  <c r="CU466" i="1"/>
  <c r="F474" i="10" s="1"/>
  <c r="CW466" i="1"/>
  <c r="H474" i="10"/>
  <c r="L474" i="10"/>
  <c r="DA122" i="1"/>
  <c r="T122" i="10" s="1"/>
  <c r="H122" i="10"/>
  <c r="H96" i="10"/>
  <c r="F198" i="10"/>
  <c r="CX199" i="1"/>
  <c r="G198" i="10" s="1"/>
  <c r="K198" i="10"/>
  <c r="CZ199" i="1"/>
  <c r="CY199" i="1"/>
  <c r="CU234" i="1"/>
  <c r="L234" i="10"/>
  <c r="CV234" i="1"/>
  <c r="CW234" i="1"/>
  <c r="H234" i="10" s="1"/>
  <c r="CU326" i="1"/>
  <c r="CX326" i="1" s="1"/>
  <c r="CV326" i="1"/>
  <c r="CW326" i="1"/>
  <c r="H327" i="10" s="1"/>
  <c r="L327" i="10"/>
  <c r="CV442" i="1"/>
  <c r="CW442" i="1" s="1"/>
  <c r="CU442" i="1"/>
  <c r="F451" i="10" s="1"/>
  <c r="L451" i="10"/>
  <c r="CU484" i="1"/>
  <c r="CW484" i="1"/>
  <c r="H492" i="10"/>
  <c r="L492" i="10"/>
  <c r="CZ150" i="1"/>
  <c r="CX150" i="1"/>
  <c r="G150" i="10"/>
  <c r="K150" i="10"/>
  <c r="F150" i="10"/>
  <c r="CX378" i="1"/>
  <c r="G380" i="10"/>
  <c r="K380" i="10" s="1"/>
  <c r="CY378" i="1"/>
  <c r="DA378" i="1" s="1"/>
  <c r="T380" i="10" s="1"/>
  <c r="CZ378" i="1"/>
  <c r="F380" i="10"/>
  <c r="CX96" i="1"/>
  <c r="G96" i="10"/>
  <c r="K96" i="10" s="1"/>
  <c r="CZ266" i="1"/>
  <c r="F266" i="10"/>
  <c r="CZ539" i="1"/>
  <c r="CX539" i="1"/>
  <c r="G547" i="10" s="1"/>
  <c r="K547" i="10" s="1"/>
  <c r="F547" i="10"/>
  <c r="L469" i="10"/>
  <c r="CV462" i="1"/>
  <c r="CW462" i="1"/>
  <c r="H469" i="10"/>
  <c r="CU462" i="1"/>
  <c r="CY153" i="1"/>
  <c r="DA153" i="1"/>
  <c r="T153" i="10"/>
  <c r="F341" i="10"/>
  <c r="CZ340" i="1"/>
  <c r="CX340" i="1"/>
  <c r="G341" i="10"/>
  <c r="K341" i="10" s="1"/>
  <c r="CZ397" i="1"/>
  <c r="F401" i="10"/>
  <c r="G133" i="10"/>
  <c r="K133" i="10"/>
  <c r="CZ133" i="1"/>
  <c r="F133" i="10"/>
  <c r="CV347" i="1"/>
  <c r="CW347" i="1" s="1"/>
  <c r="CU485" i="1"/>
  <c r="CZ485" i="1" s="1"/>
  <c r="CV485" i="1"/>
  <c r="CW485" i="1" s="1"/>
  <c r="CZ137" i="1"/>
  <c r="CX137" i="1"/>
  <c r="G136" i="10"/>
  <c r="K136" i="10"/>
  <c r="F136" i="10"/>
  <c r="DA13" i="1"/>
  <c r="T11" i="10"/>
  <c r="CZ470" i="1"/>
  <c r="F479" i="10"/>
  <c r="CX470" i="1"/>
  <c r="G479" i="10" s="1"/>
  <c r="K479" i="10" s="1"/>
  <c r="L532" i="10"/>
  <c r="CU524" i="1"/>
  <c r="CZ524" i="1" s="1"/>
  <c r="CV524" i="1"/>
  <c r="CW524" i="1"/>
  <c r="H532" i="10" s="1"/>
  <c r="CY140" i="1"/>
  <c r="DA140" i="1" s="1"/>
  <c r="T140" i="10"/>
  <c r="CX140" i="1"/>
  <c r="G140" i="10" s="1"/>
  <c r="K140" i="10" s="1"/>
  <c r="CY543" i="1"/>
  <c r="DA543" i="1" s="1"/>
  <c r="CY500" i="1"/>
  <c r="DA500" i="1" s="1"/>
  <c r="T508" i="10" s="1"/>
  <c r="CX363" i="1"/>
  <c r="G364" i="10"/>
  <c r="K364" i="10" s="1"/>
  <c r="CZ363" i="1"/>
  <c r="CV323" i="1"/>
  <c r="CW323" i="1"/>
  <c r="H323" i="10" s="1"/>
  <c r="CU323" i="1"/>
  <c r="L323" i="10"/>
  <c r="CX402" i="1"/>
  <c r="G405" i="10" s="1"/>
  <c r="K405" i="10"/>
  <c r="CZ402" i="1"/>
  <c r="DA402" i="1" s="1"/>
  <c r="T405" i="10" s="1"/>
  <c r="H223" i="10"/>
  <c r="DA222" i="1"/>
  <c r="T223" i="10" s="1"/>
  <c r="CY185" i="1"/>
  <c r="DA185" i="1" s="1"/>
  <c r="T186" i="10"/>
  <c r="F186" i="10"/>
  <c r="CZ517" i="1"/>
  <c r="DA517" i="1"/>
  <c r="T524" i="10"/>
  <c r="CX517" i="1"/>
  <c r="G524" i="10"/>
  <c r="K524" i="10"/>
  <c r="F524" i="10"/>
  <c r="F533" i="10"/>
  <c r="CY525" i="1"/>
  <c r="CX525" i="1"/>
  <c r="G533" i="10"/>
  <c r="K533" i="10" s="1"/>
  <c r="CZ525" i="1"/>
  <c r="F546" i="10"/>
  <c r="CY538" i="1"/>
  <c r="H199" i="10"/>
  <c r="CY198" i="1"/>
  <c r="DA198" i="1" s="1"/>
  <c r="T199" i="10" s="1"/>
  <c r="CZ178" i="1"/>
  <c r="F180" i="10"/>
  <c r="CX178" i="1"/>
  <c r="G180" i="10"/>
  <c r="K180" i="10" s="1"/>
  <c r="CY178" i="1"/>
  <c r="DA178" i="1" s="1"/>
  <c r="T180" i="10" s="1"/>
  <c r="L288" i="10"/>
  <c r="CV288" i="1"/>
  <c r="CW288" i="1" s="1"/>
  <c r="CU288" i="1"/>
  <c r="F66" i="10"/>
  <c r="CZ67" i="1"/>
  <c r="CX67" i="1"/>
  <c r="G66" i="10"/>
  <c r="K66" i="10" s="1"/>
  <c r="CX384" i="1"/>
  <c r="G388" i="10" s="1"/>
  <c r="K388" i="10"/>
  <c r="CZ384" i="1"/>
  <c r="CY384" i="1"/>
  <c r="F388" i="10"/>
  <c r="CX536" i="1"/>
  <c r="G544" i="10" s="1"/>
  <c r="K544" i="10" s="1"/>
  <c r="CZ536" i="1"/>
  <c r="F544" i="10"/>
  <c r="H165" i="10"/>
  <c r="CX68" i="1"/>
  <c r="G69" i="10" s="1"/>
  <c r="K69" i="10"/>
  <c r="F69" i="10"/>
  <c r="CZ68" i="1"/>
  <c r="H349" i="10"/>
  <c r="CZ141" i="1"/>
  <c r="DA50" i="1"/>
  <c r="T50" i="10"/>
  <c r="CY491" i="1"/>
  <c r="DA491" i="1" s="1"/>
  <c r="T499" i="10" s="1"/>
  <c r="CZ491" i="1"/>
  <c r="F499" i="10"/>
  <c r="G499" i="10"/>
  <c r="K499" i="10" s="1"/>
  <c r="CZ514" i="1"/>
  <c r="CY514" i="1"/>
  <c r="CZ244" i="1"/>
  <c r="CY244" i="1"/>
  <c r="CX244" i="1"/>
  <c r="G241" i="10" s="1"/>
  <c r="K241" i="10" s="1"/>
  <c r="F241" i="10"/>
  <c r="CY126" i="1"/>
  <c r="DA126" i="1" s="1"/>
  <c r="T126" i="10"/>
  <c r="H525" i="10"/>
  <c r="CY518" i="1"/>
  <c r="DA518" i="1" s="1"/>
  <c r="T525" i="10" s="1"/>
  <c r="CX204" i="1"/>
  <c r="G206" i="10"/>
  <c r="K206" i="10" s="1"/>
  <c r="CZ204" i="1"/>
  <c r="CY204" i="1"/>
  <c r="F206" i="10"/>
  <c r="F105" i="10"/>
  <c r="CY107" i="1"/>
  <c r="CY3" i="1"/>
  <c r="CX91" i="1"/>
  <c r="G91" i="10" s="1"/>
  <c r="K91" i="10" s="1"/>
  <c r="F91" i="10"/>
  <c r="CZ91" i="1"/>
  <c r="CY91" i="1"/>
  <c r="CY155" i="1"/>
  <c r="DA155" i="1"/>
  <c r="T155" i="10" s="1"/>
  <c r="G231" i="10"/>
  <c r="K231" i="10" s="1"/>
  <c r="F231" i="10"/>
  <c r="DA454" i="1"/>
  <c r="T462" i="10"/>
  <c r="CZ310" i="1"/>
  <c r="CX17" i="1"/>
  <c r="G19" i="10" s="1"/>
  <c r="K19" i="10"/>
  <c r="CY17" i="1"/>
  <c r="CZ17" i="1"/>
  <c r="F19" i="10"/>
  <c r="H473" i="10"/>
  <c r="CY464" i="1"/>
  <c r="CX229" i="1"/>
  <c r="G229" i="10"/>
  <c r="K229" i="10"/>
  <c r="CY229" i="1"/>
  <c r="CZ229" i="1"/>
  <c r="F162" i="10"/>
  <c r="CZ162" i="1"/>
  <c r="CY459" i="1"/>
  <c r="CX459" i="1"/>
  <c r="G467" i="10" s="1"/>
  <c r="K467" i="10" s="1"/>
  <c r="CZ459" i="1"/>
  <c r="F467" i="10"/>
  <c r="CY547" i="1"/>
  <c r="F189" i="10"/>
  <c r="CY190" i="1"/>
  <c r="CX190" i="1"/>
  <c r="G189" i="10"/>
  <c r="K189" i="10" s="1"/>
  <c r="CZ190" i="1"/>
  <c r="CX372" i="1"/>
  <c r="G375" i="10" s="1"/>
  <c r="K375" i="10" s="1"/>
  <c r="CY372" i="1"/>
  <c r="DA372" i="1" s="1"/>
  <c r="F375" i="10"/>
  <c r="CZ372" i="1"/>
  <c r="CX427" i="1"/>
  <c r="G435" i="10"/>
  <c r="K435" i="10"/>
  <c r="F435" i="10"/>
  <c r="CZ427" i="1"/>
  <c r="H488" i="10"/>
  <c r="DA480" i="1"/>
  <c r="T488" i="10" s="1"/>
  <c r="F127" i="10"/>
  <c r="CZ127" i="1"/>
  <c r="CY127" i="1"/>
  <c r="DA127" i="1" s="1"/>
  <c r="T127" i="10" s="1"/>
  <c r="CX127" i="1"/>
  <c r="G127" i="10" s="1"/>
  <c r="K127" i="10" s="1"/>
  <c r="CX329" i="1"/>
  <c r="G330" i="10"/>
  <c r="K330" i="10" s="1"/>
  <c r="CZ329" i="1"/>
  <c r="F27" i="10"/>
  <c r="CX27" i="1"/>
  <c r="G27" i="10" s="1"/>
  <c r="K27" i="10" s="1"/>
  <c r="CZ393" i="1"/>
  <c r="CY393" i="1"/>
  <c r="DA393" i="1" s="1"/>
  <c r="T397" i="10" s="1"/>
  <c r="F397" i="10"/>
  <c r="G397" i="10"/>
  <c r="K397" i="10"/>
  <c r="CZ40" i="1"/>
  <c r="F40" i="10"/>
  <c r="CX40" i="1"/>
  <c r="G40" i="10"/>
  <c r="K40" i="10" s="1"/>
  <c r="CU472" i="1"/>
  <c r="CY472" i="1" s="1"/>
  <c r="DA472" i="1" s="1"/>
  <c r="T480" i="10" s="1"/>
  <c r="CV472" i="1"/>
  <c r="CW472" i="1" s="1"/>
  <c r="H480" i="10" s="1"/>
  <c r="L480" i="10"/>
  <c r="CZ553" i="1"/>
  <c r="CX553" i="1"/>
  <c r="G561" i="10"/>
  <c r="K561" i="10" s="1"/>
  <c r="F561" i="10"/>
  <c r="CZ495" i="1"/>
  <c r="CX495" i="1"/>
  <c r="G503" i="10" s="1"/>
  <c r="K503" i="10" s="1"/>
  <c r="DA119" i="1"/>
  <c r="T119" i="10"/>
  <c r="F176" i="10"/>
  <c r="CX176" i="1"/>
  <c r="G176" i="10"/>
  <c r="K176" i="10" s="1"/>
  <c r="CX468" i="1"/>
  <c r="G477" i="10" s="1"/>
  <c r="K477" i="10" s="1"/>
  <c r="CY468" i="1"/>
  <c r="DA468" i="1" s="1"/>
  <c r="T477" i="10" s="1"/>
  <c r="F477" i="10"/>
  <c r="CX312" i="1"/>
  <c r="G312" i="10"/>
  <c r="K312" i="10" s="1"/>
  <c r="CZ312" i="1"/>
  <c r="CY312" i="1"/>
  <c r="DA312" i="1" s="1"/>
  <c r="T312" i="10" s="1"/>
  <c r="F312" i="10"/>
  <c r="F34" i="10"/>
  <c r="CX34" i="1"/>
  <c r="G34" i="10"/>
  <c r="K34" i="10" s="1"/>
  <c r="CZ34" i="1"/>
  <c r="CZ490" i="1"/>
  <c r="F498" i="10"/>
  <c r="CY490" i="1"/>
  <c r="DA490" i="1" s="1"/>
  <c r="T498" i="10" s="1"/>
  <c r="CX490" i="1"/>
  <c r="G498" i="10" s="1"/>
  <c r="K498" i="10" s="1"/>
  <c r="CX225" i="1"/>
  <c r="G224" i="10" s="1"/>
  <c r="K224" i="10" s="1"/>
  <c r="CZ225" i="1"/>
  <c r="CY225" i="1"/>
  <c r="DA225" i="1" s="1"/>
  <c r="T224" i="10" s="1"/>
  <c r="CZ502" i="1"/>
  <c r="CX502" i="1"/>
  <c r="G510" i="10"/>
  <c r="K510" i="10" s="1"/>
  <c r="CY502" i="1"/>
  <c r="DA502" i="1" s="1"/>
  <c r="T510" i="10" s="1"/>
  <c r="F510" i="10"/>
  <c r="CY423" i="1"/>
  <c r="DA423" i="1" s="1"/>
  <c r="T432" i="10"/>
  <c r="CU314" i="1"/>
  <c r="F429" i="10"/>
  <c r="CX420" i="1"/>
  <c r="G429" i="10"/>
  <c r="K429" i="10" s="1"/>
  <c r="CZ420" i="1"/>
  <c r="DA420" i="1" s="1"/>
  <c r="CY420" i="1"/>
  <c r="CZ18" i="1"/>
  <c r="DA18" i="1" s="1"/>
  <c r="T18" i="10" s="1"/>
  <c r="CX18" i="1"/>
  <c r="G18" i="10" s="1"/>
  <c r="K18" i="10" s="1"/>
  <c r="CY18" i="1"/>
  <c r="F18" i="10"/>
  <c r="CX443" i="1"/>
  <c r="G450" i="10" s="1"/>
  <c r="K450" i="10" s="1"/>
  <c r="F450" i="10"/>
  <c r="CY443" i="1"/>
  <c r="DA443" i="1" s="1"/>
  <c r="CX134" i="1"/>
  <c r="G135" i="10"/>
  <c r="K135" i="10" s="1"/>
  <c r="CY25" i="1"/>
  <c r="CZ25" i="1"/>
  <c r="DA25" i="1" s="1"/>
  <c r="T24" i="10" s="1"/>
  <c r="F24" i="10"/>
  <c r="CX25" i="1"/>
  <c r="G24" i="10"/>
  <c r="K24" i="10"/>
  <c r="F470" i="10"/>
  <c r="CX461" i="1"/>
  <c r="G470" i="10" s="1"/>
  <c r="K470" i="10" s="1"/>
  <c r="CX428" i="1"/>
  <c r="G434" i="10" s="1"/>
  <c r="K434" i="10" s="1"/>
  <c r="F434" i="10"/>
  <c r="CZ428" i="1"/>
  <c r="DA428" i="1" s="1"/>
  <c r="T434" i="10" s="1"/>
  <c r="CY428" i="1"/>
  <c r="CX143" i="1"/>
  <c r="G143" i="10" s="1"/>
  <c r="K143" i="10"/>
  <c r="F143" i="10"/>
  <c r="CZ143" i="1"/>
  <c r="CZ95" i="1"/>
  <c r="CY95" i="1"/>
  <c r="DA95" i="1" s="1"/>
  <c r="F95" i="10"/>
  <c r="G95" i="10"/>
  <c r="K95" i="10" s="1"/>
  <c r="F381" i="10"/>
  <c r="G381" i="10"/>
  <c r="K381" i="10" s="1"/>
  <c r="CZ379" i="1"/>
  <c r="CY172" i="1"/>
  <c r="DA172" i="1"/>
  <c r="T172" i="10" s="1"/>
  <c r="T302" i="10"/>
  <c r="L210" i="10"/>
  <c r="CV210" i="1"/>
  <c r="CW210" i="1" s="1"/>
  <c r="H210" i="10" s="1"/>
  <c r="CU210" i="1"/>
  <c r="L414" i="10"/>
  <c r="CV408" i="1"/>
  <c r="CW408" i="1" s="1"/>
  <c r="H414" i="10" s="1"/>
  <c r="CZ148" i="1"/>
  <c r="F148" i="10"/>
  <c r="CX148" i="1"/>
  <c r="G148" i="10" s="1"/>
  <c r="K148" i="10"/>
  <c r="CX392" i="1"/>
  <c r="G396" i="10" s="1"/>
  <c r="K396" i="10" s="1"/>
  <c r="F396" i="10"/>
  <c r="CY392" i="1"/>
  <c r="CZ392" i="1"/>
  <c r="CZ4" i="1"/>
  <c r="F4" i="10"/>
  <c r="CX4" i="1"/>
  <c r="G4" i="10" s="1"/>
  <c r="K4" i="10"/>
  <c r="F157" i="10"/>
  <c r="G157" i="10"/>
  <c r="K157" i="10"/>
  <c r="CZ156" i="1"/>
  <c r="F192" i="10"/>
  <c r="CX192" i="1"/>
  <c r="G192" i="10"/>
  <c r="K192" i="10" s="1"/>
  <c r="CY192" i="1"/>
  <c r="DA192" i="1" s="1"/>
  <c r="T192" i="10" s="1"/>
  <c r="H422" i="10"/>
  <c r="CY413" i="1"/>
  <c r="CX87" i="1"/>
  <c r="G87" i="10" s="1"/>
  <c r="K87" i="10" s="1"/>
  <c r="CZ87" i="1"/>
  <c r="F87" i="10"/>
  <c r="CY87" i="1"/>
  <c r="CY503" i="1"/>
  <c r="CZ503" i="1"/>
  <c r="DA503" i="1" s="1"/>
  <c r="T511" i="10" s="1"/>
  <c r="L63" i="10"/>
  <c r="CV63" i="1"/>
  <c r="CW63" i="1" s="1"/>
  <c r="CU306" i="1"/>
  <c r="F305" i="10" s="1"/>
  <c r="CV306" i="1"/>
  <c r="CW306" i="1"/>
  <c r="H305" i="10" s="1"/>
  <c r="L305" i="10"/>
  <c r="CY494" i="1"/>
  <c r="DA494" i="1"/>
  <c r="T502" i="10" s="1"/>
  <c r="H502" i="10"/>
  <c r="F226" i="10"/>
  <c r="CX227" i="1"/>
  <c r="G226" i="10"/>
  <c r="K226" i="10" s="1"/>
  <c r="CZ227" i="1"/>
  <c r="H399" i="10"/>
  <c r="CY395" i="1"/>
  <c r="DA395" i="1" s="1"/>
  <c r="T399" i="10" s="1"/>
  <c r="CX8" i="1"/>
  <c r="G6" i="10"/>
  <c r="K6" i="10" s="1"/>
  <c r="CZ8" i="1"/>
  <c r="F6" i="10"/>
  <c r="CY8" i="1"/>
  <c r="DA8" i="1" s="1"/>
  <c r="T6" i="10" s="1"/>
  <c r="DA103" i="1"/>
  <c r="T103" i="10"/>
  <c r="CZ406" i="1"/>
  <c r="CX406" i="1"/>
  <c r="G412" i="10" s="1"/>
  <c r="K412" i="10" s="1"/>
  <c r="H370" i="10"/>
  <c r="CY368" i="1"/>
  <c r="CX396" i="1"/>
  <c r="G400" i="10"/>
  <c r="K400" i="10"/>
  <c r="F400" i="10"/>
  <c r="CZ396" i="1"/>
  <c r="CX426" i="1"/>
  <c r="G436" i="10" s="1"/>
  <c r="K436" i="10" s="1"/>
  <c r="CY426" i="1"/>
  <c r="CZ426" i="1"/>
  <c r="DA426" i="1" s="1"/>
  <c r="T436" i="10" s="1"/>
  <c r="CX403" i="1"/>
  <c r="G406" i="10" s="1"/>
  <c r="K406" i="10" s="1"/>
  <c r="CZ403" i="1"/>
  <c r="F406" i="10"/>
  <c r="CY165" i="1"/>
  <c r="F163" i="10"/>
  <c r="CZ165" i="1"/>
  <c r="CX165" i="1"/>
  <c r="G163" i="10"/>
  <c r="K163" i="10"/>
  <c r="CX365" i="1"/>
  <c r="G366" i="10" s="1"/>
  <c r="K366" i="10" s="1"/>
  <c r="F366" i="10"/>
  <c r="CZ365" i="1"/>
  <c r="DA267" i="1"/>
  <c r="T267" i="10" s="1"/>
  <c r="DA339" i="1"/>
  <c r="T340" i="10"/>
  <c r="CX61" i="1"/>
  <c r="G61" i="10" s="1"/>
  <c r="K61" i="10" s="1"/>
  <c r="F61" i="10"/>
  <c r="CZ61" i="1"/>
  <c r="CZ167" i="1"/>
  <c r="F167" i="10"/>
  <c r="CX167" i="1"/>
  <c r="G167" i="10" s="1"/>
  <c r="K167" i="10" s="1"/>
  <c r="CY167" i="1"/>
  <c r="DA167" i="1" s="1"/>
  <c r="CX181" i="1"/>
  <c r="G183" i="10" s="1"/>
  <c r="K183" i="10"/>
  <c r="F183" i="10"/>
  <c r="CZ181" i="1"/>
  <c r="CY147" i="1"/>
  <c r="F484" i="10"/>
  <c r="CZ476" i="1"/>
  <c r="DA476" i="1" s="1"/>
  <c r="T484" i="10" s="1"/>
  <c r="CX476" i="1"/>
  <c r="G484" i="10" s="1"/>
  <c r="K484" i="10" s="1"/>
  <c r="CZ479" i="1"/>
  <c r="CY479" i="1"/>
  <c r="DA479" i="1" s="1"/>
  <c r="T487" i="10" s="1"/>
  <c r="F487" i="10"/>
  <c r="CX479" i="1"/>
  <c r="G487" i="10"/>
  <c r="K487" i="10"/>
  <c r="CX549" i="1"/>
  <c r="G557" i="10" s="1"/>
  <c r="K557" i="10" s="1"/>
  <c r="F557" i="10"/>
  <c r="CY549" i="1"/>
  <c r="DA549" i="1" s="1"/>
  <c r="CZ549" i="1"/>
  <c r="CX19" i="1"/>
  <c r="G17" i="10" s="1"/>
  <c r="K17" i="10"/>
  <c r="CY19" i="1"/>
  <c r="DA19" i="1" s="1"/>
  <c r="T17" i="10" s="1"/>
  <c r="CZ19" i="1"/>
  <c r="CX152" i="1"/>
  <c r="G151" i="10" s="1"/>
  <c r="K151" i="10" s="1"/>
  <c r="F151" i="10"/>
  <c r="CY152" i="1"/>
  <c r="CY268" i="1"/>
  <c r="H268" i="10"/>
  <c r="CX348" i="1"/>
  <c r="G350" i="10"/>
  <c r="K350" i="10"/>
  <c r="F350" i="10"/>
  <c r="CZ348" i="1"/>
  <c r="CY348" i="1"/>
  <c r="CZ268" i="1"/>
  <c r="DA268" i="1" s="1"/>
  <c r="T268" i="10" s="1"/>
  <c r="CX268" i="1"/>
  <c r="G268" i="10" s="1"/>
  <c r="K268" i="10" s="1"/>
  <c r="CZ399" i="1"/>
  <c r="CY399" i="1"/>
  <c r="F404" i="10"/>
  <c r="CX399" i="1"/>
  <c r="G404" i="10" s="1"/>
  <c r="K404" i="10" s="1"/>
  <c r="CX282" i="1"/>
  <c r="G281" i="10"/>
  <c r="K281" i="10" s="1"/>
  <c r="CZ282" i="1"/>
  <c r="DA282" i="1" s="1"/>
  <c r="T281" i="10" s="1"/>
  <c r="CZ401" i="1"/>
  <c r="CX401" i="1"/>
  <c r="G407" i="10" s="1"/>
  <c r="K407" i="10" s="1"/>
  <c r="CY401" i="1"/>
  <c r="DA401" i="1"/>
  <c r="T407" i="10" s="1"/>
  <c r="CX77" i="1"/>
  <c r="G77" i="10" s="1"/>
  <c r="K77" i="10" s="1"/>
  <c r="CY77" i="1"/>
  <c r="CZ77" i="1"/>
  <c r="F77" i="10"/>
  <c r="F158" i="10"/>
  <c r="CZ158" i="1"/>
  <c r="CX243" i="1"/>
  <c r="G243" i="10"/>
  <c r="K243" i="10" s="1"/>
  <c r="CZ243" i="1"/>
  <c r="F243" i="10"/>
  <c r="CZ149" i="1"/>
  <c r="F149" i="10"/>
  <c r="G149" i="10"/>
  <c r="K149" i="10" s="1"/>
  <c r="CY149" i="1"/>
  <c r="DA149" i="1" s="1"/>
  <c r="T149" i="10"/>
  <c r="DA174" i="1"/>
  <c r="T174" i="10" s="1"/>
  <c r="F245" i="10"/>
  <c r="CY246" i="1"/>
  <c r="DA246" i="1" s="1"/>
  <c r="T245" i="10" s="1"/>
  <c r="CX246" i="1"/>
  <c r="G245" i="10" s="1"/>
  <c r="K245" i="10"/>
  <c r="CZ456" i="1"/>
  <c r="DA456" i="1" s="1"/>
  <c r="T464" i="10" s="1"/>
  <c r="CX456" i="1"/>
  <c r="G464" i="10"/>
  <c r="K464" i="10" s="1"/>
  <c r="CZ278" i="1"/>
  <c r="F278" i="10"/>
  <c r="G278" i="10"/>
  <c r="K278" i="10" s="1"/>
  <c r="F205" i="10"/>
  <c r="CX206" i="1"/>
  <c r="G205" i="10" s="1"/>
  <c r="K205" i="10" s="1"/>
  <c r="CY206" i="1"/>
  <c r="CZ206" i="1"/>
  <c r="DA206" i="1" s="1"/>
  <c r="T205" i="10" s="1"/>
  <c r="CX344" i="1"/>
  <c r="G345" i="10"/>
  <c r="K345" i="10"/>
  <c r="CZ344" i="1"/>
  <c r="F345" i="10"/>
  <c r="CZ481" i="1"/>
  <c r="CX481" i="1"/>
  <c r="G489" i="10"/>
  <c r="K489" i="10" s="1"/>
  <c r="CY481" i="1"/>
  <c r="F489" i="10"/>
  <c r="F427" i="10"/>
  <c r="CZ419" i="1"/>
  <c r="CX419" i="1"/>
  <c r="G427" i="10" s="1"/>
  <c r="K427" i="10" s="1"/>
  <c r="F208" i="10"/>
  <c r="CZ209" i="1"/>
  <c r="CY209" i="1"/>
  <c r="CX209" i="1"/>
  <c r="G208" i="10" s="1"/>
  <c r="K208" i="10" s="1"/>
  <c r="DA160" i="1"/>
  <c r="T161" i="10"/>
  <c r="F142" i="10"/>
  <c r="CX142" i="1"/>
  <c r="G142" i="10"/>
  <c r="K142" i="10" s="1"/>
  <c r="CZ142" i="1"/>
  <c r="CZ242" i="1"/>
  <c r="F242" i="10"/>
  <c r="CX242" i="1"/>
  <c r="G242" i="10"/>
  <c r="K242" i="10" s="1"/>
  <c r="CX187" i="1"/>
  <c r="G188" i="10" s="1"/>
  <c r="K188" i="10" s="1"/>
  <c r="DA337" i="1"/>
  <c r="T338" i="10" s="1"/>
  <c r="DA124" i="1"/>
  <c r="T125" i="10" s="1"/>
  <c r="F373" i="10"/>
  <c r="CZ371" i="1"/>
  <c r="CX371" i="1"/>
  <c r="G373" i="10" s="1"/>
  <c r="K373" i="10"/>
  <c r="CY371" i="1"/>
  <c r="CX452" i="1"/>
  <c r="G461" i="10"/>
  <c r="K461" i="10"/>
  <c r="F461" i="10"/>
  <c r="DA7" i="1"/>
  <c r="T8" i="10" s="1"/>
  <c r="CX498" i="1"/>
  <c r="G506" i="10" s="1"/>
  <c r="K506" i="10"/>
  <c r="CZ498" i="1"/>
  <c r="F506" i="10"/>
  <c r="T551" i="10"/>
  <c r="CZ432" i="1"/>
  <c r="F289" i="10"/>
  <c r="CX289" i="1"/>
  <c r="G289" i="10" s="1"/>
  <c r="K289" i="10" s="1"/>
  <c r="DA105" i="1"/>
  <c r="T106" i="10"/>
  <c r="CZ311" i="1"/>
  <c r="F311" i="10"/>
  <c r="CX311" i="1"/>
  <c r="G311" i="10"/>
  <c r="K311" i="10"/>
  <c r="DA527" i="1"/>
  <c r="T535" i="10"/>
  <c r="F319" i="10"/>
  <c r="CX318" i="1"/>
  <c r="G319" i="10" s="1"/>
  <c r="K319" i="10" s="1"/>
  <c r="CZ318" i="1"/>
  <c r="T557" i="10"/>
  <c r="F430" i="10"/>
  <c r="CX422" i="1"/>
  <c r="G430" i="10" s="1"/>
  <c r="K430" i="10" s="1"/>
  <c r="CZ422" i="1"/>
  <c r="CY422" i="1"/>
  <c r="DA422" i="1" s="1"/>
  <c r="T430" i="10" s="1"/>
  <c r="CX188" i="1"/>
  <c r="G187" i="10"/>
  <c r="K187" i="10" s="1"/>
  <c r="F187" i="10"/>
  <c r="CY188" i="1"/>
  <c r="DA188" i="1" s="1"/>
  <c r="T187" i="10" s="1"/>
  <c r="CZ188" i="1"/>
  <c r="F213" i="10"/>
  <c r="CX211" i="1"/>
  <c r="G213" i="10"/>
  <c r="K213" i="10"/>
  <c r="CZ211" i="1"/>
  <c r="DA521" i="1"/>
  <c r="T528" i="10"/>
  <c r="F333" i="10"/>
  <c r="CX513" i="1"/>
  <c r="G520" i="10"/>
  <c r="K520" i="10" s="1"/>
  <c r="F520" i="10"/>
  <c r="CZ513" i="1"/>
  <c r="T167" i="10"/>
  <c r="DA392" i="1"/>
  <c r="T396" i="10" s="1"/>
  <c r="DA204" i="1"/>
  <c r="T206" i="10"/>
  <c r="CX462" i="1"/>
  <c r="G469" i="10" s="1"/>
  <c r="K469" i="10" s="1"/>
  <c r="F469" i="10"/>
  <c r="CZ462" i="1"/>
  <c r="CY462" i="1"/>
  <c r="DA462" i="1" s="1"/>
  <c r="T469" i="10" s="1"/>
  <c r="F327" i="10"/>
  <c r="CZ326" i="1"/>
  <c r="DA326" i="1" s="1"/>
  <c r="T327" i="10" s="1"/>
  <c r="G327" i="10"/>
  <c r="K327" i="10" s="1"/>
  <c r="CY326" i="1"/>
  <c r="CZ323" i="1"/>
  <c r="CZ484" i="1"/>
  <c r="F492" i="10"/>
  <c r="CX43" i="1"/>
  <c r="G44" i="10"/>
  <c r="K44" i="10" s="1"/>
  <c r="F44" i="10"/>
  <c r="CZ43" i="1"/>
  <c r="F392" i="10"/>
  <c r="CX388" i="1"/>
  <c r="G392" i="10" s="1"/>
  <c r="K392" i="10" s="1"/>
  <c r="CZ388" i="1"/>
  <c r="CX234" i="1"/>
  <c r="G234" i="10" s="1"/>
  <c r="K234" i="10"/>
  <c r="F234" i="10"/>
  <c r="CZ234" i="1"/>
  <c r="T95" i="10"/>
  <c r="CX485" i="1"/>
  <c r="G493" i="10" s="1"/>
  <c r="K493" i="10" s="1"/>
  <c r="CZ442" i="1"/>
  <c r="CZ354" i="1"/>
  <c r="F355" i="10"/>
  <c r="G355" i="10"/>
  <c r="K355" i="10"/>
  <c r="CY354" i="1"/>
  <c r="DA354" i="1" s="1"/>
  <c r="T355" i="10" s="1"/>
  <c r="CY524" i="1"/>
  <c r="CX524" i="1"/>
  <c r="G532" i="10" s="1"/>
  <c r="K532" i="10" s="1"/>
  <c r="CZ466" i="1"/>
  <c r="CX466" i="1"/>
  <c r="G474" i="10" s="1"/>
  <c r="K474" i="10" s="1"/>
  <c r="CY466" i="1"/>
  <c r="F403" i="10"/>
  <c r="CX400" i="1"/>
  <c r="G403" i="10" s="1"/>
  <c r="K403" i="10" s="1"/>
  <c r="CZ400" i="1"/>
  <c r="F63" i="10"/>
  <c r="CX63" i="1"/>
  <c r="G63" i="10" s="1"/>
  <c r="K63" i="10" s="1"/>
  <c r="CX408" i="1"/>
  <c r="G414" i="10"/>
  <c r="K414" i="10" s="1"/>
  <c r="CZ408" i="1"/>
  <c r="T450" i="10"/>
  <c r="T429" i="10"/>
  <c r="DA459" i="1"/>
  <c r="T467" i="10" s="1"/>
  <c r="DA244" i="1"/>
  <c r="T241" i="10"/>
  <c r="CX288" i="1"/>
  <c r="G288" i="10" s="1"/>
  <c r="K288" i="10" s="1"/>
  <c r="F288" i="10"/>
  <c r="CZ288" i="1"/>
  <c r="T375" i="10"/>
  <c r="DA229" i="1"/>
  <c r="T229" i="10" s="1"/>
  <c r="DA525" i="1"/>
  <c r="T533" i="10"/>
  <c r="CY306" i="1"/>
  <c r="CX306" i="1"/>
  <c r="G305" i="10" s="1"/>
  <c r="K305" i="10" s="1"/>
  <c r="CZ306" i="1"/>
  <c r="CY210" i="1"/>
  <c r="DA210" i="1" s="1"/>
  <c r="T210" i="10" s="1"/>
  <c r="CX210" i="1"/>
  <c r="G210" i="10" s="1"/>
  <c r="K210" i="10" s="1"/>
  <c r="F210" i="10"/>
  <c r="CZ210" i="1"/>
  <c r="DA87" i="1"/>
  <c r="T87" i="10" s="1"/>
  <c r="DA143" i="1"/>
  <c r="T143" i="10" s="1"/>
  <c r="CZ472" i="1"/>
  <c r="F480" i="10"/>
  <c r="DA17" i="1"/>
  <c r="T19" i="10"/>
  <c r="DA514" i="1"/>
  <c r="T521" i="10" s="1"/>
  <c r="DA348" i="1"/>
  <c r="T350" i="10" s="1"/>
  <c r="DA152" i="1"/>
  <c r="T151" i="10" s="1"/>
  <c r="DA481" i="1"/>
  <c r="T489" i="10" s="1"/>
  <c r="DA77" i="1"/>
  <c r="T77" i="10" s="1"/>
  <c r="DA209" i="1"/>
  <c r="T208" i="10" s="1"/>
  <c r="DA371" i="1"/>
  <c r="T373" i="10" s="1"/>
  <c r="DA524" i="1"/>
  <c r="T532" i="10" s="1"/>
  <c r="DA466" i="1"/>
  <c r="T474" i="10" s="1"/>
  <c r="DA306" i="1"/>
  <c r="T305" i="10" s="1"/>
  <c r="G28" i="27"/>
  <c r="F27" i="20"/>
  <c r="BD124" i="1" l="1"/>
  <c r="AU470" i="1"/>
  <c r="BD58" i="1"/>
  <c r="BD262" i="1"/>
  <c r="BD532" i="1"/>
  <c r="BD199" i="1"/>
  <c r="AU185" i="1"/>
  <c r="BD251" i="1"/>
  <c r="BD533" i="1"/>
  <c r="BD216" i="1"/>
  <c r="BD464" i="1"/>
  <c r="BD31" i="1"/>
  <c r="BD99" i="1"/>
  <c r="AU61" i="1"/>
  <c r="BD145" i="1"/>
  <c r="AU427" i="1"/>
  <c r="BD156" i="1"/>
  <c r="BD43" i="1"/>
  <c r="BD497" i="1"/>
  <c r="AU437" i="1"/>
  <c r="AU528" i="1"/>
  <c r="BD183" i="1"/>
  <c r="BD276" i="1"/>
  <c r="BD137" i="1"/>
  <c r="BD481" i="1"/>
  <c r="BD213" i="1"/>
  <c r="BD524" i="1"/>
  <c r="AU206" i="1"/>
  <c r="BD448" i="1"/>
  <c r="AU552" i="1"/>
  <c r="BD329" i="1"/>
  <c r="BD226" i="1"/>
  <c r="BD164" i="1"/>
  <c r="BD196" i="1"/>
  <c r="BD56" i="1"/>
  <c r="BD380" i="1"/>
  <c r="AU475" i="1"/>
  <c r="AU521" i="1"/>
  <c r="BD362" i="1"/>
  <c r="BD191" i="1"/>
  <c r="AU314" i="1"/>
  <c r="BD555" i="1"/>
  <c r="BD203" i="1"/>
  <c r="BD152" i="1"/>
  <c r="BD119" i="1"/>
  <c r="BD65" i="1"/>
  <c r="BD120" i="1"/>
  <c r="BD254" i="1"/>
  <c r="BD417" i="1"/>
  <c r="BD14" i="1"/>
  <c r="BD154" i="1"/>
  <c r="BD370" i="1"/>
  <c r="BD418" i="1"/>
  <c r="AU327" i="1"/>
  <c r="AU472" i="1"/>
  <c r="AU324" i="1"/>
  <c r="BD553" i="1"/>
  <c r="BD231" i="1"/>
  <c r="AU374" i="1"/>
  <c r="BD240" i="1"/>
  <c r="BD187" i="1"/>
  <c r="AU292" i="1"/>
  <c r="BD222" i="1"/>
  <c r="BD149" i="1"/>
  <c r="BD150" i="1"/>
  <c r="BD274" i="1"/>
  <c r="BD268" i="1"/>
  <c r="BD104" i="1"/>
  <c r="BD287" i="1"/>
  <c r="BD86" i="1"/>
  <c r="BD135" i="1"/>
  <c r="BD35" i="1"/>
  <c r="BD249" i="1"/>
  <c r="BD398" i="1"/>
  <c r="AU11" i="1"/>
  <c r="AU281" i="1"/>
  <c r="AU86" i="1"/>
  <c r="BD188" i="1"/>
  <c r="BD483" i="1"/>
  <c r="BD426" i="1"/>
  <c r="BD502" i="1"/>
  <c r="AU531" i="1"/>
  <c r="AU38" i="1"/>
  <c r="AU43" i="1"/>
  <c r="BD192" i="1"/>
  <c r="BD139" i="1"/>
  <c r="BD50" i="1"/>
  <c r="BD201" i="1"/>
  <c r="BD162" i="1"/>
  <c r="BD136" i="1"/>
  <c r="BD282" i="1"/>
  <c r="BD51" i="1"/>
  <c r="AU13" i="1"/>
  <c r="BD386" i="1"/>
  <c r="BD140" i="1"/>
  <c r="BD193" i="1"/>
  <c r="BD197" i="1"/>
  <c r="BD103" i="1"/>
  <c r="BD45" i="1"/>
  <c r="BD437" i="1"/>
  <c r="BD161" i="1"/>
  <c r="BD28" i="1"/>
  <c r="BD544" i="1"/>
  <c r="BD520" i="1"/>
  <c r="BD406" i="1"/>
  <c r="BD343" i="1"/>
  <c r="AU183" i="1"/>
  <c r="AU91" i="1"/>
  <c r="AU459" i="1"/>
  <c r="AU95" i="1"/>
  <c r="AU131" i="1"/>
  <c r="AU452" i="1"/>
  <c r="AU17" i="1"/>
  <c r="BD283" i="1"/>
  <c r="BD443" i="1"/>
  <c r="BD422" i="1"/>
  <c r="BD280" i="1"/>
  <c r="BD500" i="1"/>
  <c r="BD170" i="1"/>
  <c r="AU516" i="1"/>
  <c r="BD244" i="1"/>
  <c r="BD430" i="1"/>
  <c r="BD453" i="1"/>
  <c r="AU191" i="1"/>
  <c r="AU79" i="1"/>
  <c r="AU523" i="1"/>
  <c r="BD84" i="1"/>
  <c r="BD427" i="1"/>
  <c r="BD133" i="1"/>
  <c r="BD311" i="1"/>
  <c r="BD224" i="1"/>
  <c r="BD107" i="1"/>
  <c r="BD185" i="1"/>
  <c r="BD252" i="1"/>
  <c r="BD323" i="1"/>
  <c r="BD534" i="1"/>
  <c r="BD15" i="1"/>
  <c r="BD153" i="1"/>
  <c r="BD42" i="1"/>
  <c r="BD38" i="1"/>
  <c r="BD525" i="1"/>
  <c r="BD46" i="1"/>
  <c r="BD428" i="1"/>
  <c r="BD208" i="1"/>
  <c r="BD272" i="1"/>
  <c r="BD266" i="1"/>
  <c r="BD455" i="1"/>
  <c r="BD328" i="1"/>
  <c r="AU408" i="1"/>
  <c r="AU60" i="1"/>
  <c r="AU369" i="1"/>
  <c r="AU297" i="1"/>
  <c r="AU121" i="1"/>
  <c r="AU9" i="1"/>
  <c r="BD450" i="1"/>
  <c r="BD288" i="1"/>
  <c r="BD180" i="1"/>
  <c r="BD233" i="1"/>
  <c r="AU406" i="1"/>
  <c r="BD101" i="1"/>
  <c r="AU334" i="1"/>
  <c r="AU343" i="1"/>
  <c r="BD522" i="1"/>
  <c r="BD143" i="1"/>
  <c r="AU177" i="1"/>
  <c r="AU280" i="1"/>
  <c r="AU286" i="1"/>
  <c r="AU444" i="1"/>
  <c r="BD452" i="1"/>
  <c r="BD127" i="1"/>
  <c r="BD377" i="1"/>
  <c r="BD470" i="1"/>
  <c r="BD147" i="1"/>
  <c r="BD223" i="1"/>
  <c r="BD129" i="1"/>
  <c r="BD163" i="1"/>
  <c r="BD294" i="1"/>
  <c r="BD255" i="1"/>
  <c r="BD220" i="1"/>
  <c r="BD229" i="1"/>
  <c r="BD230" i="1"/>
  <c r="BD166" i="1"/>
  <c r="BD111" i="1"/>
  <c r="BD241" i="1"/>
  <c r="BD66" i="1"/>
  <c r="BD358" i="1"/>
  <c r="BD110" i="1"/>
  <c r="BD190" i="1"/>
  <c r="BD134" i="1"/>
  <c r="AU333" i="1"/>
  <c r="BD100" i="1"/>
  <c r="BD27" i="1"/>
  <c r="BD85" i="1"/>
  <c r="BD408" i="1"/>
  <c r="BD55" i="1"/>
  <c r="BD96" i="1"/>
  <c r="BD305" i="1"/>
  <c r="BD373" i="1"/>
  <c r="BD235" i="1"/>
  <c r="BD475" i="1"/>
  <c r="BD34" i="1"/>
  <c r="BD73" i="1"/>
  <c r="BD550" i="1"/>
  <c r="BD117" i="1"/>
  <c r="BD529" i="1"/>
  <c r="BD471" i="1"/>
  <c r="BD514" i="1"/>
  <c r="BD247" i="1"/>
  <c r="BD382" i="1"/>
  <c r="BD361" i="1"/>
  <c r="BD372" i="1"/>
  <c r="BD339" i="1"/>
  <c r="AU201" i="1"/>
  <c r="AU88" i="1"/>
  <c r="AU275" i="1"/>
  <c r="AU273" i="1"/>
  <c r="AU97" i="1"/>
  <c r="AU383" i="1"/>
  <c r="AU525" i="1"/>
  <c r="AU175" i="1"/>
  <c r="AU310" i="1"/>
  <c r="AU550" i="1"/>
  <c r="AU225" i="1"/>
  <c r="AU29" i="1"/>
  <c r="AU100" i="1"/>
  <c r="BD246" i="1"/>
  <c r="BD474" i="1"/>
  <c r="BD346" i="1"/>
  <c r="BD227" i="1"/>
  <c r="BD486" i="1"/>
  <c r="BD508" i="1"/>
  <c r="BD221" i="1"/>
  <c r="BD439" i="1"/>
  <c r="AU506" i="1"/>
  <c r="AU425" i="1"/>
  <c r="BD114" i="1"/>
  <c r="BD204" i="1"/>
  <c r="BD228" i="1"/>
  <c r="BD394" i="1"/>
  <c r="BD256" i="1"/>
  <c r="BD176" i="1"/>
  <c r="AU430" i="1"/>
  <c r="BD432" i="1"/>
  <c r="BD384" i="1"/>
  <c r="BD264" i="1"/>
  <c r="AU111" i="1"/>
  <c r="AU364" i="1"/>
  <c r="AU419" i="1"/>
  <c r="AU51" i="1"/>
  <c r="AU220" i="1"/>
  <c r="AU245" i="1"/>
  <c r="BD355" i="1"/>
  <c r="BD237" i="1"/>
  <c r="BD295" i="1"/>
  <c r="BD179" i="1"/>
  <c r="BD189" i="1"/>
  <c r="BD172" i="1"/>
  <c r="BD155" i="1"/>
  <c r="BD174" i="1"/>
  <c r="BD238" i="1"/>
  <c r="BD279" i="1"/>
  <c r="BD130" i="1"/>
  <c r="BD259" i="1"/>
  <c r="BD269" i="1"/>
  <c r="BD306" i="1"/>
  <c r="BD232" i="1"/>
  <c r="BD63" i="1"/>
  <c r="BD303" i="1"/>
  <c r="BD397" i="1"/>
  <c r="BD113" i="1"/>
  <c r="BD298" i="1"/>
  <c r="BD83" i="1"/>
  <c r="BD195" i="1"/>
  <c r="BD82" i="1"/>
  <c r="BD313" i="1"/>
  <c r="BD527" i="1"/>
  <c r="BD118" i="1"/>
  <c r="BD115" i="1"/>
  <c r="BD457" i="1"/>
  <c r="BD292" i="1"/>
  <c r="BD177" i="1"/>
  <c r="BD53" i="1"/>
  <c r="BD485" i="1"/>
  <c r="BD44" i="1"/>
  <c r="BD37" i="1"/>
  <c r="BD76" i="1"/>
  <c r="BD116" i="1"/>
  <c r="BD142" i="1"/>
  <c r="BD205" i="1"/>
  <c r="AU317" i="1"/>
  <c r="BD517" i="1"/>
  <c r="BD345" i="1"/>
  <c r="BD434" i="1"/>
  <c r="BD316" i="1"/>
  <c r="BD552" i="1"/>
  <c r="BD390" i="1"/>
  <c r="AU229" i="1"/>
  <c r="AU98" i="1"/>
  <c r="AU128" i="1"/>
  <c r="AU42" i="1"/>
  <c r="AU116" i="1"/>
  <c r="AU319" i="1"/>
  <c r="AU305" i="1"/>
  <c r="AU417" i="1"/>
  <c r="AU248" i="1"/>
  <c r="AU447" i="1"/>
  <c r="AU58" i="1"/>
  <c r="AU405" i="1"/>
  <c r="AU540" i="1"/>
  <c r="BD182" i="1"/>
  <c r="BD198" i="1"/>
  <c r="BD416" i="1"/>
  <c r="BD348" i="1"/>
  <c r="BD290" i="1"/>
  <c r="BD463" i="1"/>
  <c r="BD476" i="1"/>
  <c r="BD263" i="1"/>
  <c r="AU453" i="1"/>
  <c r="BD70" i="1"/>
  <c r="BD454" i="1"/>
  <c r="AU479" i="1"/>
  <c r="BD473" i="1"/>
  <c r="BD413" i="1"/>
  <c r="BD421" i="1"/>
  <c r="BD347" i="1"/>
  <c r="BD325" i="1"/>
  <c r="BD509" i="1"/>
  <c r="AU261" i="1"/>
  <c r="AU207" i="1"/>
  <c r="AU55" i="1"/>
  <c r="AU33" i="1"/>
  <c r="AU471" i="1"/>
  <c r="AU87" i="1"/>
  <c r="AU546" i="1"/>
  <c r="AU4" i="1"/>
  <c r="AU309" i="1"/>
  <c r="AU478" i="1"/>
  <c r="AU401" i="1"/>
  <c r="AU503" i="1"/>
  <c r="AU47" i="1"/>
  <c r="AU184" i="1"/>
  <c r="AU46" i="1"/>
  <c r="AU105" i="1"/>
  <c r="AU271" i="1"/>
  <c r="AU76" i="1"/>
  <c r="AU265" i="1"/>
  <c r="AU144" i="1"/>
  <c r="AU21" i="1"/>
  <c r="AU449" i="1"/>
  <c r="AU361" i="1"/>
  <c r="AU532" i="1"/>
  <c r="AU480" i="1"/>
  <c r="AU272" i="1"/>
  <c r="AU337" i="1"/>
  <c r="AU75" i="1"/>
  <c r="AU235" i="1"/>
  <c r="AU254" i="1"/>
  <c r="AU278" i="1"/>
  <c r="AU68" i="1"/>
  <c r="AU148" i="1"/>
  <c r="AU318" i="1"/>
  <c r="AU30" i="1"/>
  <c r="AU35" i="1"/>
  <c r="AU41" i="1"/>
  <c r="AU315" i="1"/>
  <c r="AU132" i="1"/>
  <c r="AU373" i="1"/>
  <c r="AU489" i="1"/>
  <c r="AU295" i="1"/>
  <c r="AU224" i="1"/>
  <c r="AU150" i="1"/>
  <c r="AU380" i="1"/>
  <c r="AU388" i="1"/>
  <c r="AU429" i="1"/>
  <c r="AU323" i="1"/>
  <c r="AU467" i="1"/>
  <c r="AU538" i="1"/>
  <c r="AU301" i="1"/>
  <c r="AU311" i="1"/>
  <c r="AU77" i="1"/>
  <c r="AU48" i="1"/>
  <c r="AU149" i="1"/>
  <c r="AU6" i="1"/>
  <c r="AU67" i="1"/>
  <c r="AU52" i="1"/>
  <c r="AU464" i="1"/>
  <c r="AU32" i="1"/>
  <c r="AU299" i="1"/>
  <c r="AU90" i="1"/>
  <c r="AU193" i="1"/>
  <c r="AU241" i="1"/>
  <c r="AU85" i="1"/>
  <c r="AU277" i="1"/>
  <c r="AU375" i="1"/>
  <c r="AU181" i="1"/>
  <c r="AU171" i="1"/>
  <c r="AU28" i="1"/>
  <c r="AU468" i="1"/>
  <c r="AU190" i="1"/>
  <c r="AU109" i="1"/>
  <c r="AU365" i="1"/>
  <c r="AU440" i="1"/>
  <c r="AU287" i="1"/>
  <c r="AU501" i="1"/>
  <c r="AU329" i="1"/>
  <c r="AU384" i="1"/>
  <c r="AU411" i="1"/>
  <c r="AU534" i="1"/>
  <c r="AU231" i="1"/>
  <c r="AU358" i="1"/>
  <c r="AU89" i="1"/>
  <c r="AU143" i="1"/>
  <c r="AU542" i="1"/>
  <c r="AU84" i="1"/>
  <c r="AU362" i="1"/>
  <c r="AU513" i="1"/>
  <c r="AU8" i="1"/>
  <c r="AU63" i="1"/>
  <c r="AU126" i="1"/>
  <c r="AU99" i="1"/>
  <c r="AU559" i="1"/>
  <c r="AU320" i="1"/>
  <c r="AU119" i="1"/>
  <c r="AU145" i="1"/>
  <c r="AU96" i="1"/>
  <c r="AU157" i="1"/>
  <c r="AU72" i="1"/>
  <c r="AU153" i="1"/>
  <c r="AU40" i="1"/>
  <c r="AU414" i="1"/>
  <c r="AU20" i="1"/>
  <c r="AU31" i="1"/>
  <c r="AU10" i="1"/>
  <c r="AU45" i="1"/>
  <c r="AU215" i="1"/>
  <c r="AU451" i="1"/>
  <c r="AU135" i="1"/>
  <c r="AU161" i="1"/>
  <c r="AU537" i="1"/>
  <c r="AU485" i="1"/>
  <c r="AU118" i="1"/>
  <c r="AU137" i="1"/>
  <c r="AU219" i="1"/>
  <c r="AU83" i="1"/>
  <c r="AU242" i="1"/>
  <c r="AU488" i="1"/>
  <c r="AU363" i="1"/>
  <c r="AU397" i="1"/>
  <c r="AU12" i="1"/>
  <c r="AU168" i="1"/>
  <c r="AU211" i="1"/>
  <c r="AU377" i="1"/>
  <c r="AU196" i="1"/>
  <c r="AU252" i="1"/>
  <c r="AU533" i="1"/>
  <c r="AU404" i="1"/>
  <c r="AU356" i="1"/>
  <c r="AU390" i="1"/>
  <c r="AU376" i="1"/>
  <c r="AU339" i="1"/>
  <c r="AU355" i="1"/>
  <c r="AU551" i="1"/>
  <c r="AU510" i="1"/>
  <c r="AU316" i="1"/>
  <c r="AU325" i="1"/>
  <c r="AU341" i="1"/>
  <c r="AU381" i="1"/>
  <c r="AU125" i="1"/>
  <c r="AU59" i="1"/>
  <c r="AU450" i="1"/>
  <c r="AU371" i="1"/>
  <c r="AU428" i="1"/>
  <c r="AU483" i="1"/>
  <c r="AU284" i="1"/>
  <c r="AU431" i="1"/>
  <c r="AU74" i="1"/>
  <c r="AU549" i="1"/>
  <c r="BD300" i="1"/>
  <c r="AU548" i="1"/>
  <c r="BD332" i="1"/>
  <c r="BD374" i="1"/>
  <c r="BD367" i="1"/>
  <c r="BD518" i="1"/>
  <c r="BD511" i="1"/>
  <c r="BD493" i="1"/>
  <c r="BD411" i="1"/>
  <c r="BD326" i="1"/>
  <c r="AU354" i="1"/>
  <c r="AU398" i="1"/>
  <c r="AU393" i="1"/>
  <c r="AU511" i="1"/>
  <c r="AU497" i="1"/>
  <c r="AU524" i="1"/>
  <c r="AU382" i="1"/>
  <c r="AU326" i="1"/>
  <c r="AU347" i="1"/>
  <c r="AU442" i="1"/>
  <c r="AU396" i="1"/>
  <c r="AU498" i="1"/>
  <c r="AU530" i="1"/>
  <c r="AU461" i="1"/>
  <c r="BD320" i="1"/>
  <c r="BD557" i="1"/>
  <c r="AU545" i="1"/>
  <c r="AU566" i="1"/>
  <c r="BD307" i="1"/>
  <c r="AU335" i="1"/>
  <c r="BD317" i="1"/>
  <c r="BD304" i="1"/>
  <c r="BD368" i="1"/>
  <c r="BD344" i="1"/>
  <c r="BD376" i="1"/>
  <c r="BD356" i="1"/>
  <c r="BD458" i="1"/>
  <c r="BD387" i="1"/>
  <c r="BD504" i="1"/>
  <c r="BD385" i="1"/>
  <c r="AU372" i="1"/>
  <c r="AU407" i="1"/>
  <c r="AU482" i="1"/>
  <c r="AU367" i="1"/>
  <c r="AU350" i="1"/>
  <c r="AU368" i="1"/>
  <c r="AU504" i="1"/>
  <c r="AU458" i="1"/>
  <c r="AU349" i="1"/>
  <c r="AU328" i="1"/>
  <c r="AU418" i="1"/>
  <c r="AU493" i="1"/>
  <c r="AU359" i="1"/>
  <c r="AU420" i="1"/>
  <c r="AU340" i="1"/>
  <c r="AU336" i="1"/>
  <c r="BD349" i="1"/>
  <c r="BD420" i="1"/>
  <c r="BD487" i="1"/>
  <c r="BD415" i="1"/>
  <c r="AU455" i="1"/>
  <c r="AU512" i="1"/>
  <c r="BD312" i="1"/>
  <c r="AU300" i="1"/>
  <c r="AU304" i="1"/>
  <c r="BD548" i="1"/>
  <c r="AU307" i="1"/>
  <c r="AU303" i="1"/>
  <c r="BD105" i="1"/>
  <c r="BD499" i="1"/>
  <c r="BD245" i="1"/>
  <c r="BD159" i="1"/>
  <c r="BD309" i="1"/>
  <c r="BD243" i="1"/>
  <c r="BD160" i="1"/>
  <c r="BD267" i="1"/>
  <c r="BD106" i="1"/>
  <c r="BD270" i="1"/>
  <c r="BD167" i="1"/>
  <c r="BD291" i="1"/>
  <c r="BD258" i="1"/>
  <c r="BD123" i="1"/>
  <c r="BD477" i="1"/>
  <c r="BD539" i="1"/>
  <c r="BD236" i="1"/>
  <c r="BD218" i="1"/>
  <c r="BD210" i="1"/>
  <c r="BD296" i="1"/>
  <c r="BD391" i="1"/>
  <c r="BD364" i="1"/>
  <c r="BD202" i="1"/>
  <c r="BD257" i="1"/>
  <c r="BD357" i="1"/>
  <c r="BD515" i="1"/>
  <c r="BD429" i="1"/>
  <c r="BD352" i="1"/>
  <c r="BD403" i="1"/>
  <c r="BD342" i="1"/>
  <c r="BD186" i="1"/>
  <c r="BD200" i="1"/>
  <c r="BD388" i="1"/>
  <c r="BD234" i="1"/>
  <c r="BD467" i="1"/>
  <c r="BD446" i="1"/>
  <c r="BD490" i="1"/>
  <c r="BD564" i="1"/>
  <c r="BD556" i="1"/>
  <c r="BD456" i="1"/>
  <c r="BD395" i="1"/>
  <c r="BD194" i="1"/>
  <c r="BD541" i="1"/>
  <c r="BD536" i="1"/>
  <c r="BD353" i="1"/>
  <c r="BD409" i="1"/>
  <c r="BD484" i="1"/>
  <c r="BD209" i="1"/>
  <c r="BD400" i="1"/>
  <c r="BD285" i="1"/>
  <c r="BD469" i="1"/>
  <c r="BD462" i="1"/>
  <c r="BD412" i="1"/>
  <c r="BD465" i="1"/>
  <c r="BD436" i="1"/>
  <c r="BD526" i="1"/>
  <c r="BD491" i="1"/>
  <c r="BD402" i="1"/>
  <c r="BD253" i="1"/>
  <c r="BD335" i="1"/>
  <c r="BD337" i="1"/>
  <c r="AU312" i="1"/>
  <c r="BD546" i="1"/>
  <c r="AU5" i="1"/>
  <c r="AU7" i="1"/>
  <c r="AU3" i="1"/>
  <c r="AU26" i="1"/>
  <c r="AU15" i="1"/>
  <c r="AU25" i="1"/>
  <c r="AU560" i="1"/>
  <c r="AU141" i="1"/>
  <c r="AU457" i="1"/>
  <c r="AU50" i="1"/>
  <c r="AU102" i="1"/>
  <c r="AU108" i="1"/>
  <c r="AU527" i="1"/>
  <c r="AU466" i="1"/>
  <c r="AU399" i="1"/>
  <c r="AU260" i="1"/>
  <c r="AU36" i="1"/>
  <c r="AU110" i="1"/>
  <c r="AU366" i="1"/>
  <c r="AU146" i="1"/>
  <c r="AU62" i="1"/>
  <c r="AU505" i="1"/>
  <c r="AU22" i="1"/>
  <c r="AU217" i="1"/>
  <c r="AU112" i="1"/>
  <c r="AU54" i="1"/>
  <c r="AU212" i="1"/>
  <c r="AU302" i="1"/>
  <c r="AU289" i="1"/>
  <c r="AU69" i="1"/>
  <c r="AU379" i="1"/>
  <c r="AU164" i="1"/>
  <c r="AU16" i="1"/>
  <c r="AU18" i="1"/>
  <c r="AU122" i="1"/>
  <c r="AU392" i="1"/>
  <c r="AU410" i="1"/>
  <c r="AU547" i="1"/>
  <c r="AU499" i="1"/>
  <c r="AU481" i="1"/>
  <c r="AU101" i="1"/>
  <c r="AU445" i="1"/>
  <c r="AU172" i="1"/>
  <c r="AU56" i="1"/>
  <c r="AU14" i="1"/>
  <c r="AU158" i="1"/>
  <c r="AU49" i="1"/>
  <c r="AU563" i="1"/>
  <c r="AU138" i="1"/>
  <c r="AU424" i="1"/>
  <c r="AU103" i="1"/>
  <c r="AU389" i="1"/>
  <c r="AU57" i="1"/>
  <c r="AU441" i="1"/>
  <c r="AU93" i="1"/>
  <c r="AU308" i="1"/>
  <c r="AU203" i="1"/>
  <c r="AU192" i="1"/>
  <c r="AU73" i="1"/>
  <c r="AU250" i="1"/>
  <c r="AU507" i="1"/>
  <c r="AU460" i="1"/>
  <c r="AU197" i="1"/>
  <c r="AU115" i="1"/>
  <c r="AU173" i="1"/>
  <c r="AU293" i="1"/>
  <c r="AU24" i="1"/>
  <c r="AU23" i="1"/>
  <c r="AU169" i="1"/>
  <c r="AU151" i="1"/>
  <c r="AU53" i="1"/>
  <c r="AU496" i="1"/>
  <c r="AU495" i="1"/>
  <c r="AU39" i="1"/>
  <c r="AU37" i="1"/>
  <c r="AU27" i="1"/>
  <c r="AU44" i="1"/>
  <c r="AU492" i="1"/>
  <c r="AU64" i="1"/>
  <c r="AU80" i="1"/>
  <c r="AU178" i="1"/>
  <c r="AU34" i="1"/>
  <c r="AU165" i="1"/>
  <c r="AU386" i="1"/>
  <c r="AU92" i="1"/>
  <c r="AU70" i="1"/>
  <c r="AU66" i="1"/>
  <c r="AU65" i="1"/>
  <c r="AU78" i="1"/>
  <c r="AU71" i="1"/>
  <c r="AU81" i="1"/>
  <c r="AU94" i="1"/>
  <c r="AU106" i="1"/>
  <c r="AU104" i="1"/>
  <c r="AU195" i="1"/>
  <c r="AU147" i="1"/>
  <c r="AU556" i="1"/>
  <c r="AU465" i="1"/>
  <c r="AU394" i="1"/>
  <c r="AU529" i="1"/>
  <c r="AU553" i="1"/>
  <c r="AU436" i="1"/>
  <c r="AU345" i="1"/>
  <c r="AU517" i="1"/>
  <c r="AU477" i="1"/>
  <c r="AU227" i="1"/>
  <c r="AU233" i="1"/>
  <c r="AU514" i="1"/>
  <c r="AU491" i="1"/>
  <c r="AU246" i="1"/>
  <c r="AU198" i="1"/>
  <c r="AU422" i="1"/>
  <c r="BD7" i="1"/>
  <c r="BD3" i="1"/>
  <c r="BD5" i="1"/>
  <c r="BD561" i="1"/>
  <c r="BD405" i="1"/>
  <c r="BD151" i="1"/>
  <c r="BD495" i="1"/>
  <c r="BD11" i="1"/>
  <c r="BD440" i="1"/>
  <c r="BD90" i="1"/>
  <c r="BD445" i="1"/>
  <c r="BD563" i="1"/>
  <c r="BD560" i="1"/>
  <c r="BD281" i="1"/>
  <c r="BD29" i="1"/>
  <c r="BD284" i="1"/>
  <c r="BD414" i="1"/>
  <c r="BD410" i="1"/>
  <c r="BD94" i="1"/>
  <c r="BD88" i="1"/>
  <c r="BD78" i="1"/>
  <c r="BD211" i="1"/>
  <c r="BD248" i="1"/>
  <c r="BD478" i="1"/>
  <c r="BD168" i="1"/>
  <c r="BD424" i="1"/>
  <c r="BD158" i="1"/>
  <c r="BD503" i="1"/>
  <c r="BD91" i="1"/>
  <c r="BD77" i="1"/>
  <c r="BD16" i="1"/>
  <c r="BD260" i="1"/>
  <c r="BD371" i="1"/>
  <c r="BD54" i="1"/>
  <c r="BD98" i="1"/>
  <c r="BD318" i="1"/>
  <c r="BD330" i="1"/>
  <c r="BD242" i="1"/>
  <c r="BD488" i="1"/>
  <c r="BD547" i="1"/>
  <c r="BD341" i="1"/>
  <c r="BD310" i="1"/>
  <c r="BD41" i="1"/>
  <c r="BD184" i="1"/>
  <c r="BD496" i="1"/>
  <c r="BD32" i="1"/>
  <c r="BD52" i="1"/>
  <c r="BD12" i="1"/>
  <c r="BD549" i="1"/>
  <c r="BD33" i="1"/>
  <c r="BD327" i="1"/>
  <c r="BD9" i="1"/>
  <c r="BD36" i="1"/>
  <c r="BD59" i="1"/>
  <c r="BD173" i="1"/>
  <c r="BD64" i="1"/>
  <c r="BD219" i="1"/>
  <c r="BD74" i="1"/>
  <c r="BD492" i="1"/>
  <c r="BD324" i="1"/>
  <c r="BD375" i="1"/>
  <c r="BD299" i="1"/>
  <c r="BD40" i="1"/>
  <c r="AU127" i="1"/>
  <c r="AU113" i="1"/>
  <c r="AU298" i="1"/>
  <c r="AU223" i="1"/>
  <c r="BD17" i="1"/>
  <c r="BD383" i="1"/>
  <c r="BD389" i="1"/>
  <c r="AU539" i="1"/>
  <c r="AU256" i="1"/>
  <c r="AU409" i="1"/>
  <c r="AU258" i="1"/>
  <c r="AU508" i="1"/>
  <c r="AU484" i="1"/>
  <c r="AU395" i="1"/>
  <c r="AU208" i="1"/>
  <c r="AU194" i="1"/>
  <c r="AU244" i="1"/>
  <c r="AU255" i="1"/>
  <c r="AU502" i="1"/>
  <c r="AU133" i="1"/>
  <c r="AU456" i="1"/>
  <c r="AU536" i="1"/>
  <c r="AU402" i="1"/>
  <c r="AU288" i="1"/>
  <c r="AU348" i="1"/>
  <c r="AU139" i="1"/>
  <c r="AU276" i="1"/>
  <c r="AU243" i="1"/>
  <c r="AU130" i="1"/>
  <c r="AU270" i="1"/>
  <c r="AU274" i="1"/>
  <c r="AU294" i="1"/>
  <c r="AU123" i="1"/>
  <c r="AU291" i="1"/>
  <c r="AU162" i="1"/>
  <c r="AU214" i="1"/>
  <c r="AU237" i="1"/>
  <c r="AU140" i="1"/>
  <c r="AU156" i="1"/>
  <c r="AU117" i="1"/>
  <c r="AU199" i="1"/>
  <c r="AU163" i="1"/>
  <c r="AU136" i="1"/>
  <c r="AU159" i="1"/>
  <c r="AU213" i="1"/>
  <c r="AU129" i="1"/>
  <c r="AU152" i="1"/>
  <c r="AU167" i="1"/>
  <c r="AU259" i="1"/>
  <c r="AU230" i="1"/>
  <c r="AU154" i="1"/>
  <c r="AU134" i="1"/>
  <c r="AU176" i="1"/>
  <c r="AU204" i="1"/>
  <c r="AU124" i="1"/>
  <c r="AU120" i="1"/>
  <c r="AU268" i="1"/>
  <c r="AU179" i="1"/>
  <c r="AU279" i="1"/>
  <c r="AU267" i="1"/>
  <c r="AU269" i="1"/>
  <c r="AU306" i="1"/>
  <c r="AU170" i="1"/>
  <c r="AU155" i="1"/>
  <c r="AU562" i="1"/>
  <c r="AU247" i="1"/>
  <c r="AU186" i="1"/>
  <c r="AU463" i="1"/>
  <c r="AU439" i="1"/>
  <c r="AU412" i="1"/>
  <c r="AU526" i="1"/>
  <c r="AU253" i="1"/>
  <c r="AU473" i="1"/>
  <c r="AU416" i="1"/>
  <c r="AU446" i="1"/>
  <c r="AU262" i="1"/>
  <c r="AU426" i="1"/>
  <c r="AU469" i="1"/>
  <c r="AU413" i="1"/>
  <c r="AU264" i="1"/>
  <c r="AU180" i="1"/>
  <c r="AU218" i="1"/>
  <c r="AU421" i="1"/>
  <c r="AU290" i="1"/>
  <c r="AU490" i="1"/>
  <c r="AU353" i="1"/>
  <c r="AU221" i="1"/>
  <c r="AU234" i="1"/>
  <c r="AU200" i="1"/>
  <c r="AU370" i="1"/>
  <c r="AU541" i="1"/>
  <c r="AU564" i="1"/>
  <c r="AU209" i="1"/>
  <c r="AU474" i="1"/>
  <c r="AU228" i="1"/>
  <c r="AU296" i="1"/>
  <c r="AU462" i="1"/>
  <c r="AU522" i="1"/>
  <c r="AU400" i="1"/>
  <c r="AU352" i="1"/>
  <c r="AU210" i="1"/>
  <c r="AU266" i="1"/>
  <c r="AU486" i="1"/>
  <c r="AU222" i="1"/>
  <c r="AU240" i="1"/>
  <c r="AU236" i="1"/>
  <c r="AU454" i="1"/>
  <c r="AU205" i="1"/>
  <c r="AU182" i="1"/>
  <c r="AU346" i="1"/>
  <c r="AU188" i="1"/>
  <c r="AU544" i="1"/>
  <c r="AU432" i="1"/>
  <c r="AU257" i="1"/>
  <c r="AU391" i="1"/>
  <c r="AU249" i="1"/>
  <c r="BD566" i="1"/>
  <c r="BD559" i="1"/>
  <c r="BD505" i="1"/>
  <c r="BD175" i="1"/>
  <c r="BD87" i="1"/>
  <c r="BD308" i="1"/>
  <c r="BD286" i="1"/>
  <c r="BD431" i="1"/>
  <c r="BD26" i="1"/>
  <c r="BD542" i="1"/>
  <c r="BD92" i="1"/>
  <c r="BD169" i="1"/>
  <c r="BD57" i="1"/>
  <c r="BD75" i="1"/>
  <c r="BD289" i="1"/>
  <c r="BD141" i="1"/>
  <c r="BD62" i="1"/>
  <c r="BD95" i="1"/>
  <c r="BD419" i="1"/>
  <c r="BD4" i="1"/>
  <c r="BD72" i="1"/>
  <c r="BD165" i="1"/>
  <c r="BD13" i="1"/>
  <c r="BD365" i="1"/>
  <c r="BD97" i="1"/>
  <c r="BD207" i="1"/>
  <c r="BD319" i="1"/>
  <c r="BD67" i="1"/>
  <c r="BD212" i="1"/>
  <c r="BD93" i="1"/>
  <c r="BD466" i="1"/>
  <c r="BD273" i="1"/>
  <c r="BD22" i="1"/>
  <c r="BD6" i="1"/>
  <c r="BD363" i="1"/>
  <c r="BD49" i="1"/>
  <c r="BD261" i="1"/>
  <c r="BD459" i="1"/>
  <c r="BD523" i="1"/>
  <c r="BD109" i="1"/>
  <c r="BD206" i="1"/>
  <c r="BD89" i="1"/>
  <c r="BD271" i="1"/>
  <c r="BD521" i="1"/>
  <c r="BD297" i="1"/>
  <c r="BD80" i="1"/>
  <c r="AU114" i="1"/>
  <c r="AU189" i="1"/>
  <c r="AU166" i="1"/>
  <c r="AU160" i="1"/>
  <c r="BD333" i="1"/>
  <c r="BD48" i="1"/>
  <c r="BD81" i="1"/>
  <c r="BD543" i="1"/>
  <c r="BD24" i="1"/>
  <c r="BD68" i="1"/>
  <c r="BD148" i="1"/>
  <c r="BD447" i="1"/>
  <c r="BD302" i="1"/>
  <c r="BD545" i="1"/>
  <c r="AU238" i="1"/>
  <c r="AU500" i="1"/>
  <c r="AU515" i="1"/>
  <c r="AU448" i="1"/>
  <c r="AU232" i="1"/>
  <c r="AU216" i="1"/>
  <c r="AU202" i="1"/>
  <c r="AU142" i="1"/>
  <c r="AU403" i="1"/>
  <c r="AU476" i="1"/>
  <c r="AU251" i="1"/>
  <c r="AU226" i="1"/>
  <c r="AU285" i="1"/>
  <c r="AU520" i="1"/>
  <c r="AU187" i="1"/>
  <c r="AU357" i="1"/>
  <c r="AU263" i="1"/>
  <c r="AU342" i="1"/>
  <c r="AU107" i="1"/>
  <c r="AU174" i="1"/>
  <c r="AU283" i="1"/>
  <c r="BD506" i="1"/>
  <c r="BD354" i="1"/>
  <c r="BD516" i="1"/>
  <c r="BD510" i="1"/>
  <c r="BD340" i="1"/>
  <c r="BD359" i="1"/>
  <c r="BD435" i="1"/>
  <c r="BD494" i="1"/>
  <c r="BD350" i="1"/>
  <c r="BD396" i="1"/>
  <c r="BD479" i="1"/>
  <c r="BD407" i="1"/>
  <c r="BD489" i="1"/>
  <c r="BD336" i="1"/>
  <c r="BD528" i="1"/>
  <c r="BD314" i="1"/>
  <c r="BD393" i="1"/>
  <c r="BD378" i="1"/>
  <c r="BD321" i="1"/>
  <c r="BD551" i="1"/>
  <c r="BD404" i="1"/>
  <c r="BD360" i="1"/>
  <c r="BD351" i="1"/>
  <c r="BD558" i="1"/>
  <c r="BD530" i="1"/>
  <c r="BD512" i="1"/>
  <c r="BD501" i="1"/>
  <c r="BD461" i="1"/>
  <c r="BD442" i="1"/>
  <c r="BD438" i="1"/>
  <c r="BD444" i="1"/>
  <c r="BD535" i="1"/>
  <c r="BD519" i="1"/>
  <c r="BD433" i="1"/>
  <c r="BD423" i="1"/>
  <c r="BD498" i="1"/>
  <c r="BD531" i="1"/>
  <c r="BD482" i="1"/>
  <c r="BD331" i="1"/>
  <c r="BD338" i="1"/>
  <c r="BD322" i="1"/>
  <c r="BD449" i="1"/>
  <c r="BD334" i="1"/>
  <c r="BD425" i="1"/>
  <c r="AU554" i="1"/>
  <c r="AU555" i="1"/>
  <c r="F28" i="20"/>
  <c r="F32" i="20" s="1"/>
  <c r="G29" i="27"/>
  <c r="G34" i="27" s="1"/>
  <c r="CY388" i="1"/>
  <c r="DA388" i="1" s="1"/>
  <c r="T392" i="10" s="1"/>
  <c r="H392" i="10"/>
  <c r="DA5" i="1"/>
  <c r="T5" i="10" s="1"/>
  <c r="CU201" i="1"/>
  <c r="CV201" i="1"/>
  <c r="CW201" i="1" s="1"/>
  <c r="H201" i="10" s="1"/>
  <c r="L201" i="10"/>
  <c r="DA547" i="1"/>
  <c r="T555" i="10" s="1"/>
  <c r="CY347" i="1"/>
  <c r="DA347" i="1" s="1"/>
  <c r="T347" i="10" s="1"/>
  <c r="H347" i="10"/>
  <c r="H63" i="10"/>
  <c r="CY63" i="1"/>
  <c r="DA63" i="1" s="1"/>
  <c r="T63" i="10" s="1"/>
  <c r="H288" i="10"/>
  <c r="CY288" i="1"/>
  <c r="DA288" i="1" s="1"/>
  <c r="T288" i="10" s="1"/>
  <c r="H493" i="10"/>
  <c r="CY485" i="1"/>
  <c r="DA485" i="1" s="1"/>
  <c r="T493" i="10" s="1"/>
  <c r="H451" i="10"/>
  <c r="CY442" i="1"/>
  <c r="DA442" i="1" s="1"/>
  <c r="T451" i="10" s="1"/>
  <c r="H242" i="10"/>
  <c r="CY242" i="1"/>
  <c r="DA242" i="1" s="1"/>
  <c r="T242" i="10" s="1"/>
  <c r="H176" i="10"/>
  <c r="CY176" i="1"/>
  <c r="DA176" i="1" s="1"/>
  <c r="T176" i="10" s="1"/>
  <c r="H406" i="10"/>
  <c r="CY403" i="1"/>
  <c r="DA403" i="1" s="1"/>
  <c r="T406" i="10" s="1"/>
  <c r="DA3" i="1"/>
  <c r="T3" i="10" s="1"/>
  <c r="F323" i="10"/>
  <c r="CY323" i="1"/>
  <c r="DA323" i="1" s="1"/>
  <c r="T323" i="10" s="1"/>
  <c r="CX361" i="1"/>
  <c r="G362" i="10" s="1"/>
  <c r="K362" i="10" s="1"/>
  <c r="F362" i="10"/>
  <c r="H366" i="10"/>
  <c r="CY365" i="1"/>
  <c r="DA365" i="1" s="1"/>
  <c r="T366" i="10" s="1"/>
  <c r="H341" i="10"/>
  <c r="CY340" i="1"/>
  <c r="DA340" i="1" s="1"/>
  <c r="T341" i="10" s="1"/>
  <c r="CY251" i="1"/>
  <c r="CX455" i="1"/>
  <c r="G466" i="10" s="1"/>
  <c r="K466" i="10" s="1"/>
  <c r="F466" i="10"/>
  <c r="CZ455" i="1"/>
  <c r="H62" i="10"/>
  <c r="CY62" i="1"/>
  <c r="DA62" i="1" s="1"/>
  <c r="T62" i="10" s="1"/>
  <c r="CZ52" i="1"/>
  <c r="DA52" i="1" s="1"/>
  <c r="T52" i="10" s="1"/>
  <c r="CX52" i="1"/>
  <c r="G52" i="10" s="1"/>
  <c r="K52" i="10" s="1"/>
  <c r="H531" i="10"/>
  <c r="CY507" i="1"/>
  <c r="DA507" i="1" s="1"/>
  <c r="T531" i="10" s="1"/>
  <c r="CU429" i="1"/>
  <c r="CV429" i="1"/>
  <c r="CW429" i="1" s="1"/>
  <c r="H439" i="10" s="1"/>
  <c r="L439" i="10"/>
  <c r="F182" i="10"/>
  <c r="CY182" i="1"/>
  <c r="DA182" i="1" s="1"/>
  <c r="T182" i="10" s="1"/>
  <c r="CZ182" i="1"/>
  <c r="CX182" i="1"/>
  <c r="G182" i="10" s="1"/>
  <c r="K182" i="10" s="1"/>
  <c r="CZ85" i="1"/>
  <c r="F85" i="10"/>
  <c r="CY85" i="1"/>
  <c r="CX85" i="1"/>
  <c r="G85" i="10" s="1"/>
  <c r="K85" i="10" s="1"/>
  <c r="H481" i="10"/>
  <c r="CY473" i="1"/>
  <c r="DA473" i="1" s="1"/>
  <c r="T481" i="10" s="1"/>
  <c r="H79" i="10"/>
  <c r="CY76" i="1"/>
  <c r="DA76" i="1" s="1"/>
  <c r="T79" i="10" s="1"/>
  <c r="F522" i="10"/>
  <c r="CZ515" i="1"/>
  <c r="CX515" i="1"/>
  <c r="G522" i="10" s="1"/>
  <c r="K522" i="10" s="1"/>
  <c r="CY515" i="1"/>
  <c r="DA515" i="1" s="1"/>
  <c r="T522" i="10" s="1"/>
  <c r="H351" i="10"/>
  <c r="CY350" i="1"/>
  <c r="DA350" i="1" s="1"/>
  <c r="T351" i="10" s="1"/>
  <c r="H378" i="10"/>
  <c r="CY377" i="1"/>
  <c r="DA377" i="1" s="1"/>
  <c r="T378" i="10" s="1"/>
  <c r="V26" i="10"/>
  <c r="W26" i="10"/>
  <c r="O26" i="10"/>
  <c r="N26" i="10"/>
  <c r="U26" i="10" s="1"/>
  <c r="N130" i="10"/>
  <c r="U130" i="10" s="1"/>
  <c r="W130" i="10"/>
  <c r="O130" i="10"/>
  <c r="V130" i="10"/>
  <c r="O132" i="10"/>
  <c r="V132" i="10"/>
  <c r="N132" i="10"/>
  <c r="U132" i="10" s="1"/>
  <c r="W142" i="10"/>
  <c r="O142" i="10"/>
  <c r="N142" i="10"/>
  <c r="U142" i="10" s="1"/>
  <c r="W148" i="10"/>
  <c r="N148" i="10"/>
  <c r="U148" i="10" s="1"/>
  <c r="V209" i="10"/>
  <c r="W209" i="10"/>
  <c r="O209" i="10"/>
  <c r="V237" i="10"/>
  <c r="O237" i="10"/>
  <c r="W237" i="10"/>
  <c r="N304" i="10"/>
  <c r="U304" i="10" s="1"/>
  <c r="O304" i="10"/>
  <c r="V304" i="10"/>
  <c r="W304" i="10"/>
  <c r="V320" i="10"/>
  <c r="N320" i="10"/>
  <c r="U320" i="10" s="1"/>
  <c r="L369" i="10"/>
  <c r="CV366" i="1"/>
  <c r="CW366" i="1" s="1"/>
  <c r="H369" i="10" s="1"/>
  <c r="CU366" i="1"/>
  <c r="CV362" i="1"/>
  <c r="CW362" i="1" s="1"/>
  <c r="H363" i="10" s="1"/>
  <c r="CU362" i="1"/>
  <c r="BS362" i="1"/>
  <c r="BT362" i="1"/>
  <c r="DE360" i="1"/>
  <c r="DF360" i="1"/>
  <c r="CU360" i="1"/>
  <c r="L361" i="10"/>
  <c r="BP356" i="1"/>
  <c r="BS356" i="1" s="1"/>
  <c r="CW356" i="1"/>
  <c r="CU353" i="1"/>
  <c r="L354" i="10"/>
  <c r="CV353" i="1"/>
  <c r="CW353" i="1" s="1"/>
  <c r="H354" i="10" s="1"/>
  <c r="BT352" i="1"/>
  <c r="BS352" i="1"/>
  <c r="L352" i="10"/>
  <c r="CV351" i="1"/>
  <c r="CW351" i="1" s="1"/>
  <c r="H352" i="10" s="1"/>
  <c r="L348" i="10"/>
  <c r="CV346" i="1"/>
  <c r="CW346" i="1" s="1"/>
  <c r="H348" i="10" s="1"/>
  <c r="L336" i="10"/>
  <c r="CU335" i="1"/>
  <c r="M320" i="10"/>
  <c r="O320" i="10" s="1"/>
  <c r="CV320" i="1"/>
  <c r="CW320" i="1" s="1"/>
  <c r="M322" i="10"/>
  <c r="O322" i="10" s="1"/>
  <c r="CV319" i="1"/>
  <c r="CW319" i="1" s="1"/>
  <c r="H322" i="10" s="1"/>
  <c r="CV315" i="1"/>
  <c r="CW315" i="1" s="1"/>
  <c r="H315" i="10" s="1"/>
  <c r="CU315" i="1"/>
  <c r="L315" i="10"/>
  <c r="CY310" i="1"/>
  <c r="DA310" i="1" s="1"/>
  <c r="T310" i="10" s="1"/>
  <c r="CV298" i="1"/>
  <c r="CW298" i="1" s="1"/>
  <c r="H301" i="10" s="1"/>
  <c r="CU298" i="1"/>
  <c r="CV296" i="1"/>
  <c r="CW296" i="1" s="1"/>
  <c r="H296" i="10" s="1"/>
  <c r="L296" i="10"/>
  <c r="L293" i="10"/>
  <c r="CU293" i="1"/>
  <c r="CV293" i="1"/>
  <c r="CW293" i="1" s="1"/>
  <c r="H293" i="10" s="1"/>
  <c r="M291" i="10"/>
  <c r="O291" i="10" s="1"/>
  <c r="CV290" i="1"/>
  <c r="CW290" i="1" s="1"/>
  <c r="H291" i="10" s="1"/>
  <c r="BT289" i="1"/>
  <c r="BS289" i="1"/>
  <c r="DE287" i="1"/>
  <c r="DF287" i="1"/>
  <c r="CV284" i="1"/>
  <c r="CW284" i="1" s="1"/>
  <c r="H285" i="10" s="1"/>
  <c r="CU284" i="1"/>
  <c r="L285" i="10"/>
  <c r="DF273" i="1"/>
  <c r="DE273" i="1"/>
  <c r="L273" i="10"/>
  <c r="CV273" i="1"/>
  <c r="CW273" i="1" s="1"/>
  <c r="H273" i="10" s="1"/>
  <c r="CU273" i="1"/>
  <c r="CV271" i="1"/>
  <c r="CW271" i="1" s="1"/>
  <c r="H274" i="10" s="1"/>
  <c r="L274" i="10"/>
  <c r="CU271" i="1"/>
  <c r="CV263" i="1"/>
  <c r="CW263" i="1" s="1"/>
  <c r="H265" i="10" s="1"/>
  <c r="L265" i="10"/>
  <c r="CU263" i="1"/>
  <c r="BS263" i="1"/>
  <c r="BT263" i="1"/>
  <c r="BP255" i="1"/>
  <c r="BS255" i="1" s="1"/>
  <c r="CW255" i="1"/>
  <c r="H253" i="10" s="1"/>
  <c r="M252" i="10"/>
  <c r="O252" i="10" s="1"/>
  <c r="CV251" i="1"/>
  <c r="CW251" i="1" s="1"/>
  <c r="H252" i="10" s="1"/>
  <c r="BT250" i="1"/>
  <c r="BS250" i="1"/>
  <c r="L247" i="10"/>
  <c r="CU247" i="1"/>
  <c r="CV247" i="1"/>
  <c r="CW247" i="1" s="1"/>
  <c r="H247" i="10" s="1"/>
  <c r="M243" i="10"/>
  <c r="O243" i="10" s="1"/>
  <c r="CV243" i="1"/>
  <c r="CW243" i="1" s="1"/>
  <c r="CV241" i="1"/>
  <c r="CW241" i="1" s="1"/>
  <c r="H244" i="10" s="1"/>
  <c r="L244" i="10"/>
  <c r="CU241" i="1"/>
  <c r="CV239" i="1"/>
  <c r="CW239" i="1" s="1"/>
  <c r="H239" i="10" s="1"/>
  <c r="L239" i="10"/>
  <c r="CU239" i="1"/>
  <c r="CV235" i="1"/>
  <c r="CW235" i="1" s="1"/>
  <c r="H236" i="10" s="1"/>
  <c r="CU235" i="1"/>
  <c r="BP227" i="1"/>
  <c r="BS227" i="1" s="1"/>
  <c r="CW227" i="1"/>
  <c r="DF219" i="1"/>
  <c r="DE219" i="1"/>
  <c r="L219" i="10"/>
  <c r="CU219" i="1"/>
  <c r="CV219" i="1"/>
  <c r="CW219" i="1" s="1"/>
  <c r="H219" i="10" s="1"/>
  <c r="CV218" i="1"/>
  <c r="CW218" i="1" s="1"/>
  <c r="H218" i="10" s="1"/>
  <c r="L218" i="10"/>
  <c r="DE213" i="1"/>
  <c r="DF213" i="1"/>
  <c r="L212" i="10"/>
  <c r="CV213" i="1"/>
  <c r="CW213" i="1" s="1"/>
  <c r="H212" i="10" s="1"/>
  <c r="CU213" i="1"/>
  <c r="CV207" i="1"/>
  <c r="CW207" i="1" s="1"/>
  <c r="H207" i="10" s="1"/>
  <c r="CU207" i="1"/>
  <c r="L207" i="10"/>
  <c r="BT206" i="1"/>
  <c r="BS206" i="1"/>
  <c r="CU205" i="1"/>
  <c r="L204" i="10"/>
  <c r="CV205" i="1"/>
  <c r="CW205" i="1" s="1"/>
  <c r="H204" i="10" s="1"/>
  <c r="DE202" i="1"/>
  <c r="DF202" i="1"/>
  <c r="BT120" i="1"/>
  <c r="BS120" i="1"/>
  <c r="CV118" i="1"/>
  <c r="CW118" i="1" s="1"/>
  <c r="H118" i="10" s="1"/>
  <c r="CU118" i="1"/>
  <c r="L118" i="10"/>
  <c r="CU51" i="1"/>
  <c r="L51" i="10"/>
  <c r="CV51" i="1"/>
  <c r="CW51" i="1" s="1"/>
  <c r="H51" i="10" s="1"/>
  <c r="CU558" i="1"/>
  <c r="L566" i="10"/>
  <c r="CV558" i="1"/>
  <c r="CW558" i="1" s="1"/>
  <c r="H566" i="10" s="1"/>
  <c r="F493" i="10"/>
  <c r="CY318" i="1"/>
  <c r="DA318" i="1" s="1"/>
  <c r="T319" i="10" s="1"/>
  <c r="CY361" i="1"/>
  <c r="CZ376" i="1"/>
  <c r="CZ110" i="1"/>
  <c r="CX5" i="1"/>
  <c r="G5" i="10" s="1"/>
  <c r="K5" i="10" s="1"/>
  <c r="F310" i="10"/>
  <c r="CY231" i="1"/>
  <c r="L347" i="10"/>
  <c r="CU331" i="1"/>
  <c r="CW311" i="1"/>
  <c r="CV295" i="1"/>
  <c r="CW295" i="1" s="1"/>
  <c r="H295" i="10" s="1"/>
  <c r="CX472" i="1"/>
  <c r="G480" i="10" s="1"/>
  <c r="K480" i="10" s="1"/>
  <c r="F532" i="10"/>
  <c r="CX442" i="1"/>
  <c r="G451" i="10" s="1"/>
  <c r="K451" i="10" s="1"/>
  <c r="CY43" i="1"/>
  <c r="DA43" i="1" s="1"/>
  <c r="T44" i="10" s="1"/>
  <c r="CX347" i="1"/>
  <c r="G347" i="10" s="1"/>
  <c r="K347" i="10" s="1"/>
  <c r="CY513" i="1"/>
  <c r="DA513" i="1" s="1"/>
  <c r="T520" i="10" s="1"/>
  <c r="CY211" i="1"/>
  <c r="DA211" i="1" s="1"/>
  <c r="T213" i="10" s="1"/>
  <c r="CZ361" i="1"/>
  <c r="CY432" i="1"/>
  <c r="DA432" i="1" s="1"/>
  <c r="T438" i="10" s="1"/>
  <c r="CX432" i="1"/>
  <c r="G438" i="10" s="1"/>
  <c r="K438" i="10" s="1"/>
  <c r="CZ187" i="1"/>
  <c r="CY135" i="1"/>
  <c r="F134" i="10"/>
  <c r="CY142" i="1"/>
  <c r="DA142" i="1" s="1"/>
  <c r="T142" i="10" s="1"/>
  <c r="DA399" i="1"/>
  <c r="T404" i="10" s="1"/>
  <c r="CZ5" i="1"/>
  <c r="DA165" i="1"/>
  <c r="T163" i="10" s="1"/>
  <c r="CY396" i="1"/>
  <c r="DA396" i="1" s="1"/>
  <c r="T400" i="10" s="1"/>
  <c r="CV314" i="1"/>
  <c r="CW314" i="1" s="1"/>
  <c r="H314" i="10" s="1"/>
  <c r="CY553" i="1"/>
  <c r="DA553" i="1" s="1"/>
  <c r="T561" i="10" s="1"/>
  <c r="CY498" i="1"/>
  <c r="DA498" i="1" s="1"/>
  <c r="T506" i="10" s="1"/>
  <c r="CX280" i="1"/>
  <c r="G279" i="10" s="1"/>
  <c r="K279" i="10" s="1"/>
  <c r="CY509" i="1"/>
  <c r="DA509" i="1" s="1"/>
  <c r="T516" i="10" s="1"/>
  <c r="CY197" i="1"/>
  <c r="DA197" i="1" s="1"/>
  <c r="T197" i="10" s="1"/>
  <c r="F197" i="10"/>
  <c r="DA133" i="1"/>
  <c r="T133" i="10" s="1"/>
  <c r="CV278" i="1"/>
  <c r="CW278" i="1" s="1"/>
  <c r="CU202" i="1"/>
  <c r="CY68" i="1"/>
  <c r="DA68" i="1" s="1"/>
  <c r="T69" i="10" s="1"/>
  <c r="V148" i="10"/>
  <c r="CX538" i="1"/>
  <c r="G546" i="10" s="1"/>
  <c r="K546" i="10" s="1"/>
  <c r="CZ538" i="1"/>
  <c r="DA538" i="1" s="1"/>
  <c r="T546" i="10" s="1"/>
  <c r="CX514" i="1"/>
  <c r="G521" i="10" s="1"/>
  <c r="K521" i="10" s="1"/>
  <c r="F521" i="10"/>
  <c r="CX107" i="1"/>
  <c r="G105" i="10" s="1"/>
  <c r="K105" i="10" s="1"/>
  <c r="CZ107" i="1"/>
  <c r="DA107" i="1" s="1"/>
  <c r="T105" i="10" s="1"/>
  <c r="CX503" i="1"/>
  <c r="G511" i="10" s="1"/>
  <c r="K511" i="10" s="1"/>
  <c r="F511" i="10"/>
  <c r="CV310" i="1"/>
  <c r="CW310" i="1" s="1"/>
  <c r="H310" i="10" s="1"/>
  <c r="H550" i="10"/>
  <c r="V142" i="10"/>
  <c r="H547" i="10"/>
  <c r="CY539" i="1"/>
  <c r="DA539" i="1" s="1"/>
  <c r="T547" i="10" s="1"/>
  <c r="H427" i="10"/>
  <c r="CY419" i="1"/>
  <c r="DA419" i="1" s="1"/>
  <c r="T427" i="10" s="1"/>
  <c r="CY535" i="1"/>
  <c r="DA535" i="1" s="1"/>
  <c r="T543" i="10" s="1"/>
  <c r="H543" i="10"/>
  <c r="H270" i="10"/>
  <c r="CY269" i="1"/>
  <c r="DA269" i="1" s="1"/>
  <c r="T270" i="10" s="1"/>
  <c r="DA88" i="1"/>
  <c r="T88" i="10" s="1"/>
  <c r="CY471" i="1"/>
  <c r="DA471" i="1" s="1"/>
  <c r="T478" i="10" s="1"/>
  <c r="CX69" i="1"/>
  <c r="G68" i="10" s="1"/>
  <c r="K68" i="10" s="1"/>
  <c r="F68" i="10"/>
  <c r="CY69" i="1"/>
  <c r="CZ69" i="1"/>
  <c r="CU296" i="1"/>
  <c r="F457" i="10"/>
  <c r="CY449" i="1"/>
  <c r="CZ449" i="1"/>
  <c r="CX544" i="1"/>
  <c r="G552" i="10" s="1"/>
  <c r="K552" i="10" s="1"/>
  <c r="CY544" i="1"/>
  <c r="DA544" i="1" s="1"/>
  <c r="T552" i="10" s="1"/>
  <c r="H337" i="10"/>
  <c r="CY336" i="1"/>
  <c r="DA336" i="1" s="1"/>
  <c r="T337" i="10" s="1"/>
  <c r="CY375" i="1"/>
  <c r="DA375" i="1" s="1"/>
  <c r="T377" i="10" s="1"/>
  <c r="H377" i="10"/>
  <c r="F52" i="10"/>
  <c r="H442" i="10"/>
  <c r="CY434" i="1"/>
  <c r="DA434" i="1" s="1"/>
  <c r="T442" i="10" s="1"/>
  <c r="CY416" i="1"/>
  <c r="CX416" i="1"/>
  <c r="G424" i="10" s="1"/>
  <c r="K424" i="10" s="1"/>
  <c r="CZ416" i="1"/>
  <c r="H261" i="10"/>
  <c r="CY261" i="1"/>
  <c r="DA261" i="1" s="1"/>
  <c r="T261" i="10" s="1"/>
  <c r="O148" i="10"/>
  <c r="CY470" i="1"/>
  <c r="DA470" i="1" s="1"/>
  <c r="T479" i="10" s="1"/>
  <c r="H479" i="10"/>
  <c r="CV398" i="1"/>
  <c r="CW398" i="1" s="1"/>
  <c r="H402" i="10" s="1"/>
  <c r="CU398" i="1"/>
  <c r="L402" i="10"/>
  <c r="CU123" i="1"/>
  <c r="L279" i="10"/>
  <c r="L123" i="10"/>
  <c r="F32" i="10"/>
  <c r="CZ33" i="1"/>
  <c r="CX33" i="1"/>
  <c r="G32" i="10" s="1"/>
  <c r="K32" i="10" s="1"/>
  <c r="CX404" i="1"/>
  <c r="G409" i="10" s="1"/>
  <c r="K409" i="10" s="1"/>
  <c r="CZ404" i="1"/>
  <c r="F409" i="10"/>
  <c r="CV430" i="1"/>
  <c r="CW430" i="1" s="1"/>
  <c r="H440" i="10" s="1"/>
  <c r="CU430" i="1"/>
  <c r="CV445" i="1"/>
  <c r="CW445" i="1" s="1"/>
  <c r="H454" i="10" s="1"/>
  <c r="L454" i="10"/>
  <c r="CU445" i="1"/>
  <c r="H40" i="10"/>
  <c r="CY40" i="1"/>
  <c r="DA40" i="1" s="1"/>
  <c r="T40" i="10" s="1"/>
  <c r="F246" i="10"/>
  <c r="CX245" i="1"/>
  <c r="G246" i="10" s="1"/>
  <c r="K246" i="10" s="1"/>
  <c r="CY245" i="1"/>
  <c r="DA245" i="1" s="1"/>
  <c r="T246" i="10" s="1"/>
  <c r="H184" i="10"/>
  <c r="CY186" i="1"/>
  <c r="DA186" i="1" s="1"/>
  <c r="T184" i="10" s="1"/>
  <c r="CY161" i="1"/>
  <c r="DA161" i="1" s="1"/>
  <c r="T160" i="10" s="1"/>
  <c r="H160" i="10"/>
  <c r="CZ183" i="1"/>
  <c r="CV74" i="1"/>
  <c r="CW74" i="1" s="1"/>
  <c r="H75" i="10" s="1"/>
  <c r="L75" i="10"/>
  <c r="CU74" i="1"/>
  <c r="CU195" i="1"/>
  <c r="CV195" i="1"/>
  <c r="CW195" i="1" s="1"/>
  <c r="H193" i="10" s="1"/>
  <c r="CU531" i="1"/>
  <c r="CV531" i="1"/>
  <c r="CW531" i="1" s="1"/>
  <c r="H539" i="10" s="1"/>
  <c r="L539" i="10"/>
  <c r="L536" i="10"/>
  <c r="CU528" i="1"/>
  <c r="CV528" i="1"/>
  <c r="CW528" i="1" s="1"/>
  <c r="H536" i="10" s="1"/>
  <c r="CX351" i="1"/>
  <c r="G352" i="10" s="1"/>
  <c r="K352" i="10" s="1"/>
  <c r="CX3" i="1"/>
  <c r="G3" i="10" s="1"/>
  <c r="K3" i="10" s="1"/>
  <c r="F3" i="10"/>
  <c r="CY111" i="1"/>
  <c r="DA111" i="1" s="1"/>
  <c r="T113" i="10" s="1"/>
  <c r="F113" i="10"/>
  <c r="H35" i="10"/>
  <c r="CY36" i="1"/>
  <c r="DA36" i="1" s="1"/>
  <c r="T35" i="10" s="1"/>
  <c r="H548" i="10"/>
  <c r="CY540" i="1"/>
  <c r="DA540" i="1" s="1"/>
  <c r="T548" i="10" s="1"/>
  <c r="H20" i="10"/>
  <c r="CY20" i="1"/>
  <c r="DA20" i="1" s="1"/>
  <c r="T20" i="10" s="1"/>
  <c r="L460" i="10"/>
  <c r="CU453" i="1"/>
  <c r="H426" i="10"/>
  <c r="CY417" i="1"/>
  <c r="DA417" i="1" s="1"/>
  <c r="T426" i="10" s="1"/>
  <c r="F25" i="10"/>
  <c r="CX24" i="1"/>
  <c r="G25" i="10" s="1"/>
  <c r="K25" i="10" s="1"/>
  <c r="CZ24" i="1"/>
  <c r="CY24" i="1"/>
  <c r="CZ415" i="1"/>
  <c r="F423" i="10"/>
  <c r="CX415" i="1"/>
  <c r="G423" i="10" s="1"/>
  <c r="K423" i="10" s="1"/>
  <c r="CX260" i="1"/>
  <c r="G259" i="10" s="1"/>
  <c r="K259" i="10" s="1"/>
  <c r="CZ260" i="1"/>
  <c r="F259" i="10"/>
  <c r="CU276" i="1"/>
  <c r="CV276" i="1"/>
  <c r="CW276" i="1" s="1"/>
  <c r="H275" i="10" s="1"/>
  <c r="CX411" i="1"/>
  <c r="G416" i="10" s="1"/>
  <c r="K416" i="10" s="1"/>
  <c r="F416" i="10"/>
  <c r="CV548" i="1"/>
  <c r="CW548" i="1" s="1"/>
  <c r="H556" i="10" s="1"/>
  <c r="L556" i="10"/>
  <c r="CU548" i="1"/>
  <c r="CU82" i="1"/>
  <c r="CV82" i="1"/>
  <c r="CW82" i="1" s="1"/>
  <c r="H83" i="10" s="1"/>
  <c r="F256" i="10"/>
  <c r="CZ256" i="1"/>
  <c r="CY256" i="1"/>
  <c r="H47" i="10"/>
  <c r="CY47" i="1"/>
  <c r="F500" i="10"/>
  <c r="CX492" i="1"/>
  <c r="G500" i="10" s="1"/>
  <c r="K500" i="10" s="1"/>
  <c r="CY492" i="1"/>
  <c r="DA492" i="1" s="1"/>
  <c r="T500" i="10" s="1"/>
  <c r="CZ492" i="1"/>
  <c r="L67" i="10"/>
  <c r="CU66" i="1"/>
  <c r="N54" i="10"/>
  <c r="U54" i="10" s="1"/>
  <c r="W54" i="10"/>
  <c r="V54" i="10"/>
  <c r="O54" i="10"/>
  <c r="V60" i="10"/>
  <c r="O60" i="10"/>
  <c r="O138" i="10"/>
  <c r="N138" i="10"/>
  <c r="U138" i="10" s="1"/>
  <c r="V138" i="10"/>
  <c r="W138" i="10"/>
  <c r="N166" i="10"/>
  <c r="U166" i="10" s="1"/>
  <c r="W166" i="10"/>
  <c r="O166" i="10"/>
  <c r="V166" i="10"/>
  <c r="N229" i="10"/>
  <c r="U229" i="10" s="1"/>
  <c r="V229" i="10"/>
  <c r="W229" i="10"/>
  <c r="N257" i="10"/>
  <c r="U257" i="10" s="1"/>
  <c r="V257" i="10"/>
  <c r="V388" i="10"/>
  <c r="N388" i="10"/>
  <c r="U388" i="10" s="1"/>
  <c r="O388" i="10"/>
  <c r="W388" i="10"/>
  <c r="N400" i="10"/>
  <c r="U400" i="10" s="1"/>
  <c r="O400" i="10"/>
  <c r="V400" i="10"/>
  <c r="W400" i="10"/>
  <c r="N428" i="10"/>
  <c r="U428" i="10" s="1"/>
  <c r="V428" i="10"/>
  <c r="W428" i="10"/>
  <c r="O428" i="10"/>
  <c r="BP344" i="1"/>
  <c r="BS344" i="1" s="1"/>
  <c r="CW344" i="1"/>
  <c r="H345" i="10" s="1"/>
  <c r="DF338" i="1"/>
  <c r="DE338" i="1"/>
  <c r="DE335" i="1"/>
  <c r="DF335" i="1"/>
  <c r="BP334" i="1"/>
  <c r="BS334" i="1" s="1"/>
  <c r="CW334" i="1"/>
  <c r="CU325" i="1"/>
  <c r="L326" i="10"/>
  <c r="CV325" i="1"/>
  <c r="CW325" i="1" s="1"/>
  <c r="H326" i="10" s="1"/>
  <c r="CU313" i="1"/>
  <c r="CV313" i="1"/>
  <c r="CW313" i="1" s="1"/>
  <c r="H316" i="10" s="1"/>
  <c r="CY234" i="1"/>
  <c r="DA234" i="1" s="1"/>
  <c r="T234" i="10" s="1"/>
  <c r="CX323" i="1"/>
  <c r="G323" i="10" s="1"/>
  <c r="K323" i="10" s="1"/>
  <c r="F347" i="10"/>
  <c r="CZ135" i="1"/>
  <c r="F112" i="10"/>
  <c r="F352" i="10"/>
  <c r="F5" i="10"/>
  <c r="CY533" i="1"/>
  <c r="DA533" i="1" s="1"/>
  <c r="T541" i="10" s="1"/>
  <c r="CY504" i="1"/>
  <c r="DA504" i="1" s="1"/>
  <c r="T512" i="10" s="1"/>
  <c r="CY148" i="1"/>
  <c r="DA148" i="1" s="1"/>
  <c r="T148" i="10" s="1"/>
  <c r="CY34" i="1"/>
  <c r="DA34" i="1" s="1"/>
  <c r="T34" i="10" s="1"/>
  <c r="DA190" i="1"/>
  <c r="T189" i="10" s="1"/>
  <c r="CX310" i="1"/>
  <c r="G310" i="10" s="1"/>
  <c r="K310" i="10" s="1"/>
  <c r="DA91" i="1"/>
  <c r="T91" i="10" s="1"/>
  <c r="DA384" i="1"/>
  <c r="T388" i="10" s="1"/>
  <c r="F279" i="10"/>
  <c r="CZ111" i="1"/>
  <c r="CY137" i="1"/>
  <c r="DA137" i="1" s="1"/>
  <c r="T136" i="10" s="1"/>
  <c r="CX484" i="1"/>
  <c r="G492" i="10" s="1"/>
  <c r="K492" i="10" s="1"/>
  <c r="CY484" i="1"/>
  <c r="DA484" i="1" s="1"/>
  <c r="T492" i="10" s="1"/>
  <c r="DA199" i="1"/>
  <c r="T198" i="10" s="1"/>
  <c r="CY200" i="1"/>
  <c r="DA200" i="1" s="1"/>
  <c r="T200" i="10" s="1"/>
  <c r="CY215" i="1"/>
  <c r="DA215" i="1" s="1"/>
  <c r="T215" i="10" s="1"/>
  <c r="CV110" i="1"/>
  <c r="CW110" i="1" s="1"/>
  <c r="H145" i="10"/>
  <c r="T2" i="10"/>
  <c r="CY4" i="1"/>
  <c r="DA4" i="1" s="1"/>
  <c r="T4" i="10" s="1"/>
  <c r="CY406" i="1"/>
  <c r="DA406" i="1" s="1"/>
  <c r="T412" i="10" s="1"/>
  <c r="F412" i="10"/>
  <c r="N60" i="10"/>
  <c r="U60" i="10" s="1"/>
  <c r="DA180" i="1"/>
  <c r="T178" i="10" s="1"/>
  <c r="L275" i="10"/>
  <c r="CY461" i="1"/>
  <c r="CZ461" i="1"/>
  <c r="CY415" i="1"/>
  <c r="DA181" i="1"/>
  <c r="T183" i="10" s="1"/>
  <c r="CY455" i="1"/>
  <c r="DA455" i="1" s="1"/>
  <c r="T466" i="10" s="1"/>
  <c r="CZ413" i="1"/>
  <c r="DA413" i="1" s="1"/>
  <c r="T422" i="10" s="1"/>
  <c r="CX413" i="1"/>
  <c r="G422" i="10" s="1"/>
  <c r="K422" i="10" s="1"/>
  <c r="DA100" i="1"/>
  <c r="T100" i="10" s="1"/>
  <c r="DA132" i="1"/>
  <c r="T131" i="10" s="1"/>
  <c r="H150" i="10"/>
  <c r="CY150" i="1"/>
  <c r="DA150" i="1" s="1"/>
  <c r="T150" i="10" s="1"/>
  <c r="CY58" i="1"/>
  <c r="DA58" i="1" s="1"/>
  <c r="T58" i="10" s="1"/>
  <c r="F58" i="10"/>
  <c r="CU295" i="1"/>
  <c r="L295" i="10"/>
  <c r="W132" i="10"/>
  <c r="W257" i="10"/>
  <c r="O229" i="10"/>
  <c r="F45" i="10"/>
  <c r="CX45" i="1"/>
  <c r="G45" i="10" s="1"/>
  <c r="K45" i="10" s="1"/>
  <c r="CV66" i="1"/>
  <c r="CW66" i="1" s="1"/>
  <c r="H67" i="10" s="1"/>
  <c r="H43" i="10"/>
  <c r="CY44" i="1"/>
  <c r="DA44" i="1" s="1"/>
  <c r="T43" i="10" s="1"/>
  <c r="H393" i="10"/>
  <c r="CY389" i="1"/>
  <c r="DA389" i="1" s="1"/>
  <c r="T393" i="10" s="1"/>
  <c r="H468" i="10"/>
  <c r="CY463" i="1"/>
  <c r="DA463" i="1" s="1"/>
  <c r="T468" i="10" s="1"/>
  <c r="CX41" i="1"/>
  <c r="G41" i="10" s="1"/>
  <c r="K41" i="10" s="1"/>
  <c r="CY41" i="1"/>
  <c r="DA41" i="1" s="1"/>
  <c r="T41" i="10" s="1"/>
  <c r="F262" i="10"/>
  <c r="CX262" i="1"/>
  <c r="G262" i="10" s="1"/>
  <c r="K262" i="10" s="1"/>
  <c r="CU364" i="1"/>
  <c r="CY270" i="1"/>
  <c r="DA270" i="1" s="1"/>
  <c r="T269" i="10" s="1"/>
  <c r="H269" i="10"/>
  <c r="H445" i="10"/>
  <c r="CY438" i="1"/>
  <c r="DA438" i="1" s="1"/>
  <c r="T445" i="10" s="1"/>
  <c r="CY248" i="1"/>
  <c r="DA248" i="1" s="1"/>
  <c r="T248" i="10" s="1"/>
  <c r="H248" i="10"/>
  <c r="H260" i="10"/>
  <c r="CY259" i="1"/>
  <c r="DA259" i="1" s="1"/>
  <c r="T260" i="10" s="1"/>
  <c r="CZ411" i="1"/>
  <c r="CX163" i="1"/>
  <c r="G164" i="10" s="1"/>
  <c r="K164" i="10" s="1"/>
  <c r="CZ163" i="1"/>
  <c r="DA163" i="1" s="1"/>
  <c r="T164" i="10" s="1"/>
  <c r="H425" i="10"/>
  <c r="CY418" i="1"/>
  <c r="DA418" i="1" s="1"/>
  <c r="T425" i="10" s="1"/>
  <c r="CZ475" i="1"/>
  <c r="CY475" i="1"/>
  <c r="CZ499" i="1"/>
  <c r="F507" i="10"/>
  <c r="CY499" i="1"/>
  <c r="CX499" i="1"/>
  <c r="G507" i="10" s="1"/>
  <c r="K507" i="10" s="1"/>
  <c r="CY32" i="1"/>
  <c r="DA32" i="1" s="1"/>
  <c r="T33" i="10" s="1"/>
  <c r="H33" i="10"/>
  <c r="H220" i="10"/>
  <c r="CY220" i="1"/>
  <c r="DA220" i="1" s="1"/>
  <c r="T220" i="10" s="1"/>
  <c r="CY224" i="1"/>
  <c r="DA224" i="1" s="1"/>
  <c r="T225" i="10" s="1"/>
  <c r="CZ224" i="1"/>
  <c r="CX224" i="1"/>
  <c r="G225" i="10" s="1"/>
  <c r="K225" i="10" s="1"/>
  <c r="CY64" i="1"/>
  <c r="H64" i="10"/>
  <c r="L363" i="10"/>
  <c r="CY516" i="1"/>
  <c r="DA516" i="1" s="1"/>
  <c r="T523" i="10" s="1"/>
  <c r="CZ516" i="1"/>
  <c r="CX516" i="1"/>
  <c r="G523" i="10" s="1"/>
  <c r="K523" i="10" s="1"/>
  <c r="F523" i="10"/>
  <c r="CZ547" i="1"/>
  <c r="CX547" i="1"/>
  <c r="G555" i="10" s="1"/>
  <c r="K555" i="10" s="1"/>
  <c r="L538" i="10"/>
  <c r="CV530" i="1"/>
  <c r="CW530" i="1" s="1"/>
  <c r="H538" i="10" s="1"/>
  <c r="CU530" i="1"/>
  <c r="L255" i="10"/>
  <c r="CV253" i="1"/>
  <c r="CW253" i="1" s="1"/>
  <c r="H255" i="10" s="1"/>
  <c r="CU253" i="1"/>
  <c r="CU223" i="1"/>
  <c r="CV223" i="1"/>
  <c r="CW223" i="1" s="1"/>
  <c r="H222" i="10" s="1"/>
  <c r="L358" i="10"/>
  <c r="CU357" i="1"/>
  <c r="CV357" i="1"/>
  <c r="CW357" i="1" s="1"/>
  <c r="H358" i="10" s="1"/>
  <c r="L465" i="10"/>
  <c r="CV458" i="1"/>
  <c r="CW458" i="1" s="1"/>
  <c r="H465" i="10" s="1"/>
  <c r="L301" i="10"/>
  <c r="H60" i="10"/>
  <c r="CY59" i="1"/>
  <c r="DA59" i="1" s="1"/>
  <c r="T60" i="10" s="1"/>
  <c r="CX314" i="1"/>
  <c r="G314" i="10" s="1"/>
  <c r="K314" i="10" s="1"/>
  <c r="F314" i="10"/>
  <c r="CZ332" i="1"/>
  <c r="CY332" i="1"/>
  <c r="CX376" i="1"/>
  <c r="G379" i="10" s="1"/>
  <c r="K379" i="10" s="1"/>
  <c r="CY376" i="1"/>
  <c r="DA376" i="1" s="1"/>
  <c r="T379" i="10" s="1"/>
  <c r="CX208" i="1"/>
  <c r="G209" i="10" s="1"/>
  <c r="K209" i="10" s="1"/>
  <c r="F209" i="10"/>
  <c r="H446" i="10"/>
  <c r="CY439" i="1"/>
  <c r="DA439" i="1" s="1"/>
  <c r="T446" i="10" s="1"/>
  <c r="H30" i="10"/>
  <c r="CY30" i="1"/>
  <c r="DA30" i="1" s="1"/>
  <c r="T30" i="10" s="1"/>
  <c r="DA146" i="1"/>
  <c r="T145" i="10" s="1"/>
  <c r="CU46" i="1"/>
  <c r="CV46" i="1"/>
  <c r="CW46" i="1" s="1"/>
  <c r="H46" i="10" s="1"/>
  <c r="L46" i="10"/>
  <c r="CU71" i="1"/>
  <c r="L71" i="10"/>
  <c r="CY460" i="1"/>
  <c r="DA460" i="1" s="1"/>
  <c r="T471" i="10" s="1"/>
  <c r="H471" i="10"/>
  <c r="CU486" i="1"/>
  <c r="CV486" i="1"/>
  <c r="CW486" i="1" s="1"/>
  <c r="H494" i="10" s="1"/>
  <c r="N11" i="10"/>
  <c r="U11" i="10" s="1"/>
  <c r="V11" i="10"/>
  <c r="O11" i="10"/>
  <c r="W76" i="10"/>
  <c r="V76" i="10"/>
  <c r="O76" i="10"/>
  <c r="N76" i="10"/>
  <c r="U76" i="10" s="1"/>
  <c r="W88" i="10"/>
  <c r="N88" i="10"/>
  <c r="U88" i="10" s="1"/>
  <c r="V88" i="10"/>
  <c r="O88" i="10"/>
  <c r="N177" i="10"/>
  <c r="U177" i="10" s="1"/>
  <c r="O177" i="10"/>
  <c r="W177" i="10"/>
  <c r="N271" i="10"/>
  <c r="U271" i="10" s="1"/>
  <c r="W271" i="10"/>
  <c r="V271" i="10"/>
  <c r="O271" i="10"/>
  <c r="N293" i="10"/>
  <c r="U293" i="10" s="1"/>
  <c r="O293" i="10"/>
  <c r="W293" i="10"/>
  <c r="V397" i="10"/>
  <c r="W397" i="10"/>
  <c r="O397" i="10"/>
  <c r="N397" i="10"/>
  <c r="U397" i="10" s="1"/>
  <c r="L360" i="10"/>
  <c r="CU359" i="1"/>
  <c r="L359" i="10"/>
  <c r="CV358" i="1"/>
  <c r="CW358" i="1" s="1"/>
  <c r="H359" i="10" s="1"/>
  <c r="CU341" i="1"/>
  <c r="L342" i="10"/>
  <c r="CV341" i="1"/>
  <c r="CW341" i="1" s="1"/>
  <c r="H342" i="10" s="1"/>
  <c r="L339" i="10"/>
  <c r="CU338" i="1"/>
  <c r="CV338" i="1"/>
  <c r="CW338" i="1" s="1"/>
  <c r="H339" i="10" s="1"/>
  <c r="DE330" i="1"/>
  <c r="DF330" i="1"/>
  <c r="CU330" i="1"/>
  <c r="CV330" i="1"/>
  <c r="CW330" i="1" s="1"/>
  <c r="H331" i="10" s="1"/>
  <c r="L331" i="10"/>
  <c r="DF328" i="1"/>
  <c r="DE328" i="1"/>
  <c r="CU328" i="1"/>
  <c r="CV328" i="1"/>
  <c r="CW328" i="1" s="1"/>
  <c r="H329" i="10" s="1"/>
  <c r="L329" i="10"/>
  <c r="DE325" i="1"/>
  <c r="DF325" i="1"/>
  <c r="CV322" i="1"/>
  <c r="CW322" i="1" s="1"/>
  <c r="H324" i="10" s="1"/>
  <c r="M324" i="10"/>
  <c r="O324" i="10" s="1"/>
  <c r="BT321" i="1"/>
  <c r="BS321" i="1"/>
  <c r="L317" i="10"/>
  <c r="CU316" i="1"/>
  <c r="CV316" i="1"/>
  <c r="CW316" i="1" s="1"/>
  <c r="H317" i="10" s="1"/>
  <c r="DE315" i="1"/>
  <c r="DF315" i="1"/>
  <c r="CV304" i="1"/>
  <c r="CW304" i="1" s="1"/>
  <c r="H303" i="10" s="1"/>
  <c r="CU304" i="1"/>
  <c r="CU302" i="1"/>
  <c r="L304" i="10"/>
  <c r="L292" i="10"/>
  <c r="CU291" i="1"/>
  <c r="CV291" i="1"/>
  <c r="CW291" i="1" s="1"/>
  <c r="H292" i="10" s="1"/>
  <c r="CU287" i="1"/>
  <c r="L287" i="10"/>
  <c r="BT271" i="1"/>
  <c r="BS271" i="1"/>
  <c r="BT249" i="1"/>
  <c r="BS249" i="1"/>
  <c r="DF241" i="1"/>
  <c r="DE241" i="1"/>
  <c r="DE235" i="1"/>
  <c r="DF235" i="1"/>
  <c r="L57" i="10"/>
  <c r="CU56" i="1"/>
  <c r="CZ314" i="1"/>
  <c r="CY187" i="1"/>
  <c r="DA187" i="1" s="1"/>
  <c r="T188" i="10" s="1"/>
  <c r="CY61" i="1"/>
  <c r="DA61" i="1" s="1"/>
  <c r="T61" i="10" s="1"/>
  <c r="CY536" i="1"/>
  <c r="DA536" i="1" s="1"/>
  <c r="T544" i="10" s="1"/>
  <c r="DA203" i="1"/>
  <c r="T203" i="10" s="1"/>
  <c r="CU237" i="1"/>
  <c r="CY408" i="1"/>
  <c r="DA408" i="1" s="1"/>
  <c r="T414" i="10" s="1"/>
  <c r="F414" i="10"/>
  <c r="CV335" i="1"/>
  <c r="CW335" i="1" s="1"/>
  <c r="H336" i="10" s="1"/>
  <c r="CX141" i="1"/>
  <c r="G141" i="10" s="1"/>
  <c r="K141" i="10" s="1"/>
  <c r="CY141" i="1"/>
  <c r="DA141" i="1" s="1"/>
  <c r="T141" i="10" s="1"/>
  <c r="W11" i="10"/>
  <c r="CV302" i="1"/>
  <c r="CW302" i="1" s="1"/>
  <c r="H304" i="10" s="1"/>
  <c r="F503" i="10"/>
  <c r="CY495" i="1"/>
  <c r="DA495" i="1" s="1"/>
  <c r="T503" i="10" s="1"/>
  <c r="DA151" i="1"/>
  <c r="T152" i="10" s="1"/>
  <c r="CY411" i="1"/>
  <c r="DA411" i="1" s="1"/>
  <c r="T416" i="10" s="1"/>
  <c r="CZ134" i="1"/>
  <c r="F135" i="10"/>
  <c r="L310" i="10"/>
  <c r="CX218" i="1"/>
  <c r="G218" i="10" s="1"/>
  <c r="K218" i="10" s="1"/>
  <c r="CX162" i="1"/>
  <c r="G162" i="10" s="1"/>
  <c r="K162" i="10" s="1"/>
  <c r="CY162" i="1"/>
  <c r="DA162" i="1" s="1"/>
  <c r="T162" i="10" s="1"/>
  <c r="CV280" i="1"/>
  <c r="CW280" i="1" s="1"/>
  <c r="CY96" i="1"/>
  <c r="DA96" i="1" s="1"/>
  <c r="T96" i="10" s="1"/>
  <c r="F96" i="10"/>
  <c r="CZ96" i="1"/>
  <c r="CY397" i="1"/>
  <c r="DA397" i="1" s="1"/>
  <c r="T401" i="10" s="1"/>
  <c r="CX397" i="1"/>
  <c r="G401" i="10" s="1"/>
  <c r="K401" i="10" s="1"/>
  <c r="CY311" i="1"/>
  <c r="DA311" i="1" s="1"/>
  <c r="T311" i="10" s="1"/>
  <c r="CX458" i="1"/>
  <c r="G465" i="10" s="1"/>
  <c r="K465" i="10" s="1"/>
  <c r="CY458" i="1"/>
  <c r="DA458" i="1" s="1"/>
  <c r="T465" i="10" s="1"/>
  <c r="CU358" i="1"/>
  <c r="CY512" i="1"/>
  <c r="DA512" i="1" s="1"/>
  <c r="T519" i="10" s="1"/>
  <c r="N209" i="10"/>
  <c r="U209" i="10" s="1"/>
  <c r="V293" i="10"/>
  <c r="CY128" i="1"/>
  <c r="DA128" i="1" s="1"/>
  <c r="T128" i="10" s="1"/>
  <c r="H128" i="10"/>
  <c r="CY109" i="1"/>
  <c r="DA109" i="1" s="1"/>
  <c r="T108" i="10" s="1"/>
  <c r="CX39" i="1"/>
  <c r="G39" i="10" s="1"/>
  <c r="K39" i="10" s="1"/>
  <c r="CZ39" i="1"/>
  <c r="DA39" i="1" s="1"/>
  <c r="T39" i="10" s="1"/>
  <c r="CY333" i="1"/>
  <c r="DA333" i="1" s="1"/>
  <c r="T334" i="10" s="1"/>
  <c r="CZ333" i="1"/>
  <c r="CX173" i="1"/>
  <c r="G173" i="10" s="1"/>
  <c r="K173" i="10" s="1"/>
  <c r="CZ173" i="1"/>
  <c r="DA173" i="1" s="1"/>
  <c r="T173" i="10" s="1"/>
  <c r="H463" i="10"/>
  <c r="CY457" i="1"/>
  <c r="DA457" i="1" s="1"/>
  <c r="T463" i="10" s="1"/>
  <c r="CZ467" i="1"/>
  <c r="DA467" i="1" s="1"/>
  <c r="T475" i="10" s="1"/>
  <c r="CX467" i="1"/>
  <c r="G475" i="10" s="1"/>
  <c r="K475" i="10" s="1"/>
  <c r="H159" i="10"/>
  <c r="CY159" i="1"/>
  <c r="DA159" i="1" s="1"/>
  <c r="T159" i="10" s="1"/>
  <c r="H70" i="10"/>
  <c r="CY70" i="1"/>
  <c r="DA70" i="1" s="1"/>
  <c r="T70" i="10" s="1"/>
  <c r="CV453" i="1"/>
  <c r="CW453" i="1" s="1"/>
  <c r="H460" i="10" s="1"/>
  <c r="CV359" i="1"/>
  <c r="CW359" i="1" s="1"/>
  <c r="H360" i="10" s="1"/>
  <c r="F168" i="10"/>
  <c r="CZ166" i="1"/>
  <c r="L367" i="10"/>
  <c r="CX307" i="1"/>
  <c r="G307" i="10" s="1"/>
  <c r="K307" i="10" s="1"/>
  <c r="F307" i="10"/>
  <c r="CZ307" i="1"/>
  <c r="CY307" i="1"/>
  <c r="CV364" i="1"/>
  <c r="CW364" i="1" s="1"/>
  <c r="H390" i="10"/>
  <c r="CY385" i="1"/>
  <c r="DA385" i="1" s="1"/>
  <c r="T390" i="10" s="1"/>
  <c r="H271" i="10"/>
  <c r="CY274" i="1"/>
  <c r="DA274" i="1" s="1"/>
  <c r="T271" i="10" s="1"/>
  <c r="CU346" i="1"/>
  <c r="DA14" i="1"/>
  <c r="T14" i="10" s="1"/>
  <c r="N237" i="10"/>
  <c r="U237" i="10" s="1"/>
  <c r="H196" i="10"/>
  <c r="CY196" i="1"/>
  <c r="DA196" i="1" s="1"/>
  <c r="T196" i="10" s="1"/>
  <c r="CZ508" i="1"/>
  <c r="CY508" i="1"/>
  <c r="CX508" i="1"/>
  <c r="G515" i="10" s="1"/>
  <c r="K515" i="10" s="1"/>
  <c r="CY405" i="1"/>
  <c r="DA405" i="1" s="1"/>
  <c r="T410" i="10" s="1"/>
  <c r="CZ405" i="1"/>
  <c r="F410" i="10"/>
  <c r="CX405" i="1"/>
  <c r="G410" i="10" s="1"/>
  <c r="K410" i="10" s="1"/>
  <c r="L494" i="10"/>
  <c r="L372" i="10"/>
  <c r="CU370" i="1"/>
  <c r="CV370" i="1"/>
  <c r="CW370" i="1" s="1"/>
  <c r="H372" i="10" s="1"/>
  <c r="CZ279" i="1"/>
  <c r="CX279" i="1"/>
  <c r="G280" i="10" s="1"/>
  <c r="K280" i="10" s="1"/>
  <c r="CY279" i="1"/>
  <c r="H435" i="10"/>
  <c r="CY427" i="1"/>
  <c r="DA427" i="1" s="1"/>
  <c r="T435" i="10" s="1"/>
  <c r="BT291" i="1"/>
  <c r="CU300" i="1"/>
  <c r="CV300" i="1"/>
  <c r="CW300" i="1" s="1"/>
  <c r="H300" i="10" s="1"/>
  <c r="L300" i="10"/>
  <c r="CV329" i="1"/>
  <c r="CW329" i="1" s="1"/>
  <c r="L330" i="10"/>
  <c r="CU277" i="1"/>
  <c r="L277" i="10"/>
  <c r="CV277" i="1"/>
  <c r="CW277" i="1" s="1"/>
  <c r="H277" i="10" s="1"/>
  <c r="DF298" i="1"/>
  <c r="CV12" i="1"/>
  <c r="CW12" i="1" s="1"/>
  <c r="H12" i="10" s="1"/>
  <c r="CU12" i="1"/>
  <c r="BS244" i="1"/>
  <c r="H48" i="10"/>
  <c r="CY48" i="1"/>
  <c r="DA48" i="1" s="1"/>
  <c r="T48" i="10" s="1"/>
  <c r="F104" i="10"/>
  <c r="CZ104" i="1"/>
  <c r="DA104" i="1" s="1"/>
  <c r="T104" i="10" s="1"/>
  <c r="L272" i="10"/>
  <c r="CV272" i="1"/>
  <c r="CW272" i="1" s="1"/>
  <c r="H272" i="10" s="1"/>
  <c r="CU272" i="1"/>
  <c r="DA505" i="1"/>
  <c r="T513" i="10" s="1"/>
  <c r="CY158" i="1"/>
  <c r="DA158" i="1" s="1"/>
  <c r="F281" i="10"/>
  <c r="CY379" i="1"/>
  <c r="DA379" i="1" s="1"/>
  <c r="T381" i="10" s="1"/>
  <c r="CY27" i="1"/>
  <c r="DA27" i="1" s="1"/>
  <c r="T27" i="10" s="1"/>
  <c r="CZ231" i="1"/>
  <c r="L438" i="10"/>
  <c r="CX79" i="1"/>
  <c r="G76" i="10" s="1"/>
  <c r="K76" i="10" s="1"/>
  <c r="CX437" i="1"/>
  <c r="G447" i="10" s="1"/>
  <c r="K447" i="10" s="1"/>
  <c r="CY238" i="1"/>
  <c r="DA238" i="1" s="1"/>
  <c r="T238" i="10" s="1"/>
  <c r="CY450" i="1"/>
  <c r="DA450" i="1" s="1"/>
  <c r="T458" i="10" s="1"/>
  <c r="F471" i="10"/>
  <c r="L506" i="10"/>
  <c r="CX407" i="1"/>
  <c r="G415" i="10" s="1"/>
  <c r="K415" i="10" s="1"/>
  <c r="CY102" i="1"/>
  <c r="DA102" i="1" s="1"/>
  <c r="T102" i="10" s="1"/>
  <c r="L427" i="10"/>
  <c r="CY125" i="1"/>
  <c r="DA125" i="1" s="1"/>
  <c r="T124" i="10" s="1"/>
  <c r="CX48" i="1"/>
  <c r="G48" i="10" s="1"/>
  <c r="K48" i="10" s="1"/>
  <c r="CZ191" i="1"/>
  <c r="DA506" i="1"/>
  <c r="T514" i="10" s="1"/>
  <c r="CY283" i="1"/>
  <c r="DA283" i="1" s="1"/>
  <c r="T283" i="10" s="1"/>
  <c r="CX483" i="1"/>
  <c r="G491" i="10" s="1"/>
  <c r="K491" i="10" s="1"/>
  <c r="CY254" i="1"/>
  <c r="DA254" i="1" s="1"/>
  <c r="T254" i="10" s="1"/>
  <c r="CY35" i="1"/>
  <c r="DA35" i="1" s="1"/>
  <c r="T36" i="10" s="1"/>
  <c r="CV102" i="1"/>
  <c r="CW102" i="1" s="1"/>
  <c r="H102" i="10" s="1"/>
  <c r="CU308" i="1"/>
  <c r="CX283" i="1"/>
  <c r="G283" i="10" s="1"/>
  <c r="K283" i="10" s="1"/>
  <c r="H22" i="10"/>
  <c r="CV474" i="1"/>
  <c r="CW474" i="1" s="1"/>
  <c r="CY236" i="1"/>
  <c r="DA236" i="1" s="1"/>
  <c r="T235" i="10" s="1"/>
  <c r="O90" i="10"/>
  <c r="V212" i="10"/>
  <c r="N238" i="10"/>
  <c r="U238" i="10" s="1"/>
  <c r="W238" i="10"/>
  <c r="CY249" i="1"/>
  <c r="DA249" i="1" s="1"/>
  <c r="T249" i="10" s="1"/>
  <c r="V171" i="10"/>
  <c r="CY510" i="1"/>
  <c r="DA510" i="1" s="1"/>
  <c r="T517" i="10" s="1"/>
  <c r="CX113" i="1"/>
  <c r="G110" i="10" s="1"/>
  <c r="K110" i="10" s="1"/>
  <c r="F14" i="10"/>
  <c r="CX14" i="1"/>
  <c r="G14" i="10" s="1"/>
  <c r="K14" i="10" s="1"/>
  <c r="F155" i="10"/>
  <c r="CX450" i="1"/>
  <c r="G458" i="10" s="1"/>
  <c r="K458" i="10" s="1"/>
  <c r="F458" i="10"/>
  <c r="L170" i="10"/>
  <c r="CX217" i="1"/>
  <c r="G216" i="10" s="1"/>
  <c r="K216" i="10" s="1"/>
  <c r="CY217" i="1"/>
  <c r="DA217" i="1" s="1"/>
  <c r="T216" i="10" s="1"/>
  <c r="O201" i="10"/>
  <c r="F545" i="10"/>
  <c r="H166" i="10"/>
  <c r="CY529" i="1"/>
  <c r="DA529" i="1" s="1"/>
  <c r="T537" i="10" s="1"/>
  <c r="CX132" i="1"/>
  <c r="G131" i="10" s="1"/>
  <c r="K131" i="10" s="1"/>
  <c r="CZ132" i="1"/>
  <c r="F131" i="10"/>
  <c r="V377" i="10"/>
  <c r="N260" i="10"/>
  <c r="U260" i="10" s="1"/>
  <c r="N158" i="10"/>
  <c r="U158" i="10" s="1"/>
  <c r="CV383" i="1"/>
  <c r="CW383" i="1" s="1"/>
  <c r="H387" i="10" s="1"/>
  <c r="N171" i="10"/>
  <c r="U171" i="10" s="1"/>
  <c r="CU317" i="1"/>
  <c r="L318" i="10"/>
  <c r="F11" i="10"/>
  <c r="CZ477" i="1"/>
  <c r="CY477" i="1"/>
  <c r="L253" i="10"/>
  <c r="CX38" i="1"/>
  <c r="G38" i="10" s="1"/>
  <c r="K38" i="10" s="1"/>
  <c r="CY38" i="1"/>
  <c r="DA38" i="1" s="1"/>
  <c r="T38" i="10" s="1"/>
  <c r="F64" i="10"/>
  <c r="CZ64" i="1"/>
  <c r="CZ385" i="1"/>
  <c r="F217" i="10"/>
  <c r="CX216" i="1"/>
  <c r="G217" i="10" s="1"/>
  <c r="K217" i="10" s="1"/>
  <c r="F130" i="10"/>
  <c r="CX70" i="1"/>
  <c r="G70" i="10" s="1"/>
  <c r="K70" i="10" s="1"/>
  <c r="L31" i="10"/>
  <c r="CV327" i="1"/>
  <c r="CW327" i="1" s="1"/>
  <c r="H328" i="10" s="1"/>
  <c r="L16" i="10"/>
  <c r="CU16" i="1"/>
  <c r="CU501" i="1"/>
  <c r="L509" i="10"/>
  <c r="CV511" i="1"/>
  <c r="CW511" i="1" s="1"/>
  <c r="H518" i="10" s="1"/>
  <c r="CU511" i="1"/>
  <c r="CU355" i="1"/>
  <c r="L356" i="10"/>
  <c r="CU383" i="1"/>
  <c r="F428" i="10"/>
  <c r="CX421" i="1"/>
  <c r="G428" i="10" s="1"/>
  <c r="K428" i="10" s="1"/>
  <c r="DA94" i="1"/>
  <c r="T94" i="10" s="1"/>
  <c r="CU546" i="1"/>
  <c r="CV546" i="1"/>
  <c r="CW546" i="1" s="1"/>
  <c r="H554" i="10" s="1"/>
  <c r="CV545" i="1"/>
  <c r="CW545" i="1" s="1"/>
  <c r="H553" i="10" s="1"/>
  <c r="CU545" i="1"/>
  <c r="CZ451" i="1"/>
  <c r="CX451" i="1"/>
  <c r="G459" i="10" s="1"/>
  <c r="K459" i="10" s="1"/>
  <c r="CY451" i="1"/>
  <c r="DA451" i="1" s="1"/>
  <c r="T459" i="10" s="1"/>
  <c r="CU551" i="1"/>
  <c r="CV551" i="1"/>
  <c r="CW551" i="1" s="1"/>
  <c r="H559" i="10" s="1"/>
  <c r="CX147" i="1"/>
  <c r="G147" i="10" s="1"/>
  <c r="K147" i="10" s="1"/>
  <c r="CZ147" i="1"/>
  <c r="DA147" i="1" s="1"/>
  <c r="T147" i="10" s="1"/>
  <c r="CU285" i="1"/>
  <c r="L284" i="10"/>
  <c r="F488" i="10"/>
  <c r="CX480" i="1"/>
  <c r="G488" i="10" s="1"/>
  <c r="K488" i="10" s="1"/>
  <c r="CY106" i="1"/>
  <c r="DA106" i="1" s="1"/>
  <c r="T107" i="10" s="1"/>
  <c r="CY83" i="1"/>
  <c r="DA83" i="1" s="1"/>
  <c r="T82" i="10" s="1"/>
  <c r="CU290" i="1"/>
  <c r="L291" i="10"/>
  <c r="CU381" i="1"/>
  <c r="CV381" i="1"/>
  <c r="CW381" i="1" s="1"/>
  <c r="H382" i="10" s="1"/>
  <c r="CU78" i="1"/>
  <c r="L78" i="10"/>
  <c r="CV134" i="1"/>
  <c r="CW134" i="1" s="1"/>
  <c r="L135" i="10"/>
  <c r="F65" i="10"/>
  <c r="CZ65" i="1"/>
  <c r="DA65" i="1" s="1"/>
  <c r="T65" i="10" s="1"/>
  <c r="CV224" i="1"/>
  <c r="CW224" i="1" s="1"/>
  <c r="H225" i="10" s="1"/>
  <c r="L225" i="10"/>
  <c r="CV156" i="1"/>
  <c r="CW156" i="1" s="1"/>
  <c r="L157" i="10"/>
  <c r="CU212" i="1"/>
  <c r="L211" i="10"/>
  <c r="L169" i="10"/>
  <c r="CU169" i="1"/>
  <c r="V20" i="10"/>
  <c r="O20" i="10"/>
  <c r="W67" i="10"/>
  <c r="N67" i="10"/>
  <c r="U67" i="10" s="1"/>
  <c r="V81" i="10"/>
  <c r="W81" i="10"/>
  <c r="V92" i="10"/>
  <c r="W92" i="10"/>
  <c r="N243" i="10"/>
  <c r="U243" i="10" s="1"/>
  <c r="V243" i="10"/>
  <c r="W262" i="10"/>
  <c r="V262" i="10"/>
  <c r="N262" i="10"/>
  <c r="U262" i="10" s="1"/>
  <c r="W278" i="10"/>
  <c r="V278" i="10"/>
  <c r="W298" i="10"/>
  <c r="N298" i="10"/>
  <c r="U298" i="10" s="1"/>
  <c r="V351" i="10"/>
  <c r="W351" i="10"/>
  <c r="N376" i="10"/>
  <c r="U376" i="10" s="1"/>
  <c r="O376" i="10"/>
  <c r="V376" i="10"/>
  <c r="V381" i="10"/>
  <c r="W381" i="10"/>
  <c r="O381" i="10"/>
  <c r="W389" i="10"/>
  <c r="N389" i="10"/>
  <c r="U389" i="10" s="1"/>
  <c r="O389" i="10"/>
  <c r="L490" i="10"/>
  <c r="CU482" i="1"/>
  <c r="CU478" i="1"/>
  <c r="CV478" i="1"/>
  <c r="CW478" i="1" s="1"/>
  <c r="H486" i="10" s="1"/>
  <c r="CY301" i="1"/>
  <c r="DA301" i="1" s="1"/>
  <c r="T298" i="10" s="1"/>
  <c r="DA81" i="1"/>
  <c r="T81" i="10" s="1"/>
  <c r="CX342" i="1"/>
  <c r="G343" i="10" s="1"/>
  <c r="K343" i="10" s="1"/>
  <c r="CY342" i="1"/>
  <c r="DA342" i="1" s="1"/>
  <c r="T343" i="10" s="1"/>
  <c r="CY446" i="1"/>
  <c r="DA446" i="1" s="1"/>
  <c r="T453" i="10" s="1"/>
  <c r="CX469" i="1"/>
  <c r="G476" i="10" s="1"/>
  <c r="K476" i="10" s="1"/>
  <c r="CZ469" i="1"/>
  <c r="DA22" i="1"/>
  <c r="T22" i="10" s="1"/>
  <c r="L456" i="10"/>
  <c r="CV447" i="1"/>
  <c r="CW447" i="1" s="1"/>
  <c r="CZ138" i="1"/>
  <c r="CY138" i="1"/>
  <c r="DA138" i="1" s="1"/>
  <c r="T139" i="10" s="1"/>
  <c r="CY193" i="1"/>
  <c r="DA193" i="1" s="1"/>
  <c r="T194" i="10" s="1"/>
  <c r="F501" i="10"/>
  <c r="CY493" i="1"/>
  <c r="DA493" i="1" s="1"/>
  <c r="T501" i="10" s="1"/>
  <c r="CY92" i="1"/>
  <c r="DA92" i="1" s="1"/>
  <c r="T93" i="10" s="1"/>
  <c r="CX92" i="1"/>
  <c r="G93" i="10" s="1"/>
  <c r="K93" i="10" s="1"/>
  <c r="CZ92" i="1"/>
  <c r="CY171" i="1"/>
  <c r="DA171" i="1" s="1"/>
  <c r="T171" i="10" s="1"/>
  <c r="CZ327" i="1"/>
  <c r="CX327" i="1"/>
  <c r="G328" i="10" s="1"/>
  <c r="K328" i="10" s="1"/>
  <c r="CV260" i="1"/>
  <c r="CW260" i="1" s="1"/>
  <c r="H259" i="10" s="1"/>
  <c r="L259" i="10"/>
  <c r="CU414" i="1"/>
  <c r="CV414" i="1"/>
  <c r="CW414" i="1" s="1"/>
  <c r="H421" i="10" s="1"/>
  <c r="L409" i="10"/>
  <c r="CV404" i="1"/>
  <c r="CW404" i="1" s="1"/>
  <c r="H409" i="10" s="1"/>
  <c r="CX464" i="1"/>
  <c r="G473" i="10" s="1"/>
  <c r="K473" i="10" s="1"/>
  <c r="CZ464" i="1"/>
  <c r="DA464" i="1" s="1"/>
  <c r="T473" i="10" s="1"/>
  <c r="CZ121" i="1"/>
  <c r="CX121" i="1"/>
  <c r="G121" i="10" s="1"/>
  <c r="K121" i="10" s="1"/>
  <c r="CY121" i="1"/>
  <c r="CZ81" i="1"/>
  <c r="CX81" i="1"/>
  <c r="G81" i="10" s="1"/>
  <c r="K81" i="10" s="1"/>
  <c r="CV240" i="1"/>
  <c r="CW240" i="1" s="1"/>
  <c r="H240" i="10" s="1"/>
  <c r="CU240" i="1"/>
  <c r="L240" i="10"/>
  <c r="CV309" i="1"/>
  <c r="CW309" i="1" s="1"/>
  <c r="H308" i="10" s="1"/>
  <c r="CU309" i="1"/>
  <c r="L349" i="10"/>
  <c r="CU349" i="1"/>
  <c r="CV265" i="1"/>
  <c r="CW265" i="1" s="1"/>
  <c r="L264" i="10"/>
  <c r="L175" i="10"/>
  <c r="CU175" i="1"/>
  <c r="CZ281" i="1"/>
  <c r="CX281" i="1"/>
  <c r="G282" i="10" s="1"/>
  <c r="K282" i="10" s="1"/>
  <c r="F282" i="10"/>
  <c r="CY281" i="1"/>
  <c r="F74" i="10"/>
  <c r="CY75" i="1"/>
  <c r="DA75" i="1" s="1"/>
  <c r="T74" i="10" s="1"/>
  <c r="CZ75" i="1"/>
  <c r="CX75" i="1"/>
  <c r="G74" i="10" s="1"/>
  <c r="K74" i="10" s="1"/>
  <c r="CX258" i="1"/>
  <c r="G257" i="10" s="1"/>
  <c r="K257" i="10" s="1"/>
  <c r="F257" i="10"/>
  <c r="CZ258" i="1"/>
  <c r="DA258" i="1" s="1"/>
  <c r="T257" i="10" s="1"/>
  <c r="CV264" i="1"/>
  <c r="CW264" i="1" s="1"/>
  <c r="L263" i="10"/>
  <c r="CZ286" i="1"/>
  <c r="F286" i="10"/>
  <c r="CY286" i="1"/>
  <c r="CX286" i="1"/>
  <c r="G286" i="10" s="1"/>
  <c r="K286" i="10" s="1"/>
  <c r="CV228" i="1"/>
  <c r="CW228" i="1" s="1"/>
  <c r="H228" i="10" s="1"/>
  <c r="CU228" i="1"/>
  <c r="CU226" i="1"/>
  <c r="CV226" i="1"/>
  <c r="CW226" i="1" s="1"/>
  <c r="H227" i="10" s="1"/>
  <c r="CU29" i="1"/>
  <c r="L28" i="10"/>
  <c r="V13" i="10"/>
  <c r="W13" i="10"/>
  <c r="W38" i="10"/>
  <c r="N38" i="10"/>
  <c r="U38" i="10" s="1"/>
  <c r="N77" i="10"/>
  <c r="U77" i="10" s="1"/>
  <c r="W77" i="10"/>
  <c r="O77" i="10"/>
  <c r="N110" i="10"/>
  <c r="U110" i="10" s="1"/>
  <c r="V110" i="10"/>
  <c r="W188" i="10"/>
  <c r="V188" i="10"/>
  <c r="N225" i="10"/>
  <c r="U225" i="10" s="1"/>
  <c r="W225" i="10"/>
  <c r="V225" i="10"/>
  <c r="O275" i="10"/>
  <c r="W275" i="10"/>
  <c r="W286" i="10"/>
  <c r="V286" i="10"/>
  <c r="V295" i="10"/>
  <c r="W295" i="10"/>
  <c r="W325" i="10"/>
  <c r="N325" i="10"/>
  <c r="U325" i="10" s="1"/>
  <c r="N334" i="10"/>
  <c r="U334" i="10" s="1"/>
  <c r="W334" i="10"/>
  <c r="O334" i="10"/>
  <c r="O338" i="10"/>
  <c r="V338" i="10"/>
  <c r="W359" i="10"/>
  <c r="V359" i="10"/>
  <c r="AU558" i="1"/>
  <c r="AU565" i="1"/>
  <c r="AU385" i="1"/>
  <c r="AU351" i="1"/>
  <c r="AU387" i="1"/>
  <c r="AU360" i="1"/>
  <c r="AU509" i="1"/>
  <c r="AU322" i="1"/>
  <c r="AU433" i="1"/>
  <c r="AU423" i="1"/>
  <c r="AU344" i="1"/>
  <c r="AU435" i="1"/>
  <c r="AU338" i="1"/>
  <c r="AU535" i="1"/>
  <c r="AU434" i="1"/>
  <c r="AU519" i="1"/>
  <c r="AU438" i="1"/>
  <c r="AU331" i="1"/>
  <c r="AU494" i="1"/>
  <c r="AU332" i="1"/>
  <c r="AU487" i="1"/>
  <c r="AU321" i="1"/>
  <c r="AU415" i="1"/>
  <c r="AU518" i="1"/>
  <c r="AU378" i="1"/>
  <c r="W440" i="10"/>
  <c r="N440" i="10"/>
  <c r="U440" i="10" s="1"/>
  <c r="V478" i="10"/>
  <c r="W478" i="10"/>
  <c r="O478" i="10"/>
  <c r="DA28" i="1"/>
  <c r="T29" i="10" s="1"/>
  <c r="CY363" i="1"/>
  <c r="DA363" i="1" s="1"/>
  <c r="T364" i="10" s="1"/>
  <c r="CX251" i="1"/>
  <c r="G252" i="10" s="1"/>
  <c r="K252" i="10" s="1"/>
  <c r="CZ251" i="1"/>
  <c r="F418" i="10"/>
  <c r="CX410" i="1"/>
  <c r="G418" i="10" s="1"/>
  <c r="K418" i="10" s="1"/>
  <c r="L101" i="10"/>
  <c r="CU101" i="1"/>
  <c r="CV435" i="1"/>
  <c r="CW435" i="1" s="1"/>
  <c r="H443" i="10" s="1"/>
  <c r="CU435" i="1"/>
  <c r="DA191" i="1"/>
  <c r="T191" i="10" s="1"/>
  <c r="CY522" i="1"/>
  <c r="DA522" i="1" s="1"/>
  <c r="T529" i="10" s="1"/>
  <c r="CY299" i="1"/>
  <c r="DA299" i="1" s="1"/>
  <c r="T299" i="10" s="1"/>
  <c r="F171" i="10"/>
  <c r="CU31" i="1"/>
  <c r="CU255" i="1"/>
  <c r="CY497" i="1"/>
  <c r="DA497" i="1" s="1"/>
  <c r="T505" i="10" s="1"/>
  <c r="F448" i="10"/>
  <c r="CX440" i="1"/>
  <c r="G448" i="10" s="1"/>
  <c r="K448" i="10" s="1"/>
  <c r="F129" i="10"/>
  <c r="CY130" i="1"/>
  <c r="DA130" i="1" s="1"/>
  <c r="T129" i="10" s="1"/>
  <c r="CZ130" i="1"/>
  <c r="L308" i="10"/>
  <c r="CX151" i="1"/>
  <c r="G152" i="10" s="1"/>
  <c r="K152" i="10" s="1"/>
  <c r="CZ151" i="1"/>
  <c r="CZ425" i="1"/>
  <c r="CU324" i="1"/>
  <c r="CV324" i="1"/>
  <c r="CW324" i="1" s="1"/>
  <c r="H325" i="10" s="1"/>
  <c r="L325" i="10"/>
  <c r="CV93" i="1"/>
  <c r="CW93" i="1" s="1"/>
  <c r="H92" i="10" s="1"/>
  <c r="L92" i="10"/>
  <c r="CU93" i="1"/>
  <c r="L90" i="10"/>
  <c r="CU90" i="1"/>
  <c r="CY170" i="1"/>
  <c r="DA170" i="1" s="1"/>
  <c r="T170" i="10" s="1"/>
  <c r="L353" i="10"/>
  <c r="CV352" i="1"/>
  <c r="CW352" i="1" s="1"/>
  <c r="H353" i="10" s="1"/>
  <c r="CU352" i="1"/>
  <c r="L168" i="10"/>
  <c r="CV166" i="1"/>
  <c r="CW166" i="1" s="1"/>
  <c r="H168" i="10" s="1"/>
  <c r="CU177" i="1"/>
  <c r="CV177" i="1"/>
  <c r="CW177" i="1" s="1"/>
  <c r="H177" i="10" s="1"/>
  <c r="L137" i="10"/>
  <c r="CU136" i="1"/>
  <c r="L258" i="10"/>
  <c r="CV257" i="1"/>
  <c r="CW257" i="1" s="1"/>
  <c r="CU433" i="1"/>
  <c r="L441" i="10"/>
  <c r="CU523" i="1"/>
  <c r="L530" i="10"/>
  <c r="CX350" i="1"/>
  <c r="G351" i="10" s="1"/>
  <c r="K351" i="10" s="1"/>
  <c r="F351" i="10"/>
  <c r="CZ534" i="1"/>
  <c r="CX534" i="1"/>
  <c r="G542" i="10" s="1"/>
  <c r="K542" i="10" s="1"/>
  <c r="L59" i="10"/>
  <c r="CU60" i="1"/>
  <c r="CV60" i="1"/>
  <c r="CW60" i="1" s="1"/>
  <c r="H59" i="10" s="1"/>
  <c r="V24" i="10"/>
  <c r="W24" i="10"/>
  <c r="N33" i="10"/>
  <c r="U33" i="10" s="1"/>
  <c r="W33" i="10"/>
  <c r="V49" i="10"/>
  <c r="N49" i="10"/>
  <c r="U49" i="10" s="1"/>
  <c r="W98" i="10"/>
  <c r="O98" i="10"/>
  <c r="N98" i="10"/>
  <c r="U98" i="10" s="1"/>
  <c r="N162" i="10"/>
  <c r="U162" i="10" s="1"/>
  <c r="O162" i="10"/>
  <c r="W162" i="10"/>
  <c r="V181" i="10"/>
  <c r="N181" i="10"/>
  <c r="U181" i="10" s="1"/>
  <c r="V217" i="10"/>
  <c r="W217" i="10"/>
  <c r="N246" i="10"/>
  <c r="U246" i="10" s="1"/>
  <c r="W246" i="10"/>
  <c r="V253" i="10"/>
  <c r="O253" i="10"/>
  <c r="O274" i="10"/>
  <c r="V274" i="10"/>
  <c r="N315" i="10"/>
  <c r="U315" i="10" s="1"/>
  <c r="O315" i="10"/>
  <c r="W315" i="10"/>
  <c r="W352" i="10"/>
  <c r="V352" i="10"/>
  <c r="BD21" i="1"/>
  <c r="BD19" i="1"/>
  <c r="BD132" i="1"/>
  <c r="BD181" i="1"/>
  <c r="BD47" i="1"/>
  <c r="BD366" i="1"/>
  <c r="BD480" i="1"/>
  <c r="BD507" i="1"/>
  <c r="BD293" i="1"/>
  <c r="BD275" i="1"/>
  <c r="BD278" i="1"/>
  <c r="BD157" i="1"/>
  <c r="BD61" i="1"/>
  <c r="BD460" i="1"/>
  <c r="BD108" i="1"/>
  <c r="BD112" i="1"/>
  <c r="BD468" i="1"/>
  <c r="BD537" i="1"/>
  <c r="BD122" i="1"/>
  <c r="BD138" i="1"/>
  <c r="BD369" i="1"/>
  <c r="BD215" i="1"/>
  <c r="BD540" i="1"/>
  <c r="BD60" i="1"/>
  <c r="BD451" i="1"/>
  <c r="BD126" i="1"/>
  <c r="BD146" i="1"/>
  <c r="BD171" i="1"/>
  <c r="BD102" i="1"/>
  <c r="BD513" i="1"/>
  <c r="BD381" i="1"/>
  <c r="BD399" i="1"/>
  <c r="BD20" i="1"/>
  <c r="BD379" i="1"/>
  <c r="BD225" i="1"/>
  <c r="BD401" i="1"/>
  <c r="BD23" i="1"/>
  <c r="BD39" i="1"/>
  <c r="BD265" i="1"/>
  <c r="BD121" i="1"/>
  <c r="BD8" i="1"/>
  <c r="BD178" i="1"/>
  <c r="BD250" i="1"/>
  <c r="BD30" i="1"/>
  <c r="BD472" i="1"/>
  <c r="BD217" i="1"/>
  <c r="BD315" i="1"/>
  <c r="BD131" i="1"/>
  <c r="BD441" i="1"/>
  <c r="BD10" i="1"/>
  <c r="BD392" i="1"/>
  <c r="BD79" i="1"/>
  <c r="BD144" i="1"/>
  <c r="BD69" i="1"/>
  <c r="BD277" i="1"/>
  <c r="BD128" i="1"/>
  <c r="BD18" i="1"/>
  <c r="W432" i="10"/>
  <c r="V432" i="10"/>
  <c r="O432" i="10"/>
  <c r="BT473" i="1"/>
  <c r="BS473" i="1"/>
  <c r="BP469" i="1"/>
  <c r="BS469" i="1" s="1"/>
  <c r="CW469" i="1"/>
  <c r="DF456" i="1"/>
  <c r="DE456" i="1"/>
  <c r="F455" i="10"/>
  <c r="CY448" i="1"/>
  <c r="DA448" i="1" s="1"/>
  <c r="T455" i="10" s="1"/>
  <c r="BT440" i="1"/>
  <c r="BS440" i="1"/>
  <c r="CZ436" i="1"/>
  <c r="DA436" i="1" s="1"/>
  <c r="T444" i="10" s="1"/>
  <c r="F444" i="10"/>
  <c r="BP425" i="1"/>
  <c r="BS425" i="1" s="1"/>
  <c r="CW425" i="1"/>
  <c r="H433" i="10" s="1"/>
  <c r="V431" i="10"/>
  <c r="N431" i="10"/>
  <c r="U431" i="10" s="1"/>
  <c r="W431" i="10"/>
  <c r="BT422" i="1"/>
  <c r="BS422" i="1"/>
  <c r="L419" i="10"/>
  <c r="CU412" i="1"/>
  <c r="DF407" i="1"/>
  <c r="DE407" i="1"/>
  <c r="BT405" i="1"/>
  <c r="BS405" i="1"/>
  <c r="L398" i="10"/>
  <c r="CU394" i="1"/>
  <c r="CV394" i="1"/>
  <c r="CW394" i="1" s="1"/>
  <c r="H398" i="10" s="1"/>
  <c r="CZ382" i="1"/>
  <c r="CY382" i="1"/>
  <c r="DA382" i="1" s="1"/>
  <c r="T383" i="10" s="1"/>
  <c r="L386" i="10"/>
  <c r="CU380" i="1"/>
  <c r="BT373" i="1"/>
  <c r="BS373" i="1"/>
  <c r="CV97" i="1"/>
  <c r="CW97" i="1" s="1"/>
  <c r="CX489" i="1"/>
  <c r="G497" i="10" s="1"/>
  <c r="K497" i="10" s="1"/>
  <c r="N2" i="10"/>
  <c r="U2" i="10" s="1"/>
  <c r="CY9" i="1"/>
  <c r="DA9" i="1" s="1"/>
  <c r="T9" i="10" s="1"/>
  <c r="CX146" i="1"/>
  <c r="G145" i="10" s="1"/>
  <c r="K145" i="10" s="1"/>
  <c r="CV33" i="1"/>
  <c r="CW33" i="1" s="1"/>
  <c r="CU305" i="1"/>
  <c r="CV183" i="1"/>
  <c r="CW183" i="1" s="1"/>
  <c r="H181" i="10" s="1"/>
  <c r="L82" i="10"/>
  <c r="CY252" i="1"/>
  <c r="DA252" i="1" s="1"/>
  <c r="T250" i="10" s="1"/>
  <c r="O169" i="10"/>
  <c r="V65" i="10"/>
  <c r="O156" i="10"/>
  <c r="V218" i="10"/>
  <c r="O29" i="10"/>
  <c r="O123" i="10"/>
  <c r="O61" i="10"/>
  <c r="N277" i="10"/>
  <c r="U277" i="10" s="1"/>
  <c r="CV367" i="1"/>
  <c r="CW367" i="1" s="1"/>
  <c r="CV444" i="1"/>
  <c r="CW444" i="1" s="1"/>
  <c r="F144" i="10"/>
  <c r="L209" i="10"/>
  <c r="CU532" i="1"/>
  <c r="CZ47" i="1"/>
  <c r="CX203" i="1"/>
  <c r="G203" i="10" s="1"/>
  <c r="K203" i="10" s="1"/>
  <c r="CV11" i="1"/>
  <c r="CW11" i="1" s="1"/>
  <c r="H13" i="10" s="1"/>
  <c r="CZ552" i="1"/>
  <c r="DA552" i="1" s="1"/>
  <c r="T560" i="10" s="1"/>
  <c r="L463" i="10"/>
  <c r="L89" i="10"/>
  <c r="L283" i="10"/>
  <c r="CV391" i="1"/>
  <c r="CW391" i="1" s="1"/>
  <c r="CV387" i="1"/>
  <c r="CW387" i="1" s="1"/>
  <c r="CV409" i="1"/>
  <c r="CW409" i="1" s="1"/>
  <c r="CV262" i="1"/>
  <c r="CW262" i="1" s="1"/>
  <c r="H262" i="10" s="1"/>
  <c r="L39" i="10"/>
  <c r="L271" i="10"/>
  <c r="CU424" i="1"/>
  <c r="CZ146" i="1"/>
  <c r="W356" i="10"/>
  <c r="V356" i="10"/>
  <c r="W178" i="10"/>
  <c r="O220" i="10"/>
  <c r="N3" i="10"/>
  <c r="U3" i="10" s="1"/>
  <c r="CZ189" i="1"/>
  <c r="DA189" i="1" s="1"/>
  <c r="T190" i="10" s="1"/>
  <c r="L351" i="10"/>
  <c r="L97" i="10"/>
  <c r="CU112" i="1"/>
  <c r="CX368" i="1"/>
  <c r="G370" i="10" s="1"/>
  <c r="K370" i="10" s="1"/>
  <c r="CU322" i="1"/>
  <c r="CV214" i="1"/>
  <c r="CW214" i="1" s="1"/>
  <c r="H214" i="10" s="1"/>
  <c r="CU214" i="1"/>
  <c r="L395" i="10"/>
  <c r="CV526" i="1"/>
  <c r="CW526" i="1" s="1"/>
  <c r="CV534" i="1"/>
  <c r="CW534" i="1" s="1"/>
  <c r="CU117" i="1"/>
  <c r="CU297" i="1"/>
  <c r="CZ368" i="1"/>
  <c r="DA368" i="1" s="1"/>
  <c r="T370" i="10" s="1"/>
  <c r="F399" i="10"/>
  <c r="L152" i="10"/>
  <c r="L389" i="10"/>
  <c r="CV84" i="1"/>
  <c r="CW84" i="1" s="1"/>
  <c r="CU519" i="1"/>
  <c r="L500" i="10"/>
  <c r="L49" i="10"/>
  <c r="W321" i="10"/>
  <c r="W193" i="10"/>
  <c r="N368" i="10"/>
  <c r="U368" i="10" s="1"/>
  <c r="W368" i="10"/>
  <c r="W427" i="10"/>
  <c r="BS466" i="1"/>
  <c r="BS446" i="1"/>
  <c r="DE415" i="1"/>
  <c r="DF415" i="1"/>
  <c r="BT411" i="1"/>
  <c r="BS411" i="1"/>
  <c r="CU73" i="1"/>
  <c r="CU120" i="1"/>
  <c r="L371" i="10"/>
  <c r="DE437" i="1"/>
  <c r="DF437" i="1"/>
  <c r="V268" i="10"/>
  <c r="N268" i="10"/>
  <c r="U268" i="10" s="1"/>
  <c r="BS402" i="1"/>
  <c r="BS389" i="1"/>
  <c r="BT374" i="1"/>
  <c r="BS374" i="1"/>
  <c r="DF356" i="1"/>
  <c r="DE356" i="1"/>
  <c r="BP554" i="1"/>
  <c r="BS554" i="1" s="1"/>
  <c r="CU554" i="1"/>
  <c r="CV554" i="1"/>
  <c r="CW554" i="1" s="1"/>
  <c r="H562" i="10" s="1"/>
  <c r="L562" i="10"/>
  <c r="DE556" i="1"/>
  <c r="DF556" i="1"/>
  <c r="BS514" i="1"/>
  <c r="L569" i="10"/>
  <c r="CU561" i="1"/>
  <c r="L572" i="10"/>
  <c r="CV564" i="1"/>
  <c r="CW564" i="1" s="1"/>
  <c r="H572" i="10" s="1"/>
  <c r="CU564" i="1"/>
  <c r="O557" i="10"/>
  <c r="CW557" i="1"/>
  <c r="H565" i="10" s="1"/>
  <c r="BP557" i="1"/>
  <c r="BS557" i="1" s="1"/>
  <c r="CY557" i="1"/>
  <c r="DA557" i="1" s="1"/>
  <c r="T565" i="10" s="1"/>
  <c r="L571" i="10"/>
  <c r="CU563" i="1"/>
  <c r="L564" i="10"/>
  <c r="CU556" i="1"/>
  <c r="CV556" i="1"/>
  <c r="CW556" i="1" s="1"/>
  <c r="H564" i="10" s="1"/>
  <c r="L568" i="10"/>
  <c r="DE559" i="1"/>
  <c r="CV561" i="1"/>
  <c r="CW561" i="1" s="1"/>
  <c r="H569" i="10" s="1"/>
  <c r="DF557" i="1"/>
  <c r="DE557" i="1"/>
  <c r="BS558" i="1"/>
  <c r="CT559" i="1"/>
  <c r="CY562" i="1"/>
  <c r="DA562" i="1" s="1"/>
  <c r="T570" i="10" s="1"/>
  <c r="CV563" i="1"/>
  <c r="CW563" i="1" s="1"/>
  <c r="H571" i="10" s="1"/>
  <c r="BS563" i="1"/>
  <c r="N563" i="10"/>
  <c r="U563" i="10" s="1"/>
  <c r="W563" i="10"/>
  <c r="N567" i="10"/>
  <c r="U567" i="10" s="1"/>
  <c r="W567" i="10"/>
  <c r="DF555" i="1"/>
  <c r="DE555" i="1"/>
  <c r="BS560" i="1"/>
  <c r="W573" i="10"/>
  <c r="N573" i="10"/>
  <c r="U573" i="10" s="1"/>
  <c r="V573" i="10"/>
  <c r="CY425" i="1" l="1"/>
  <c r="DA425" i="1" s="1"/>
  <c r="T433" i="10" s="1"/>
  <c r="F277" i="10"/>
  <c r="CX277" i="1"/>
  <c r="G277" i="10" s="1"/>
  <c r="K277" i="10" s="1"/>
  <c r="CY277" i="1"/>
  <c r="CZ277" i="1"/>
  <c r="CX561" i="1"/>
  <c r="G569" i="10" s="1"/>
  <c r="K569" i="10" s="1"/>
  <c r="F569" i="10"/>
  <c r="CY561" i="1"/>
  <c r="CZ561" i="1"/>
  <c r="F526" i="10"/>
  <c r="CZ519" i="1"/>
  <c r="CY519" i="1"/>
  <c r="CX519" i="1"/>
  <c r="G526" i="10" s="1"/>
  <c r="K526" i="10" s="1"/>
  <c r="H542" i="10"/>
  <c r="CY534" i="1"/>
  <c r="DA534" i="1" s="1"/>
  <c r="T542" i="10" s="1"/>
  <c r="H32" i="10"/>
  <c r="CY33" i="1"/>
  <c r="DA33" i="1" s="1"/>
  <c r="T32" i="10" s="1"/>
  <c r="CY380" i="1"/>
  <c r="DA380" i="1" s="1"/>
  <c r="T384" i="10" s="1"/>
  <c r="CX380" i="1"/>
  <c r="G386" i="10" s="1"/>
  <c r="K386" i="10" s="1"/>
  <c r="F386" i="10"/>
  <c r="CZ380" i="1"/>
  <c r="H476" i="10"/>
  <c r="CY469" i="1"/>
  <c r="DA469" i="1" s="1"/>
  <c r="T476" i="10" s="1"/>
  <c r="F59" i="10"/>
  <c r="CZ60" i="1"/>
  <c r="CY60" i="1"/>
  <c r="DA60" i="1" s="1"/>
  <c r="T59" i="10" s="1"/>
  <c r="CX60" i="1"/>
  <c r="G59" i="10" s="1"/>
  <c r="K59" i="10" s="1"/>
  <c r="CY136" i="1"/>
  <c r="F137" i="10"/>
  <c r="CX136" i="1"/>
  <c r="G137" i="10" s="1"/>
  <c r="K137" i="10" s="1"/>
  <c r="CZ136" i="1"/>
  <c r="CY93" i="1"/>
  <c r="CX93" i="1"/>
  <c r="G92" i="10" s="1"/>
  <c r="K92" i="10" s="1"/>
  <c r="CZ93" i="1"/>
  <c r="F92" i="10"/>
  <c r="F228" i="10"/>
  <c r="CY228" i="1"/>
  <c r="CX228" i="1"/>
  <c r="G228" i="10" s="1"/>
  <c r="K228" i="10" s="1"/>
  <c r="CZ228" i="1"/>
  <c r="CX240" i="1"/>
  <c r="G240" i="10" s="1"/>
  <c r="K240" i="10" s="1"/>
  <c r="CY240" i="1"/>
  <c r="CZ240" i="1"/>
  <c r="F240" i="10"/>
  <c r="DA121" i="1"/>
  <c r="T121" i="10" s="1"/>
  <c r="CX414" i="1"/>
  <c r="G421" i="10" s="1"/>
  <c r="K421" i="10" s="1"/>
  <c r="CZ414" i="1"/>
  <c r="CY414" i="1"/>
  <c r="F421" i="10"/>
  <c r="CY327" i="1"/>
  <c r="DA327" i="1" s="1"/>
  <c r="T328" i="10" s="1"/>
  <c r="CY447" i="1"/>
  <c r="DA447" i="1" s="1"/>
  <c r="T456" i="10" s="1"/>
  <c r="H456" i="10"/>
  <c r="CY482" i="1"/>
  <c r="CX482" i="1"/>
  <c r="G490" i="10" s="1"/>
  <c r="K490" i="10" s="1"/>
  <c r="F490" i="10"/>
  <c r="CZ482" i="1"/>
  <c r="CY546" i="1"/>
  <c r="CX546" i="1"/>
  <c r="G554" i="10" s="1"/>
  <c r="K554" i="10" s="1"/>
  <c r="F554" i="10"/>
  <c r="CZ546" i="1"/>
  <c r="F387" i="10"/>
  <c r="CZ383" i="1"/>
  <c r="CY383" i="1"/>
  <c r="DA383" i="1" s="1"/>
  <c r="T387" i="10" s="1"/>
  <c r="CX383" i="1"/>
  <c r="G387" i="10" s="1"/>
  <c r="K387" i="10" s="1"/>
  <c r="CY319" i="1"/>
  <c r="DA319" i="1" s="1"/>
  <c r="T322" i="10" s="1"/>
  <c r="H482" i="10"/>
  <c r="CY474" i="1"/>
  <c r="DA474" i="1" s="1"/>
  <c r="T482" i="10" s="1"/>
  <c r="H330" i="10"/>
  <c r="CY329" i="1"/>
  <c r="DA329" i="1" s="1"/>
  <c r="T330" i="10" s="1"/>
  <c r="CY166" i="1"/>
  <c r="DA166" i="1" s="1"/>
  <c r="T168" i="10" s="1"/>
  <c r="F237" i="10"/>
  <c r="CY237" i="1"/>
  <c r="DA237" i="1" s="1"/>
  <c r="T237" i="10" s="1"/>
  <c r="CX237" i="1"/>
  <c r="G237" i="10" s="1"/>
  <c r="K237" i="10" s="1"/>
  <c r="CZ237" i="1"/>
  <c r="CX316" i="1"/>
  <c r="G317" i="10" s="1"/>
  <c r="K317" i="10" s="1"/>
  <c r="F317" i="10"/>
  <c r="CY316" i="1"/>
  <c r="DA316" i="1" s="1"/>
  <c r="T317" i="10" s="1"/>
  <c r="CZ316" i="1"/>
  <c r="F222" i="10"/>
  <c r="CX223" i="1"/>
  <c r="G222" i="10" s="1"/>
  <c r="K222" i="10" s="1"/>
  <c r="CY223" i="1"/>
  <c r="DA223" i="1" s="1"/>
  <c r="T222" i="10" s="1"/>
  <c r="CZ223" i="1"/>
  <c r="CX530" i="1"/>
  <c r="G538" i="10" s="1"/>
  <c r="K538" i="10" s="1"/>
  <c r="CZ530" i="1"/>
  <c r="F538" i="10"/>
  <c r="CY530" i="1"/>
  <c r="DA499" i="1"/>
  <c r="T507" i="10" s="1"/>
  <c r="CY262" i="1"/>
  <c r="DA262" i="1" s="1"/>
  <c r="T262" i="10" s="1"/>
  <c r="CY218" i="1"/>
  <c r="DA218" i="1" s="1"/>
  <c r="T218" i="10" s="1"/>
  <c r="F275" i="10"/>
  <c r="CX276" i="1"/>
  <c r="G275" i="10" s="1"/>
  <c r="K275" i="10" s="1"/>
  <c r="CY276" i="1"/>
  <c r="DA276" i="1" s="1"/>
  <c r="T275" i="10" s="1"/>
  <c r="CZ276" i="1"/>
  <c r="F536" i="10"/>
  <c r="CX528" i="1"/>
  <c r="G536" i="10" s="1"/>
  <c r="K536" i="10" s="1"/>
  <c r="CY528" i="1"/>
  <c r="DA528" i="1" s="1"/>
  <c r="T536" i="10" s="1"/>
  <c r="CZ528" i="1"/>
  <c r="F539" i="10"/>
  <c r="CY531" i="1"/>
  <c r="DA531" i="1" s="1"/>
  <c r="T539" i="10" s="1"/>
  <c r="CZ531" i="1"/>
  <c r="CX531" i="1"/>
  <c r="G539" i="10" s="1"/>
  <c r="K539" i="10" s="1"/>
  <c r="CZ74" i="1"/>
  <c r="CX74" i="1"/>
  <c r="G75" i="10" s="1"/>
  <c r="K75" i="10" s="1"/>
  <c r="F75" i="10"/>
  <c r="CY74" i="1"/>
  <c r="DA74" i="1" s="1"/>
  <c r="T75" i="10" s="1"/>
  <c r="CY183" i="1"/>
  <c r="DA183" i="1" s="1"/>
  <c r="T181" i="10" s="1"/>
  <c r="F123" i="10"/>
  <c r="CX123" i="1"/>
  <c r="G123" i="10" s="1"/>
  <c r="K123" i="10" s="1"/>
  <c r="CZ123" i="1"/>
  <c r="CY123" i="1"/>
  <c r="DA416" i="1"/>
  <c r="T424" i="10" s="1"/>
  <c r="CY344" i="1"/>
  <c r="DA344" i="1" s="1"/>
  <c r="T345" i="10" s="1"/>
  <c r="DA361" i="1"/>
  <c r="T362" i="10" s="1"/>
  <c r="CY51" i="1"/>
  <c r="F51" i="10"/>
  <c r="CX51" i="1"/>
  <c r="G51" i="10" s="1"/>
  <c r="K51" i="10" s="1"/>
  <c r="CZ51" i="1"/>
  <c r="F212" i="10"/>
  <c r="CY213" i="1"/>
  <c r="DA213" i="1" s="1"/>
  <c r="T212" i="10" s="1"/>
  <c r="CZ213" i="1"/>
  <c r="CX213" i="1"/>
  <c r="G212" i="10" s="1"/>
  <c r="K212" i="10" s="1"/>
  <c r="F219" i="10"/>
  <c r="CY219" i="1"/>
  <c r="DA219" i="1" s="1"/>
  <c r="T219" i="10" s="1"/>
  <c r="CZ219" i="1"/>
  <c r="CX219" i="1"/>
  <c r="G219" i="10" s="1"/>
  <c r="K219" i="10" s="1"/>
  <c r="H226" i="10"/>
  <c r="CY227" i="1"/>
  <c r="DA227" i="1" s="1"/>
  <c r="T226" i="10" s="1"/>
  <c r="F239" i="10"/>
  <c r="CX239" i="1"/>
  <c r="G239" i="10" s="1"/>
  <c r="K239" i="10" s="1"/>
  <c r="CZ239" i="1"/>
  <c r="CY239" i="1"/>
  <c r="DA239" i="1" s="1"/>
  <c r="T239" i="10" s="1"/>
  <c r="CX293" i="1"/>
  <c r="G293" i="10" s="1"/>
  <c r="K293" i="10" s="1"/>
  <c r="CZ293" i="1"/>
  <c r="F293" i="10"/>
  <c r="CY293" i="1"/>
  <c r="DA293" i="1" s="1"/>
  <c r="T293" i="10" s="1"/>
  <c r="CX298" i="1"/>
  <c r="G301" i="10" s="1"/>
  <c r="K301" i="10" s="1"/>
  <c r="CY298" i="1"/>
  <c r="DA298" i="1" s="1"/>
  <c r="T301" i="10" s="1"/>
  <c r="CZ298" i="1"/>
  <c r="F301" i="10"/>
  <c r="CZ315" i="1"/>
  <c r="CY315" i="1"/>
  <c r="CX315" i="1"/>
  <c r="G315" i="10" s="1"/>
  <c r="K315" i="10" s="1"/>
  <c r="F315" i="10"/>
  <c r="CY320" i="1"/>
  <c r="DA320" i="1" s="1"/>
  <c r="T320" i="10" s="1"/>
  <c r="H320" i="10"/>
  <c r="F354" i="10"/>
  <c r="CZ353" i="1"/>
  <c r="CY353" i="1"/>
  <c r="CX353" i="1"/>
  <c r="G354" i="10" s="1"/>
  <c r="K354" i="10" s="1"/>
  <c r="F361" i="10"/>
  <c r="CZ360" i="1"/>
  <c r="CX360" i="1"/>
  <c r="G361" i="10" s="1"/>
  <c r="K361" i="10" s="1"/>
  <c r="CY360" i="1"/>
  <c r="F439" i="10"/>
  <c r="CZ429" i="1"/>
  <c r="CY429" i="1"/>
  <c r="CX429" i="1"/>
  <c r="G439" i="10" s="1"/>
  <c r="K439" i="10" s="1"/>
  <c r="CY314" i="1"/>
  <c r="DA314" i="1" s="1"/>
  <c r="T314" i="10" s="1"/>
  <c r="CY73" i="1"/>
  <c r="DA73" i="1" s="1"/>
  <c r="T73" i="10" s="1"/>
  <c r="F73" i="10"/>
  <c r="CX73" i="1"/>
  <c r="G73" i="10" s="1"/>
  <c r="K73" i="10" s="1"/>
  <c r="CZ73" i="1"/>
  <c r="F297" i="10"/>
  <c r="CX297" i="1"/>
  <c r="G297" i="10" s="1"/>
  <c r="K297" i="10" s="1"/>
  <c r="CY297" i="1"/>
  <c r="DA297" i="1" s="1"/>
  <c r="T297" i="10" s="1"/>
  <c r="CZ297" i="1"/>
  <c r="H452" i="10"/>
  <c r="CY444" i="1"/>
  <c r="DA444" i="1" s="1"/>
  <c r="T452" i="10" s="1"/>
  <c r="H258" i="10"/>
  <c r="CY257" i="1"/>
  <c r="DA257" i="1" s="1"/>
  <c r="T258" i="10" s="1"/>
  <c r="H279" i="10"/>
  <c r="CY280" i="1"/>
  <c r="DA280" i="1" s="1"/>
  <c r="T279" i="10" s="1"/>
  <c r="F57" i="10"/>
  <c r="CY56" i="1"/>
  <c r="CZ56" i="1"/>
  <c r="CX56" i="1"/>
  <c r="G57" i="10" s="1"/>
  <c r="K57" i="10" s="1"/>
  <c r="F360" i="10"/>
  <c r="CX359" i="1"/>
  <c r="G360" i="10" s="1"/>
  <c r="K360" i="10" s="1"/>
  <c r="CZ359" i="1"/>
  <c r="CY359" i="1"/>
  <c r="F494" i="10"/>
  <c r="CZ486" i="1"/>
  <c r="CY486" i="1"/>
  <c r="DA486" i="1" s="1"/>
  <c r="T494" i="10" s="1"/>
  <c r="CX486" i="1"/>
  <c r="G494" i="10" s="1"/>
  <c r="K494" i="10" s="1"/>
  <c r="F71" i="10"/>
  <c r="CY71" i="1"/>
  <c r="CZ71" i="1"/>
  <c r="CX71" i="1"/>
  <c r="G71" i="10" s="1"/>
  <c r="K71" i="10" s="1"/>
  <c r="CU559" i="1"/>
  <c r="CV559" i="1"/>
  <c r="CW559" i="1" s="1"/>
  <c r="H567" i="10" s="1"/>
  <c r="L567" i="10"/>
  <c r="CZ556" i="1"/>
  <c r="F564" i="10"/>
  <c r="CX556" i="1"/>
  <c r="G564" i="10" s="1"/>
  <c r="K564" i="10" s="1"/>
  <c r="CY556" i="1"/>
  <c r="DA556" i="1" s="1"/>
  <c r="T564" i="10" s="1"/>
  <c r="CZ564" i="1"/>
  <c r="CY564" i="1"/>
  <c r="F572" i="10"/>
  <c r="CX564" i="1"/>
  <c r="G572" i="10" s="1"/>
  <c r="K572" i="10" s="1"/>
  <c r="CY120" i="1"/>
  <c r="DA120" i="1" s="1"/>
  <c r="T120" i="10" s="1"/>
  <c r="CZ120" i="1"/>
  <c r="CX120" i="1"/>
  <c r="G120" i="10" s="1"/>
  <c r="K120" i="10" s="1"/>
  <c r="F120" i="10"/>
  <c r="H84" i="10"/>
  <c r="CY84" i="1"/>
  <c r="DA84" i="1" s="1"/>
  <c r="T84" i="10" s="1"/>
  <c r="H534" i="10"/>
  <c r="CY526" i="1"/>
  <c r="DA526" i="1" s="1"/>
  <c r="T534" i="10" s="1"/>
  <c r="F324" i="10"/>
  <c r="CY322" i="1"/>
  <c r="DA322" i="1" s="1"/>
  <c r="T324" i="10" s="1"/>
  <c r="CZ322" i="1"/>
  <c r="CX322" i="1"/>
  <c r="G324" i="10" s="1"/>
  <c r="K324" i="10" s="1"/>
  <c r="CZ424" i="1"/>
  <c r="F431" i="10"/>
  <c r="CY424" i="1"/>
  <c r="CX424" i="1"/>
  <c r="G431" i="10" s="1"/>
  <c r="K431" i="10" s="1"/>
  <c r="CY409" i="1"/>
  <c r="DA409" i="1" s="1"/>
  <c r="T413" i="10" s="1"/>
  <c r="H413" i="10"/>
  <c r="H97" i="10"/>
  <c r="CY97" i="1"/>
  <c r="DA97" i="1" s="1"/>
  <c r="T97" i="10" s="1"/>
  <c r="CY394" i="1"/>
  <c r="DA394" i="1" s="1"/>
  <c r="T398" i="10" s="1"/>
  <c r="CZ394" i="1"/>
  <c r="F398" i="10"/>
  <c r="CX394" i="1"/>
  <c r="G398" i="10" s="1"/>
  <c r="K398" i="10" s="1"/>
  <c r="CX433" i="1"/>
  <c r="G441" i="10" s="1"/>
  <c r="K441" i="10" s="1"/>
  <c r="CY433" i="1"/>
  <c r="DA433" i="1" s="1"/>
  <c r="T441" i="10" s="1"/>
  <c r="CZ433" i="1"/>
  <c r="F441" i="10"/>
  <c r="F325" i="10"/>
  <c r="CZ324" i="1"/>
  <c r="CX324" i="1"/>
  <c r="G325" i="10" s="1"/>
  <c r="K325" i="10" s="1"/>
  <c r="CY324" i="1"/>
  <c r="DA324" i="1" s="1"/>
  <c r="T325" i="10" s="1"/>
  <c r="F253" i="10"/>
  <c r="CX255" i="1"/>
  <c r="G253" i="10" s="1"/>
  <c r="K253" i="10" s="1"/>
  <c r="CY255" i="1"/>
  <c r="CZ255" i="1"/>
  <c r="CX101" i="1"/>
  <c r="G101" i="10" s="1"/>
  <c r="K101" i="10" s="1"/>
  <c r="F101" i="10"/>
  <c r="CZ101" i="1"/>
  <c r="CY101" i="1"/>
  <c r="DA101" i="1" s="1"/>
  <c r="T101" i="10" s="1"/>
  <c r="CX29" i="1"/>
  <c r="G28" i="10" s="1"/>
  <c r="K28" i="10" s="1"/>
  <c r="CY29" i="1"/>
  <c r="F28" i="10"/>
  <c r="CZ29" i="1"/>
  <c r="CZ309" i="1"/>
  <c r="F308" i="10"/>
  <c r="CY309" i="1"/>
  <c r="CX309" i="1"/>
  <c r="G308" i="10" s="1"/>
  <c r="K308" i="10" s="1"/>
  <c r="CZ212" i="1"/>
  <c r="CX212" i="1"/>
  <c r="G211" i="10" s="1"/>
  <c r="K211" i="10" s="1"/>
  <c r="CY212" i="1"/>
  <c r="F211" i="10"/>
  <c r="H135" i="10"/>
  <c r="CY134" i="1"/>
  <c r="DA134" i="1" s="1"/>
  <c r="T135" i="10" s="1"/>
  <c r="CZ381" i="1"/>
  <c r="CY381" i="1"/>
  <c r="DA381" i="1" s="1"/>
  <c r="T382" i="10" s="1"/>
  <c r="CX381" i="1"/>
  <c r="G382" i="10" s="1"/>
  <c r="K382" i="10" s="1"/>
  <c r="F382" i="10"/>
  <c r="F284" i="10"/>
  <c r="CZ285" i="1"/>
  <c r="CX285" i="1"/>
  <c r="G284" i="10" s="1"/>
  <c r="K284" i="10" s="1"/>
  <c r="CY285" i="1"/>
  <c r="CZ551" i="1"/>
  <c r="CX551" i="1"/>
  <c r="G559" i="10" s="1"/>
  <c r="K559" i="10" s="1"/>
  <c r="CY551" i="1"/>
  <c r="DA551" i="1" s="1"/>
  <c r="T559" i="10" s="1"/>
  <c r="F559" i="10"/>
  <c r="CZ545" i="1"/>
  <c r="CY545" i="1"/>
  <c r="DA545" i="1" s="1"/>
  <c r="T553" i="10" s="1"/>
  <c r="CX545" i="1"/>
  <c r="G553" i="10" s="1"/>
  <c r="K553" i="10" s="1"/>
  <c r="F553" i="10"/>
  <c r="DA477" i="1"/>
  <c r="T485" i="10" s="1"/>
  <c r="CX317" i="1"/>
  <c r="G318" i="10" s="1"/>
  <c r="K318" i="10" s="1"/>
  <c r="F318" i="10"/>
  <c r="CZ317" i="1"/>
  <c r="CY317" i="1"/>
  <c r="CX272" i="1"/>
  <c r="G272" i="10" s="1"/>
  <c r="K272" i="10" s="1"/>
  <c r="CZ272" i="1"/>
  <c r="F272" i="10"/>
  <c r="CY272" i="1"/>
  <c r="CY12" i="1"/>
  <c r="DA12" i="1" s="1"/>
  <c r="T12" i="10" s="1"/>
  <c r="CX12" i="1"/>
  <c r="G12" i="10" s="1"/>
  <c r="K12" i="10" s="1"/>
  <c r="CZ12" i="1"/>
  <c r="F12" i="10"/>
  <c r="CY346" i="1"/>
  <c r="DA346" i="1" s="1"/>
  <c r="T348" i="10" s="1"/>
  <c r="CX346" i="1"/>
  <c r="G348" i="10" s="1"/>
  <c r="K348" i="10" s="1"/>
  <c r="CZ346" i="1"/>
  <c r="F348" i="10"/>
  <c r="CX358" i="1"/>
  <c r="G359" i="10" s="1"/>
  <c r="K359" i="10" s="1"/>
  <c r="CY358" i="1"/>
  <c r="DA358" i="1" s="1"/>
  <c r="T359" i="10" s="1"/>
  <c r="F359" i="10"/>
  <c r="CZ358" i="1"/>
  <c r="CZ287" i="1"/>
  <c r="CX287" i="1"/>
  <c r="G287" i="10" s="1"/>
  <c r="K287" i="10" s="1"/>
  <c r="F287" i="10"/>
  <c r="CY287" i="1"/>
  <c r="CZ46" i="1"/>
  <c r="CX46" i="1"/>
  <c r="G46" i="10" s="1"/>
  <c r="K46" i="10" s="1"/>
  <c r="F46" i="10"/>
  <c r="CY46" i="1"/>
  <c r="F358" i="10"/>
  <c r="CX357" i="1"/>
  <c r="G358" i="10" s="1"/>
  <c r="K358" i="10" s="1"/>
  <c r="CY357" i="1"/>
  <c r="DA357" i="1" s="1"/>
  <c r="T358" i="10" s="1"/>
  <c r="CZ357" i="1"/>
  <c r="CX253" i="1"/>
  <c r="G255" i="10" s="1"/>
  <c r="K255" i="10" s="1"/>
  <c r="CY253" i="1"/>
  <c r="DA253" i="1" s="1"/>
  <c r="T255" i="10" s="1"/>
  <c r="F255" i="10"/>
  <c r="CZ253" i="1"/>
  <c r="CX295" i="1"/>
  <c r="G295" i="10" s="1"/>
  <c r="K295" i="10" s="1"/>
  <c r="F295" i="10"/>
  <c r="CY295" i="1"/>
  <c r="DA295" i="1" s="1"/>
  <c r="T295" i="10" s="1"/>
  <c r="CZ295" i="1"/>
  <c r="DA415" i="1"/>
  <c r="T423" i="10" s="1"/>
  <c r="H112" i="10"/>
  <c r="CY110" i="1"/>
  <c r="DA110" i="1" s="1"/>
  <c r="T112" i="10" s="1"/>
  <c r="CX325" i="1"/>
  <c r="G326" i="10" s="1"/>
  <c r="K326" i="10" s="1"/>
  <c r="CY325" i="1"/>
  <c r="DA325" i="1" s="1"/>
  <c r="T326" i="10" s="1"/>
  <c r="CZ325" i="1"/>
  <c r="F326" i="10"/>
  <c r="F67" i="10"/>
  <c r="CZ66" i="1"/>
  <c r="CX66" i="1"/>
  <c r="G67" i="10" s="1"/>
  <c r="K67" i="10" s="1"/>
  <c r="CY66" i="1"/>
  <c r="DA256" i="1"/>
  <c r="T256" i="10" s="1"/>
  <c r="CZ82" i="1"/>
  <c r="F83" i="10"/>
  <c r="CX82" i="1"/>
  <c r="G83" i="10" s="1"/>
  <c r="K83" i="10" s="1"/>
  <c r="CY82" i="1"/>
  <c r="CX453" i="1"/>
  <c r="G460" i="10" s="1"/>
  <c r="K460" i="10" s="1"/>
  <c r="F460" i="10"/>
  <c r="CY453" i="1"/>
  <c r="DA453" i="1" s="1"/>
  <c r="T460" i="10" s="1"/>
  <c r="CZ453" i="1"/>
  <c r="CY351" i="1"/>
  <c r="DA351" i="1" s="1"/>
  <c r="T352" i="10" s="1"/>
  <c r="F440" i="10"/>
  <c r="CZ430" i="1"/>
  <c r="CX430" i="1"/>
  <c r="G440" i="10" s="1"/>
  <c r="K440" i="10" s="1"/>
  <c r="CY430" i="1"/>
  <c r="DA430" i="1" s="1"/>
  <c r="T440" i="10" s="1"/>
  <c r="CY404" i="1"/>
  <c r="DA404" i="1" s="1"/>
  <c r="T409" i="10" s="1"/>
  <c r="CY296" i="1"/>
  <c r="CX296" i="1"/>
  <c r="G296" i="10" s="1"/>
  <c r="K296" i="10" s="1"/>
  <c r="CZ296" i="1"/>
  <c r="F296" i="10"/>
  <c r="CZ202" i="1"/>
  <c r="CX202" i="1"/>
  <c r="G202" i="10" s="1"/>
  <c r="K202" i="10" s="1"/>
  <c r="F202" i="10"/>
  <c r="CY202" i="1"/>
  <c r="DA202" i="1" s="1"/>
  <c r="T202" i="10" s="1"/>
  <c r="F332" i="10"/>
  <c r="CZ331" i="1"/>
  <c r="CX331" i="1"/>
  <c r="G332" i="10" s="1"/>
  <c r="K332" i="10" s="1"/>
  <c r="CY331" i="1"/>
  <c r="DA331" i="1" s="1"/>
  <c r="T332" i="10" s="1"/>
  <c r="CX558" i="1"/>
  <c r="G566" i="10" s="1"/>
  <c r="K566" i="10" s="1"/>
  <c r="CZ558" i="1"/>
  <c r="CY558" i="1"/>
  <c r="DA558" i="1" s="1"/>
  <c r="T566" i="10" s="1"/>
  <c r="F566" i="10"/>
  <c r="CX247" i="1"/>
  <c r="G247" i="10" s="1"/>
  <c r="K247" i="10" s="1"/>
  <c r="CZ247" i="1"/>
  <c r="CY247" i="1"/>
  <c r="DA247" i="1" s="1"/>
  <c r="T247" i="10" s="1"/>
  <c r="F247" i="10"/>
  <c r="CX273" i="1"/>
  <c r="G273" i="10" s="1"/>
  <c r="K273" i="10" s="1"/>
  <c r="CZ273" i="1"/>
  <c r="F273" i="10"/>
  <c r="CY273" i="1"/>
  <c r="DA273" i="1" s="1"/>
  <c r="T273" i="10" s="1"/>
  <c r="CY356" i="1"/>
  <c r="DA356" i="1" s="1"/>
  <c r="T357" i="10" s="1"/>
  <c r="H357" i="10"/>
  <c r="CY362" i="1"/>
  <c r="DA362" i="1" s="1"/>
  <c r="T363" i="10" s="1"/>
  <c r="CX362" i="1"/>
  <c r="G363" i="10" s="1"/>
  <c r="K363" i="10" s="1"/>
  <c r="F363" i="10"/>
  <c r="CZ362" i="1"/>
  <c r="CY260" i="1"/>
  <c r="DA260" i="1" s="1"/>
  <c r="T259" i="10" s="1"/>
  <c r="CX201" i="1"/>
  <c r="G201" i="10" s="1"/>
  <c r="K201" i="10" s="1"/>
  <c r="CY201" i="1"/>
  <c r="F201" i="10"/>
  <c r="CZ201" i="1"/>
  <c r="CY387" i="1"/>
  <c r="DA387" i="1" s="1"/>
  <c r="T391" i="10" s="1"/>
  <c r="H391" i="10"/>
  <c r="F353" i="10"/>
  <c r="CY352" i="1"/>
  <c r="DA352" i="1" s="1"/>
  <c r="T353" i="10" s="1"/>
  <c r="CZ352" i="1"/>
  <c r="CX352" i="1"/>
  <c r="G353" i="10" s="1"/>
  <c r="K353" i="10" s="1"/>
  <c r="F90" i="10"/>
  <c r="CY90" i="1"/>
  <c r="DA90" i="1" s="1"/>
  <c r="T90" i="10" s="1"/>
  <c r="CZ90" i="1"/>
  <c r="CX90" i="1"/>
  <c r="G90" i="10" s="1"/>
  <c r="K90" i="10" s="1"/>
  <c r="F31" i="10"/>
  <c r="CY31" i="1"/>
  <c r="DA31" i="1" s="1"/>
  <c r="T31" i="10" s="1"/>
  <c r="CZ31" i="1"/>
  <c r="CX31" i="1"/>
  <c r="G31" i="10" s="1"/>
  <c r="K31" i="10" s="1"/>
  <c r="H264" i="10"/>
  <c r="CY265" i="1"/>
  <c r="DA265" i="1" s="1"/>
  <c r="T264" i="10" s="1"/>
  <c r="CZ169" i="1"/>
  <c r="F169" i="10"/>
  <c r="CY169" i="1"/>
  <c r="CX169" i="1"/>
  <c r="G169" i="10" s="1"/>
  <c r="K169" i="10" s="1"/>
  <c r="CY355" i="1"/>
  <c r="DA355" i="1" s="1"/>
  <c r="T356" i="10" s="1"/>
  <c r="CZ355" i="1"/>
  <c r="F356" i="10"/>
  <c r="CX355" i="1"/>
  <c r="G356" i="10" s="1"/>
  <c r="K356" i="10" s="1"/>
  <c r="CX501" i="1"/>
  <c r="G509" i="10" s="1"/>
  <c r="K509" i="10" s="1"/>
  <c r="CZ501" i="1"/>
  <c r="F509" i="10"/>
  <c r="CY501" i="1"/>
  <c r="DA501" i="1" s="1"/>
  <c r="T509" i="10" s="1"/>
  <c r="CZ302" i="1"/>
  <c r="CY302" i="1"/>
  <c r="F304" i="10"/>
  <c r="CX302" i="1"/>
  <c r="G304" i="10" s="1"/>
  <c r="K304" i="10" s="1"/>
  <c r="CX328" i="1"/>
  <c r="G329" i="10" s="1"/>
  <c r="K329" i="10" s="1"/>
  <c r="F329" i="10"/>
  <c r="CZ328" i="1"/>
  <c r="CY328" i="1"/>
  <c r="DA328" i="1" s="1"/>
  <c r="T329" i="10" s="1"/>
  <c r="CX364" i="1"/>
  <c r="G365" i="10" s="1"/>
  <c r="K365" i="10" s="1"/>
  <c r="CY364" i="1"/>
  <c r="F365" i="10"/>
  <c r="CZ364" i="1"/>
  <c r="F316" i="10"/>
  <c r="CZ313" i="1"/>
  <c r="CX313" i="1"/>
  <c r="G316" i="10" s="1"/>
  <c r="K316" i="10" s="1"/>
  <c r="CY313" i="1"/>
  <c r="DA313" i="1" s="1"/>
  <c r="T316" i="10" s="1"/>
  <c r="H335" i="10"/>
  <c r="CY334" i="1"/>
  <c r="DA334" i="1" s="1"/>
  <c r="T335" i="10" s="1"/>
  <c r="CZ548" i="1"/>
  <c r="CY548" i="1"/>
  <c r="CX548" i="1"/>
  <c r="G556" i="10" s="1"/>
  <c r="K556" i="10" s="1"/>
  <c r="F556" i="10"/>
  <c r="F193" i="10"/>
  <c r="CX195" i="1"/>
  <c r="G193" i="10" s="1"/>
  <c r="K193" i="10" s="1"/>
  <c r="CZ195" i="1"/>
  <c r="CY195" i="1"/>
  <c r="CX445" i="1"/>
  <c r="G454" i="10" s="1"/>
  <c r="K454" i="10" s="1"/>
  <c r="CY445" i="1"/>
  <c r="DA445" i="1" s="1"/>
  <c r="T454" i="10" s="1"/>
  <c r="CZ445" i="1"/>
  <c r="F454" i="10"/>
  <c r="CY398" i="1"/>
  <c r="DA398" i="1" s="1"/>
  <c r="T402" i="10" s="1"/>
  <c r="CZ398" i="1"/>
  <c r="F402" i="10"/>
  <c r="CX398" i="1"/>
  <c r="G402" i="10" s="1"/>
  <c r="K402" i="10" s="1"/>
  <c r="H278" i="10"/>
  <c r="CY278" i="1"/>
  <c r="DA278" i="1" s="1"/>
  <c r="T278" i="10" s="1"/>
  <c r="CX118" i="1"/>
  <c r="G118" i="10" s="1"/>
  <c r="K118" i="10" s="1"/>
  <c r="CZ118" i="1"/>
  <c r="CY118" i="1"/>
  <c r="DA118" i="1" s="1"/>
  <c r="T118" i="10" s="1"/>
  <c r="F118" i="10"/>
  <c r="CZ205" i="1"/>
  <c r="CX205" i="1"/>
  <c r="G204" i="10" s="1"/>
  <c r="K204" i="10" s="1"/>
  <c r="CY205" i="1"/>
  <c r="DA205" i="1" s="1"/>
  <c r="T204" i="10" s="1"/>
  <c r="F204" i="10"/>
  <c r="CX207" i="1"/>
  <c r="G207" i="10" s="1"/>
  <c r="K207" i="10" s="1"/>
  <c r="F207" i="10"/>
  <c r="CY207" i="1"/>
  <c r="DA207" i="1" s="1"/>
  <c r="T207" i="10" s="1"/>
  <c r="CZ207" i="1"/>
  <c r="CZ235" i="1"/>
  <c r="F236" i="10"/>
  <c r="CX235" i="1"/>
  <c r="G236" i="10" s="1"/>
  <c r="K236" i="10" s="1"/>
  <c r="CY235" i="1"/>
  <c r="DA235" i="1" s="1"/>
  <c r="T236" i="10" s="1"/>
  <c r="H243" i="10"/>
  <c r="CY243" i="1"/>
  <c r="DA243" i="1" s="1"/>
  <c r="T243" i="10" s="1"/>
  <c r="CX271" i="1"/>
  <c r="G274" i="10" s="1"/>
  <c r="K274" i="10" s="1"/>
  <c r="CY271" i="1"/>
  <c r="DA271" i="1" s="1"/>
  <c r="T274" i="10" s="1"/>
  <c r="F274" i="10"/>
  <c r="CZ271" i="1"/>
  <c r="CX335" i="1"/>
  <c r="G336" i="10" s="1"/>
  <c r="K336" i="10" s="1"/>
  <c r="F336" i="10"/>
  <c r="CY335" i="1"/>
  <c r="DA335" i="1" s="1"/>
  <c r="T336" i="10" s="1"/>
  <c r="CZ335" i="1"/>
  <c r="DA251" i="1"/>
  <c r="T252" i="10" s="1"/>
  <c r="CY563" i="1"/>
  <c r="CX563" i="1"/>
  <c r="G571" i="10" s="1"/>
  <c r="K571" i="10" s="1"/>
  <c r="F571" i="10"/>
  <c r="CZ563" i="1"/>
  <c r="CZ554" i="1"/>
  <c r="CX554" i="1"/>
  <c r="G562" i="10" s="1"/>
  <c r="K562" i="10" s="1"/>
  <c r="CY554" i="1"/>
  <c r="F562" i="10"/>
  <c r="CZ117" i="1"/>
  <c r="CX117" i="1"/>
  <c r="G116" i="10" s="1"/>
  <c r="K116" i="10" s="1"/>
  <c r="CY117" i="1"/>
  <c r="F116" i="10"/>
  <c r="F214" i="10"/>
  <c r="CY214" i="1"/>
  <c r="DA214" i="1" s="1"/>
  <c r="T214" i="10" s="1"/>
  <c r="CZ214" i="1"/>
  <c r="CX214" i="1"/>
  <c r="G214" i="10" s="1"/>
  <c r="K214" i="10" s="1"/>
  <c r="CY112" i="1"/>
  <c r="CX112" i="1"/>
  <c r="G111" i="10" s="1"/>
  <c r="K111" i="10" s="1"/>
  <c r="F111" i="10"/>
  <c r="CZ112" i="1"/>
  <c r="H395" i="10"/>
  <c r="CY391" i="1"/>
  <c r="DA391" i="1" s="1"/>
  <c r="T395" i="10" s="1"/>
  <c r="CZ532" i="1"/>
  <c r="CY532" i="1"/>
  <c r="DA532" i="1" s="1"/>
  <c r="T540" i="10" s="1"/>
  <c r="F540" i="10"/>
  <c r="CX532" i="1"/>
  <c r="G540" i="10" s="1"/>
  <c r="K540" i="10" s="1"/>
  <c r="H368" i="10"/>
  <c r="CY367" i="1"/>
  <c r="DA367" i="1" s="1"/>
  <c r="T368" i="10" s="1"/>
  <c r="CY305" i="1"/>
  <c r="DA305" i="1" s="1"/>
  <c r="T306" i="10" s="1"/>
  <c r="CZ305" i="1"/>
  <c r="CX305" i="1"/>
  <c r="G306" i="10" s="1"/>
  <c r="K306" i="10" s="1"/>
  <c r="F306" i="10"/>
  <c r="CX412" i="1"/>
  <c r="G417" i="10" s="1"/>
  <c r="K417" i="10" s="1"/>
  <c r="CZ412" i="1"/>
  <c r="F417" i="10"/>
  <c r="CY412" i="1"/>
  <c r="DA412" i="1" s="1"/>
  <c r="T417" i="10" s="1"/>
  <c r="CX523" i="1"/>
  <c r="G530" i="10" s="1"/>
  <c r="K530" i="10" s="1"/>
  <c r="F530" i="10"/>
  <c r="CZ523" i="1"/>
  <c r="CY523" i="1"/>
  <c r="DA523" i="1" s="1"/>
  <c r="T530" i="10" s="1"/>
  <c r="CZ177" i="1"/>
  <c r="F177" i="10"/>
  <c r="CX177" i="1"/>
  <c r="G177" i="10" s="1"/>
  <c r="K177" i="10" s="1"/>
  <c r="CY177" i="1"/>
  <c r="DA177" i="1" s="1"/>
  <c r="T177" i="10" s="1"/>
  <c r="F443" i="10"/>
  <c r="CY435" i="1"/>
  <c r="DA435" i="1" s="1"/>
  <c r="T443" i="10" s="1"/>
  <c r="CZ435" i="1"/>
  <c r="CX435" i="1"/>
  <c r="G443" i="10" s="1"/>
  <c r="K443" i="10" s="1"/>
  <c r="CZ226" i="1"/>
  <c r="F227" i="10"/>
  <c r="CY226" i="1"/>
  <c r="CX226" i="1"/>
  <c r="G227" i="10" s="1"/>
  <c r="K227" i="10" s="1"/>
  <c r="DA286" i="1"/>
  <c r="T286" i="10" s="1"/>
  <c r="H263" i="10"/>
  <c r="CY264" i="1"/>
  <c r="DA264" i="1" s="1"/>
  <c r="T263" i="10" s="1"/>
  <c r="DA281" i="1"/>
  <c r="T282" i="10" s="1"/>
  <c r="F175" i="10"/>
  <c r="CZ175" i="1"/>
  <c r="CY175" i="1"/>
  <c r="CX175" i="1"/>
  <c r="G175" i="10" s="1"/>
  <c r="K175" i="10" s="1"/>
  <c r="F349" i="10"/>
  <c r="CY349" i="1"/>
  <c r="DA349" i="1" s="1"/>
  <c r="T349" i="10" s="1"/>
  <c r="CZ349" i="1"/>
  <c r="CX349" i="1"/>
  <c r="G349" i="10" s="1"/>
  <c r="K349" i="10" s="1"/>
  <c r="CY11" i="1"/>
  <c r="DA11" i="1" s="1"/>
  <c r="T13" i="10" s="1"/>
  <c r="F486" i="10"/>
  <c r="CZ478" i="1"/>
  <c r="CY478" i="1"/>
  <c r="DA478" i="1" s="1"/>
  <c r="T486" i="10" s="1"/>
  <c r="CX478" i="1"/>
  <c r="G486" i="10" s="1"/>
  <c r="K486" i="10" s="1"/>
  <c r="H157" i="10"/>
  <c r="CY156" i="1"/>
  <c r="DA156" i="1" s="1"/>
  <c r="T157" i="10" s="1"/>
  <c r="CX78" i="1"/>
  <c r="G78" i="10" s="1"/>
  <c r="K78" i="10" s="1"/>
  <c r="F78" i="10"/>
  <c r="CY78" i="1"/>
  <c r="DA78" i="1" s="1"/>
  <c r="T78" i="10" s="1"/>
  <c r="CZ78" i="1"/>
  <c r="F291" i="10"/>
  <c r="CY290" i="1"/>
  <c r="DA290" i="1" s="1"/>
  <c r="T291" i="10" s="1"/>
  <c r="CZ290" i="1"/>
  <c r="CX290" i="1"/>
  <c r="G291" i="10" s="1"/>
  <c r="K291" i="10" s="1"/>
  <c r="CZ511" i="1"/>
  <c r="F518" i="10"/>
  <c r="CY511" i="1"/>
  <c r="CX511" i="1"/>
  <c r="G518" i="10" s="1"/>
  <c r="K518" i="10" s="1"/>
  <c r="CZ16" i="1"/>
  <c r="CY16" i="1"/>
  <c r="F16" i="10"/>
  <c r="CX16" i="1"/>
  <c r="G16" i="10" s="1"/>
  <c r="K16" i="10" s="1"/>
  <c r="CZ308" i="1"/>
  <c r="F309" i="10"/>
  <c r="CY308" i="1"/>
  <c r="CX308" i="1"/>
  <c r="G309" i="10" s="1"/>
  <c r="K309" i="10" s="1"/>
  <c r="T158" i="10"/>
  <c r="CY300" i="1"/>
  <c r="DA300" i="1" s="1"/>
  <c r="T300" i="10" s="1"/>
  <c r="CZ300" i="1"/>
  <c r="CX300" i="1"/>
  <c r="G300" i="10" s="1"/>
  <c r="K300" i="10" s="1"/>
  <c r="F300" i="10"/>
  <c r="DA279" i="1"/>
  <c r="T280" i="10" s="1"/>
  <c r="CY370" i="1"/>
  <c r="CZ370" i="1"/>
  <c r="F372" i="10"/>
  <c r="CX370" i="1"/>
  <c r="G372" i="10" s="1"/>
  <c r="K372" i="10" s="1"/>
  <c r="DA508" i="1"/>
  <c r="T515" i="10" s="1"/>
  <c r="DA307" i="1"/>
  <c r="T307" i="10" s="1"/>
  <c r="CZ291" i="1"/>
  <c r="CX291" i="1"/>
  <c r="G292" i="10" s="1"/>
  <c r="K292" i="10" s="1"/>
  <c r="CY291" i="1"/>
  <c r="F292" i="10"/>
  <c r="CX304" i="1"/>
  <c r="G303" i="10" s="1"/>
  <c r="K303" i="10" s="1"/>
  <c r="CY304" i="1"/>
  <c r="F303" i="10"/>
  <c r="CZ304" i="1"/>
  <c r="CX330" i="1"/>
  <c r="G331" i="10" s="1"/>
  <c r="K331" i="10" s="1"/>
  <c r="CZ330" i="1"/>
  <c r="CY330" i="1"/>
  <c r="F331" i="10"/>
  <c r="CZ338" i="1"/>
  <c r="F339" i="10"/>
  <c r="CX338" i="1"/>
  <c r="G339" i="10" s="1"/>
  <c r="K339" i="10" s="1"/>
  <c r="CY338" i="1"/>
  <c r="DA338" i="1" s="1"/>
  <c r="T339" i="10" s="1"/>
  <c r="CX341" i="1"/>
  <c r="G342" i="10" s="1"/>
  <c r="K342" i="10" s="1"/>
  <c r="F342" i="10"/>
  <c r="CZ341" i="1"/>
  <c r="CY341" i="1"/>
  <c r="DA341" i="1" s="1"/>
  <c r="T342" i="10" s="1"/>
  <c r="DA332" i="1"/>
  <c r="T333" i="10" s="1"/>
  <c r="DA64" i="1"/>
  <c r="T64" i="10" s="1"/>
  <c r="DA475" i="1"/>
  <c r="T483" i="10" s="1"/>
  <c r="DA461" i="1"/>
  <c r="T470" i="10" s="1"/>
  <c r="DA47" i="1"/>
  <c r="T47" i="10" s="1"/>
  <c r="DA24" i="1"/>
  <c r="T25" i="10" s="1"/>
  <c r="DA449" i="1"/>
  <c r="T457" i="10" s="1"/>
  <c r="DA69" i="1"/>
  <c r="T68" i="10" s="1"/>
  <c r="DA135" i="1"/>
  <c r="T134" i="10" s="1"/>
  <c r="DA231" i="1"/>
  <c r="T231" i="10" s="1"/>
  <c r="CZ241" i="1"/>
  <c r="CX241" i="1"/>
  <c r="G244" i="10" s="1"/>
  <c r="K244" i="10" s="1"/>
  <c r="CY241" i="1"/>
  <c r="DA241" i="1" s="1"/>
  <c r="T244" i="10" s="1"/>
  <c r="F244" i="10"/>
  <c r="CX263" i="1"/>
  <c r="G265" i="10" s="1"/>
  <c r="K265" i="10" s="1"/>
  <c r="CY263" i="1"/>
  <c r="DA263" i="1" s="1"/>
  <c r="T265" i="10" s="1"/>
  <c r="CZ263" i="1"/>
  <c r="F265" i="10"/>
  <c r="CY284" i="1"/>
  <c r="F285" i="10"/>
  <c r="CZ284" i="1"/>
  <c r="CX284" i="1"/>
  <c r="G285" i="10" s="1"/>
  <c r="K285" i="10" s="1"/>
  <c r="F369" i="10"/>
  <c r="CZ366" i="1"/>
  <c r="CX366" i="1"/>
  <c r="G369" i="10" s="1"/>
  <c r="K369" i="10" s="1"/>
  <c r="CY366" i="1"/>
  <c r="DA85" i="1"/>
  <c r="T85" i="10" s="1"/>
  <c r="DA366" i="1" l="1"/>
  <c r="T369" i="10" s="1"/>
  <c r="DA304" i="1"/>
  <c r="T303" i="10" s="1"/>
  <c r="DA308" i="1"/>
  <c r="T309" i="10" s="1"/>
  <c r="DA511" i="1"/>
  <c r="T518" i="10" s="1"/>
  <c r="DA364" i="1"/>
  <c r="T365" i="10" s="1"/>
  <c r="DA302" i="1"/>
  <c r="T304" i="10" s="1"/>
  <c r="DA201" i="1"/>
  <c r="T201" i="10" s="1"/>
  <c r="DA296" i="1"/>
  <c r="T296" i="10" s="1"/>
  <c r="DA66" i="1"/>
  <c r="T67" i="10" s="1"/>
  <c r="DA285" i="1"/>
  <c r="T284" i="10" s="1"/>
  <c r="DA29" i="1"/>
  <c r="T28" i="10" s="1"/>
  <c r="DA564" i="1"/>
  <c r="T572" i="10" s="1"/>
  <c r="F567" i="10"/>
  <c r="CZ559" i="1"/>
  <c r="CY559" i="1"/>
  <c r="CX559" i="1"/>
  <c r="G567" i="10" s="1"/>
  <c r="K567" i="10" s="1"/>
  <c r="DA360" i="1"/>
  <c r="T361" i="10" s="1"/>
  <c r="DA315" i="1"/>
  <c r="T315" i="10" s="1"/>
  <c r="DA546" i="1"/>
  <c r="T554" i="10" s="1"/>
  <c r="DA482" i="1"/>
  <c r="T490" i="10" s="1"/>
  <c r="DA93" i="1"/>
  <c r="T92" i="10" s="1"/>
  <c r="DA136" i="1"/>
  <c r="T137" i="10" s="1"/>
  <c r="DA519" i="1"/>
  <c r="T526" i="10" s="1"/>
  <c r="DA561" i="1"/>
  <c r="T569" i="10" s="1"/>
  <c r="DA277" i="1"/>
  <c r="T277" i="10" s="1"/>
  <c r="DA16" i="1"/>
  <c r="T16" i="10" s="1"/>
  <c r="DA112" i="1"/>
  <c r="T111" i="10" s="1"/>
  <c r="DA563" i="1"/>
  <c r="T571" i="10" s="1"/>
  <c r="DA548" i="1"/>
  <c r="T556" i="10" s="1"/>
  <c r="DA359" i="1"/>
  <c r="T360" i="10" s="1"/>
  <c r="DA429" i="1"/>
  <c r="T439" i="10" s="1"/>
  <c r="DA353" i="1"/>
  <c r="T354" i="10" s="1"/>
  <c r="DA414" i="1"/>
  <c r="T421" i="10" s="1"/>
  <c r="DA284" i="1"/>
  <c r="T285" i="10" s="1"/>
  <c r="DA330" i="1"/>
  <c r="T331" i="10" s="1"/>
  <c r="DA291" i="1"/>
  <c r="T292" i="10" s="1"/>
  <c r="DA370" i="1"/>
  <c r="T372" i="10" s="1"/>
  <c r="DA175" i="1"/>
  <c r="T175" i="10" s="1"/>
  <c r="DA226" i="1"/>
  <c r="T227" i="10" s="1"/>
  <c r="DA117" i="1"/>
  <c r="T116" i="10" s="1"/>
  <c r="DA554" i="1"/>
  <c r="T562" i="10" s="1"/>
  <c r="DA195" i="1"/>
  <c r="T193" i="10" s="1"/>
  <c r="DA169" i="1"/>
  <c r="DA82" i="1"/>
  <c r="T83" i="10" s="1"/>
  <c r="DA46" i="1"/>
  <c r="T46" i="10" s="1"/>
  <c r="DA287" i="1"/>
  <c r="T287" i="10" s="1"/>
  <c r="DA272" i="1"/>
  <c r="T272" i="10" s="1"/>
  <c r="DA317" i="1"/>
  <c r="T318" i="10" s="1"/>
  <c r="DA212" i="1"/>
  <c r="T211" i="10" s="1"/>
  <c r="DA309" i="1"/>
  <c r="T308" i="10" s="1"/>
  <c r="DA255" i="1"/>
  <c r="T253" i="10" s="1"/>
  <c r="DA424" i="1"/>
  <c r="T431" i="10" s="1"/>
  <c r="DA71" i="1"/>
  <c r="T71" i="10" s="1"/>
  <c r="DA56" i="1"/>
  <c r="T57" i="10" s="1"/>
  <c r="DA51" i="1"/>
  <c r="T51" i="10" s="1"/>
  <c r="DA123" i="1"/>
  <c r="T123" i="10" s="1"/>
  <c r="DA530" i="1"/>
  <c r="T538" i="10" s="1"/>
  <c r="DA240" i="1"/>
  <c r="T240" i="10" s="1"/>
  <c r="DA228" i="1"/>
  <c r="T228" i="10" s="1"/>
  <c r="DA559" i="1" l="1"/>
  <c r="T567" i="10" s="1"/>
  <c r="T169" i="10"/>
  <c r="E2" i="18"/>
  <c r="E1" i="18" s="1"/>
  <c r="H2" i="18"/>
  <c r="H1" i="18" s="1"/>
  <c r="N1" i="18" s="1"/>
  <c r="N4" i="18" s="1"/>
</calcChain>
</file>

<file path=xl/sharedStrings.xml><?xml version="1.0" encoding="utf-8"?>
<sst xmlns="http://schemas.openxmlformats.org/spreadsheetml/2006/main" count="22149" uniqueCount="4719">
  <si>
    <t>UBOrderNo</t>
  </si>
  <si>
    <t>LoadEntryDate</t>
  </si>
  <si>
    <t>BrokerConfirmationNumber</t>
  </si>
  <si>
    <t>Broker</t>
  </si>
  <si>
    <t>QuickPayRate</t>
  </si>
  <si>
    <t>BrokerAddress</t>
  </si>
  <si>
    <t>BrokerCity</t>
  </si>
  <si>
    <t>BrokerState</t>
  </si>
  <si>
    <t>BrokerCountry</t>
  </si>
  <si>
    <t>BrokerZip</t>
  </si>
  <si>
    <t>Shipper</t>
  </si>
  <si>
    <t>Pickupreff</t>
  </si>
  <si>
    <t>Shippingdate</t>
  </si>
  <si>
    <t>Shippingtime</t>
  </si>
  <si>
    <t>Shipperaddress</t>
  </si>
  <si>
    <t>Shippercity</t>
  </si>
  <si>
    <t>Shipperstate</t>
  </si>
  <si>
    <t>Shipperzipcode</t>
  </si>
  <si>
    <t>Shippercountry</t>
  </si>
  <si>
    <t>Shipperphone</t>
  </si>
  <si>
    <t>Trailertype</t>
  </si>
  <si>
    <t>Length</t>
  </si>
  <si>
    <t>Commodity</t>
  </si>
  <si>
    <t>Weight</t>
  </si>
  <si>
    <t>Units</t>
  </si>
  <si>
    <t>Count</t>
  </si>
  <si>
    <t>Pallets</t>
  </si>
  <si>
    <t>Temp</t>
  </si>
  <si>
    <t>Receiver</t>
  </si>
  <si>
    <t>Deliveryreff</t>
  </si>
  <si>
    <t>Receivingdate</t>
  </si>
  <si>
    <t>Receivingtime</t>
  </si>
  <si>
    <t>Receiveraddress</t>
  </si>
  <si>
    <t>Receivercity</t>
  </si>
  <si>
    <t>Receiverstate</t>
  </si>
  <si>
    <t>Receiverzip</t>
  </si>
  <si>
    <t>Receivercountry</t>
  </si>
  <si>
    <t>Receiverphone</t>
  </si>
  <si>
    <t>CarrierCompay</t>
  </si>
  <si>
    <t>DriverID</t>
  </si>
  <si>
    <t>DriverFirstName</t>
  </si>
  <si>
    <t>DriverLastName</t>
  </si>
  <si>
    <t>DriverLicense#</t>
  </si>
  <si>
    <t>DriverLicExpiration</t>
  </si>
  <si>
    <t>DriverLicenseStatus</t>
  </si>
  <si>
    <t>DriverDOB</t>
  </si>
  <si>
    <t>DriverAge</t>
  </si>
  <si>
    <t>DriverPhoneNumber</t>
  </si>
  <si>
    <t>DriverAddress</t>
  </si>
  <si>
    <t>DriverCity</t>
  </si>
  <si>
    <t>DriverState</t>
  </si>
  <si>
    <t>DriverZip</t>
  </si>
  <si>
    <t>DriverCountry</t>
  </si>
  <si>
    <t>DriverEmail</t>
  </si>
  <si>
    <t>DriverDrugTestDate</t>
  </si>
  <si>
    <t>DriverMedicalStatus</t>
  </si>
  <si>
    <t>CarrierMC</t>
  </si>
  <si>
    <t>CarrierDOT</t>
  </si>
  <si>
    <t>CarrierCA</t>
  </si>
  <si>
    <t>InsuranceProvider</t>
  </si>
  <si>
    <t>InsurancePolicyNumber</t>
  </si>
  <si>
    <t>InsuranceExpireDate</t>
  </si>
  <si>
    <t>DaysToExpire</t>
  </si>
  <si>
    <t>ChargeBroker</t>
  </si>
  <si>
    <t>MilesOneWay</t>
  </si>
  <si>
    <t>Rate/Mile</t>
  </si>
  <si>
    <t>TotalDriverPay+Fuel</t>
  </si>
  <si>
    <t>DriverRatePerMile</t>
  </si>
  <si>
    <t xml:space="preserve">CurrentDieselRate </t>
  </si>
  <si>
    <t>FuelSurchargePerMile</t>
  </si>
  <si>
    <t>Line Haul Rate</t>
  </si>
  <si>
    <t>TotalFuelSurcharge</t>
  </si>
  <si>
    <t>PayingForLoad</t>
  </si>
  <si>
    <t>PayorPhoneNumber</t>
  </si>
  <si>
    <t>PayorAddress</t>
  </si>
  <si>
    <t>PayorCity</t>
  </si>
  <si>
    <t>PayorState</t>
  </si>
  <si>
    <t>PayorZip</t>
  </si>
  <si>
    <t>PayorCountry</t>
  </si>
  <si>
    <t>PaymentMethod</t>
  </si>
  <si>
    <t>TcheckPrePaid</t>
  </si>
  <si>
    <t>MiscService1</t>
  </si>
  <si>
    <t>MiscFee1</t>
  </si>
  <si>
    <t>Qty1</t>
  </si>
  <si>
    <t>MiscCharge1</t>
  </si>
  <si>
    <t>MiscService2</t>
  </si>
  <si>
    <t>MiscFee2</t>
  </si>
  <si>
    <t>Qty2</t>
  </si>
  <si>
    <t>MiscCharge2</t>
  </si>
  <si>
    <t>MiscService3</t>
  </si>
  <si>
    <t>MiscFee3</t>
  </si>
  <si>
    <t>Qty3</t>
  </si>
  <si>
    <t>MiscCharge3</t>
  </si>
  <si>
    <t>MiscService4</t>
  </si>
  <si>
    <t>MiscFee4</t>
  </si>
  <si>
    <t>Qty4</t>
  </si>
  <si>
    <t>MiscCharge4</t>
  </si>
  <si>
    <t>ServiceFeeBroker</t>
  </si>
  <si>
    <t>FINALCHARGEBROKER</t>
  </si>
  <si>
    <t>ServicePayCarrier</t>
  </si>
  <si>
    <t>FINALPAYCARRIER</t>
  </si>
  <si>
    <t>UBReceivable</t>
  </si>
  <si>
    <t>OriginalDispatch</t>
  </si>
  <si>
    <t>QuickPayCharge</t>
  </si>
  <si>
    <t>FinalDispatch</t>
  </si>
  <si>
    <t>ComCheck+QuickPayFee</t>
  </si>
  <si>
    <t>UBBookingAgent</t>
  </si>
  <si>
    <t>Weekending</t>
  </si>
  <si>
    <t>Month</t>
  </si>
  <si>
    <t>Year</t>
  </si>
  <si>
    <t>Comments</t>
  </si>
  <si>
    <t>Ch Robinson</t>
  </si>
  <si>
    <t>Pepsi Beverage Corp</t>
  </si>
  <si>
    <t>G4328985</t>
  </si>
  <si>
    <t>6:00 Am **</t>
  </si>
  <si>
    <t xml:space="preserve">1415 Us Highway 90-A East </t>
  </si>
  <si>
    <t>Hallettsville</t>
  </si>
  <si>
    <t>Tx</t>
  </si>
  <si>
    <t>Us</t>
  </si>
  <si>
    <t>361-798-3651</t>
  </si>
  <si>
    <t>Van</t>
  </si>
  <si>
    <t>Bevrages</t>
  </si>
  <si>
    <t>Cases(S)</t>
  </si>
  <si>
    <t>NA</t>
  </si>
  <si>
    <t>Pepsi Cola</t>
  </si>
  <si>
    <t>Sh-050189775</t>
  </si>
  <si>
    <t>Open</t>
  </si>
  <si>
    <t>222 North Loop 336 E</t>
  </si>
  <si>
    <t>Conroe</t>
  </si>
  <si>
    <t>936-522-4411</t>
  </si>
  <si>
    <t>OOD1PDLTMARCO</t>
  </si>
  <si>
    <t>Ach</t>
  </si>
  <si>
    <t>None</t>
  </si>
  <si>
    <t>Sunny</t>
  </si>
  <si>
    <t>Norwesco Inc.</t>
  </si>
  <si>
    <t>A). 1015780565 B). 1015779660</t>
  </si>
  <si>
    <t>Na</t>
  </si>
  <si>
    <t>13241 11Th Avenue</t>
  </si>
  <si>
    <t>Hanford</t>
  </si>
  <si>
    <t>Ca</t>
  </si>
  <si>
    <t>559-585-1668</t>
  </si>
  <si>
    <t>Misc</t>
  </si>
  <si>
    <t>Tsc #0726 / Tractor Supply #0744</t>
  </si>
  <si>
    <t>1015779660 / 1015780565</t>
  </si>
  <si>
    <t>990 Thorp Rd / 248 S. Main Street</t>
  </si>
  <si>
    <t>Yuba City  / Red Bluff</t>
  </si>
  <si>
    <t>95993 / 96080</t>
  </si>
  <si>
    <t>530-822-7722 / 530-5288-945</t>
  </si>
  <si>
    <t>OOD2AVTKARAMJEET</t>
  </si>
  <si>
    <t>Detention</t>
  </si>
  <si>
    <t>Bolthouse Farms Inc</t>
  </si>
  <si>
    <t>C# Du421773488</t>
  </si>
  <si>
    <t>4:00 - 5:00 Pm</t>
  </si>
  <si>
    <t>7200 East Brundage Lane</t>
  </si>
  <si>
    <t>Bakersfield</t>
  </si>
  <si>
    <t>661-366-7207</t>
  </si>
  <si>
    <t>Plastic Dunnage</t>
  </si>
  <si>
    <t>Amcor Pet Packaging</t>
  </si>
  <si>
    <t>Scheduled Delivery</t>
  </si>
  <si>
    <t>2425 S. Watney Way</t>
  </si>
  <si>
    <t>Fairfield</t>
  </si>
  <si>
    <t>707-399-6513</t>
  </si>
  <si>
    <t>OOD3BTSATNAM</t>
  </si>
  <si>
    <t>Detention Requested 1 Hour @ 25</t>
  </si>
  <si>
    <t>395640-0</t>
  </si>
  <si>
    <t>Icci</t>
  </si>
  <si>
    <t>Cg Roxane Water Company</t>
  </si>
  <si>
    <t>7 Am - 1Pm</t>
  </si>
  <si>
    <t>1400 Mary'S Drive</t>
  </si>
  <si>
    <t>Weed</t>
  </si>
  <si>
    <t>888-575-7789</t>
  </si>
  <si>
    <t>Palletized Bottled Water</t>
  </si>
  <si>
    <t>Super Value Store</t>
  </si>
  <si>
    <t>6:30Am</t>
  </si>
  <si>
    <t>1525 East "D" St.   "Door #25"</t>
  </si>
  <si>
    <t>Tacoma</t>
  </si>
  <si>
    <t>Wa</t>
  </si>
  <si>
    <t>253-404-4237</t>
  </si>
  <si>
    <t>877-422-8785</t>
  </si>
  <si>
    <t>Back And Forth With Lee About Detention Time. Agreed On 25 Per Hour. Total Detention 2 Hours.</t>
  </si>
  <si>
    <t>Niagara Bottling (Stk)</t>
  </si>
  <si>
    <t>21812262/Nor0624150967</t>
  </si>
  <si>
    <t>10:00Am**</t>
  </si>
  <si>
    <t>1025 Runway Drive</t>
  </si>
  <si>
    <t>Stockton</t>
  </si>
  <si>
    <t>Water</t>
  </si>
  <si>
    <t>Carton</t>
  </si>
  <si>
    <t>Safeway Ds</t>
  </si>
  <si>
    <t>Nor0624150783</t>
  </si>
  <si>
    <t>16:00 Apt**</t>
  </si>
  <si>
    <t>1444 Shattuck Place</t>
  </si>
  <si>
    <t>Berkely</t>
  </si>
  <si>
    <t>UBTD1ALBEL</t>
  </si>
  <si>
    <t>Assit</t>
  </si>
  <si>
    <t>Assist</t>
  </si>
  <si>
    <t>3 Assists 100 25 25</t>
  </si>
  <si>
    <t>Uti</t>
  </si>
  <si>
    <t>Solar World</t>
  </si>
  <si>
    <t>Casor−15−01256</t>
  </si>
  <si>
    <t>3:00 Pm **</t>
  </si>
  <si>
    <t>23055 Nw Jacobson Rd</t>
  </si>
  <si>
    <t>Hillsboro</t>
  </si>
  <si>
    <t>Or</t>
  </si>
  <si>
    <t>503-329-2980</t>
  </si>
  <si>
    <t>Solar Modules</t>
  </si>
  <si>
    <t>Soligent</t>
  </si>
  <si>
    <t>7:30 - 4:00 Pm</t>
  </si>
  <si>
    <t>8671 Younger Creek Dr Ste 200</t>
  </si>
  <si>
    <t>Sacramento</t>
  </si>
  <si>
    <t>916-504-5016</t>
  </si>
  <si>
    <t>Change In Pickup# Per Broker/Shipper From Casor−15−01569 To Casor-15-01256 And 15Units And 21240Lbs</t>
  </si>
  <si>
    <t>Bruno'S Iron &amp; Metal</t>
  </si>
  <si>
    <t>9:00 Am**</t>
  </si>
  <si>
    <t>3211 S Golden State</t>
  </si>
  <si>
    <t>Fresno</t>
  </si>
  <si>
    <t>559-233-6543</t>
  </si>
  <si>
    <t>Bales</t>
  </si>
  <si>
    <t>Epic Plastics</t>
  </si>
  <si>
    <t>08:00-16:00</t>
  </si>
  <si>
    <t>104 E. Turner Rd</t>
  </si>
  <si>
    <t>Lodi</t>
  </si>
  <si>
    <t>209-365-2122</t>
  </si>
  <si>
    <t>Trailer Wash</t>
  </si>
  <si>
    <t>Truck Wash Included. $50</t>
  </si>
  <si>
    <t>Weyerhaeuser</t>
  </si>
  <si>
    <t>Pr29937A</t>
  </si>
  <si>
    <t>5:00 - 14:30</t>
  </si>
  <si>
    <t>3495 Breakwater Ct</t>
  </si>
  <si>
    <t>Hayward</t>
  </si>
  <si>
    <t>510-786-1700</t>
  </si>
  <si>
    <t>Baled Plastic</t>
  </si>
  <si>
    <t>8:00 - 15:00</t>
  </si>
  <si>
    <t>Cleaning Charge</t>
  </si>
  <si>
    <t>Cleaning Fees Paid</t>
  </si>
  <si>
    <t>8:00 - 14:00</t>
  </si>
  <si>
    <t>Tsc # 1584</t>
  </si>
  <si>
    <t>3950 Grass Vly Hwy</t>
  </si>
  <si>
    <t>Auburn</t>
  </si>
  <si>
    <t>530-889-2032</t>
  </si>
  <si>
    <t>Tarke Bean Llc</t>
  </si>
  <si>
    <t>062315Rh</t>
  </si>
  <si>
    <t>7:30 Am**</t>
  </si>
  <si>
    <t>12820 S Butte Rd</t>
  </si>
  <si>
    <t>Meridian</t>
  </si>
  <si>
    <t>530-696-2565</t>
  </si>
  <si>
    <t>Red Kidney Beans</t>
  </si>
  <si>
    <t>Central Valley Ag Export Inc</t>
  </si>
  <si>
    <t>345 E Tulare Ave Ste D</t>
  </si>
  <si>
    <t>Visalia</t>
  </si>
  <si>
    <t>559-734-1754</t>
  </si>
  <si>
    <t>Ardagh Group - Madera</t>
  </si>
  <si>
    <t>6:00 - 20:00</t>
  </si>
  <si>
    <t>24441 Avenue 12</t>
  </si>
  <si>
    <t>Madera</t>
  </si>
  <si>
    <t>559-675-4760</t>
  </si>
  <si>
    <t>Ardagh Group - Fairfield</t>
  </si>
  <si>
    <t>18:00 Appt</t>
  </si>
  <si>
    <t>2600 Stanford Court</t>
  </si>
  <si>
    <t>877-247-4527</t>
  </si>
  <si>
    <t>Pro Cal</t>
  </si>
  <si>
    <t>512018, 512066, 512064</t>
  </si>
  <si>
    <t>8:00-15:00</t>
  </si>
  <si>
    <t>550 Spice Island Drive</t>
  </si>
  <si>
    <t>Sparks</t>
  </si>
  <si>
    <t>Nv</t>
  </si>
  <si>
    <t>916-388-8333</t>
  </si>
  <si>
    <t>Plastic Products</t>
  </si>
  <si>
    <t>17000/4000/1000</t>
  </si>
  <si>
    <t>17/4</t>
  </si>
  <si>
    <t>Hydro City/Valley Crest Tree Co/Wildwoods</t>
  </si>
  <si>
    <t>8:00 - 17:00</t>
  </si>
  <si>
    <t>8510 Moprrison Creek Dr / 28915 E Funck Rd / 11888 Clarkson Ave</t>
  </si>
  <si>
    <t>Sacramento / Framington / Kikngsburg</t>
  </si>
  <si>
    <t>Ca / Ca / Ca</t>
  </si>
  <si>
    <t>95828 / 95230 / 93631</t>
  </si>
  <si>
    <t>Us / Us / Us</t>
  </si>
  <si>
    <t>916-388-8333/209-886-5511/559-897-1035</t>
  </si>
  <si>
    <t>Labor</t>
  </si>
  <si>
    <t>Pinnacle Transportation Logistics</t>
  </si>
  <si>
    <t>Itw Angleboard</t>
  </si>
  <si>
    <t>8:00-14:00</t>
  </si>
  <si>
    <t>761 Port Chicago Hwy</t>
  </si>
  <si>
    <t>Bay Point</t>
  </si>
  <si>
    <t>800 647 7795</t>
  </si>
  <si>
    <t>Clorox/Huntington</t>
  </si>
  <si>
    <t>12:00 - 13:00</t>
  </si>
  <si>
    <t>2500 Huntington Dr</t>
  </si>
  <si>
    <t>707-437-1051</t>
  </si>
  <si>
    <t>06:00-20:00</t>
  </si>
  <si>
    <t>750 Ml Burg  Sebastiani Dl  Cse24</t>
  </si>
  <si>
    <t>Sebastiani Vineyards</t>
  </si>
  <si>
    <t>7:00Am Appt**</t>
  </si>
  <si>
    <t>389 4Th St. East</t>
  </si>
  <si>
    <t>Sonoma</t>
  </si>
  <si>
    <t>707-933-3326</t>
  </si>
  <si>
    <t xml:space="preserve">Summit Expedited Logistics </t>
  </si>
  <si>
    <t>Owens Illinois Oakland</t>
  </si>
  <si>
    <t>8Am-4Pm</t>
  </si>
  <si>
    <t>3600 Alameda Blvd</t>
  </si>
  <si>
    <t>Oakland</t>
  </si>
  <si>
    <t xml:space="preserve">510-436-2000 </t>
  </si>
  <si>
    <t>Lidestri Foods Tempera</t>
  </si>
  <si>
    <t>233594Line3</t>
  </si>
  <si>
    <t>5:00 Am Appt**</t>
  </si>
  <si>
    <t>568 S Temperance Ave</t>
  </si>
  <si>
    <t xml:space="preserve">Ca </t>
  </si>
  <si>
    <t xml:space="preserve">559-251-1000 </t>
  </si>
  <si>
    <t>Detention Pick</t>
  </si>
  <si>
    <t>Detention Drop</t>
  </si>
  <si>
    <t>Summit Declined To Pay 3 Hours Detention.</t>
  </si>
  <si>
    <t>750 Ml Burg Chalk Hill   At   Cse41</t>
  </si>
  <si>
    <t>11:30 Appt</t>
  </si>
  <si>
    <t>Driver Assist Inclueded In The Load Price.</t>
  </si>
  <si>
    <t>Ready Roast</t>
  </si>
  <si>
    <t>11:00Am**</t>
  </si>
  <si>
    <t>2805 Falcon Dr</t>
  </si>
  <si>
    <t>Food Product</t>
  </si>
  <si>
    <t>Kerry Ingredients</t>
  </si>
  <si>
    <t>8:00 - 16:00</t>
  </si>
  <si>
    <t>33063 Western Avenue</t>
  </si>
  <si>
    <t>Union City</t>
  </si>
  <si>
    <t>Cancelled Per Shipper. $150 In Compensation Fee.Tnu</t>
  </si>
  <si>
    <t>Cytosport, Inc.</t>
  </si>
  <si>
    <t>7:00 - 12:00</t>
  </si>
  <si>
    <t>4795 Industrial Way</t>
  </si>
  <si>
    <t>Benicia</t>
  </si>
  <si>
    <t>707-751-3942</t>
  </si>
  <si>
    <t>Food Grade Products</t>
  </si>
  <si>
    <t>Can</t>
  </si>
  <si>
    <t>Allen Distribution</t>
  </si>
  <si>
    <t>6:30Am Appt**</t>
  </si>
  <si>
    <t>4650 Newcastle Rd Ste 200</t>
  </si>
  <si>
    <t>209-644-2297</t>
  </si>
  <si>
    <t>Valley Wine Warehouse/American Warehouse</t>
  </si>
  <si>
    <t>175 Tower Road</t>
  </si>
  <si>
    <t>Napa</t>
  </si>
  <si>
    <t>Bar Mixes</t>
  </si>
  <si>
    <t>Case(S)</t>
  </si>
  <si>
    <t>Southern Wine &amp; Spirits - Atlantic</t>
  </si>
  <si>
    <t>13:00 Appt</t>
  </si>
  <si>
    <t>1555 Atlantic St</t>
  </si>
  <si>
    <t>510-477-5500</t>
  </si>
  <si>
    <t>Moring Star Packing</t>
  </si>
  <si>
    <t>2015Lb3062</t>
  </si>
  <si>
    <t>13448 Volta Road</t>
  </si>
  <si>
    <t>Los Banos</t>
  </si>
  <si>
    <t>209-827-7807</t>
  </si>
  <si>
    <t>Organic Diced Tomatoes</t>
  </si>
  <si>
    <t>Wine Country Kitchens</t>
  </si>
  <si>
    <t>8:00 - 4:00Pm</t>
  </si>
  <si>
    <t>511 Alexis Court</t>
  </si>
  <si>
    <t>707-252-9463</t>
  </si>
  <si>
    <t>Receiver Open Till 4Pm 7/6/2015</t>
  </si>
  <si>
    <t>06:00 Appt.</t>
  </si>
  <si>
    <t>Plastic Bottles</t>
  </si>
  <si>
    <t>Am421854065</t>
  </si>
  <si>
    <t>16:00 Appt</t>
  </si>
  <si>
    <t>750 Ml Clar Sm Loon Cab At Aapb6</t>
  </si>
  <si>
    <t>Don Sebastiani &amp; Sons</t>
  </si>
  <si>
    <t>0005616107 - 122101</t>
  </si>
  <si>
    <t>13:30 Appt</t>
  </si>
  <si>
    <t>520 Airpark Road</t>
  </si>
  <si>
    <t>707-931-2416</t>
  </si>
  <si>
    <t>Olam Tomato Processors</t>
  </si>
  <si>
    <t>12:00 Appt</t>
  </si>
  <si>
    <t>1400 Churchill Downs Ave</t>
  </si>
  <si>
    <t>Woodland</t>
  </si>
  <si>
    <t>530-473-4283</t>
  </si>
  <si>
    <t>United Facilities</t>
  </si>
  <si>
    <t>07:30 Appt.</t>
  </si>
  <si>
    <t>3535 Perlman Dr</t>
  </si>
  <si>
    <t>209-982-5580</t>
  </si>
  <si>
    <t>Henry Wine Group</t>
  </si>
  <si>
    <t>4301 Industrial Way</t>
  </si>
  <si>
    <t>Banecia</t>
  </si>
  <si>
    <t>707-745-8500</t>
  </si>
  <si>
    <t>Wine</t>
  </si>
  <si>
    <t>Safeway Norcal Distribution</t>
  </si>
  <si>
    <t>18:00Appt</t>
  </si>
  <si>
    <t>16900 W. Schulte Road</t>
  </si>
  <si>
    <t>Tracy</t>
  </si>
  <si>
    <t>209-833-4877</t>
  </si>
  <si>
    <t>Lumper</t>
  </si>
  <si>
    <t>Work Require: Count By Driver. Lumper. Binda Got Delayed On Unloading. Chrob Didn’T Pay Detention</t>
  </si>
  <si>
    <t>Interstate Distributor Co</t>
  </si>
  <si>
    <t>Niagara Stockton2</t>
  </si>
  <si>
    <t>Nb15496258</t>
  </si>
  <si>
    <t>811 Zephyr Street Suite 300</t>
  </si>
  <si>
    <t>209-983-8436</t>
  </si>
  <si>
    <t>Core Mark Distributors Inc</t>
  </si>
  <si>
    <t>200 Coremark Court</t>
  </si>
  <si>
    <t>661-366-2673</t>
  </si>
  <si>
    <t>Lumper And Detention</t>
  </si>
  <si>
    <t>Beard Express Inc</t>
  </si>
  <si>
    <t>609 Beard Ave</t>
  </si>
  <si>
    <t>Modesto</t>
  </si>
  <si>
    <t>209-522-5227</t>
  </si>
  <si>
    <t>Autoparts</t>
  </si>
  <si>
    <t>Southern Aluminum Finishings Co</t>
  </si>
  <si>
    <t>06:00-16:00</t>
  </si>
  <si>
    <t>4356 Caterpillar Rd</t>
  </si>
  <si>
    <t>Redding</t>
  </si>
  <si>
    <t>530-244-7518</t>
  </si>
  <si>
    <t>Sent Power Unit To Tow The Loaded Trailer. Original Delivery Was 7/3/15. We Were Hired To Deliver On 7/8/2015</t>
  </si>
  <si>
    <t>Niagara Drinking Water</t>
  </si>
  <si>
    <t>Nb15504073</t>
  </si>
  <si>
    <t>5:00Appt**</t>
  </si>
  <si>
    <t>1025 Runway Dr</t>
  </si>
  <si>
    <t>209-373-4913</t>
  </si>
  <si>
    <t>Costco Who,Gilroy,Ca,Usa</t>
  </si>
  <si>
    <t>7251 Camino Arroyo</t>
  </si>
  <si>
    <t>Gilroy</t>
  </si>
  <si>
    <t>Marinovich Cold Stg - Watsonville</t>
  </si>
  <si>
    <t>303 A Salinas Rd</t>
  </si>
  <si>
    <t>Watsonville</t>
  </si>
  <si>
    <t>831-724-4059</t>
  </si>
  <si>
    <t>Falcon Trading Co</t>
  </si>
  <si>
    <t>13:00 Appt.</t>
  </si>
  <si>
    <t>31 Railroad Ave</t>
  </si>
  <si>
    <t>Royal Oaks</t>
  </si>
  <si>
    <t>831-786-7000</t>
  </si>
  <si>
    <t>Bruni Glass</t>
  </si>
  <si>
    <t>08:00-10:00</t>
  </si>
  <si>
    <t>2750 Maxwell Way</t>
  </si>
  <si>
    <t>707-752-6267</t>
  </si>
  <si>
    <t>Glass</t>
  </si>
  <si>
    <t>Daou Vineyards Llc</t>
  </si>
  <si>
    <t>08:00-15:00</t>
  </si>
  <si>
    <t>2777 Hidden Mountain Rd</t>
  </si>
  <si>
    <t>Paso Robles</t>
  </si>
  <si>
    <t>888-527-6455</t>
  </si>
  <si>
    <t>Hess Collection Winery</t>
  </si>
  <si>
    <t>7:00 - 14:00</t>
  </si>
  <si>
    <t>4411 Redwood Rd</t>
  </si>
  <si>
    <t>707-255-1144</t>
  </si>
  <si>
    <t>Global Freight Management</t>
  </si>
  <si>
    <t>Yusen Air &amp; Sea</t>
  </si>
  <si>
    <t>405 Victory Ave.</t>
  </si>
  <si>
    <t>South San Francisco</t>
  </si>
  <si>
    <t>Unfi Western Region Division</t>
  </si>
  <si>
    <t>Wo038712</t>
  </si>
  <si>
    <t>5:00Am Appt</t>
  </si>
  <si>
    <t>1101 Sunset Blvd</t>
  </si>
  <si>
    <t>Rocklin</t>
  </si>
  <si>
    <t>Check 3-5 Day</t>
  </si>
  <si>
    <t>Coyote</t>
  </si>
  <si>
    <t>Equipment Ordered Not Used</t>
  </si>
  <si>
    <t>Pasc126170</t>
  </si>
  <si>
    <t>531 Martin Ave</t>
  </si>
  <si>
    <t>Santa Clara</t>
  </si>
  <si>
    <t>Packaging</t>
  </si>
  <si>
    <t>Fleenor Paper</t>
  </si>
  <si>
    <t>4201 E Fremont St</t>
  </si>
  <si>
    <t>Check</t>
  </si>
  <si>
    <t>Load Canceled Per Shipper. Tnu</t>
  </si>
  <si>
    <t>Pepsi Logistics Company Inc</t>
  </si>
  <si>
    <t>Martell Sierrapine Amp</t>
  </si>
  <si>
    <t>11300 Ridge Road</t>
  </si>
  <si>
    <t>Martell</t>
  </si>
  <si>
    <t>209-223-1690</t>
  </si>
  <si>
    <t>Corrwood- Martell</t>
  </si>
  <si>
    <t>7182 Rasmussen Rd</t>
  </si>
  <si>
    <t>Goshen</t>
  </si>
  <si>
    <t>559-651-0335</t>
  </si>
  <si>
    <t>Pacific Coast Battery</t>
  </si>
  <si>
    <t>08:00 - 10:00</t>
  </si>
  <si>
    <t>10519 E. Stockton</t>
  </si>
  <si>
    <t>Elk Grove</t>
  </si>
  <si>
    <t>Batteries</t>
  </si>
  <si>
    <t>311 E. Alisal St</t>
  </si>
  <si>
    <t>Salinas</t>
  </si>
  <si>
    <t>Amazon</t>
  </si>
  <si>
    <t>004Hjwdsf</t>
  </si>
  <si>
    <t>15:00 Appt</t>
  </si>
  <si>
    <t>1555 N Chrisman Rd</t>
  </si>
  <si>
    <t>623-203-6553</t>
  </si>
  <si>
    <t>Amazon Oak3</t>
  </si>
  <si>
    <t>17:00 Appt</t>
  </si>
  <si>
    <t>255 Park Ctr Dr</t>
  </si>
  <si>
    <t>Patterson</t>
  </si>
  <si>
    <t>209-895-6625</t>
  </si>
  <si>
    <t>Anheuser-Buschbased</t>
  </si>
  <si>
    <t>3101 Busch Drive</t>
  </si>
  <si>
    <t>Beer</t>
  </si>
  <si>
    <t>Donaghy Sales Inc</t>
  </si>
  <si>
    <t xml:space="preserve">2363 S. Cedar Avenue </t>
  </si>
  <si>
    <t>30 Min Detention Not Paid By Shiper.</t>
  </si>
  <si>
    <t>Landstar</t>
  </si>
  <si>
    <t>Biagro Western</t>
  </si>
  <si>
    <t>12222 Avenue 352</t>
  </si>
  <si>
    <t>Hazmat Non-High Risk</t>
  </si>
  <si>
    <t>Actagro Plant Nutrients</t>
  </si>
  <si>
    <t>4516 N Howard Ave</t>
  </si>
  <si>
    <t>Biola</t>
  </si>
  <si>
    <t>559-843-2700</t>
  </si>
  <si>
    <t>Conagra Foods/Gilroy Foods Inc - Gilroy</t>
  </si>
  <si>
    <t>7:00-11:00</t>
  </si>
  <si>
    <t>1359 Pacheo Pass Hwy. (Gate 2</t>
  </si>
  <si>
    <t>Small Dehydrated Onions</t>
  </si>
  <si>
    <t>Martin-Brower Company</t>
  </si>
  <si>
    <t>8:30-17:00</t>
  </si>
  <si>
    <t>4704 Fite Ct</t>
  </si>
  <si>
    <t>Stocton</t>
  </si>
  <si>
    <t>209-460-3393</t>
  </si>
  <si>
    <t xml:space="preserve">Kam-Way </t>
  </si>
  <si>
    <t>Calbee North America, Llc</t>
  </si>
  <si>
    <t>2600 Maxwell Way</t>
  </si>
  <si>
    <t>Grocery</t>
  </si>
  <si>
    <t>Ok Produce</t>
  </si>
  <si>
    <t>379653A</t>
  </si>
  <si>
    <t>1762 G Street</t>
  </si>
  <si>
    <t>1015913431 / 1015937226</t>
  </si>
  <si>
    <t>1263 / 1037</t>
  </si>
  <si>
    <t>Tsc #0726 /Tractor Supply #0744</t>
  </si>
  <si>
    <t>1390 E Main St / 1360 Broadway</t>
  </si>
  <si>
    <t>Woodland / Placerville</t>
  </si>
  <si>
    <t>95776 / 95667</t>
  </si>
  <si>
    <t>530-662-7780 / 530-621-9936</t>
  </si>
  <si>
    <t>California Bottling</t>
  </si>
  <si>
    <t>8250 Industrial Ave</t>
  </si>
  <si>
    <t>Roseville</t>
  </si>
  <si>
    <t>916-772-1000</t>
  </si>
  <si>
    <t>700 Ml Bottles Of Water</t>
  </si>
  <si>
    <t>Ps Water</t>
  </si>
  <si>
    <t>13240 Llagas Avenue</t>
  </si>
  <si>
    <t>San Martin</t>
  </si>
  <si>
    <t>408-681-1502</t>
  </si>
  <si>
    <t>225 Detention Time Approved. Detention Paid 200</t>
  </si>
  <si>
    <t>Marathon Packing</t>
  </si>
  <si>
    <t>To12348</t>
  </si>
  <si>
    <t>2366 Alvardo St Building 3</t>
  </si>
  <si>
    <t>San Leandro</t>
  </si>
  <si>
    <t>510-895-2000</t>
  </si>
  <si>
    <t>Palletized Olive Oil</t>
  </si>
  <si>
    <t>Cor - Orland Warehouse</t>
  </si>
  <si>
    <t>6990 Haigh Dr</t>
  </si>
  <si>
    <t>Orland</t>
  </si>
  <si>
    <t>530-592-3700/530-846-8000</t>
  </si>
  <si>
    <t>Check 5-7 Day</t>
  </si>
  <si>
    <t>Detntion</t>
  </si>
  <si>
    <t>No Detention. Uti Is A Lame Company Ruining Industry Standards.</t>
  </si>
  <si>
    <t>H.A. Rider And Sons</t>
  </si>
  <si>
    <t>8:00 - 15:30</t>
  </si>
  <si>
    <t>2482 Freedom Blvd</t>
  </si>
  <si>
    <t>Canned Tea</t>
  </si>
  <si>
    <t>Guayaki East Bay</t>
  </si>
  <si>
    <t>1148 65Th St</t>
  </si>
  <si>
    <t>Emeryville</t>
  </si>
  <si>
    <t>Transcorr</t>
  </si>
  <si>
    <t>Igps Managed Depot-Stockton</t>
  </si>
  <si>
    <t>1616 Boeing Way</t>
  </si>
  <si>
    <t>Earthbound-Cleantec Logistics-</t>
  </si>
  <si>
    <t>1057 Pellet Ave</t>
  </si>
  <si>
    <t>Check 7-10 Day</t>
  </si>
  <si>
    <t>Quick Pay At1.5% 7 Day Check Pay</t>
  </si>
  <si>
    <t>Tql</t>
  </si>
  <si>
    <t>Escalon Premier Brands</t>
  </si>
  <si>
    <t>1905 Mchenry Ave</t>
  </si>
  <si>
    <t>Escalon</t>
  </si>
  <si>
    <t>Artichokes</t>
  </si>
  <si>
    <t>Montrey Gourmet Food Inc</t>
  </si>
  <si>
    <t>5755 Rossi Lane</t>
  </si>
  <si>
    <t>Ifco</t>
  </si>
  <si>
    <t>2276 Wilbur Ave</t>
  </si>
  <si>
    <t>Antioch</t>
  </si>
  <si>
    <t>(925) 779-9009</t>
  </si>
  <si>
    <t>Pieces</t>
  </si>
  <si>
    <t>Nucal Foods/Santa Rosa Egg Farms</t>
  </si>
  <si>
    <t>06:00-15:00</t>
  </si>
  <si>
    <t>395 Liberty Road</t>
  </si>
  <si>
    <t>Petaluma</t>
  </si>
  <si>
    <t>707-778-6450</t>
  </si>
  <si>
    <t>Encore Glass</t>
  </si>
  <si>
    <t>07:00 - 17:30</t>
  </si>
  <si>
    <t>2925 Cordelia Rd</t>
  </si>
  <si>
    <t>Empty Wine Bottles</t>
  </si>
  <si>
    <t>Castoro Cellars</t>
  </si>
  <si>
    <t>6640 Von Dollen Road</t>
  </si>
  <si>
    <t>San Miguel</t>
  </si>
  <si>
    <t>Ardagh Group</t>
  </si>
  <si>
    <t>750 Ml Clar Hahn 35Th Ann</t>
  </si>
  <si>
    <t>Encore Glass Benicia 2</t>
  </si>
  <si>
    <t>7:00 - 17:30</t>
  </si>
  <si>
    <t>4335 Industrial Road</t>
  </si>
  <si>
    <t>Empty Glass</t>
  </si>
  <si>
    <t>Sextant Wines</t>
  </si>
  <si>
    <t>2324 West Highway 46</t>
  </si>
  <si>
    <t>Safe Haven Daou</t>
  </si>
  <si>
    <t>13:00 - 15:00</t>
  </si>
  <si>
    <t>3230 Riverside Avenue</t>
  </si>
  <si>
    <t>Beer Or Wine</t>
  </si>
  <si>
    <t>Southern Wine And Spirits</t>
  </si>
  <si>
    <t>Dbi Beverage San Jose</t>
  </si>
  <si>
    <t>6:00 - 12:00</t>
  </si>
  <si>
    <t>630 Quinn Avenue</t>
  </si>
  <si>
    <t>San Jose</t>
  </si>
  <si>
    <t>Empty Kegs</t>
  </si>
  <si>
    <t>Lost Coast Brewery</t>
  </si>
  <si>
    <t>800 - 1700</t>
  </si>
  <si>
    <t>1600 Sunset Dr</t>
  </si>
  <si>
    <t>Eureka</t>
  </si>
  <si>
    <t>Auto Parts</t>
  </si>
  <si>
    <t>Tesla Motors</t>
  </si>
  <si>
    <t>600 - 1400</t>
  </si>
  <si>
    <t>18260 Harlan Rd</t>
  </si>
  <si>
    <t>Lathrop</t>
  </si>
  <si>
    <t>404-355-9552</t>
  </si>
  <si>
    <t>Jacobson Warehouse Company Ruc</t>
  </si>
  <si>
    <t>1060030420; 35603248</t>
  </si>
  <si>
    <t>1565 N Macarthur Sr</t>
  </si>
  <si>
    <t>Finished Products</t>
  </si>
  <si>
    <t>S &amp; S Supplies &amp; Solutions</t>
  </si>
  <si>
    <t>P1531004</t>
  </si>
  <si>
    <t>700 - 1500</t>
  </si>
  <si>
    <t>2700 Maxwell Way</t>
  </si>
  <si>
    <t>Crystal Geyser Water Co.</t>
  </si>
  <si>
    <t>0810-10C</t>
  </si>
  <si>
    <t>501 Washington Street</t>
  </si>
  <si>
    <t>Calistoga</t>
  </si>
  <si>
    <t>707-942-0500</t>
  </si>
  <si>
    <t>Bottled Water</t>
  </si>
  <si>
    <t>Pflug Packaging &amp; Fulfill</t>
  </si>
  <si>
    <t>06:30 Appt.</t>
  </si>
  <si>
    <t>17500 Shideler Pkwy</t>
  </si>
  <si>
    <t>209-858-9170</t>
  </si>
  <si>
    <t>Magna Transport Solutions</t>
  </si>
  <si>
    <t>Glass Fuel</t>
  </si>
  <si>
    <t>312-724-6101</t>
  </si>
  <si>
    <t>Earthsavers Erosion Control</t>
  </si>
  <si>
    <t>07:00-14:00</t>
  </si>
  <si>
    <t>12972 County Road 102 Building 7</t>
  </si>
  <si>
    <t>Erosion Contorl Product</t>
  </si>
  <si>
    <t>White Cap Industries</t>
  </si>
  <si>
    <t>1646 Carlotti Drive</t>
  </si>
  <si>
    <t>Santa Maria</t>
  </si>
  <si>
    <t>2% Quick Pay. Truck Wash Requested, Not Paid.</t>
  </si>
  <si>
    <t>6:00 - 19:00</t>
  </si>
  <si>
    <t>6:00 - 13:00</t>
  </si>
  <si>
    <t>Mail</t>
  </si>
  <si>
    <t>Diablo Valley Packaging</t>
  </si>
  <si>
    <t>2373 North Watney Way</t>
  </si>
  <si>
    <t>Bottles</t>
  </si>
  <si>
    <t>Powell Mountain Cellars / Central Coast Wine</t>
  </si>
  <si>
    <t>11:00 - 13:00</t>
  </si>
  <si>
    <t>Powell Mountain Cellars / 2717 Aviation Way</t>
  </si>
  <si>
    <t>Paso Robles / Santa Maria</t>
  </si>
  <si>
    <t>93446 / 93455</t>
  </si>
  <si>
    <t>Split Load Albel &amp; Christopher</t>
  </si>
  <si>
    <t>750 Ml Burg Bulk Dl 9Bc03 Cz7Z</t>
  </si>
  <si>
    <t>Diago C&amp;E</t>
  </si>
  <si>
    <t>0005654004 - 5300012789</t>
  </si>
  <si>
    <t>21468 8Th Street East</t>
  </si>
  <si>
    <t>707-939-4718</t>
  </si>
  <si>
    <t>Creative Crate &amp; Pallet</t>
  </si>
  <si>
    <t>Dn104269</t>
  </si>
  <si>
    <t>6840 E Parlier Ave</t>
  </si>
  <si>
    <t>Fowler</t>
  </si>
  <si>
    <t>559-288-9665</t>
  </si>
  <si>
    <t>Mb3/Mb4 Goodpack Bins</t>
  </si>
  <si>
    <t>Delmonte Food</t>
  </si>
  <si>
    <t>6:00 - 18:00</t>
  </si>
  <si>
    <t>10652 Jackson Ave</t>
  </si>
  <si>
    <t>599-772-3235</t>
  </si>
  <si>
    <t>UBTD2CHRISOPHER</t>
  </si>
  <si>
    <t>Biro Transport</t>
  </si>
  <si>
    <t>10519E. Stockton Blvd</t>
  </si>
  <si>
    <t>Battery</t>
  </si>
  <si>
    <t> Pacific Coast Battery</t>
  </si>
  <si>
    <t> 35615</t>
  </si>
  <si>
    <t>311 East Alisal</t>
  </si>
  <si>
    <t>No Quickpay Charge. Pick Up Check From Their Office.</t>
  </si>
  <si>
    <t>0005654007 - 5300012789</t>
  </si>
  <si>
    <t>Sonoma Jack Warehouse</t>
  </si>
  <si>
    <t>21660 8Th Street E</t>
  </si>
  <si>
    <t>Bella Grace Vineyards</t>
  </si>
  <si>
    <t>7:00 - 17:00</t>
  </si>
  <si>
    <t>30 Prospect Drive</t>
  </si>
  <si>
    <t>Sutter Creek</t>
  </si>
  <si>
    <t>Mccormick &amp; Company Inc</t>
  </si>
  <si>
    <t>340 El Camino Real South</t>
  </si>
  <si>
    <t>831-775-3484</t>
  </si>
  <si>
    <t>Dry</t>
  </si>
  <si>
    <t>Kehe Foods</t>
  </si>
  <si>
    <t>4:00**</t>
  </si>
  <si>
    <t>4650 Newcastle Rd</t>
  </si>
  <si>
    <t>209-851-4031</t>
  </si>
  <si>
    <t>Propak</t>
  </si>
  <si>
    <t>17:00**</t>
  </si>
  <si>
    <t>2650 Industrial Blvd Ste B</t>
  </si>
  <si>
    <t>West Sacramento</t>
  </si>
  <si>
    <t>916-372-9000</t>
  </si>
  <si>
    <t>Rpcs</t>
  </si>
  <si>
    <t>Tosca</t>
  </si>
  <si>
    <t>1309 Schilling Pl</t>
  </si>
  <si>
    <t>920-569-5329</t>
  </si>
  <si>
    <t>13:00 - 19:00</t>
  </si>
  <si>
    <t>Terravant Wine</t>
  </si>
  <si>
    <t>7:00**</t>
  </si>
  <si>
    <t>35 Industrial Way</t>
  </si>
  <si>
    <t>Buellton</t>
  </si>
  <si>
    <t>Procter &amp; Gamble - Venture Logistics</t>
  </si>
  <si>
    <t>16:30 - 17:30</t>
  </si>
  <si>
    <t>800 N Rice</t>
  </si>
  <si>
    <t>Oxnard</t>
  </si>
  <si>
    <t>920-593-6740</t>
  </si>
  <si>
    <t>Paper Towel / Chep Usa Blue Pallet</t>
  </si>
  <si>
    <t>Cases/Pallets</t>
  </si>
  <si>
    <t>Frank Lin Distribution</t>
  </si>
  <si>
    <t>M331766</t>
  </si>
  <si>
    <t>2455 Huntington Drive</t>
  </si>
  <si>
    <t>Youngs Market Company</t>
  </si>
  <si>
    <t>850 Jarvis Drive</t>
  </si>
  <si>
    <t>Morgan Holl</t>
  </si>
  <si>
    <t>San Francisco Spice Co</t>
  </si>
  <si>
    <t>13:00**</t>
  </si>
  <si>
    <t>105 Associated Rd</t>
  </si>
  <si>
    <t>650-222-9909</t>
  </si>
  <si>
    <t>Food Stuffs</t>
  </si>
  <si>
    <t>Ohl Sparks C/O Nutrisystem</t>
  </si>
  <si>
    <t>450 Lilard Dr</t>
  </si>
  <si>
    <t>775-412-0651</t>
  </si>
  <si>
    <t>Sets</t>
  </si>
  <si>
    <t>Carson Vallet Dc</t>
  </si>
  <si>
    <t>550 Boxington Way</t>
  </si>
  <si>
    <t>775-3591203</t>
  </si>
  <si>
    <t>Safeway Grocery</t>
  </si>
  <si>
    <t>209-627-3000</t>
  </si>
  <si>
    <t>Beynon (Fresno,Ca)</t>
  </si>
  <si>
    <t>4668 North Sonora Ave Suite 101</t>
  </si>
  <si>
    <t>Turf Material</t>
  </si>
  <si>
    <t>Polniaszek</t>
  </si>
  <si>
    <t>18880 Bay Meadows Lane</t>
  </si>
  <si>
    <t>Cottonwood</t>
  </si>
  <si>
    <t>530-510-6226</t>
  </si>
  <si>
    <t>Temperatsure</t>
  </si>
  <si>
    <t>Po12097</t>
  </si>
  <si>
    <t>1500 - 1900</t>
  </si>
  <si>
    <t>4995 Aircenter Circle</t>
  </si>
  <si>
    <t>Reno</t>
  </si>
  <si>
    <t>Gel Packs</t>
  </si>
  <si>
    <t>Cases</t>
  </si>
  <si>
    <t>Dreisbach Cold Storage</t>
  </si>
  <si>
    <t>600**</t>
  </si>
  <si>
    <t>2530 East 11Th Street</t>
  </si>
  <si>
    <t>Morada Produce</t>
  </si>
  <si>
    <t>500 N Jack Tone Rd</t>
  </si>
  <si>
    <t>209-546-0426</t>
  </si>
  <si>
    <t>Airfilled Paccking Material</t>
  </si>
  <si>
    <t>Nevada Onions</t>
  </si>
  <si>
    <t>61 Bowman Ln</t>
  </si>
  <si>
    <t>Yerington</t>
  </si>
  <si>
    <t>77-463-36-42</t>
  </si>
  <si>
    <t>Ferguson Enterprise</t>
  </si>
  <si>
    <t>Sju10</t>
  </si>
  <si>
    <t>12:00Am</t>
  </si>
  <si>
    <t>530 Port Of Stockton Express</t>
  </si>
  <si>
    <t>209-943-8360</t>
  </si>
  <si>
    <t>Plumbing Supplies</t>
  </si>
  <si>
    <t>Ferguson Waterworks/Fei Bakerfield</t>
  </si>
  <si>
    <t>2900 Fairheaven/6300 District Blvd</t>
  </si>
  <si>
    <t>661-322-2333/661-397-580</t>
  </si>
  <si>
    <t>9:00**</t>
  </si>
  <si>
    <t>404-355-1560</t>
  </si>
  <si>
    <t>Tesla Motors Fremont</t>
  </si>
  <si>
    <t>45500 Fremont Blvd</t>
  </si>
  <si>
    <t>Fremont</t>
  </si>
  <si>
    <t>800-827-7412</t>
  </si>
  <si>
    <t>Cargill Salt Division</t>
  </si>
  <si>
    <t>Sloca-57277</t>
  </si>
  <si>
    <t>7220 Central Ave</t>
  </si>
  <si>
    <t>Newark</t>
  </si>
  <si>
    <t>Seasalt</t>
  </si>
  <si>
    <t>Hunter Spice</t>
  </si>
  <si>
    <t>184 Suburban Rd</t>
  </si>
  <si>
    <t>San Luis Obispo</t>
  </si>
  <si>
    <t>Scheid Vineyards</t>
  </si>
  <si>
    <t>1972 Hobson Ave</t>
  </si>
  <si>
    <t>Greenfield</t>
  </si>
  <si>
    <t>831-385-4801</t>
  </si>
  <si>
    <t>Unifued Grocers</t>
  </si>
  <si>
    <t>B7689819</t>
  </si>
  <si>
    <t>1990 Piccoli Rd</t>
  </si>
  <si>
    <t>323-780-8514</t>
  </si>
  <si>
    <t>Chevron Lubricant Plant</t>
  </si>
  <si>
    <t>283414; 283410; 283415</t>
  </si>
  <si>
    <t>12:00 - 16:00</t>
  </si>
  <si>
    <t>841 Chevron Way Door 5</t>
  </si>
  <si>
    <t>Richmond</t>
  </si>
  <si>
    <t>502-420-7016</t>
  </si>
  <si>
    <t>Oil</t>
  </si>
  <si>
    <t>Valley Truck And Tractor</t>
  </si>
  <si>
    <t>2100 E. Main Street</t>
  </si>
  <si>
    <t>530-662-4637</t>
  </si>
  <si>
    <t>Morning Star Packaging</t>
  </si>
  <si>
    <t>2015Sn9678</t>
  </si>
  <si>
    <t>8:00 - 16:30</t>
  </si>
  <si>
    <t>12045 S.Ingomar Grade Road</t>
  </si>
  <si>
    <t>209-829-5017</t>
  </si>
  <si>
    <t>Drums</t>
  </si>
  <si>
    <t>Nestle Plant Sprinville</t>
  </si>
  <si>
    <t>20:30**</t>
  </si>
  <si>
    <t>815 W Ray Klauck Way</t>
  </si>
  <si>
    <t>Springville</t>
  </si>
  <si>
    <t>Ut</t>
  </si>
  <si>
    <t>88-468-54</t>
  </si>
  <si>
    <t>Prism Logistics</t>
  </si>
  <si>
    <t>8X9X</t>
  </si>
  <si>
    <t>1675 Overland Court</t>
  </si>
  <si>
    <t>Hard Cider</t>
  </si>
  <si>
    <t>Wa Thompson Distributing</t>
  </si>
  <si>
    <t>5101 District Blvd.</t>
  </si>
  <si>
    <t>661-832-5101</t>
  </si>
  <si>
    <t>Golden State Brokers Inc</t>
  </si>
  <si>
    <t>Palogix</t>
  </si>
  <si>
    <t>Dale</t>
  </si>
  <si>
    <t>6001 Snow Road</t>
  </si>
  <si>
    <t>Dale Enterprises</t>
  </si>
  <si>
    <t>2017 Eager Rd</t>
  </si>
  <si>
    <t>Live Oak</t>
  </si>
  <si>
    <t>Driverassist</t>
  </si>
  <si>
    <t>Check Will Be Mailed To Us. Assist.</t>
  </si>
  <si>
    <t>Domino Foods</t>
  </si>
  <si>
    <t>3834 Duck Creek Dr</t>
  </si>
  <si>
    <t> Stockton</t>
  </si>
  <si>
    <t>209-463-2141</t>
  </si>
  <si>
    <t>Food Ingredients-Dry</t>
  </si>
  <si>
    <t>Sun Maid Selma</t>
  </si>
  <si>
    <t>P7943517</t>
  </si>
  <si>
    <t>1445 Nebraska Ave</t>
  </si>
  <si>
    <t>Selma</t>
  </si>
  <si>
    <t>559-897-6298</t>
  </si>
  <si>
    <t>1Hr Detention</t>
  </si>
  <si>
    <t>Lynn Mean</t>
  </si>
  <si>
    <t>Call Shipper</t>
  </si>
  <si>
    <t>9720 S. 9 Mile Road</t>
  </si>
  <si>
    <t>Myton</t>
  </si>
  <si>
    <t>Hay</t>
  </si>
  <si>
    <t>Fake Rec</t>
  </si>
  <si>
    <t>6600 Avenue 208</t>
  </si>
  <si>
    <t>Tulare</t>
  </si>
  <si>
    <t>435-823-3334</t>
  </si>
  <si>
    <t xml:space="preserve">Trailerwash </t>
  </si>
  <si>
    <t>8Y0U</t>
  </si>
  <si>
    <t>Mesa Beverage (Santa Rosa), Elyxir Distributing(Watsonville)</t>
  </si>
  <si>
    <t>8Y0U-1, 8Y0U-2</t>
  </si>
  <si>
    <t>3200 N Laughlin Rd, 270 West Riverside Drive</t>
  </si>
  <si>
    <t>Santa Rosa, Watsonville</t>
  </si>
  <si>
    <t>95403, 95076</t>
  </si>
  <si>
    <t>831-761-6400</t>
  </si>
  <si>
    <t>Tomatek</t>
  </si>
  <si>
    <t>Cm10009451</t>
  </si>
  <si>
    <t>900 - 1500</t>
  </si>
  <si>
    <t>2502 "N" Street - Highway 33</t>
  </si>
  <si>
    <t>Firebaugh</t>
  </si>
  <si>
    <t>559-659-3362</t>
  </si>
  <si>
    <t>Pizza Sauce-Concentrate, Ready To Use, Diced Tomatoes</t>
  </si>
  <si>
    <t>Dominos - Hayward</t>
  </si>
  <si>
    <t>900**</t>
  </si>
  <si>
    <t>30852 San Antonio St</t>
  </si>
  <si>
    <t>Hayward,</t>
  </si>
  <si>
    <t>510-489-0333</t>
  </si>
  <si>
    <t>Ontrac-Milpitas</t>
  </si>
  <si>
    <t>San Fran</t>
  </si>
  <si>
    <t>1121 Montauge Expy.</t>
  </si>
  <si>
    <t>Milpitas</t>
  </si>
  <si>
    <t>510-449-3339</t>
  </si>
  <si>
    <t>Conveyor Parts</t>
  </si>
  <si>
    <t>Ontrac</t>
  </si>
  <si>
    <t>800 - 1600</t>
  </si>
  <si>
    <t>250 Utah Ave</t>
  </si>
  <si>
    <t>South Sanfrancisco</t>
  </si>
  <si>
    <t>706-412-7977</t>
  </si>
  <si>
    <t>Daimond Pet Food</t>
  </si>
  <si>
    <t>6900828506, 280828504, 4290828505</t>
  </si>
  <si>
    <t>1500**</t>
  </si>
  <si>
    <t>250 E Roth Rd</t>
  </si>
  <si>
    <t>209-983-4900</t>
  </si>
  <si>
    <t>Pet Food</t>
  </si>
  <si>
    <t>Costco #0429</t>
  </si>
  <si>
    <t>630**</t>
  </si>
  <si>
    <t>33961 Doheny Park Rd</t>
  </si>
  <si>
    <t>San Juan Capistrano</t>
  </si>
  <si>
    <t>949-364-1923, (949) 240-3713,(949) 389-8713</t>
  </si>
  <si>
    <t>Morton Salt</t>
  </si>
  <si>
    <t>1430**</t>
  </si>
  <si>
    <t>7380 Morton Ave</t>
  </si>
  <si>
    <t>801-933-4474</t>
  </si>
  <si>
    <t>Salt</t>
  </si>
  <si>
    <t>Hexacomb</t>
  </si>
  <si>
    <t>Oakdale</t>
  </si>
  <si>
    <t>03:00 To 11:00</t>
  </si>
  <si>
    <t>9700 Bell Ranch Drive</t>
  </si>
  <si>
    <t>Santa Fe Springs</t>
  </si>
  <si>
    <t>562-944-0052 X3</t>
  </si>
  <si>
    <t>Cardboard</t>
  </si>
  <si>
    <t>Con Agra Grocery Products</t>
  </si>
  <si>
    <t>Same</t>
  </si>
  <si>
    <t>554 S Yosemite</t>
  </si>
  <si>
    <t>Scholle Corporation</t>
  </si>
  <si>
    <t>2500 Cooper Ave</t>
  </si>
  <si>
    <t>Merced</t>
  </si>
  <si>
    <t>209-348-3100</t>
  </si>
  <si>
    <t>Bins</t>
  </si>
  <si>
    <t>Fetzer Vineyards</t>
  </si>
  <si>
    <t>800 - 1500</t>
  </si>
  <si>
    <t>12901 East Side Rd</t>
  </si>
  <si>
    <t>Hopland</t>
  </si>
  <si>
    <t>707-744-1250</t>
  </si>
  <si>
    <t>700 - 1730</t>
  </si>
  <si>
    <t>Empty Bottles</t>
  </si>
  <si>
    <t>Buelton</t>
  </si>
  <si>
    <t>Interstate Battery</t>
  </si>
  <si>
    <t>08:00 - 15:00</t>
  </si>
  <si>
    <t>406-B W Betteravia Rd</t>
  </si>
  <si>
    <t>Dc Logistics</t>
  </si>
  <si>
    <t>07:00 - 19:00</t>
  </si>
  <si>
    <t>780 Nogales St</t>
  </si>
  <si>
    <t>City Of Industry</t>
  </si>
  <si>
    <t>600-1100</t>
  </si>
  <si>
    <t>Macro Plastics</t>
  </si>
  <si>
    <t>Ord 26911</t>
  </si>
  <si>
    <t>2250 Huntington Dr</t>
  </si>
  <si>
    <t>707-425-2503</t>
  </si>
  <si>
    <t>The Vintner Vault Company</t>
  </si>
  <si>
    <t>3230 Riverside Ave Ste 140</t>
  </si>
  <si>
    <t>805-226-8100</t>
  </si>
  <si>
    <t>1150 East North Ave</t>
  </si>
  <si>
    <t>599-495-4363</t>
  </si>
  <si>
    <t>Beverages</t>
  </si>
  <si>
    <t>05:00-12:00</t>
  </si>
  <si>
    <t>1480 Beltline Rd</t>
  </si>
  <si>
    <t>530-245-2104</t>
  </si>
  <si>
    <t>Cg Roxane Llc</t>
  </si>
  <si>
    <t>1400 Marys Drive</t>
  </si>
  <si>
    <t>Smart&amp;Final</t>
  </si>
  <si>
    <t>2795 Paradise Ave</t>
  </si>
  <si>
    <t>Scott Logistics Corp</t>
  </si>
  <si>
    <t>Tng Pmd California Paperboard</t>
  </si>
  <si>
    <t>525 Mathew Street</t>
  </si>
  <si>
    <t>Kaweah Container</t>
  </si>
  <si>
    <t>7101 Avenue 304</t>
  </si>
  <si>
    <t>Overlay</t>
  </si>
  <si>
    <t>Earthsavers Erosion Control Llc</t>
  </si>
  <si>
    <t>12972 Co Rd 102</t>
  </si>
  <si>
    <t>Erosion Control</t>
  </si>
  <si>
    <t>Vandenberg Air Force Base</t>
  </si>
  <si>
    <t>747 Nebraska Ave</t>
  </si>
  <si>
    <t>Vandenberg Afb</t>
  </si>
  <si>
    <t>UBTD3WESLEY</t>
  </si>
  <si>
    <t>Po 271762</t>
  </si>
  <si>
    <t>Tnu 2% Quick</t>
  </si>
  <si>
    <t>Hub Group Inc</t>
  </si>
  <si>
    <t>Pbc / 4989 / Santa Maria</t>
  </si>
  <si>
    <t>7:00 - 11:00</t>
  </si>
  <si>
    <t>2345 Thompson Way</t>
  </si>
  <si>
    <t>805-922-7807</t>
  </si>
  <si>
    <t>Ut3A - Amware - Fresno</t>
  </si>
  <si>
    <t>3210 South East Avenue</t>
  </si>
  <si>
    <t>Northern Sheets</t>
  </si>
  <si>
    <t>599829/602712</t>
  </si>
  <si>
    <t>4841 Urbani Ave. Ste D</t>
  </si>
  <si>
    <t>Mcclellan</t>
  </si>
  <si>
    <t>Empty Solenis Composite Last Contained Non-Hazardo</t>
  </si>
  <si>
    <t>Totes</t>
  </si>
  <si>
    <t>National Container - West</t>
  </si>
  <si>
    <t>16655 Koala Rd.</t>
  </si>
  <si>
    <t>Adelanto</t>
  </si>
  <si>
    <t>$200 Albel, $800 -80 Wesly</t>
  </si>
  <si>
    <t>Calcargo Inc</t>
  </si>
  <si>
    <t>2376 Davis Ave.</t>
  </si>
  <si>
    <t>Aluminum Kegs</t>
  </si>
  <si>
    <t>Firestone Walker Llc</t>
  </si>
  <si>
    <t>0700-1500 Fcfs</t>
  </si>
  <si>
    <t>7:00 - 16:00</t>
  </si>
  <si>
    <t>1400 Ramada Drive</t>
  </si>
  <si>
    <t>Cws Beverage</t>
  </si>
  <si>
    <t>Tnu</t>
  </si>
  <si>
    <t>07:10-12:10</t>
  </si>
  <si>
    <t>3350 Riverside Ave</t>
  </si>
  <si>
    <t>Champagne Marsala Sce 8 Lb Pouch/5</t>
  </si>
  <si>
    <t>Biagi Commerce</t>
  </si>
  <si>
    <t>07:00-16:00</t>
  </si>
  <si>
    <t>1166 Commerce Blvd</t>
  </si>
  <si>
    <t>American Canyon</t>
  </si>
  <si>
    <t>England Logistics, Inc.</t>
  </si>
  <si>
    <t>Gl Mezzetta</t>
  </si>
  <si>
    <t>105 Mezzetta Ct</t>
  </si>
  <si>
    <t>American Canyoca</t>
  </si>
  <si>
    <t>707-648-1050</t>
  </si>
  <si>
    <t>Mixed Freight</t>
  </si>
  <si>
    <t>Allen</t>
  </si>
  <si>
    <t>4655 Logistics Dr</t>
  </si>
  <si>
    <t>Jelly Belly Candy Co.</t>
  </si>
  <si>
    <t>2385 N Watney Way</t>
  </si>
  <si>
    <t>707-399-2347</t>
  </si>
  <si>
    <t>Candy</t>
  </si>
  <si>
    <t>Costco #179</t>
  </si>
  <si>
    <t>25862 S Schulte Crt</t>
  </si>
  <si>
    <t>209-835-6354</t>
  </si>
  <si>
    <t>Wine Direct</t>
  </si>
  <si>
    <t>15:00-15:30</t>
  </si>
  <si>
    <t>2758 Danley Ct</t>
  </si>
  <si>
    <t>07:00-10:00</t>
  </si>
  <si>
    <t>15:30-16:30</t>
  </si>
  <si>
    <t>513-626-1989</t>
  </si>
  <si>
    <t>Costco 663/Costco #1004/Costco 1061</t>
  </si>
  <si>
    <t>28505 Hesperian Blvd</t>
  </si>
  <si>
    <t>510-887-0908</t>
  </si>
  <si>
    <t>Signode</t>
  </si>
  <si>
    <t>Mfg4504528585</t>
  </si>
  <si>
    <t>07:00-13:30</t>
  </si>
  <si>
    <t>1 Leslie Dr.</t>
  </si>
  <si>
    <t>Pittsburg</t>
  </si>
  <si>
    <t>Metal Strapping</t>
  </si>
  <si>
    <t>Metal Container Corp.</t>
  </si>
  <si>
    <t>00:00-23:59</t>
  </si>
  <si>
    <t>10980 Inland Ave</t>
  </si>
  <si>
    <t>Mira Loma</t>
  </si>
  <si>
    <t>Valley Wine Warehouse</t>
  </si>
  <si>
    <t>M333356</t>
  </si>
  <si>
    <t>08:00 - 09:00</t>
  </si>
  <si>
    <t>644 Hanna Drive Suiteb</t>
  </si>
  <si>
    <t>Youngs Market</t>
  </si>
  <si>
    <t>M333356; M333344;M333134</t>
  </si>
  <si>
    <t>850 Jarvis Dr.</t>
  </si>
  <si>
    <t>Morgan Hill</t>
  </si>
  <si>
    <t>Peninsula Packaging (Hollister)</t>
  </si>
  <si>
    <t>07:00-17:00</t>
  </si>
  <si>
    <t>2401 Bert Dr.</t>
  </si>
  <si>
    <t>Hollister</t>
  </si>
  <si>
    <t>831- 634-0940</t>
  </si>
  <si>
    <t>Driscolls - Hueneme</t>
  </si>
  <si>
    <t>05:00 Appt.</t>
  </si>
  <si>
    <t>3939 E. Hueneme Rd</t>
  </si>
  <si>
    <t>866-755-9136</t>
  </si>
  <si>
    <t>Mojave Foods-Main Dc</t>
  </si>
  <si>
    <t>6000 E. Slauson Ave.</t>
  </si>
  <si>
    <t>Commerce</t>
  </si>
  <si>
    <t>C&amp;S Wholesale Grocers 344</t>
  </si>
  <si>
    <t>8301 Fruitridge Road</t>
  </si>
  <si>
    <t>Valvoline</t>
  </si>
  <si>
    <t>11:00 Appt.</t>
  </si>
  <si>
    <t>9520 John St</t>
  </si>
  <si>
    <t>Engineoil Atf</t>
  </si>
  <si>
    <t>Trimon Inc</t>
  </si>
  <si>
    <t>08:00-13:00</t>
  </si>
  <si>
    <t>30 E 10Th St</t>
  </si>
  <si>
    <t>Shafer Vineyard</t>
  </si>
  <si>
    <t>1510071, 1510072</t>
  </si>
  <si>
    <t>12:00-13:00</t>
  </si>
  <si>
    <t>6154 Silverado Trail</t>
  </si>
  <si>
    <t>Empty Wine Barrels</t>
  </si>
  <si>
    <t>Barrels</t>
  </si>
  <si>
    <t>Barrel Builders, Tolosa Winery</t>
  </si>
  <si>
    <t>151007-1, 151007-2</t>
  </si>
  <si>
    <t>07:00-15:00</t>
  </si>
  <si>
    <t>94515 93401</t>
  </si>
  <si>
    <t>13:30-14:30</t>
  </si>
  <si>
    <t>513-626-1989,805-983-0755</t>
  </si>
  <si>
    <t>Costco #760,Costco #129, Costco 470</t>
  </si>
  <si>
    <t>1601 Coleman Avenue, 5301 Almaden Expwy, 7251 Camino Arroyo</t>
  </si>
  <si>
    <t>Gilroy, Santa Clara, San Jose</t>
  </si>
  <si>
    <t>95020, 95050, 95110</t>
  </si>
  <si>
    <t>(408) 723-0964, (408) 567-9000, (408) 848-0700</t>
  </si>
  <si>
    <t>Chevron</t>
  </si>
  <si>
    <t>841 Chevron Way</t>
  </si>
  <si>
    <t>510-242-4468 Josh</t>
  </si>
  <si>
    <t>Ozark Automotive</t>
  </si>
  <si>
    <t>3412 Perlman</t>
  </si>
  <si>
    <t>209-983-8678</t>
  </si>
  <si>
    <t>12972 County Road 102</t>
  </si>
  <si>
    <t>09:00 Appt.</t>
  </si>
  <si>
    <t>Sc Johnson</t>
  </si>
  <si>
    <t>2030 Hanson Way</t>
  </si>
  <si>
    <t>Housewares</t>
  </si>
  <si>
    <t>Von'S Grocery Co,Vons/Safeway</t>
  </si>
  <si>
    <t>14800 Bloomfield Ave / 4344 Shirley Ave</t>
  </si>
  <si>
    <t>Santa Fe Springs / El Monte</t>
  </si>
  <si>
    <t>90650 / 91731</t>
  </si>
  <si>
    <t>Specialty Minerals, Inc.</t>
  </si>
  <si>
    <t>00:01-23:59</t>
  </si>
  <si>
    <t>6565 Meridian Road</t>
  </si>
  <si>
    <t>Lucerne Valley</t>
  </si>
  <si>
    <t>Vicron 31-6</t>
  </si>
  <si>
    <t>Pounds</t>
  </si>
  <si>
    <t>Basf Construction Chemicals, Inc.</t>
  </si>
  <si>
    <t>38403 Cherry Street</t>
  </si>
  <si>
    <t>510-796-9911 Pam Mickles</t>
  </si>
  <si>
    <t>12:30-13:30</t>
  </si>
  <si>
    <t>Costco #148,Costco #778, Costco 423</t>
  </si>
  <si>
    <t>43621 Pacific Commons Blvd / 1709 Automation Pkwy / 150 Lawrence Station Rd</t>
  </si>
  <si>
    <t>Fremont, San Jose,Sunnyvale</t>
  </si>
  <si>
    <t>Owens Brockway</t>
  </si>
  <si>
    <t>07:00-21:00</t>
  </si>
  <si>
    <t>3600 Alameda Avenue</t>
  </si>
  <si>
    <t>Glass Bottles</t>
  </si>
  <si>
    <t>Lidestri Foods, Inc</t>
  </si>
  <si>
    <t>04:00 Appt.</t>
  </si>
  <si>
    <t>568 South Temperance Ave</t>
  </si>
  <si>
    <t>3939 E. Hueneme</t>
  </si>
  <si>
    <t>Valley Wide Beverage C</t>
  </si>
  <si>
    <t>4010 East Hardy Ave.</t>
  </si>
  <si>
    <t>Leeann Rhodes</t>
  </si>
  <si>
    <t>Cal Cargo</t>
  </si>
  <si>
    <t>2376 Davis Avenue</t>
  </si>
  <si>
    <t>Laura Villalobos</t>
  </si>
  <si>
    <t>Dpsg-Vernon</t>
  </si>
  <si>
    <t>Vn1016Pml2</t>
  </si>
  <si>
    <t>3220 E. 26Th Street</t>
  </si>
  <si>
    <t>Vernon</t>
  </si>
  <si>
    <t>Soda</t>
  </si>
  <si>
    <t>Pacific Mountain Logistics</t>
  </si>
  <si>
    <t>9:00 Appt.</t>
  </si>
  <si>
    <t>5490 E Francis St</t>
  </si>
  <si>
    <t>Ontario</t>
  </si>
  <si>
    <t>Exel Campbell Soup</t>
  </si>
  <si>
    <t>17:00 Appt.</t>
  </si>
  <si>
    <t>9333 Hermosa Ave</t>
  </si>
  <si>
    <t>Rancho Cucamonga</t>
  </si>
  <si>
    <t>Pacemildpicsce24Oz12Ca</t>
  </si>
  <si>
    <t>Coastal Pacific Foods Dis</t>
  </si>
  <si>
    <t>07:00 Appt.</t>
  </si>
  <si>
    <t>1015 Performance Drive</t>
  </si>
  <si>
    <t>A&amp;S Metals</t>
  </si>
  <si>
    <t>Pr31534</t>
  </si>
  <si>
    <t>08:00-14:30</t>
  </si>
  <si>
    <t>11340 Commerical Pkwy</t>
  </si>
  <si>
    <t>Castroville</t>
  </si>
  <si>
    <t>Hdpe Colo</t>
  </si>
  <si>
    <t>Ecopet Plastics</t>
  </si>
  <si>
    <t>10370J</t>
  </si>
  <si>
    <t>1351 S Doubleday Ave</t>
  </si>
  <si>
    <t>385-A</t>
  </si>
  <si>
    <t>06:00-08:00</t>
  </si>
  <si>
    <t>Graniterock</t>
  </si>
  <si>
    <t>385A</t>
  </si>
  <si>
    <t>540 West Beach</t>
  </si>
  <si>
    <t>1171157-00-Mlw</t>
  </si>
  <si>
    <t>Hayward Lumber</t>
  </si>
  <si>
    <t>800 West Betteravia</t>
  </si>
  <si>
    <t>Prime Wheels</t>
  </si>
  <si>
    <t>250 W Apra St</t>
  </si>
  <si>
    <t>Compton</t>
  </si>
  <si>
    <t>8:00 Appt.</t>
  </si>
  <si>
    <t>619 Nestle Way</t>
  </si>
  <si>
    <t>Alta Marketing</t>
  </si>
  <si>
    <t>13:00-16:00</t>
  </si>
  <si>
    <t>26717 Palmetto Ave</t>
  </si>
  <si>
    <t>Redlands</t>
  </si>
  <si>
    <t>Grocery Outlet</t>
  </si>
  <si>
    <t>08:00 Appt.</t>
  </si>
  <si>
    <t>4400 Florin Perkins Rd</t>
  </si>
  <si>
    <t>Prism Team Service Inc. Of E. Bay</t>
  </si>
  <si>
    <t>1622233 / Con#Mu1016845</t>
  </si>
  <si>
    <t>1961 Stearman Ave.</t>
  </si>
  <si>
    <t>510-670-0601</t>
  </si>
  <si>
    <t>Dry Grocery</t>
  </si>
  <si>
    <t>Jordanos Inc</t>
  </si>
  <si>
    <t>550 S Patterson Ave</t>
  </si>
  <si>
    <t>Santa Barbara</t>
  </si>
  <si>
    <t>Von'S Grocery Co</t>
  </si>
  <si>
    <t>14800 Bloomfield Ave</t>
  </si>
  <si>
    <t>Niagara 3Ba - Allen Distribution</t>
  </si>
  <si>
    <t>154298318/22130516</t>
  </si>
  <si>
    <t>800 Barrington Ave</t>
  </si>
  <si>
    <t>Cartons</t>
  </si>
  <si>
    <t>Aaron'S Rents C0D18</t>
  </si>
  <si>
    <t>Notgiven</t>
  </si>
  <si>
    <t>9199 Cleveland Ave</t>
  </si>
  <si>
    <t>Mixed Furniture</t>
  </si>
  <si>
    <t>Bulk</t>
  </si>
  <si>
    <t>Aaron'S Rents C1756,Aaron'S Rents C1756</t>
  </si>
  <si>
    <t>None,None</t>
  </si>
  <si>
    <t>10/23/2015,10/23/2015</t>
  </si>
  <si>
    <t>10:00,13:00</t>
  </si>
  <si>
    <t>14350 Laurie Ln Ste E / 2663 Santa Rosa Ave</t>
  </si>
  <si>
    <t>San Pablo / Santa Rosa</t>
  </si>
  <si>
    <t>2376 Davis Ave</t>
  </si>
  <si>
    <t>Sustainable Furniture</t>
  </si>
  <si>
    <t>Blank</t>
  </si>
  <si>
    <t>5800 Alder Ave</t>
  </si>
  <si>
    <t>95828-1108</t>
  </si>
  <si>
    <t>Furniture</t>
  </si>
  <si>
    <t>Uc Santacruz</t>
  </si>
  <si>
    <t>250 Natural Bridges Dr</t>
  </si>
  <si>
    <t>Santa Cruz</t>
  </si>
  <si>
    <t>2% Quick. Sac To Ucsc To Sac.</t>
  </si>
  <si>
    <t>17:30-18:30</t>
  </si>
  <si>
    <t>Mixed Commodity</t>
  </si>
  <si>
    <t>Costco #476,Costco #671,Costco #479</t>
  </si>
  <si>
    <t>10/27/2015,10/27/2015,10/27/2015</t>
  </si>
  <si>
    <t>2751 Skypark Dr / 14501 Hindry Ave / 13463 Washington Blvd</t>
  </si>
  <si>
    <t>Torrance / Hawthorne / Marina Del Rey</t>
  </si>
  <si>
    <t>Pcna Dc Oxnard Service Center</t>
  </si>
  <si>
    <t>13:30 Appt.</t>
  </si>
  <si>
    <t>2100 Eastman Ave</t>
  </si>
  <si>
    <t>Quaker/Jacobson Warehouse #3</t>
  </si>
  <si>
    <t>10:30 Appt.</t>
  </si>
  <si>
    <t>1565 North Macarthur Dr.</t>
  </si>
  <si>
    <t>Ricebran Technologies</t>
  </si>
  <si>
    <t>2928 Ramco St., Suite 120</t>
  </si>
  <si>
    <t>Vitamin Supplements</t>
  </si>
  <si>
    <t>Platinum Performance</t>
  </si>
  <si>
    <t>90 Thomas Rd</t>
  </si>
  <si>
    <t>Sk Hynix</t>
  </si>
  <si>
    <t>Unknown</t>
  </si>
  <si>
    <t>3101 N 1St St</t>
  </si>
  <si>
    <t>Sanjose</t>
  </si>
  <si>
    <t>Aircraft Gyros</t>
  </si>
  <si>
    <t>Kingston Technology</t>
  </si>
  <si>
    <t>08:00 To 11:00</t>
  </si>
  <si>
    <t>17600 Newhope St</t>
  </si>
  <si>
    <t>Fountain Valley</t>
  </si>
  <si>
    <t>16:30-17:30</t>
  </si>
  <si>
    <t>Household Articles</t>
  </si>
  <si>
    <t>Food 4 Less Warehouse</t>
  </si>
  <si>
    <t>22:00**</t>
  </si>
  <si>
    <t>17935 Murphy Parkway</t>
  </si>
  <si>
    <t>Bissell Rialto Dc</t>
  </si>
  <si>
    <t>15:00Appt</t>
  </si>
  <si>
    <t>181 South Larch Ave</t>
  </si>
  <si>
    <t>Rialto</t>
  </si>
  <si>
    <t>Carpet Related Items</t>
  </si>
  <si>
    <t>Amazon.Com Xuds</t>
  </si>
  <si>
    <t>1909 Zephyr St</t>
  </si>
  <si>
    <t>Rothco / Costal Pipe</t>
  </si>
  <si>
    <t>10:00-12:00</t>
  </si>
  <si>
    <t>Rothco Feed Service Inc</t>
  </si>
  <si>
    <t>3050 Ramada Dr. Suite A</t>
  </si>
  <si>
    <t>A To Z Supply Grass Valley</t>
  </si>
  <si>
    <t>A-Z Supply</t>
  </si>
  <si>
    <t>13396 Ridge Rd.</t>
  </si>
  <si>
    <t>Grass Valley</t>
  </si>
  <si>
    <t>Adjusment</t>
  </si>
  <si>
    <t>White Cap Santa Maria</t>
  </si>
  <si>
    <t>White Cap</t>
  </si>
  <si>
    <t>Dusi Logistics</t>
  </si>
  <si>
    <t>3230 Riverside Ave</t>
  </si>
  <si>
    <t>805-237-9499</t>
  </si>
  <si>
    <t>Wine Or Beer</t>
  </si>
  <si>
    <t>33201 Dowe Ave</t>
  </si>
  <si>
    <t>Electrolux Ontario Regional Dist Center</t>
  </si>
  <si>
    <t>16:00 Appt.</t>
  </si>
  <si>
    <t>3551 E Francis St</t>
  </si>
  <si>
    <t>Pen Bullet Express</t>
  </si>
  <si>
    <t>11/04/215</t>
  </si>
  <si>
    <t>03:30-05:00</t>
  </si>
  <si>
    <t>30527 San Antonio St</t>
  </si>
  <si>
    <t>Blossom Valley Foods</t>
  </si>
  <si>
    <t>W540925</t>
  </si>
  <si>
    <t>20 Casey St</t>
  </si>
  <si>
    <t>Food Products</t>
  </si>
  <si>
    <t>Dawson Logistics C/O Spectrum Organic</t>
  </si>
  <si>
    <t>260 Pioneer Ave North</t>
  </si>
  <si>
    <t>Cotati Cold Storage</t>
  </si>
  <si>
    <t>Appt 07:30</t>
  </si>
  <si>
    <t>441 Houser Street</t>
  </si>
  <si>
    <t>Cotati</t>
  </si>
  <si>
    <t>707-795-4489</t>
  </si>
  <si>
    <t>Flour And Milled Products</t>
  </si>
  <si>
    <t>Costco Tracy Depot 172</t>
  </si>
  <si>
    <t>Appt 11:30</t>
  </si>
  <si>
    <t>25862 S Schulte Ct</t>
  </si>
  <si>
    <t>Olam Spices &amp; Vegetables</t>
  </si>
  <si>
    <t>Modesto - King City Ca</t>
  </si>
  <si>
    <t>705 E Whitmore Ave</t>
  </si>
  <si>
    <t>Parsley Flakes</t>
  </si>
  <si>
    <t>Olam Spices And Vegetables</t>
  </si>
  <si>
    <t>15:30 Appt.</t>
  </si>
  <si>
    <t>100 Don Bates Way</t>
  </si>
  <si>
    <t>King City</t>
  </si>
  <si>
    <t>Data Safe</t>
  </si>
  <si>
    <t>574 Eccles Ave</t>
  </si>
  <si>
    <t>Metal Shelving</t>
  </si>
  <si>
    <t>Sacks</t>
  </si>
  <si>
    <t>Automotive</t>
  </si>
  <si>
    <t>400 Crocker St</t>
  </si>
  <si>
    <t xml:space="preserve">Vacaville </t>
  </si>
  <si>
    <t>King City Load</t>
  </si>
  <si>
    <t>9:00Appt</t>
  </si>
  <si>
    <t>Modesto Load</t>
  </si>
  <si>
    <t>08:30 Appt.</t>
  </si>
  <si>
    <t>Earth Saver Erosion Control</t>
  </si>
  <si>
    <t>Coast Pipe Paso Robles</t>
  </si>
  <si>
    <t>Coast Pipe</t>
  </si>
  <si>
    <t>4485 Creston Rd</t>
  </si>
  <si>
    <t>Stopoff + Tg</t>
  </si>
  <si>
    <t>Harman</t>
  </si>
  <si>
    <t>Carris Reels Of California - Santa Maria Facilit</t>
  </si>
  <si>
    <t>1260 W Main St</t>
  </si>
  <si>
    <t>Wooden Reels</t>
  </si>
  <si>
    <t>Composite Technology Corporation</t>
  </si>
  <si>
    <t>2026 Mcgaw Ave</t>
  </si>
  <si>
    <t>Irvine</t>
  </si>
  <si>
    <t>08:30-15:00</t>
  </si>
  <si>
    <t>3502 Dry Creek Rd Unit B9</t>
  </si>
  <si>
    <t>Unified Grocers</t>
  </si>
  <si>
    <t>B7813048</t>
  </si>
  <si>
    <t>12:30 Appt.</t>
  </si>
  <si>
    <t>Driver Assist</t>
  </si>
  <si>
    <t>Laborcharge</t>
  </si>
  <si>
    <t>T-Check</t>
  </si>
  <si>
    <t>Pro Action Products</t>
  </si>
  <si>
    <t>14940 Calvert Street</t>
  </si>
  <si>
    <t>Van Nuys</t>
  </si>
  <si>
    <t>Frames And Pots</t>
  </si>
  <si>
    <t>Protree Nursery, Llc</t>
  </si>
  <si>
    <t>4425 Sellers Ave</t>
  </si>
  <si>
    <t>Brentwood</t>
  </si>
  <si>
    <t>Missing</t>
  </si>
  <si>
    <t>Papich Construction</t>
  </si>
  <si>
    <t>255 Via Piedras Blancas</t>
  </si>
  <si>
    <t>San Simeon</t>
  </si>
  <si>
    <t>Miscservice1</t>
  </si>
  <si>
    <t>Tg</t>
  </si>
  <si>
    <t>(510)477-5863 -Karen Montoya</t>
  </si>
  <si>
    <t>08:00-12:00</t>
  </si>
  <si>
    <t>Babe Farms Inc.</t>
  </si>
  <si>
    <t>1293 West Stowell Road</t>
  </si>
  <si>
    <t>Plastic Bins</t>
  </si>
  <si>
    <t>Polymer Logistics</t>
  </si>
  <si>
    <t>U-5009623</t>
  </si>
  <si>
    <t>1725 Sierra Ridge Dr</t>
  </si>
  <si>
    <t>Riverside</t>
  </si>
  <si>
    <t>Arrowhead</t>
  </si>
  <si>
    <t>Uc31432384</t>
  </si>
  <si>
    <t>14020 Elm Street</t>
  </si>
  <si>
    <t>Cabazon</t>
  </si>
  <si>
    <t>Safeway Tracy</t>
  </si>
  <si>
    <t>16900 W Schulte Road</t>
  </si>
  <si>
    <t>(209) 833-4886</t>
  </si>
  <si>
    <t>Questar</t>
  </si>
  <si>
    <t>30461 Whipple Rd</t>
  </si>
  <si>
    <t>Containers</t>
  </si>
  <si>
    <t>Clean Harbors - Benicia,</t>
  </si>
  <si>
    <t>4101 Industrial Way</t>
  </si>
  <si>
    <t>Martinelli'S</t>
  </si>
  <si>
    <t>390402480405, 337364</t>
  </si>
  <si>
    <t>345 Harvest Dr</t>
  </si>
  <si>
    <t>Apple Cider</t>
  </si>
  <si>
    <t>Wal-Mart #6026</t>
  </si>
  <si>
    <t>66903454, 3904024804</t>
  </si>
  <si>
    <t>10817 State Highway 99W</t>
  </si>
  <si>
    <t>Red Bluff</t>
  </si>
  <si>
    <t>West Tek</t>
  </si>
  <si>
    <t>1335 N. 10Th St</t>
  </si>
  <si>
    <t>Wyatt Irrigation</t>
  </si>
  <si>
    <t>1016 Lakeville</t>
  </si>
  <si>
    <t>Manzana Products</t>
  </si>
  <si>
    <t>9141 Greenvalley Road
980 Airway Ct Ste D</t>
  </si>
  <si>
    <t>Sebastopol,
Larkfield</t>
  </si>
  <si>
    <t>95472
95403</t>
  </si>
  <si>
    <t>707-823-5313 Sue</t>
  </si>
  <si>
    <t>Mak Freight Inc</t>
  </si>
  <si>
    <t>1906 N Macarthur Dr Ste 190</t>
  </si>
  <si>
    <t>12972 County Road 102 Bldg.7</t>
  </si>
  <si>
    <t>Enviromental Systems Los Banos</t>
  </si>
  <si>
    <t>1721 Cobblefield Ln</t>
  </si>
  <si>
    <t>Sun Made Growers</t>
  </si>
  <si>
    <t>15:00 Appt.</t>
  </si>
  <si>
    <t>13525 S. Bethel Ave.</t>
  </si>
  <si>
    <t>Kingsburg</t>
  </si>
  <si>
    <t>Dried Fruit</t>
  </si>
  <si>
    <t>Las Vegas Ice &amp; Cold Stor
State Purchasing Warehous</t>
  </si>
  <si>
    <t>5000286736 Item 200
5000286736 Item 100</t>
  </si>
  <si>
    <t>11/20/2015
11/23/2015</t>
  </si>
  <si>
    <t>1201 Searless Ave
2250 Barnett Way</t>
  </si>
  <si>
    <t>Las Vegas
Reno</t>
  </si>
  <si>
    <t>89101
89512</t>
  </si>
  <si>
    <t>09:00-14:00</t>
  </si>
  <si>
    <t>Dept Water &amp; Power
Ewing</t>
  </si>
  <si>
    <t>11/24/2015
11/24/2015</t>
  </si>
  <si>
    <t>2700 Tesla Ave
1270 Puerta Del Sol</t>
  </si>
  <si>
    <t>Los Angeles
San Clemente</t>
  </si>
  <si>
    <t>90039
92673</t>
  </si>
  <si>
    <t>Tailgate</t>
  </si>
  <si>
    <t>Starbucks Coffee Company Cvdc</t>
  </si>
  <si>
    <t>1016722298, 1016815002</t>
  </si>
  <si>
    <t>17:00-23:30</t>
  </si>
  <si>
    <t>2525 Starbucks Way</t>
  </si>
  <si>
    <t>Minden</t>
  </si>
  <si>
    <t>S.W.T. Stockton</t>
  </si>
  <si>
    <t>1016815002, 1016722298</t>
  </si>
  <si>
    <t>4747 Frontier Way</t>
  </si>
  <si>
    <t>Dart Container Solo Cup Division</t>
  </si>
  <si>
    <t>6:00:00 Pm Appt.</t>
  </si>
  <si>
    <t>16380 Euclid St.</t>
  </si>
  <si>
    <t>Chino</t>
  </si>
  <si>
    <t>Cups</t>
  </si>
  <si>
    <t>Birite Foodservice Distri</t>
  </si>
  <si>
    <t>123 South Hill Drive</t>
  </si>
  <si>
    <t>Brisbane</t>
  </si>
  <si>
    <t>Tbd</t>
  </si>
  <si>
    <t>12901 Old River Road</t>
  </si>
  <si>
    <t>Safeway</t>
  </si>
  <si>
    <t>Conf#827558093</t>
  </si>
  <si>
    <t>16900 Schulte Road</t>
  </si>
  <si>
    <t>Bright Foods</t>
  </si>
  <si>
    <t>10:00 Appt.</t>
  </si>
  <si>
    <t>1640 Tide Ct</t>
  </si>
  <si>
    <t>Food Stuff</t>
  </si>
  <si>
    <t>6:00Appt</t>
  </si>
  <si>
    <t>Meyer Corp</t>
  </si>
  <si>
    <t>Grpn-10005720894_07-29224331</t>
  </si>
  <si>
    <t>12:00 Appt.</t>
  </si>
  <si>
    <t>Meyer Way Meyer (Fairfield) 2001</t>
  </si>
  <si>
    <t>Rachael Ray Hard Enamel Nonstick</t>
  </si>
  <si>
    <t>Genco Groupon Goods</t>
  </si>
  <si>
    <t>1170 Trademark Dr Groupon Goods</t>
  </si>
  <si>
    <t>UBTD4MIGUEL</t>
  </si>
  <si>
    <t>Reed &amp; Graham,
Papich Construction Jobsite San Simeon</t>
  </si>
  <si>
    <t>550 Sunol St.,
255 Via Piedras Blancas</t>
  </si>
  <si>
    <t>San Jose,
San Simeon</t>
  </si>
  <si>
    <t>Ca,
Ca</t>
  </si>
  <si>
    <t>95126,
93452</t>
  </si>
  <si>
    <t>Expedite</t>
  </si>
  <si>
    <t>Quad Graphics</t>
  </si>
  <si>
    <t>Q1417475</t>
  </si>
  <si>
    <t>18:00 Appt.</t>
  </si>
  <si>
    <t>2200 Newlands Drive E</t>
  </si>
  <si>
    <t>Fernley</t>
  </si>
  <si>
    <t>(775) 575-1420</t>
  </si>
  <si>
    <t>Printed Material - Time Sensitive</t>
  </si>
  <si>
    <t>1630 Terminal St</t>
  </si>
  <si>
    <t>(916) 403-4113</t>
  </si>
  <si>
    <t>Ohl</t>
  </si>
  <si>
    <t>475 Lillard Drive</t>
  </si>
  <si>
    <t>94950338 Cps Sfty Gloves Vinyl Md Bkry P</t>
  </si>
  <si>
    <t>Safeway - Tracy Grocery</t>
  </si>
  <si>
    <t>16900 West Schulte Road</t>
  </si>
  <si>
    <t>Tcheck</t>
  </si>
  <si>
    <t>Olam</t>
  </si>
  <si>
    <t>Woodland2</t>
  </si>
  <si>
    <t>1175 S 19Th Ave</t>
  </si>
  <si>
    <t>Lemoore</t>
  </si>
  <si>
    <t>Diced Tomatos</t>
  </si>
  <si>
    <t>7:00 Appt.</t>
  </si>
  <si>
    <t>California Wood Shavings</t>
  </si>
  <si>
    <t>1016519544, 1016521539</t>
  </si>
  <si>
    <t>12015 La Grange Rd</t>
  </si>
  <si>
    <t>Jamestown</t>
  </si>
  <si>
    <t>Tractor Supply #1303
Tsc #1822 Minden Nv</t>
  </si>
  <si>
    <t>1016521539
1016519544</t>
  </si>
  <si>
    <t>860 North Jack Tone Road
1645 Hwy 88</t>
  </si>
  <si>
    <t>Ripon,
Minden</t>
  </si>
  <si>
    <t>Ca,
Nv</t>
  </si>
  <si>
    <t>95366
89423</t>
  </si>
  <si>
    <t>11:00-14:00</t>
  </si>
  <si>
    <t>12972 County Road 102, Building 7</t>
  </si>
  <si>
    <t>Imperial Sprinklers</t>
  </si>
  <si>
    <t>4930 E Landon Dr</t>
  </si>
  <si>
    <t>Anaheim</t>
  </si>
  <si>
    <t>Russell Stover Candies</t>
  </si>
  <si>
    <t>14:00 Appt.</t>
  </si>
  <si>
    <t>13805 Mt. Anderson Street</t>
  </si>
  <si>
    <t>Unicold Corporation</t>
  </si>
  <si>
    <t>M11142015Valrs</t>
  </si>
  <si>
    <t>6:00 Appt.</t>
  </si>
  <si>
    <t>555 Maritime Street Bldg D516</t>
  </si>
  <si>
    <t>Didn'T Pay Detention</t>
  </si>
  <si>
    <t>Dsc San Bernardino</t>
  </si>
  <si>
    <t>5690 Industrial Parkway</t>
  </si>
  <si>
    <t>San Bernardino</t>
  </si>
  <si>
    <t>Baking Goods</t>
  </si>
  <si>
    <t>Can Rectangulars</t>
  </si>
  <si>
    <t>Sysco Food Service</t>
  </si>
  <si>
    <t>19859030, 43797</t>
  </si>
  <si>
    <t>5900 Stewart Avenue</t>
  </si>
  <si>
    <t>$15 Charge For Tcheck Fee.</t>
  </si>
  <si>
    <t>09:00-17:00</t>
  </si>
  <si>
    <t>1905 N Macarthur Dr Ste 190</t>
  </si>
  <si>
    <t>Tsgaa24S88</t>
  </si>
  <si>
    <t>T.F. Louderback, Inc.</t>
  </si>
  <si>
    <t>700 National Court</t>
  </si>
  <si>
    <t>300 To Albel, 100 To Wesley, 2%Quick, No Dispatch Fee</t>
  </si>
  <si>
    <t>Best Logistics, Inc.</t>
  </si>
  <si>
    <t>11:30 Appt.</t>
  </si>
  <si>
    <t>340 Port Road 22</t>
  </si>
  <si>
    <t>Rollstock</t>
  </si>
  <si>
    <t>Rolls</t>
  </si>
  <si>
    <t>Rock Tenn</t>
  </si>
  <si>
    <t>1078 Merrill St.</t>
  </si>
  <si>
    <t>Ewing Santa Barbara</t>
  </si>
  <si>
    <t>Bank</t>
  </si>
  <si>
    <t>09:00-15:00</t>
  </si>
  <si>
    <t>718 Cacique St</t>
  </si>
  <si>
    <t>100To Albel, 555.80 To Wesley/Ub</t>
  </si>
  <si>
    <t>White Cap San Jose</t>
  </si>
  <si>
    <t>6:00 - 15:00</t>
  </si>
  <si>
    <t>595 Brennan Street</t>
  </si>
  <si>
    <t>No Driver Assist Paid</t>
  </si>
  <si>
    <t>Del: Hope Services</t>
  </si>
  <si>
    <t>3080 Alfred St</t>
  </si>
  <si>
    <t>Flavored Syrups</t>
  </si>
  <si>
    <t>R. Torre &amp; Company</t>
  </si>
  <si>
    <t>432 Littlefield Ave</t>
  </si>
  <si>
    <t>09:30 Appt.</t>
  </si>
  <si>
    <t>Anheuser Busch</t>
  </si>
  <si>
    <t>8250 Woodley Avenue</t>
  </si>
  <si>
    <t>Markstein Bev Co Of Sac</t>
  </si>
  <si>
    <t>60 Main Avenue</t>
  </si>
  <si>
    <t>Apollo Freight</t>
  </si>
  <si>
    <t>11:00 To 12:00</t>
  </si>
  <si>
    <t>Cork</t>
  </si>
  <si>
    <t>Domaine Carneros
Schramsberg Cinetard</t>
  </si>
  <si>
    <t>12/08/2015
12/09/2015</t>
  </si>
  <si>
    <t>1240 Duhig Rd
1499 Schramsberg Rd</t>
  </si>
  <si>
    <t>Napa
Calistoga</t>
  </si>
  <si>
    <t>94559
94515</t>
  </si>
  <si>
    <t>Paid Tnu To Albel For Stuck Truck.</t>
  </si>
  <si>
    <t>Carris Reels</t>
  </si>
  <si>
    <t>2100 Almond Ave</t>
  </si>
  <si>
    <t>Empty Reels</t>
  </si>
  <si>
    <t>Reels</t>
  </si>
  <si>
    <t>Anixter</t>
  </si>
  <si>
    <t>990 N Hills Blvd</t>
  </si>
  <si>
    <t>Tharco</t>
  </si>
  <si>
    <t>103249410 / 13249246</t>
  </si>
  <si>
    <t>11:00-17:00</t>
  </si>
  <si>
    <t>2222 Grant Ave</t>
  </si>
  <si>
    <t>San Lorenzo</t>
  </si>
  <si>
    <t>Packaging Material</t>
  </si>
  <si>
    <t>Contec
Gtg Packaging</t>
  </si>
  <si>
    <t>64122
14735</t>
  </si>
  <si>
    <t>12/10/2015
12/10/2015</t>
  </si>
  <si>
    <t>9175A Moya Blvd
650 Innovation Dr Suite A</t>
  </si>
  <si>
    <t>Reno
Reno</t>
  </si>
  <si>
    <t>Nv
Nv</t>
  </si>
  <si>
    <t>89506-2627
89511</t>
  </si>
  <si>
    <t>Pioneer Recycling Service</t>
  </si>
  <si>
    <t>365 Parr Circle</t>
  </si>
  <si>
    <t>Waste Paper Wbn</t>
  </si>
  <si>
    <t>Pactiv</t>
  </si>
  <si>
    <t>1000 Diamond Ave</t>
  </si>
  <si>
    <t>Rittal Corp</t>
  </si>
  <si>
    <t>695 Vista Blvd</t>
  </si>
  <si>
    <t>Miscellaneous</t>
  </si>
  <si>
    <t>Pallet(S)</t>
  </si>
  <si>
    <t>Steven Engineering</t>
  </si>
  <si>
    <t>230 Ryan Way</t>
  </si>
  <si>
    <t>Tesla Motors Biw Dock</t>
  </si>
  <si>
    <t>Amcor Flexibles</t>
  </si>
  <si>
    <t>5425 Broadway St</t>
  </si>
  <si>
    <t>(707) 257-6481</t>
  </si>
  <si>
    <t>Capsules</t>
  </si>
  <si>
    <t>Box(S)</t>
  </si>
  <si>
    <t>Parker Station C/O Fess Parker</t>
  </si>
  <si>
    <t>2643 Industrial Pkwy</t>
  </si>
  <si>
    <t>93455-1534</t>
  </si>
  <si>
    <t>(707) 399-5800</t>
  </si>
  <si>
    <t>06:00-10:00</t>
  </si>
  <si>
    <t>(530) 662-7700</t>
  </si>
  <si>
    <t>John Deere Lnds-Pacheco #303
John Deere Landscapes
John Deere Landscapes</t>
  </si>
  <si>
    <t>12/14/15
12/14/15</t>
  </si>
  <si>
    <t>07:00-15:30
08:00-15:30
07:00-16:00</t>
  </si>
  <si>
    <t>130 S Buchanan Cir Ste A
815 American St
1145 N. 13Th Street</t>
  </si>
  <si>
    <t>Pacheco
San Carlos
San Jose</t>
  </si>
  <si>
    <t>(925) 680-7620
(916) 826-2113
(408) 295-3376</t>
  </si>
  <si>
    <t>Nevada Beverage Co (Ab-32711)</t>
  </si>
  <si>
    <t>06:00-12:00</t>
  </si>
  <si>
    <t>3940 W. Tropicana Ave.</t>
  </si>
  <si>
    <t>Las Vegas</t>
  </si>
  <si>
    <t>Procter &amp; Gamble</t>
  </si>
  <si>
    <t>800 N Rice Ave</t>
  </si>
  <si>
    <t>(805) 981-3148</t>
  </si>
  <si>
    <t>Retail Items</t>
  </si>
  <si>
    <t>Pieces(S)</t>
  </si>
  <si>
    <t>Wcdc W Coast Dc</t>
  </si>
  <si>
    <t>700 E. Roth Rd, Sharpe Army Dp</t>
  </si>
  <si>
    <t>French Camp</t>
  </si>
  <si>
    <t>(209) 234-3735</t>
  </si>
  <si>
    <t>06:00-09:00</t>
  </si>
  <si>
    <t>Reed &amp; Graham</t>
  </si>
  <si>
    <t>550 Sunol St.</t>
  </si>
  <si>
    <t>(408) 287-1400</t>
  </si>
  <si>
    <t>13:00-17:00</t>
  </si>
  <si>
    <t>(510) 276-8600</t>
  </si>
  <si>
    <t>Gtg Packaging</t>
  </si>
  <si>
    <t>650 Innovation Dr Suite A</t>
  </si>
  <si>
    <t>(775) 225-1579</t>
  </si>
  <si>
    <t>Fidelitone Logistics</t>
  </si>
  <si>
    <t>4620 Mitchell St</t>
  </si>
  <si>
    <t>North Las Vegas</t>
  </si>
  <si>
    <t>89081-2753</t>
  </si>
  <si>
    <t>Presto Heaters</t>
  </si>
  <si>
    <t>Fidelitone</t>
  </si>
  <si>
    <t>15600 Blackburn Ave</t>
  </si>
  <si>
    <t>Norwalk</t>
  </si>
  <si>
    <t>Mizkan</t>
  </si>
  <si>
    <t>15101 Santa Ana Ave</t>
  </si>
  <si>
    <t>Fontana</t>
  </si>
  <si>
    <t>Vinegar</t>
  </si>
  <si>
    <t>Grocery Outlet Inc. #97</t>
  </si>
  <si>
    <t>Markstein Beverage Co.</t>
  </si>
  <si>
    <t>1645 Drive In Way</t>
  </si>
  <si>
    <t>(925) 755-1919</t>
  </si>
  <si>
    <t>Preferred Freezer Service</t>
  </si>
  <si>
    <t>Blue Apron</t>
  </si>
  <si>
    <t>400 Hudson Lane</t>
  </si>
  <si>
    <t>Dry Ice</t>
  </si>
  <si>
    <t>Blue Apron West Coast Region</t>
  </si>
  <si>
    <t>3151 Regatta Blvd, B60</t>
  </si>
  <si>
    <t>Arrow Value Recovery Itad</t>
  </si>
  <si>
    <t>I1503697</t>
  </si>
  <si>
    <t>9085 Moya Blvd Ste 400</t>
  </si>
  <si>
    <t>89506-2601</t>
  </si>
  <si>
    <t>So-0383212</t>
  </si>
  <si>
    <t>10:00-18:00</t>
  </si>
  <si>
    <t>95376-2845</t>
  </si>
  <si>
    <t>Earthsaver Erosion Control</t>
  </si>
  <si>
    <t>Tostuno Water Jobsite</t>
  </si>
  <si>
    <t>Antonio Pkwy &amp; Ortega Hwy</t>
  </si>
  <si>
    <t>Rancho Santa Margarita</t>
  </si>
  <si>
    <t>Dx2Q</t>
  </si>
  <si>
    <t>Bay Area Beverage
Central Coast / Larrabee Bros</t>
  </si>
  <si>
    <t>Dx2Q-1
Dx2Q-2</t>
  </si>
  <si>
    <t>12/21/2015
12/22/2015</t>
  </si>
  <si>
    <t>11:00:00 Am
07:00</t>
  </si>
  <si>
    <t>700 National Court
815 S. Blosser Rd.</t>
  </si>
  <si>
    <t>Richmond
Santa Maria</t>
  </si>
  <si>
    <t>Ca
Ca</t>
  </si>
  <si>
    <t>94804
93454</t>
  </si>
  <si>
    <t>Us
Us</t>
  </si>
  <si>
    <t>805-922-2108</t>
  </si>
  <si>
    <t>Cnp - Mckinley</t>
  </si>
  <si>
    <t>15188 Mckinley Ave</t>
  </si>
  <si>
    <t>95330-8782</t>
  </si>
  <si>
    <t>(209) 858-2525</t>
  </si>
  <si>
    <t>Chai Tea</t>
  </si>
  <si>
    <t>Starbucks Key Logistics Sparks</t>
  </si>
  <si>
    <t>(775) 827-0590</t>
  </si>
  <si>
    <t>305558916, 2840916</t>
  </si>
  <si>
    <t>14:30-15:30</t>
  </si>
  <si>
    <t>Paper Towels</t>
  </si>
  <si>
    <t>Dollar Tree</t>
  </si>
  <si>
    <t>305558916, 23172</t>
  </si>
  <si>
    <t>1122 Runway Drive</t>
  </si>
  <si>
    <t>Layover</t>
  </si>
  <si>
    <t>Matson Logistics</t>
  </si>
  <si>
    <t>Art Wilson Co. Mine Site</t>
  </si>
  <si>
    <t>2484-7</t>
  </si>
  <si>
    <t>145 Linehan Road</t>
  </si>
  <si>
    <t>Mound House</t>
  </si>
  <si>
    <t>775-246-0282</t>
  </si>
  <si>
    <t>Bulk Gypsum</t>
  </si>
  <si>
    <t>Superior Soil Supplements</t>
  </si>
  <si>
    <t>10367 Houston Ave</t>
  </si>
  <si>
    <t>559-584-7695</t>
  </si>
  <si>
    <t>Po 271795 / Po 271795</t>
  </si>
  <si>
    <t>Pallet</t>
  </si>
  <si>
    <t>California State Parks
Pacific Soil</t>
  </si>
  <si>
    <t>Po 271795
Po 271795</t>
  </si>
  <si>
    <t>12/30/2015
12/30/2015</t>
  </si>
  <si>
    <t>7800 Cienega Rd
1279 W Stowell Road Unit A</t>
  </si>
  <si>
    <t>Holister
Santa Maria</t>
  </si>
  <si>
    <t>95023
93454</t>
  </si>
  <si>
    <t>States Logistics</t>
  </si>
  <si>
    <t>179-1207799</t>
  </si>
  <si>
    <t>13405 Marlay Ave</t>
  </si>
  <si>
    <t>92337-6924</t>
  </si>
  <si>
    <t>Shake 11Oz</t>
  </si>
  <si>
    <t>Costco Depot #179</t>
  </si>
  <si>
    <t>25862 S. Schulte Court</t>
  </si>
  <si>
    <t>333-121715-333</t>
  </si>
  <si>
    <t>R Cevasco Nursery</t>
  </si>
  <si>
    <t>10510 Cabrillo Hw</t>
  </si>
  <si>
    <t>Pescadero</t>
  </si>
  <si>
    <t>Petaluma Creamery</t>
  </si>
  <si>
    <t>621 Western Ave</t>
  </si>
  <si>
    <t>Dairy Powder</t>
  </si>
  <si>
    <t>Now Foods</t>
  </si>
  <si>
    <t>575 Vista Blvd</t>
  </si>
  <si>
    <t>89434-9662</t>
  </si>
  <si>
    <t>1017553855, 1017553856</t>
  </si>
  <si>
    <t>89423-8957</t>
  </si>
  <si>
    <t>Default Commodity</t>
  </si>
  <si>
    <t>Southwest Traders Fresno</t>
  </si>
  <si>
    <t>Fr0112</t>
  </si>
  <si>
    <t>324 N Fruit Ave</t>
  </si>
  <si>
    <t>Detention And Stuff</t>
  </si>
  <si>
    <t>Costco Warehouse 132
Costco 482
Costco #118</t>
  </si>
  <si>
    <t>1321215506
004821215512
001181215512</t>
  </si>
  <si>
    <t>198 Plaza Dr
4801 Central Ave
1900 Davis St</t>
  </si>
  <si>
    <t>Vallejo
Richmond
San Leandro</t>
  </si>
  <si>
    <t>94591-3702
94804-5801
94577</t>
  </si>
  <si>
    <t>Erosion Control Product</t>
  </si>
  <si>
    <t>Titan Construction Supply</t>
  </si>
  <si>
    <t>250 Edison Way</t>
  </si>
  <si>
    <t>Foam Fabricators</t>
  </si>
  <si>
    <t>301 9Th St</t>
  </si>
  <si>
    <t>(209) 523-7002</t>
  </si>
  <si>
    <t>Styrofoam Containers</t>
  </si>
  <si>
    <t>251 S Mccarran Blvd</t>
  </si>
  <si>
    <t>89431-5809</t>
  </si>
  <si>
    <t>Premier Chemicals, Llc</t>
  </si>
  <si>
    <t>Ga 59666</t>
  </si>
  <si>
    <t>State Route 361</t>
  </si>
  <si>
    <t>Gabbs</t>
  </si>
  <si>
    <t>(775) 285-2601</t>
  </si>
  <si>
    <t>Magox 93 Hr</t>
  </si>
  <si>
    <t>Pail(S)</t>
  </si>
  <si>
    <t>Mountain Z Enterprises</t>
  </si>
  <si>
    <t>Cp 1222151</t>
  </si>
  <si>
    <t>337 E 4Th St Bldg C</t>
  </si>
  <si>
    <t>Ripon</t>
  </si>
  <si>
    <t>95366-2762</t>
  </si>
  <si>
    <t>(209) 988-1734</t>
  </si>
  <si>
    <t>Mckerrin Whse</t>
  </si>
  <si>
    <t>2777 Usa Pkwy</t>
  </si>
  <si>
    <t>Block Pallets</t>
  </si>
  <si>
    <t>Skid(S)</t>
  </si>
  <si>
    <t>Fairview - Manteca</t>
  </si>
  <si>
    <t>904 Spreckels Rd</t>
  </si>
  <si>
    <t>Manteca</t>
  </si>
  <si>
    <t>95336-8940</t>
  </si>
  <si>
    <t>Nodetentionrequested.</t>
  </si>
  <si>
    <t>Ames Fire &amp; Waterworks - Div Of Watts Regulator</t>
  </si>
  <si>
    <t>1485 Tanforan Ave.</t>
  </si>
  <si>
    <t>Plumbing Fixtures</t>
  </si>
  <si>
    <t>Watts Regulator - Sparks Dist Center</t>
  </si>
  <si>
    <t>780 Spice Island Drive</t>
  </si>
  <si>
    <t>(775) 412-0651</t>
  </si>
  <si>
    <t>08:00-18:00</t>
  </si>
  <si>
    <t>08:00-14:00</t>
  </si>
  <si>
    <t>Hedwin/Zacros America Inc</t>
  </si>
  <si>
    <t>9175 Moya Blvd.</t>
  </si>
  <si>
    <t>Corrugated Boxes</t>
  </si>
  <si>
    <t>Ozeki Sake Usa Inc.</t>
  </si>
  <si>
    <t>249 Hillcrest Road</t>
  </si>
  <si>
    <t>(650) 246-2298</t>
  </si>
  <si>
    <t>Homewood Suites</t>
  </si>
  <si>
    <t>2000 Shoreline Court</t>
  </si>
  <si>
    <t>Mattresses Or Sleep Sets</t>
  </si>
  <si>
    <t>Equity Liquidators</t>
  </si>
  <si>
    <t>08:00 To 12:00</t>
  </si>
  <si>
    <t>5258 East Pine Ave</t>
  </si>
  <si>
    <t>Americold Logistics</t>
  </si>
  <si>
    <t>750 W Riverside Dr</t>
  </si>
  <si>
    <t>(831) 761-4500</t>
  </si>
  <si>
    <t>Walgreens</t>
  </si>
  <si>
    <t>L6135</t>
  </si>
  <si>
    <t>2370 E Main St</t>
  </si>
  <si>
    <t>(530) 406-7851</t>
  </si>
  <si>
    <t>H &amp; H Enterprises</t>
  </si>
  <si>
    <t>15:00-16:00</t>
  </si>
  <si>
    <t>909 Union St</t>
  </si>
  <si>
    <t>93631-1500</t>
  </si>
  <si>
    <t>(559) 419-6106</t>
  </si>
  <si>
    <t>Corrugate</t>
  </si>
  <si>
    <t>3245 E Patrick Ln Ste C</t>
  </si>
  <si>
    <t>89120-3497</t>
  </si>
  <si>
    <t>(702) 876-6292</t>
  </si>
  <si>
    <t>Detention Not Paid</t>
  </si>
  <si>
    <t>Matson</t>
  </si>
  <si>
    <t>Pu 599008</t>
  </si>
  <si>
    <t>9401 San Leandro St # G</t>
  </si>
  <si>
    <t>(510) 383-9413</t>
  </si>
  <si>
    <t>Nishimoto Trading Co</t>
  </si>
  <si>
    <t>13409 Orden Dr Bldg J</t>
  </si>
  <si>
    <t>90670-6336</t>
  </si>
  <si>
    <t>(562) 802-1900</t>
  </si>
  <si>
    <t>Core-Mark</t>
  </si>
  <si>
    <t>0072284890-000080</t>
  </si>
  <si>
    <t>31300 Medallion Drive</t>
  </si>
  <si>
    <t>Groskopf Warehouse</t>
  </si>
  <si>
    <t>M336307</t>
  </si>
  <si>
    <t>801 Hanna Drive</t>
  </si>
  <si>
    <t>Youngs Market Company - Mh</t>
  </si>
  <si>
    <t>Morgan</t>
  </si>
  <si>
    <t>OOD4FTMANJIT</t>
  </si>
  <si>
    <t>Blue Diamond Hill Gypsum</t>
  </si>
  <si>
    <t>07:00 To 22:00</t>
  </si>
  <si>
    <t>8380 State Highway 159</t>
  </si>
  <si>
    <t>Blue Diamond</t>
  </si>
  <si>
    <t>(702) 343-0795</t>
  </si>
  <si>
    <t>Gypsum</t>
  </si>
  <si>
    <t>Western Milling</t>
  </si>
  <si>
    <t>05:00 To 17:00</t>
  </si>
  <si>
    <t>31189 Rd. 68</t>
  </si>
  <si>
    <t>95776-9119</t>
  </si>
  <si>
    <t>Ewing Irrigation Santa Maria, Ewing San Luis Obispo</t>
  </si>
  <si>
    <t>9140373-0133, 9140372-0117</t>
  </si>
  <si>
    <t>1/14/2016, 01/14/16</t>
  </si>
  <si>
    <t>08:00-10:00, 12:00-13:00</t>
  </si>
  <si>
    <t>939 W Mccoy Ln, 1175 Prospect</t>
  </si>
  <si>
    <t>Santa Maria, San Luis Obispo</t>
  </si>
  <si>
    <t>93455, 93401</t>
  </si>
  <si>
    <t>Inland Metal Industries All</t>
  </si>
  <si>
    <t>3245 Depot Rd</t>
  </si>
  <si>
    <t>(510) 785-8555</t>
  </si>
  <si>
    <t>Thyssen Krupp Industrial Services C/O Tesla</t>
  </si>
  <si>
    <t>401 Nestle Way</t>
  </si>
  <si>
    <t>(323) 728-6814</t>
  </si>
  <si>
    <t>Graphic Packaging International, Inc</t>
  </si>
  <si>
    <t>Pasc130957</t>
  </si>
  <si>
    <t>531 Martin Ave Dock 18</t>
  </si>
  <si>
    <t>Paper</t>
  </si>
  <si>
    <t>Gpi Koret Whse</t>
  </si>
  <si>
    <t>1100 Marauder St</t>
  </si>
  <si>
    <t>Chico</t>
  </si>
  <si>
    <t>95973-9038</t>
  </si>
  <si>
    <t>530-961-4072 Chad Blair</t>
  </si>
  <si>
    <t>Westrock Rt</t>
  </si>
  <si>
    <t>701 E Continental</t>
  </si>
  <si>
    <t>(559) 685-1102</t>
  </si>
  <si>
    <t>Food Grade Boxes</t>
  </si>
  <si>
    <t>Blue Line Distribution</t>
  </si>
  <si>
    <t>2332 Station Drive Suite B</t>
  </si>
  <si>
    <t>(209) 462-6275</t>
  </si>
  <si>
    <t>L10005602</t>
  </si>
  <si>
    <t>Bear Republic Brewing</t>
  </si>
  <si>
    <t>110 Sandholm Ln Ste 10</t>
  </si>
  <si>
    <t>Cloverdale</t>
  </si>
  <si>
    <t>95425-4439</t>
  </si>
  <si>
    <t>Stop Off</t>
  </si>
  <si>
    <t>$30.00 Stop Off</t>
  </si>
  <si>
    <t>Pms-Tracy</t>
  </si>
  <si>
    <t>25950 S Corporate Ct</t>
  </si>
  <si>
    <t>(209) 627-3500</t>
  </si>
  <si>
    <t>(209) 983-0400</t>
  </si>
  <si>
    <t>19:00 Appt.</t>
  </si>
  <si>
    <t>Matagrano (Ab- 20494)</t>
  </si>
  <si>
    <t>440 Forbes Blvd</t>
  </si>
  <si>
    <t>South San Francisco,</t>
  </si>
  <si>
    <t>Cargobarn Inc.</t>
  </si>
  <si>
    <t>Stockton Cold Storage</t>
  </si>
  <si>
    <t>1320 W. Weber Ave.</t>
  </si>
  <si>
    <t>Bagged H20</t>
  </si>
  <si>
    <t>Hello Fresh</t>
  </si>
  <si>
    <t>2041 Factory St.</t>
  </si>
  <si>
    <t>Sacramento Consolidation C/O Mak Freight Inc</t>
  </si>
  <si>
    <t>Tsgaa38S88 &amp; Tsgaa7Ps88</t>
  </si>
  <si>
    <t>Morris Distributing</t>
  </si>
  <si>
    <t>454 Payran Street</t>
  </si>
  <si>
    <t>(707) 975-9265</t>
  </si>
  <si>
    <t>$25.00 Stop Off</t>
  </si>
  <si>
    <t>Ntl Logistics</t>
  </si>
  <si>
    <t>Shred It Foster City</t>
  </si>
  <si>
    <t>Check In Under Ntl</t>
  </si>
  <si>
    <t>305 Hatch Dr</t>
  </si>
  <si>
    <t>Foster City</t>
  </si>
  <si>
    <t>650-588-2227</t>
  </si>
  <si>
    <t>Hydra Dist</t>
  </si>
  <si>
    <t>4877 Parker Ave Bldg 782R</t>
  </si>
  <si>
    <t>916-640-1809</t>
  </si>
  <si>
    <t>Jordano'S Inc</t>
  </si>
  <si>
    <t>550 South Patterson</t>
  </si>
  <si>
    <t>Scrap Plastic</t>
  </si>
  <si>
    <t>Bale(S)</t>
  </si>
  <si>
    <t>Greenpath Recovery - Trex</t>
  </si>
  <si>
    <t>1495 N 8Th St Ste 150</t>
  </si>
  <si>
    <t>Colton</t>
  </si>
  <si>
    <t>92324-1451</t>
  </si>
  <si>
    <t>Cleanflame</t>
  </si>
  <si>
    <t>Cleanflame70649700</t>
  </si>
  <si>
    <t>08:00 To 15:00</t>
  </si>
  <si>
    <t>100 Kentucky St</t>
  </si>
  <si>
    <t>Gridley</t>
  </si>
  <si>
    <t>Logs</t>
  </si>
  <si>
    <t>Truckload</t>
  </si>
  <si>
    <t>Winco-Modesto</t>
  </si>
  <si>
    <t>Appt 21:00</t>
  </si>
  <si>
    <t>4400 Crows Landing Rd</t>
  </si>
  <si>
    <t>209-556-6057</t>
  </si>
  <si>
    <t>(707) 399-2347</t>
  </si>
  <si>
    <t>Cvs Dist Inc</t>
  </si>
  <si>
    <t>2400 Keystone Pacific Blv</t>
  </si>
  <si>
    <t>(209) 895-8500</t>
  </si>
  <si>
    <t>Quaker Oats / Pepsico #9017</t>
  </si>
  <si>
    <t>5625 International Blvd</t>
  </si>
  <si>
    <t>(510) 535-3227</t>
  </si>
  <si>
    <t>Pepsico-Quaker Oats #1017</t>
  </si>
  <si>
    <t>7604405400/36813556</t>
  </si>
  <si>
    <t>05:30 Appt.</t>
  </si>
  <si>
    <t>410 S 104Th Ave</t>
  </si>
  <si>
    <t>Tolleson</t>
  </si>
  <si>
    <t>Az</t>
  </si>
  <si>
    <t>623-907-1881</t>
  </si>
  <si>
    <t>1016734602, 1016733720,1016734138</t>
  </si>
  <si>
    <t>95327-9724</t>
  </si>
  <si>
    <t>(209) 984-1150</t>
  </si>
  <si>
    <t>Tsc#1350, Tractor Supply#1303,Tsc#1822 Minden Nv</t>
  </si>
  <si>
    <t>1/20/2016-1/21/2016</t>
  </si>
  <si>
    <t>14879 Mono Way, 860 North Jack Tone Road, 1645 Hwy 88</t>
  </si>
  <si>
    <t>Sonora,Ripon,Minden</t>
  </si>
  <si>
    <t>Ca,Ca,Nv</t>
  </si>
  <si>
    <t>95370,95366,89423-4600</t>
  </si>
  <si>
    <t>(209) 533-4840, (209) 599-1150, (775) 783-8675</t>
  </si>
  <si>
    <t>Art Wilson Company</t>
  </si>
  <si>
    <t>C07506</t>
  </si>
  <si>
    <t>Moundhouse</t>
  </si>
  <si>
    <t>Bagged Gypsum, Gypsum</t>
  </si>
  <si>
    <t>Bag(S), Pallets(S)</t>
  </si>
  <si>
    <t>Sierra Pacific Turf Supply Inc</t>
  </si>
  <si>
    <t>510 Salmar Ave</t>
  </si>
  <si>
    <t>Campbell</t>
  </si>
  <si>
    <t>Right Away Disposal</t>
  </si>
  <si>
    <t>26157-2</t>
  </si>
  <si>
    <t>3755 S Royal Palm Rd</t>
  </si>
  <si>
    <t>Apache Junction</t>
  </si>
  <si>
    <t>Baled Paper For Recycling</t>
  </si>
  <si>
    <t>Riverstar</t>
  </si>
  <si>
    <t>19100 S Susana Rd</t>
  </si>
  <si>
    <t>90221-5708</t>
  </si>
  <si>
    <t>Jerich Usa</t>
  </si>
  <si>
    <t>1113 East 230Th</t>
  </si>
  <si>
    <t>Carson</t>
  </si>
  <si>
    <t>Copy Paper</t>
  </si>
  <si>
    <t>Sp Richards</t>
  </si>
  <si>
    <t>2190 Hanson Way</t>
  </si>
  <si>
    <t>95776-6230</t>
  </si>
  <si>
    <t>Renew Packaging Solutions</t>
  </si>
  <si>
    <t>11385 Sunrise Park Dr. Ste 100</t>
  </si>
  <si>
    <t>Rancho Cordov</t>
  </si>
  <si>
    <t xml:space="preserve">Webstaurant Store </t>
  </si>
  <si>
    <t>111 East Airpark Vista</t>
  </si>
  <si>
    <t>Dayton</t>
  </si>
  <si>
    <t>Knight Logistics Llc</t>
  </si>
  <si>
    <t>Ardagh Metal Packaging</t>
  </si>
  <si>
    <t>900 Waltham Way</t>
  </si>
  <si>
    <t>Mccarran</t>
  </si>
  <si>
    <t>89434-6699</t>
  </si>
  <si>
    <t>775-954-9839</t>
  </si>
  <si>
    <t>Sierra Pacific</t>
  </si>
  <si>
    <t>3700 Leckron Rd.</t>
  </si>
  <si>
    <t>866-500-5623</t>
  </si>
  <si>
    <t>21 Day Regular Pay. Did not pay 2 hours of detention.</t>
  </si>
  <si>
    <t>Diamond Foods</t>
  </si>
  <si>
    <t>1050 South Diamond Street</t>
  </si>
  <si>
    <t>Dry Goods</t>
  </si>
  <si>
    <t>827928778, 934194</t>
  </si>
  <si>
    <t>16900 W Schulte Rd</t>
  </si>
  <si>
    <t>Ifco/Usve</t>
  </si>
  <si>
    <t>07:00 Apt</t>
  </si>
  <si>
    <t>2276 Wilbur Ave.</t>
  </si>
  <si>
    <t>Amware Fresno</t>
  </si>
  <si>
    <t>12:30 Apt</t>
  </si>
  <si>
    <t>3210 S East Ave #101</t>
  </si>
  <si>
    <t>93725-2226</t>
  </si>
  <si>
    <t>(559) 476-1850</t>
  </si>
  <si>
    <t>Pelton Shepherd Industries</t>
  </si>
  <si>
    <t>812 B Luce Ave</t>
  </si>
  <si>
    <t>10:00-14:00</t>
  </si>
  <si>
    <t>Bia Cordon Bleu</t>
  </si>
  <si>
    <t>Wsl.67461</t>
  </si>
  <si>
    <t>07:30-10:00</t>
  </si>
  <si>
    <t>100 Enterprise Court</t>
  </si>
  <si>
    <t>Galt</t>
  </si>
  <si>
    <t>China Kitchenware</t>
  </si>
  <si>
    <t>Berkeley Art Music Pacific Film Archive</t>
  </si>
  <si>
    <t>Bb00630393</t>
  </si>
  <si>
    <t>12:00-15:00</t>
  </si>
  <si>
    <t>2150 Addison St</t>
  </si>
  <si>
    <t>Berkeley</t>
  </si>
  <si>
    <t>American Warehouse</t>
  </si>
  <si>
    <t>3150 S Willow Ave</t>
  </si>
  <si>
    <t>93725-9349</t>
  </si>
  <si>
    <t>Seed</t>
  </si>
  <si>
    <t>Helena Chemical Company</t>
  </si>
  <si>
    <t>3155 Southgate</t>
  </si>
  <si>
    <t>14:00 Apt</t>
  </si>
  <si>
    <t>96003-1422</t>
  </si>
  <si>
    <t>06:00-18:00</t>
  </si>
  <si>
    <t>94538-6326</t>
  </si>
  <si>
    <t>Us Xpress Logistics</t>
  </si>
  <si>
    <t>P/U Point Ampine Division</t>
  </si>
  <si>
    <t>006-0701118-00</t>
  </si>
  <si>
    <t xml:space="preserve">Ext </t>
  </si>
  <si>
    <t>D/R Point Forest Plywood Sales</t>
  </si>
  <si>
    <t>01-9997124</t>
  </si>
  <si>
    <t>3131 Hoover Ave</t>
  </si>
  <si>
    <t>National City</t>
  </si>
  <si>
    <t>Ext 3714</t>
  </si>
  <si>
    <t>(423)510-4085</t>
  </si>
  <si>
    <t>Packaging Innovators Corp</t>
  </si>
  <si>
    <t>10:00-12:00 Apt</t>
  </si>
  <si>
    <t>6650 National Drive</t>
  </si>
  <si>
    <t>Livermore</t>
  </si>
  <si>
    <t>La Tourangelle Oil Mill</t>
  </si>
  <si>
    <t>08:00-17:00</t>
  </si>
  <si>
    <t>2340 East Main Street Suite 400</t>
  </si>
  <si>
    <t>925-473-3247</t>
  </si>
  <si>
    <t>Freight All Kinds</t>
  </si>
  <si>
    <t>27,00</t>
  </si>
  <si>
    <t>Westrock</t>
  </si>
  <si>
    <t>06:00-21:00</t>
  </si>
  <si>
    <t>831-240-1324</t>
  </si>
  <si>
    <t>17:00 Apt</t>
  </si>
  <si>
    <t>95377-8861</t>
  </si>
  <si>
    <t>Blue Chep Pallets</t>
  </si>
  <si>
    <t>Freight Rejection</t>
  </si>
  <si>
    <t>342796 Pdsca011216B</t>
  </si>
  <si>
    <t>95076-5102</t>
  </si>
  <si>
    <t>Prime Distribution</t>
  </si>
  <si>
    <t>Pdsca011216B</t>
  </si>
  <si>
    <t>1919 Boeing Way Ste 300</t>
  </si>
  <si>
    <t>95206-4990</t>
  </si>
  <si>
    <t>Cavalry Logistics</t>
  </si>
  <si>
    <t>Imperial Toy</t>
  </si>
  <si>
    <t>9043 Siempre Viva Road</t>
  </si>
  <si>
    <t>San Diego</t>
  </si>
  <si>
    <t>Joann Stores #Dc04</t>
  </si>
  <si>
    <t>118819153, 597886</t>
  </si>
  <si>
    <t>2500 North Plaza</t>
  </si>
  <si>
    <t>Covenant Transport Solutions</t>
  </si>
  <si>
    <t>Ardagh Fairfield</t>
  </si>
  <si>
    <t xml:space="preserve">2600 Stanford Court </t>
  </si>
  <si>
    <t>707-437-8727</t>
  </si>
  <si>
    <t>Ardagh Don Sebastiani And Sons</t>
  </si>
  <si>
    <t>707-931-2406</t>
  </si>
  <si>
    <t>Microthiol Dispers</t>
  </si>
  <si>
    <t>Bag(S)</t>
  </si>
  <si>
    <t>Mid Valley Ag</t>
  </si>
  <si>
    <t>5931 Balfour Rd</t>
  </si>
  <si>
    <t xml:space="preserve">Fritz &amp; Rodriguez Inc. </t>
  </si>
  <si>
    <t>2440202-1</t>
  </si>
  <si>
    <t>07:00-14:00 Appt.</t>
  </si>
  <si>
    <t>724 Kiernan Ave</t>
  </si>
  <si>
    <t>(209) 652-5236</t>
  </si>
  <si>
    <t>Dunnage</t>
  </si>
  <si>
    <t>Priority One</t>
  </si>
  <si>
    <t>06:00-17:00 Appt.</t>
  </si>
  <si>
    <t>2345 Huntington Drive</t>
  </si>
  <si>
    <t>Quaker Oats / Jacobson Warehouse#3</t>
  </si>
  <si>
    <t>Smart&amp;Final (Sd Use)</t>
  </si>
  <si>
    <t>95304-8527</t>
  </si>
  <si>
    <t>Almond Company</t>
  </si>
  <si>
    <t>9101204008; 30493.02</t>
  </si>
  <si>
    <t>2900 Airport Company</t>
  </si>
  <si>
    <t>559-674-1300</t>
  </si>
  <si>
    <t>Almond Totes</t>
  </si>
  <si>
    <t>Costco Packaging#910</t>
  </si>
  <si>
    <t>9101204008;A091003268</t>
  </si>
  <si>
    <t>2222 Enrico Fermi Drive</t>
  </si>
  <si>
    <t>619-205-3410</t>
  </si>
  <si>
    <t>Conagra Foods Sales</t>
  </si>
  <si>
    <t>9945 W Goshen Ave</t>
  </si>
  <si>
    <t>93291-8758</t>
  </si>
  <si>
    <t>Chzit Prty Mx Crckr 48X4 Bulk</t>
  </si>
  <si>
    <t>Kellogg Sales Co</t>
  </si>
  <si>
    <t>09:00 Appt#3935049</t>
  </si>
  <si>
    <t>1550 North Chrisman Road</t>
  </si>
  <si>
    <t xml:space="preserve">Tpi </t>
  </si>
  <si>
    <t>L0055670</t>
  </si>
  <si>
    <t>2140 W. Industrial Rd</t>
  </si>
  <si>
    <t>800-666-6102</t>
  </si>
  <si>
    <t xml:space="preserve">Animal Feed Suppliments </t>
  </si>
  <si>
    <t xml:space="preserve">Bar Ale Inc. </t>
  </si>
  <si>
    <t>1011 5Th Inc.</t>
  </si>
  <si>
    <t>Williams</t>
  </si>
  <si>
    <t xml:space="preserve">Its National </t>
  </si>
  <si>
    <t>Rl Jones Chb Tecate</t>
  </si>
  <si>
    <t>Zm-21396</t>
  </si>
  <si>
    <t>476 Tecate Road</t>
  </si>
  <si>
    <t>Tecate</t>
  </si>
  <si>
    <t xml:space="preserve">619-479-5324 </t>
  </si>
  <si>
    <t>Zoo Med Labratories In</t>
  </si>
  <si>
    <t xml:space="preserve">3650 Sacramento Drive </t>
  </si>
  <si>
    <t>888-496-6633</t>
  </si>
  <si>
    <t>6Ca104017</t>
  </si>
  <si>
    <t>07:00-12:00</t>
  </si>
  <si>
    <t>Frank-Lin Distillers</t>
  </si>
  <si>
    <t>2455 Hungtinton Dr</t>
  </si>
  <si>
    <t>(800) 922-9363</t>
  </si>
  <si>
    <t>Flavoring Syrups</t>
  </si>
  <si>
    <t>R Torre &amp; Company</t>
  </si>
  <si>
    <t>06:00-16:30</t>
  </si>
  <si>
    <t>233 East Harris Ave.</t>
  </si>
  <si>
    <t>(650) 875-1200</t>
  </si>
  <si>
    <t xml:space="preserve">Port Transfer </t>
  </si>
  <si>
    <t>Pt/122016/0113</t>
  </si>
  <si>
    <t>2498 W 17Th St</t>
  </si>
  <si>
    <t>(510) 693-2993</t>
  </si>
  <si>
    <t>Animal Feed</t>
  </si>
  <si>
    <t>Rbt Transfer</t>
  </si>
  <si>
    <t>08:00-11:30</t>
  </si>
  <si>
    <t>6801 Ave 430</t>
  </si>
  <si>
    <t>Dinuba</t>
  </si>
  <si>
    <t>(559) 909-3172</t>
  </si>
  <si>
    <t>Oakland Packaging.</t>
  </si>
  <si>
    <t>09:45-11:00</t>
  </si>
  <si>
    <t>2051 E. Miner Ave.</t>
  </si>
  <si>
    <t>559-664-353</t>
  </si>
  <si>
    <t>Almonds</t>
  </si>
  <si>
    <t>Jd Group</t>
  </si>
  <si>
    <t>07:00-13:00</t>
  </si>
  <si>
    <t>1659 Gailes Blvd Suite 121</t>
  </si>
  <si>
    <t>619-661-5525</t>
  </si>
  <si>
    <t>Po:0082442857, Qn:1, Loc#:6080-0001</t>
  </si>
  <si>
    <t>2855 South Elm Ave St.105</t>
  </si>
  <si>
    <t>Taylor Farms Pacific, Inc Raley'S D</t>
  </si>
  <si>
    <t>Po:0082442857, Qn:2, Loc#:904620</t>
  </si>
  <si>
    <t>1820 N Macarthur Drive, Ste 700</t>
  </si>
  <si>
    <t>Klein'S Logistics</t>
  </si>
  <si>
    <t>9654 Siempre Viva Road. Suite 5</t>
  </si>
  <si>
    <t>619-271-7249,619-271-9471</t>
  </si>
  <si>
    <t>Snack Foods</t>
  </si>
  <si>
    <t>Pitco Foods (Sacramento,Ca) , (San Jose,Ca)</t>
  </si>
  <si>
    <t>620140, 620141, 620142</t>
  </si>
  <si>
    <t>07:00, 12:30 Appt.</t>
  </si>
  <si>
    <t>1670 Overland Ct. , 567 Cinnabar St</t>
  </si>
  <si>
    <t>West Sacramento, San Jose</t>
  </si>
  <si>
    <t>95691, 95101</t>
  </si>
  <si>
    <t>Ar6501939</t>
  </si>
  <si>
    <t>Somerset Logistics</t>
  </si>
  <si>
    <t>Mezzetta</t>
  </si>
  <si>
    <t>105 Mezztta Ct</t>
  </si>
  <si>
    <t>Sunteck Transport Co. Inc</t>
  </si>
  <si>
    <t>Asbury Graphite</t>
  </si>
  <si>
    <t>11175203Br</t>
  </si>
  <si>
    <t>2855 Franklin Canyon Road</t>
  </si>
  <si>
    <t>Rodeo</t>
  </si>
  <si>
    <t>Kennanmetal-Fallon Lovelock Hw</t>
  </si>
  <si>
    <t>10777 Lovelock Hwy</t>
  </si>
  <si>
    <t>Fallon</t>
  </si>
  <si>
    <t>Bnsf Logistics</t>
  </si>
  <si>
    <t>International Paper</t>
  </si>
  <si>
    <t>6791 Alexander St</t>
  </si>
  <si>
    <t>Rolled Paper</t>
  </si>
  <si>
    <t>Ice/ Gel Packs</t>
  </si>
  <si>
    <t>Tom</t>
  </si>
  <si>
    <t>8:30-13:00</t>
  </si>
  <si>
    <t>Morrey Distributing Co</t>
  </si>
  <si>
    <t>1850 East Lincoln Way</t>
  </si>
  <si>
    <t>Empty Beer Reg</t>
  </si>
  <si>
    <t>Gel / Ice Packs</t>
  </si>
  <si>
    <t>02/12/206</t>
  </si>
  <si>
    <t>11175399Br</t>
  </si>
  <si>
    <t>Gallo Proteins 2003 Llc</t>
  </si>
  <si>
    <t>12:30 Appt</t>
  </si>
  <si>
    <t>10561 West Hwy140</t>
  </si>
  <si>
    <t>Atwater</t>
  </si>
  <si>
    <t>209-394-7984</t>
  </si>
  <si>
    <t>Whey Protein Powder</t>
  </si>
  <si>
    <t>Creative Energy</t>
  </si>
  <si>
    <t>09:00-16:00 Appt</t>
  </si>
  <si>
    <t>9957 Medford Av Bldg #4</t>
  </si>
  <si>
    <t>510-567-1200</t>
  </si>
  <si>
    <t>12:00-14:30</t>
  </si>
  <si>
    <t>145 Linehan Rd</t>
  </si>
  <si>
    <t>(775) 246-0345</t>
  </si>
  <si>
    <t>Gypsum 50Lbs Bags</t>
  </si>
  <si>
    <t>John Deere</t>
  </si>
  <si>
    <t>1610 N Broadway Ave</t>
  </si>
  <si>
    <t>465-4082</t>
  </si>
  <si>
    <t xml:space="preserve">Bond Manufacturing Co. Location </t>
  </si>
  <si>
    <t>1700 West 4Th St</t>
  </si>
  <si>
    <t xml:space="preserve">Global Freight Management Inc. </t>
  </si>
  <si>
    <t>920 Riverside Pkwy, Suite 10</t>
  </si>
  <si>
    <t>UBTD6SUKHPAL</t>
  </si>
  <si>
    <t>340 S. First St.</t>
  </si>
  <si>
    <t>Ice / Gel Packs</t>
  </si>
  <si>
    <t>Sean</t>
  </si>
  <si>
    <t>Ta Services Inc.</t>
  </si>
  <si>
    <t>Pcc Logistics</t>
  </si>
  <si>
    <t>2498 West 16Th St Bldg 803</t>
  </si>
  <si>
    <t>Fiberboard</t>
  </si>
  <si>
    <t>James Hardie Building Pro</t>
  </si>
  <si>
    <t>3000 Waltham Way</t>
  </si>
  <si>
    <t>426743 - Trex Scrap Plastic</t>
  </si>
  <si>
    <t>13:00-18:00</t>
  </si>
  <si>
    <t>Trex-Fernley</t>
  </si>
  <si>
    <t>2375 East Newlands Drive</t>
  </si>
  <si>
    <t>Piece(S)</t>
  </si>
  <si>
    <t>2500 Huntington Drive</t>
  </si>
  <si>
    <t>2630-15</t>
  </si>
  <si>
    <t>8:00-12:00</t>
  </si>
  <si>
    <t>32752 Road # 160</t>
  </si>
  <si>
    <t>Ivanhoe</t>
  </si>
  <si>
    <t>559-280-6742</t>
  </si>
  <si>
    <t>Magellan Transport Logistics</t>
  </si>
  <si>
    <t>Nutiva</t>
  </si>
  <si>
    <t>213 W Cutting Blvd</t>
  </si>
  <si>
    <t>(510) 255-4802</t>
  </si>
  <si>
    <t>Misc Fak</t>
  </si>
  <si>
    <t>Maple Street Correctional Center</t>
  </si>
  <si>
    <t>1402 Maple St</t>
  </si>
  <si>
    <t>Redwood City</t>
  </si>
  <si>
    <t>(562) 320-9078</t>
  </si>
  <si>
    <t>Carson Valley Dc</t>
  </si>
  <si>
    <t>(775) 359-1203</t>
  </si>
  <si>
    <t xml:space="preserve">Coffee Products </t>
  </si>
  <si>
    <t>16800 Se Evelyn Street</t>
  </si>
  <si>
    <t>Clackamas</t>
  </si>
  <si>
    <t>(866) 713-8698</t>
  </si>
  <si>
    <t>Globaltranz</t>
  </si>
  <si>
    <t>Certis Usa - Wasco</t>
  </si>
  <si>
    <t>So002530/16Po# Bwi262513</t>
  </si>
  <si>
    <t>11:00-15:00</t>
  </si>
  <si>
    <t>720 5Th Street</t>
  </si>
  <si>
    <t>Wasco</t>
  </si>
  <si>
    <t>Non-Haz Pesticides</t>
  </si>
  <si>
    <t>Crop Production Services</t>
  </si>
  <si>
    <t>1143 Terven Avenue</t>
  </si>
  <si>
    <t>Napa Recycling</t>
  </si>
  <si>
    <t>889 Devlin Rd.</t>
  </si>
  <si>
    <t>Recycled Electronics</t>
  </si>
  <si>
    <t>Electronic Recyclers</t>
  </si>
  <si>
    <t>3243 S. East Ave. #108</t>
  </si>
  <si>
    <t>M0290261</t>
  </si>
  <si>
    <t>Gardner Global Logistics, Inc.</t>
  </si>
  <si>
    <t>Westrock Cp Llc Salinas</t>
  </si>
  <si>
    <t>FR015002</t>
  </si>
  <si>
    <t xml:space="preserve">1078 Merrill Street </t>
  </si>
  <si>
    <t>Patagonia</t>
  </si>
  <si>
    <t>8550 White Fir St</t>
  </si>
  <si>
    <t>CA</t>
  </si>
  <si>
    <t>US</t>
  </si>
  <si>
    <t>Lyons Magnus</t>
  </si>
  <si>
    <t>3158 E Hamilton Ave</t>
  </si>
  <si>
    <t>Starbucks Coffee</t>
  </si>
  <si>
    <t>Wesley 300 Arturo700</t>
  </si>
  <si>
    <t>Turner</t>
  </si>
  <si>
    <t>5190 Chicago St</t>
  </si>
  <si>
    <t>Lumber</t>
  </si>
  <si>
    <t>Blue Chip Recycle Center</t>
  </si>
  <si>
    <t>3210 South East Ave</t>
  </si>
  <si>
    <t>Kraft Foods Fresno</t>
  </si>
  <si>
    <t>1055 East North Ave.</t>
  </si>
  <si>
    <t xml:space="preserve">Food Product </t>
  </si>
  <si>
    <t>Pallet(s)</t>
  </si>
  <si>
    <t>Costco SD - Mira Loma</t>
  </si>
  <si>
    <t>009600209856;009600209857</t>
  </si>
  <si>
    <t>11600 Riverside Dr.</t>
  </si>
  <si>
    <t>HIGHLAND WHOLESALE PLASTIC EX</t>
  </si>
  <si>
    <t>BL#:349606</t>
  </si>
  <si>
    <t>07:00-2:30</t>
  </si>
  <si>
    <t>1604 tillie lewis drive bnsf clic 263</t>
  </si>
  <si>
    <t>AERVOE INDUSTRIES INCORPORATED</t>
  </si>
  <si>
    <t>BL#:2016-00-22879</t>
  </si>
  <si>
    <t>07:30-02:00</t>
  </si>
  <si>
    <t>1191 Mark Circle</t>
  </si>
  <si>
    <t>Gardnerville</t>
  </si>
  <si>
    <t>NV</t>
  </si>
  <si>
    <t>UBTD5ARTUO</t>
  </si>
  <si>
    <t>Chep/Propak</t>
  </si>
  <si>
    <t>2777 USA Parkway Suite 105</t>
  </si>
  <si>
    <t>SALINAS</t>
  </si>
  <si>
    <t>93901-4535</t>
  </si>
  <si>
    <t>ART WILSON CO. MINE SITE</t>
  </si>
  <si>
    <t>RELEASE # 2639-5</t>
  </si>
  <si>
    <t>07:00-3:30</t>
  </si>
  <si>
    <t>145 LINEHAN ROAD</t>
  </si>
  <si>
    <t>MOUND HOUSE</t>
  </si>
  <si>
    <t>BULK GYPSUM</t>
  </si>
  <si>
    <t>SUPERIOR SOIL SUPPLEMENTS</t>
  </si>
  <si>
    <t>32752 ROAD # 160</t>
  </si>
  <si>
    <t>IVANHOE</t>
  </si>
  <si>
    <t>TQL</t>
  </si>
  <si>
    <t>TELEBRANDS,MEI(CORONA,CA),COMFORTABLE PET INC</t>
  </si>
  <si>
    <t>3609297:3610632:3610468</t>
  </si>
  <si>
    <t>09:00,11:30,08:30-17:00</t>
  </si>
  <si>
    <t>3198 DULLES DRIVE,1275 Quarry St,9805 6 TH STREET UNIT:201</t>
  </si>
  <si>
    <t>JURUPA VALLEY,CORONA,RANCHO CUCAMONGA</t>
  </si>
  <si>
    <t>CA,CA,CA</t>
  </si>
  <si>
    <t>91752:92879:91730</t>
  </si>
  <si>
    <t>Hazmat Non-Hazardous</t>
  </si>
  <si>
    <t>CVS (PATTERSON,CA)</t>
  </si>
  <si>
    <t>08:00 Approval#3701508</t>
  </si>
  <si>
    <t>2400 Keyston pacific Parkway</t>
  </si>
  <si>
    <t>PATTERSON</t>
  </si>
  <si>
    <t>RENEW PACKAGING SOLUTIONS</t>
  </si>
  <si>
    <t>11385 SUNRISE PARK DR. STE 100</t>
  </si>
  <si>
    <t>RANCHO CORDOV</t>
  </si>
  <si>
    <t>PACKAGING MATERIAL</t>
  </si>
  <si>
    <t>WEBSTAURANT STORE</t>
  </si>
  <si>
    <t>111 EAST AIRPARK VISTA</t>
  </si>
  <si>
    <t>DAYTON</t>
  </si>
  <si>
    <t>2639-8</t>
  </si>
  <si>
    <t>DLM - DELMONTE LATHROP DIST. CENTER</t>
  </si>
  <si>
    <t>PO001790210525</t>
  </si>
  <si>
    <t>2 NESTLE WAY</t>
  </si>
  <si>
    <t>COSTCO</t>
  </si>
  <si>
    <t>DO:0080237714:QN:99</t>
  </si>
  <si>
    <t>25862 S SCHULTE COURT</t>
  </si>
  <si>
    <t>LYONS MAGNUS</t>
  </si>
  <si>
    <t>3158 E HAMILTON AVE</t>
  </si>
  <si>
    <t>FRESNO</t>
  </si>
  <si>
    <t>FOOD PRODUCTS</t>
  </si>
  <si>
    <t>STARBUCKS COFFEE</t>
  </si>
  <si>
    <t>2525 STARBUCKS WAY</t>
  </si>
  <si>
    <t>MINDEN</t>
  </si>
  <si>
    <t>TRUCKLOAD</t>
  </si>
  <si>
    <t>SuperWham</t>
  </si>
  <si>
    <t>Colusa County Farm Supply</t>
  </si>
  <si>
    <t>5873 Freshwater Road</t>
  </si>
  <si>
    <t>WILLIAMS</t>
  </si>
  <si>
    <t>American Freightways</t>
  </si>
  <si>
    <t>ADM Rice Eastimpex Family Foods</t>
  </si>
  <si>
    <t>136-61318 : 136-61319/ 97983</t>
  </si>
  <si>
    <t>11:30:00 AM ; 13:30</t>
  </si>
  <si>
    <t>1603 Old Highway 99 West 1: 6550 Struck Meyer RD</t>
  </si>
  <si>
    <t>Arbuckle : Arbuckle</t>
  </si>
  <si>
    <t xml:space="preserve">CA </t>
  </si>
  <si>
    <t>95912 : 95912</t>
  </si>
  <si>
    <t>530-476-2662 : 530-476-326</t>
  </si>
  <si>
    <t>Jetro#36</t>
  </si>
  <si>
    <t>1275 Vine Street</t>
  </si>
  <si>
    <t>916-492-2305</t>
  </si>
  <si>
    <t>No quick pay untill 2 loads completed with this broker.</t>
  </si>
  <si>
    <t>Perfection Pet Foods: Fry's Electronics : Actagro llc</t>
  </si>
  <si>
    <t>412250 : RTV 6456111</t>
  </si>
  <si>
    <t>09:00 Appt ; 07:-14:00 ; 09:00-15:30</t>
  </si>
  <si>
    <t>30366 N Cp Dr : 10555 Iona Ave : 4516 N Howard Ave</t>
  </si>
  <si>
    <t>VISALIA : HANFORD : BIOLA</t>
  </si>
  <si>
    <t>93291:93230:93606</t>
  </si>
  <si>
    <t>pet food:HP Refurbished PC's:Fertilizer</t>
  </si>
  <si>
    <t>20,877:973:18,000</t>
  </si>
  <si>
    <t>Pallet(s) : Box(s)</t>
  </si>
  <si>
    <t>Sacramento Consolidation c/o MAK Freight Inc</t>
  </si>
  <si>
    <t>1905 N MacArthur Dr Ste 190</t>
  </si>
  <si>
    <t>1016849775, 1016849287, 1016849190</t>
  </si>
  <si>
    <t>209-984-1150</t>
  </si>
  <si>
    <t>Tsc#1350, Tsc#1642,Tsc#1822 Minden Nv</t>
  </si>
  <si>
    <t>1016849190; 1016849287; 1016849775</t>
  </si>
  <si>
    <t>14879 Mono Way; 1360 Broadway; 1645 Hwy 88</t>
  </si>
  <si>
    <t>Sonora; Placerville; Minden</t>
  </si>
  <si>
    <t>CA; CA; NV</t>
  </si>
  <si>
    <t>95370; 95667-5902; 89423-4600</t>
  </si>
  <si>
    <t>Living Spaces</t>
  </si>
  <si>
    <t>08:00-09:30</t>
  </si>
  <si>
    <t>49088 Fremont Blvd</t>
  </si>
  <si>
    <t>(510) 342-2803</t>
  </si>
  <si>
    <t>Used Mattresses</t>
  </si>
  <si>
    <t>Covanta Energy</t>
  </si>
  <si>
    <t>4040 Fink Rd</t>
  </si>
  <si>
    <t>Crows Landing</t>
  </si>
  <si>
    <t>(209) 200-1642</t>
  </si>
  <si>
    <t>DU424312910</t>
  </si>
  <si>
    <t>13:00 appt.</t>
  </si>
  <si>
    <t>FAIRFIELD</t>
  </si>
  <si>
    <t>ASBURY GRAPHITE</t>
  </si>
  <si>
    <t>2855 FRANKLIN CANYON ROAD</t>
  </si>
  <si>
    <t>RODEO</t>
  </si>
  <si>
    <t>KENNANMETAL-FALLON LOVELOCK HW</t>
  </si>
  <si>
    <t>10777 LOVELOCK HWY</t>
  </si>
  <si>
    <t>FALLON</t>
  </si>
  <si>
    <t>UBTD7ASIM</t>
  </si>
  <si>
    <t>Filtration Group</t>
  </si>
  <si>
    <t xml:space="preserve">09:00 Appt </t>
  </si>
  <si>
    <t>498 Aviation Blvd.</t>
  </si>
  <si>
    <t>Santa Rosa</t>
  </si>
  <si>
    <t>Filters</t>
  </si>
  <si>
    <t>Fastenal</t>
  </si>
  <si>
    <t>4025 Finch Road</t>
  </si>
  <si>
    <t>MODESTO</t>
  </si>
  <si>
    <t>IRRITEC USA, INC.</t>
  </si>
  <si>
    <t>Willits,CA</t>
  </si>
  <si>
    <t>1420 NORTH IRRITECWAY</t>
  </si>
  <si>
    <t>IRRIGATION TUBING</t>
  </si>
  <si>
    <t>DRIPWORKS, INC.</t>
  </si>
  <si>
    <t>Irritec usa</t>
  </si>
  <si>
    <t>09:00-12:00</t>
  </si>
  <si>
    <t>190 SANHEDRIN CIRCLE</t>
  </si>
  <si>
    <t>WILLITS</t>
  </si>
  <si>
    <t>10367 Houston Ave </t>
  </si>
  <si>
    <t>541-423-5450</t>
  </si>
  <si>
    <t>NICKEL &amp; NICKEL VINEYARDS</t>
  </si>
  <si>
    <t>GIBSON</t>
  </si>
  <si>
    <t>06:00-14:00</t>
  </si>
  <si>
    <t>8164 ST. HELENA HWY</t>
  </si>
  <si>
    <t>OAKVILLE</t>
  </si>
  <si>
    <t>EMPTY BARRELS</t>
  </si>
  <si>
    <t>GIBSON WINE</t>
  </si>
  <si>
    <t>1720 ACADEMY AVE</t>
  </si>
  <si>
    <t>SANGER</t>
  </si>
  <si>
    <t>Latitude 1(Stockton,Ca)</t>
  </si>
  <si>
    <t>861 Performance Drive</t>
  </si>
  <si>
    <t>STOCKTON</t>
  </si>
  <si>
    <t>SNO TEMP (FISH PEOPLE)</t>
  </si>
  <si>
    <t>09:00 Appt</t>
  </si>
  <si>
    <t>310 S. Seneca Rd.</t>
  </si>
  <si>
    <t>Eugene</t>
  </si>
  <si>
    <t>OR</t>
  </si>
  <si>
    <t>Pepsi Fresno CA Plant</t>
  </si>
  <si>
    <t>1150 EAST NORTH AVE</t>
  </si>
  <si>
    <t>Bottled Beverages</t>
  </si>
  <si>
    <t>Pepsi Reno Organization</t>
  </si>
  <si>
    <t>355 EDISON WAY</t>
  </si>
  <si>
    <t>WESTERN CASCADE INDUSTRIE</t>
  </si>
  <si>
    <t>ST197401</t>
  </si>
  <si>
    <t>300 S. BAY RD</t>
  </si>
  <si>
    <t>Toledo</t>
  </si>
  <si>
    <t>LUMBER</t>
  </si>
  <si>
    <t>GOLDEN STATE LUMBER</t>
  </si>
  <si>
    <t>3033 S AIRPORT WAY</t>
  </si>
  <si>
    <t>95206-3861</t>
  </si>
  <si>
    <t>OZBURN HESSEY (SPARKS,NV)</t>
  </si>
  <si>
    <t>12:00 APPT</t>
  </si>
  <si>
    <t>350 Lillard Drive</t>
  </si>
  <si>
    <t>Kitty Litter</t>
  </si>
  <si>
    <t>PET FOOD EXPRESS (OAKLAND, CA)</t>
  </si>
  <si>
    <t>500 85th Ave</t>
  </si>
  <si>
    <t>LDS12025362</t>
  </si>
  <si>
    <t xml:space="preserve">Traffic Tech Inc </t>
  </si>
  <si>
    <t>1604 tillie lewis drive</t>
  </si>
  <si>
    <t>209-933-0580</t>
  </si>
  <si>
    <t>Plastic Resin</t>
  </si>
  <si>
    <t>2016-00-22879</t>
  </si>
  <si>
    <t>7:30-03:00</t>
  </si>
  <si>
    <t>775-782-0100</t>
  </si>
  <si>
    <t>09:00-11:00</t>
  </si>
  <si>
    <t>US6P-New Star Logistics-Fresno</t>
  </si>
  <si>
    <t>2035 E Annadale Ave</t>
  </si>
  <si>
    <t>93706-5457</t>
  </si>
  <si>
    <t>XPOLogistics</t>
  </si>
  <si>
    <t>Art Wilson Mine</t>
  </si>
  <si>
    <t>145 Linehan Rd.</t>
  </si>
  <si>
    <t>Carson City</t>
  </si>
  <si>
    <t>LOOSE GYPSUM MINERAL</t>
  </si>
  <si>
    <t>Case(s)</t>
  </si>
  <si>
    <t>Superior Soil</t>
  </si>
  <si>
    <t>32752 Road 160</t>
  </si>
  <si>
    <t>Mallard Creek Inc</t>
  </si>
  <si>
    <t>4095 DULUTH AVENUE</t>
  </si>
  <si>
    <t>ROCKLIN</t>
  </si>
  <si>
    <t>Wood shavings</t>
  </si>
  <si>
    <t xml:space="preserve">Premier Ag Products </t>
  </si>
  <si>
    <t>2198 Riverside Ave.</t>
  </si>
  <si>
    <t>DIAMOND PET FOOD PROCESSORS</t>
  </si>
  <si>
    <t>15:00 appt</t>
  </si>
  <si>
    <t>942 South Stockton Avenue</t>
  </si>
  <si>
    <t>Dry food for dogs</t>
  </si>
  <si>
    <t>ANIMAL SUPPLY (CLACKAMAS, OR)</t>
  </si>
  <si>
    <t>12442 SE Capps Road</t>
  </si>
  <si>
    <t>503-496-4962</t>
  </si>
  <si>
    <t>Nolan Tranportation Group Inc.</t>
  </si>
  <si>
    <t>Unkown</t>
  </si>
  <si>
    <t>15:00 APPT</t>
  </si>
  <si>
    <t>451 S. CEDAR POINT ROAD</t>
  </si>
  <si>
    <t>COQUILLE</t>
  </si>
  <si>
    <t>678-942-9664 EXT. 1292</t>
  </si>
  <si>
    <t>Bundles</t>
  </si>
  <si>
    <t>UNKNOWN</t>
  </si>
  <si>
    <t>2055 SOUTH 7TH AVE</t>
  </si>
  <si>
    <t>SAN JOSE</t>
  </si>
  <si>
    <t xml:space="preserve">Crst Logistics </t>
  </si>
  <si>
    <t>OIL DRI</t>
  </si>
  <si>
    <t>07:00AM-05:30PM</t>
  </si>
  <si>
    <t>950 North Petroleum Club Rd</t>
  </si>
  <si>
    <t>Taft</t>
  </si>
  <si>
    <t>PETSMART DC #41</t>
  </si>
  <si>
    <t>1200 VENICE DRIVE</t>
  </si>
  <si>
    <t>MCCARRAN</t>
  </si>
  <si>
    <t>STARBUCKS COFFEE COMPA</t>
  </si>
  <si>
    <t>(775) 267-6133</t>
  </si>
  <si>
    <t>CDC SACRAMENTO</t>
  </si>
  <si>
    <t>4040 VISTA PARK CT #30</t>
  </si>
  <si>
    <t>SACRAMENTO</t>
  </si>
  <si>
    <t>UTI</t>
  </si>
  <si>
    <t>550 BOXINGTON WAY</t>
  </si>
  <si>
    <t>SPARKS</t>
  </si>
  <si>
    <t>AMCAN</t>
  </si>
  <si>
    <t>1201 COMMERCE BLVD</t>
  </si>
  <si>
    <t>BOTTLED BEVERAGES</t>
  </si>
  <si>
    <t>WILSONVILLE OR PRODUCTION</t>
  </si>
  <si>
    <t>9750 SW BARBER ST</t>
  </si>
  <si>
    <t>Wilsonville</t>
  </si>
  <si>
    <t>Bulk(s)</t>
  </si>
  <si>
    <t>Superior Soil Ivanhoe</t>
  </si>
  <si>
    <t>93235-1626</t>
  </si>
  <si>
    <t>7UP MODESTO</t>
  </si>
  <si>
    <t>400 HOSMER RD</t>
  </si>
  <si>
    <t>Energy Drink</t>
  </si>
  <si>
    <t>7 Up Bottling</t>
  </si>
  <si>
    <t>1000 TERMINAL WAY</t>
  </si>
  <si>
    <t>RENO</t>
  </si>
  <si>
    <t>Nationwide Logistics</t>
  </si>
  <si>
    <t>U-Haul Moving &amp; Storage</t>
  </si>
  <si>
    <t>08:00-15:30</t>
  </si>
  <si>
    <t>150 Oroyan Ave</t>
  </si>
  <si>
    <t xml:space="preserve">Eugene </t>
  </si>
  <si>
    <t xml:space="preserve">OR </t>
  </si>
  <si>
    <t xml:space="preserve">U-Haul Moving &amp; Storage </t>
  </si>
  <si>
    <t>5555 Sunol Blvd</t>
  </si>
  <si>
    <t>Pleasanton</t>
  </si>
  <si>
    <t>SCOTTS MIRACLE GRO SOLU</t>
  </si>
  <si>
    <t>11269 CARROLL RD</t>
  </si>
  <si>
    <t>ELK GROVE</t>
  </si>
  <si>
    <t>(916) 691-5160</t>
  </si>
  <si>
    <t>QUAD GRAPHICS INC / WINNEMUCCA NV SOLU</t>
  </si>
  <si>
    <t>2200 Newlands Drive E. / 3010 POTATO RD</t>
  </si>
  <si>
    <t>FERNLEY / WINNEMUCCA</t>
  </si>
  <si>
    <t>89408 / 89445</t>
  </si>
  <si>
    <t xml:space="preserve">JL Freight </t>
  </si>
  <si>
    <t>TOMA.TEK, INC</t>
  </si>
  <si>
    <t>2502 N. STREET</t>
  </si>
  <si>
    <t>LAUGURU INC</t>
  </si>
  <si>
    <t>FO2074807</t>
  </si>
  <si>
    <t>1680 Hill Top Drive</t>
  </si>
  <si>
    <t>Chula Vista</t>
  </si>
  <si>
    <t>QUAD GRAPHICS INC, FERNLEY,NV / WINNEMUCCA NV SOLU</t>
  </si>
  <si>
    <t xml:space="preserve">89408 / 89445 </t>
  </si>
  <si>
    <t>KYOCERA DOCUMENT SOLUTIONS</t>
  </si>
  <si>
    <t>Hercules</t>
  </si>
  <si>
    <t>10:00-15:00</t>
  </si>
  <si>
    <t>14101 Alton Parkway</t>
  </si>
  <si>
    <t>Hercules Forwarding (Newark,CA)</t>
  </si>
  <si>
    <t>7095 central avenue</t>
  </si>
  <si>
    <t>NEWARK</t>
  </si>
  <si>
    <t>07:00-14:30</t>
  </si>
  <si>
    <t>Superior Soil - Ivanhoe</t>
  </si>
  <si>
    <t>Gulf Winds</t>
  </si>
  <si>
    <t>PCC LOGISTICS</t>
  </si>
  <si>
    <t>9:00AM</t>
  </si>
  <si>
    <t>2099 7th St</t>
  </si>
  <si>
    <t>(510)763­8991</t>
  </si>
  <si>
    <t>Paper Rolls</t>
  </si>
  <si>
    <t>FORT DEARBORN CO</t>
  </si>
  <si>
    <t>7:00Am AM</t>
  </si>
  <si>
    <t>295 Lillard Drive</t>
  </si>
  <si>
    <t>(775)359­7316</t>
  </si>
  <si>
    <t>Starbucks</t>
  </si>
  <si>
    <t>WM-7033R-REGULAR</t>
  </si>
  <si>
    <t>21345 JOHNSON ROAD</t>
  </si>
  <si>
    <t>APPLE VALLEY</t>
  </si>
  <si>
    <t>(760) 961-6300</t>
  </si>
  <si>
    <t>POLYAIR PACKAGING</t>
  </si>
  <si>
    <t>033016BUBBLE</t>
  </si>
  <si>
    <t>1692 JENKS DR</t>
  </si>
  <si>
    <t>CORONA</t>
  </si>
  <si>
    <t>(951) 737-7125</t>
  </si>
  <si>
    <t>1802 ENTERPRISE BLVD</t>
  </si>
  <si>
    <t>WEST SACRAMENTO</t>
  </si>
  <si>
    <t>(916) 439-4721</t>
  </si>
  <si>
    <t>WINNEMUCCA NV SOLU</t>
  </si>
  <si>
    <t>3010 POTATO RD</t>
  </si>
  <si>
    <t>WINNEMUCCA</t>
  </si>
  <si>
    <t>11179369BR</t>
  </si>
  <si>
    <t>Vergil Arbonies</t>
  </si>
  <si>
    <t>530 Melarkey St</t>
  </si>
  <si>
    <t>Winnemucca</t>
  </si>
  <si>
    <t>ACX Pacific</t>
  </si>
  <si>
    <t>719 Gillis Avenue</t>
  </si>
  <si>
    <t>Transfix</t>
  </si>
  <si>
    <t>Garlock Warehouse</t>
  </si>
  <si>
    <t>1450 E Greg St #107</t>
  </si>
  <si>
    <t>Paper Products</t>
  </si>
  <si>
    <t>Destiny Salinas Warehouse</t>
  </si>
  <si>
    <t>VMI/15350</t>
  </si>
  <si>
    <t>1311 Schilling Pl</t>
  </si>
  <si>
    <t>JBS Logistics</t>
  </si>
  <si>
    <t>IMPACT TRANSLOAD AND RAIL</t>
  </si>
  <si>
    <t>2498 W. 19TH STREET</t>
  </si>
  <si>
    <t>OAKLAND</t>
  </si>
  <si>
    <t>(510) 763 - 8911</t>
  </si>
  <si>
    <t>WELLS-GARDNER TECHNOLOGIES C/O ALLSTATES WAREHOUSING&amp; DIST.</t>
  </si>
  <si>
    <t>1285-B SOUTHERN WAY</t>
  </si>
  <si>
    <t>(775) 432 - 0299</t>
  </si>
  <si>
    <t>2901-16</t>
  </si>
  <si>
    <t>VAN</t>
  </si>
  <si>
    <t>(209) 384-3100</t>
  </si>
  <si>
    <t>BINs</t>
  </si>
  <si>
    <t>Bin(s)</t>
  </si>
  <si>
    <t>(707) 744-1250</t>
  </si>
  <si>
    <t>2489 West 16th St Bldg803</t>
  </si>
  <si>
    <t>PLYWOOD</t>
  </si>
  <si>
    <t>SOLAR CITY C/O GRAINGER (PATTERSON,CA)</t>
  </si>
  <si>
    <t>2710 Keystone Pacific Parkway</t>
  </si>
  <si>
    <t>559-246-1307</t>
  </si>
  <si>
    <t>Miscellaneous hardware</t>
  </si>
  <si>
    <t>CA CORR HIGH DESERT STATE PRISON</t>
  </si>
  <si>
    <t>SUSANVILLE</t>
  </si>
  <si>
    <t>Lazzari Fuel Company</t>
  </si>
  <si>
    <t>0 18684</t>
  </si>
  <si>
    <t>11 Industrial Way</t>
  </si>
  <si>
    <t>(415) 467-2970</t>
  </si>
  <si>
    <t>Mesquite Charcoal</t>
  </si>
  <si>
    <t>SAFEWAY</t>
  </si>
  <si>
    <t>16900 W. Schulte Rd.</t>
  </si>
  <si>
    <t>TRACY</t>
  </si>
  <si>
    <t>(209) 833-4910</t>
  </si>
  <si>
    <t>ART WILSON MINE</t>
  </si>
  <si>
    <t>145 Line</t>
  </si>
  <si>
    <t>SUPERIOR SOIL</t>
  </si>
  <si>
    <t>FOWLER PLASTICS</t>
  </si>
  <si>
    <t>3194 E MANNING AVE STE</t>
  </si>
  <si>
    <t>FOWLER</t>
  </si>
  <si>
    <t>JACKPOT HARVESTING</t>
  </si>
  <si>
    <t>16:30-4:30</t>
  </si>
  <si>
    <t>701 ALTA ST</t>
  </si>
  <si>
    <t>GONZALEZ</t>
  </si>
  <si>
    <t>KTL</t>
  </si>
  <si>
    <t>SAN JOSE DISTRIBUTION</t>
  </si>
  <si>
    <t>OH604928</t>
  </si>
  <si>
    <t>2055 S. 7TH STREET STE. A</t>
  </si>
  <si>
    <t>408-292-9100</t>
  </si>
  <si>
    <t>WASHOESCHOOL DISTRICT</t>
  </si>
  <si>
    <t>425 E 9TH STREET</t>
  </si>
  <si>
    <t>775-348-0295</t>
  </si>
  <si>
    <t>Nor-Cal Beverages, Inc.</t>
  </si>
  <si>
    <t>3600 Massie Court</t>
  </si>
  <si>
    <t>WATER</t>
  </si>
  <si>
    <t>DM - Fresno</t>
  </si>
  <si>
    <t>3825 South Willow Ave</t>
  </si>
  <si>
    <t>WescoGraphics</t>
  </si>
  <si>
    <t>410 E Grantline Rd #B</t>
  </si>
  <si>
    <t>209-832-1000</t>
  </si>
  <si>
    <t>C/O Wesco Graphics</t>
  </si>
  <si>
    <t>1300 Evans Ave</t>
  </si>
  <si>
    <t>San Francisco</t>
  </si>
  <si>
    <t>(415) 550-5716</t>
  </si>
  <si>
    <t>09:00 - 09:00</t>
  </si>
  <si>
    <t>2901-15</t>
  </si>
  <si>
    <t>NIAGARA BOTTLING</t>
  </si>
  <si>
    <t>811 Zephyr St</t>
  </si>
  <si>
    <t>bottle water</t>
  </si>
  <si>
    <t>FLAT</t>
  </si>
  <si>
    <t>GRATON CASINO (ROHNERT PARK,CA)</t>
  </si>
  <si>
    <t>630 Park Court</t>
  </si>
  <si>
    <t>Rohnert Park</t>
  </si>
  <si>
    <t>925.580.2966</t>
  </si>
  <si>
    <t>17:00 - 17:00</t>
  </si>
  <si>
    <t>Fast Brokerage Inc.</t>
  </si>
  <si>
    <t>QUAD/GRAPHICS, INC.</t>
  </si>
  <si>
    <t>2200 NEWLANDS DRIVE E</t>
  </si>
  <si>
    <t>FERNLEY</t>
  </si>
  <si>
    <t>PAPER</t>
  </si>
  <si>
    <t>SAN MATEO COUNTY TIMES / SAN FRANCISCO CRONICLE / HOLLISTER FREE LANCE</t>
  </si>
  <si>
    <t>08:00 / 09:30 / 11:00</t>
  </si>
  <si>
    <t>3345 ARDEMD / 47540 KATO RD / 587 CHARCOT AVE</t>
  </si>
  <si>
    <t>HAYWARD / FREMONT / SAN JOSE</t>
  </si>
  <si>
    <t>94545 / 94538 / 95131</t>
  </si>
  <si>
    <t>UTI/DSV</t>
  </si>
  <si>
    <t>2368 LINCOLN AVE</t>
  </si>
  <si>
    <t>HAYWARD</t>
  </si>
  <si>
    <t>(510) 300 - 9433</t>
  </si>
  <si>
    <t>SNAP ON TOOLS-CARSON CITY</t>
  </si>
  <si>
    <t>1800 FAIRVIEW DRIVE</t>
  </si>
  <si>
    <t>CARSON CITY</t>
  </si>
  <si>
    <t>(775) 883 - 7455</t>
  </si>
  <si>
    <t>Cal Freight</t>
  </si>
  <si>
    <t>3643 Finch Rd</t>
  </si>
  <si>
    <t>Food Grade Dairy Product</t>
  </si>
  <si>
    <t>Dairy Farmers of America</t>
  </si>
  <si>
    <t>1400 New River Pkwy</t>
  </si>
  <si>
    <t>BLOMMER CHOCOLATE COMP</t>
  </si>
  <si>
    <t>U1003494</t>
  </si>
  <si>
    <t>33377 TRANSIT AVE.</t>
  </si>
  <si>
    <t>UNION CITY</t>
  </si>
  <si>
    <t>KIMMIE CANDY COMPANY</t>
  </si>
  <si>
    <t>525 REACTOR WAY</t>
  </si>
  <si>
    <t>14:00-14:00</t>
  </si>
  <si>
    <t>07:00-07:00</t>
  </si>
  <si>
    <t xml:space="preserve">Ryder Integrated Logistics, Inc </t>
  </si>
  <si>
    <t>13599 Park Vista Blvd</t>
  </si>
  <si>
    <t>Fort Worth</t>
  </si>
  <si>
    <t>TX</t>
  </si>
  <si>
    <t>RR DONNELLY</t>
  </si>
  <si>
    <t>AC264815</t>
  </si>
  <si>
    <t>9801 GOSHEN AVE</t>
  </si>
  <si>
    <t>VISALIA</t>
  </si>
  <si>
    <t>FAK</t>
  </si>
  <si>
    <t>XEROX</t>
  </si>
  <si>
    <t>1030 RIVERSIDE PKWY STE 145</t>
  </si>
  <si>
    <t>STARWEST</t>
  </si>
  <si>
    <t>1020599054, 87</t>
  </si>
  <si>
    <t>11200 PYRITES WAY</t>
  </si>
  <si>
    <t>GOLD RIVER</t>
  </si>
  <si>
    <t>(916) 638-8100</t>
  </si>
  <si>
    <t>CARSON VALLEY DC</t>
  </si>
  <si>
    <t>A1 Transport &amp; Freight Inc</t>
  </si>
  <si>
    <t>NETAFIM USA</t>
  </si>
  <si>
    <t>5470 E. HOME AVE.</t>
  </si>
  <si>
    <t xml:space="preserve"> 559-579-1483</t>
  </si>
  <si>
    <t>DRY IRRIGATION</t>
  </si>
  <si>
    <t>BHATTI</t>
  </si>
  <si>
    <t>20135 INSPIRATION LANE</t>
  </si>
  <si>
    <t>530-682-7776</t>
  </si>
  <si>
    <t>Zoo Med Labs</t>
  </si>
  <si>
    <t>3323775, 3323774</t>
  </si>
  <si>
    <t>14:00-16:00</t>
  </si>
  <si>
    <t>3650 SACRAMENTO DRIVE</t>
  </si>
  <si>
    <t>Petco Store Supplies</t>
  </si>
  <si>
    <t>PETCO</t>
  </si>
  <si>
    <t>9050 Red Rock</t>
  </si>
  <si>
    <t>ADM Logistics, Inc.</t>
  </si>
  <si>
    <t>ANDERSEN &amp; SONS SHELLING</t>
  </si>
  <si>
    <t>4530 ROWELS RD</t>
  </si>
  <si>
    <t>VINA</t>
  </si>
  <si>
    <t>(530) 839-2236</t>
  </si>
  <si>
    <t>walnuts</t>
  </si>
  <si>
    <t>SPECIALTY FOOD INGR-LODI</t>
  </si>
  <si>
    <t>1230 S FAIRMONT AVE</t>
  </si>
  <si>
    <t>LODI</t>
  </si>
  <si>
    <t>209-334-2081</t>
  </si>
  <si>
    <t>R2 Logistics</t>
  </si>
  <si>
    <t>PRO CAL</t>
  </si>
  <si>
    <t>08:00-03:00</t>
  </si>
  <si>
    <t>550 SPICE ISLAND DR</t>
  </si>
  <si>
    <t>SPARKS (WASHOE)</t>
  </si>
  <si>
    <t>CROP PRODUCTION - WATSONVILLE / GROWERS TRANSPLANTING INC / CROP PRODUCTION - FRESNO</t>
  </si>
  <si>
    <t>08:00-10:00 / 10:01-12:00/ 12:01-03:00</t>
  </si>
  <si>
    <t>5 LAKEVIEW RD/ 360 ESPINOSA RD/ 3173 S CHESTNUT</t>
  </si>
  <si>
    <t>Watsonville/ Salinas/ Fresno</t>
  </si>
  <si>
    <t>89431/93912/ 93725</t>
  </si>
  <si>
    <t>ABSOPURE/HYDRATION SOURCE LLC</t>
  </si>
  <si>
    <t>3600 LECKRON RD</t>
  </si>
  <si>
    <t>DS WATERS (MILPITAS,CA)</t>
  </si>
  <si>
    <t>1062198-00377</t>
  </si>
  <si>
    <t>09:00-13:00</t>
  </si>
  <si>
    <t>485 VISTA WAY</t>
  </si>
  <si>
    <t>408-457-6438</t>
  </si>
  <si>
    <t>Echo Global Logistics Inc.</t>
  </si>
  <si>
    <t>MORTON</t>
  </si>
  <si>
    <t>510 797-2281</t>
  </si>
  <si>
    <t>50Lb TFC HG Blending Paper-F111310000G</t>
  </si>
  <si>
    <t>HV MANUFACTURING</t>
  </si>
  <si>
    <t>06:00-13:00</t>
  </si>
  <si>
    <t>12150 Moya Blvd</t>
  </si>
  <si>
    <t>(775) 677-5509</t>
  </si>
  <si>
    <t>08:00 - 08:00</t>
  </si>
  <si>
    <t>Thriftbooks</t>
  </si>
  <si>
    <t>880 N Hills Blvd - Suite 503</t>
  </si>
  <si>
    <t>books or gaylords</t>
  </si>
  <si>
    <t>Prime1 Books</t>
  </si>
  <si>
    <t>2050 Williams St</t>
  </si>
  <si>
    <t>Ranpak</t>
  </si>
  <si>
    <t>416005 and 195465</t>
  </si>
  <si>
    <t>4681 Aircenter Cr</t>
  </si>
  <si>
    <t>Paper products / Machinery</t>
  </si>
  <si>
    <t>Mid Valley Packaging</t>
  </si>
  <si>
    <t>803663 &amp; 803600</t>
  </si>
  <si>
    <t>2004 S Temperance Ave</t>
  </si>
  <si>
    <t>333-8215-8707</t>
  </si>
  <si>
    <t>(559) 674-0804</t>
  </si>
  <si>
    <t>Reel(s)</t>
  </si>
  <si>
    <t>ANIXTER</t>
  </si>
  <si>
    <t>(775) 333-6345</t>
  </si>
  <si>
    <t>VALLEY TRANSPORTATION</t>
  </si>
  <si>
    <t>X</t>
  </si>
  <si>
    <t>2837 South East Ave</t>
  </si>
  <si>
    <t>Skid(s)</t>
  </si>
  <si>
    <t>IFCO ANTIOCH</t>
  </si>
  <si>
    <t>2276 Wilbur Ln</t>
  </si>
  <si>
    <t>ANTIOCH</t>
  </si>
  <si>
    <t>94509-8510</t>
  </si>
  <si>
    <t>Norwesco</t>
  </si>
  <si>
    <t>72126141; 82987147</t>
  </si>
  <si>
    <t>13241 11TH Ave</t>
  </si>
  <si>
    <t>Building Materials</t>
  </si>
  <si>
    <t>Cube</t>
  </si>
  <si>
    <t>HD6682</t>
  </si>
  <si>
    <t>1200 CHURN CREEK RD</t>
  </si>
  <si>
    <t>SAN LORENZO</t>
  </si>
  <si>
    <t>corrugated boxes</t>
  </si>
  <si>
    <t>Sierra Army Depot</t>
  </si>
  <si>
    <t>833897/TCN:W62G2W5346005CXXX</t>
  </si>
  <si>
    <t>06:30-15:00</t>
  </si>
  <si>
    <t>74 C St - Bldg 304 Attn: Cynthi Hurl</t>
  </si>
  <si>
    <t>Herlong</t>
  </si>
  <si>
    <t>Carson City,</t>
  </si>
  <si>
    <t>California Olive Ranch</t>
  </si>
  <si>
    <t>TO14340</t>
  </si>
  <si>
    <t>olive oil</t>
  </si>
  <si>
    <t>PCP WAREHOUSE</t>
  </si>
  <si>
    <t>32 E Vine St.</t>
  </si>
  <si>
    <t>LYONS MAGNUS/PACTIV</t>
  </si>
  <si>
    <t>199546079/SB1271784</t>
  </si>
  <si>
    <t>10:30:00 AM / 15:00</t>
  </si>
  <si>
    <t>3158 E HAMILTON AVE /1110 PERFORMANCE DRIVE</t>
  </si>
  <si>
    <t>FRESNO / STOCKTON</t>
  </si>
  <si>
    <t>93702 / 95201</t>
  </si>
  <si>
    <t>3158 East Hamilton Ave.</t>
  </si>
  <si>
    <t>Foodstuff</t>
  </si>
  <si>
    <t>GOLD COUNTRY DISTRIBUTING</t>
  </si>
  <si>
    <t>810 Whispering Pines Lane</t>
  </si>
  <si>
    <t>FLORESTONE PRODUCTS (MADERA,CA)</t>
  </si>
  <si>
    <t>2851 falcon drive</t>
  </si>
  <si>
    <t>WESTERN NEVADA (SPARKS,NV) / FERGUSON #3210 (RENO,NV)</t>
  </si>
  <si>
    <t>06:00-11:00 / 07:00-11:00</t>
  </si>
  <si>
    <t>950 South Rock Blvd / 1095 South Rock Blvd</t>
  </si>
  <si>
    <t>Sparks / Reno</t>
  </si>
  <si>
    <t>89431 / 89502</t>
  </si>
  <si>
    <t>909-517-3360</t>
  </si>
  <si>
    <t>Fetch Logistics, Inc.</t>
  </si>
  <si>
    <t>Anlin Window Clovis, CA</t>
  </si>
  <si>
    <t>07:00-04:00</t>
  </si>
  <si>
    <t>1665 Tollhouse Rd</t>
  </si>
  <si>
    <t xml:space="preserve">Clovis </t>
  </si>
  <si>
    <t>877-896-1632</t>
  </si>
  <si>
    <t>Plastic</t>
  </si>
  <si>
    <t xml:space="preserve">JPI Reno, NV Facility </t>
  </si>
  <si>
    <t>495 E Parr Blvd</t>
  </si>
  <si>
    <t>330-853-4350</t>
  </si>
  <si>
    <t>CTS</t>
  </si>
  <si>
    <t>TOMRA Sorting Solutions</t>
  </si>
  <si>
    <t>08:00-04:00</t>
  </si>
  <si>
    <t>875 Embarcadero Dr.,</t>
  </si>
  <si>
    <t>916-388-3975</t>
  </si>
  <si>
    <t>Machinery</t>
  </si>
  <si>
    <t>Crates</t>
  </si>
  <si>
    <t>Del Monte Foods</t>
  </si>
  <si>
    <t>10652 Jackson Ave.</t>
  </si>
  <si>
    <t xml:space="preserve">UW423676 </t>
  </si>
  <si>
    <t>Veritiv</t>
  </si>
  <si>
    <t>The Good Bean</t>
  </si>
  <si>
    <t>ULS429835</t>
  </si>
  <si>
    <t>20237 Masa Street</t>
  </si>
  <si>
    <t>UNFI - Rocklin</t>
  </si>
  <si>
    <t>KTI Logistics, LLC</t>
  </si>
  <si>
    <t>08:00-02:00</t>
  </si>
  <si>
    <t xml:space="preserve">General Freight </t>
  </si>
  <si>
    <t xml:space="preserve">BASF / SHAMROCK MATERITALS / SHAMROCK MATERIALS </t>
  </si>
  <si>
    <t>08:00 Appt. / 05:30 -03:00</t>
  </si>
  <si>
    <t>3501 Front St. / 548 Dubois St. / 1534 Cooper Hill Pkwy</t>
  </si>
  <si>
    <t>West Sacramento / San Rafael / Santa Rosa</t>
  </si>
  <si>
    <t>95691 / 94901 / 95403</t>
  </si>
  <si>
    <t>10:00-11:00</t>
  </si>
  <si>
    <t>TOMRA Sorting, Inc.</t>
  </si>
  <si>
    <t>875 Embarcadero Dr.</t>
  </si>
  <si>
    <t>925-362-8666</t>
  </si>
  <si>
    <t>PACKAGING MATERIALS</t>
  </si>
  <si>
    <t>SALLY BEAUTY</t>
  </si>
  <si>
    <t>9975 MOYA BLVD</t>
  </si>
  <si>
    <t>Circle 8 Logistics</t>
  </si>
  <si>
    <t>Stratas Foods LLC c/o ADM</t>
  </si>
  <si>
    <t>3390 S. Chestnut Ave.</t>
  </si>
  <si>
    <t>800-350-2585</t>
  </si>
  <si>
    <t>Shortening</t>
  </si>
  <si>
    <t>Skids</t>
  </si>
  <si>
    <t>Bakemark - Reno</t>
  </si>
  <si>
    <t>5455 Louie Ln</t>
  </si>
  <si>
    <t>775-850-8500</t>
  </si>
  <si>
    <t xml:space="preserve">SL201276316 </t>
  </si>
  <si>
    <t>Schenider</t>
  </si>
  <si>
    <t>Pasha Freight / BAY AREA PORT SERVICES</t>
  </si>
  <si>
    <t>350 CARLSON BLVD #C / 1501 DOOLITTLE DRIVE SUITE J</t>
  </si>
  <si>
    <t>RICHMOND / SAN LEANDRO</t>
  </si>
  <si>
    <t>94804 / 94577</t>
  </si>
  <si>
    <t>HOUSE HOLD ITEMS</t>
  </si>
  <si>
    <r>
      <t xml:space="preserve">SIERRA MOVING SYSTEMS </t>
    </r>
    <r>
      <rPr>
        <b/>
        <sz val="11"/>
        <color theme="1"/>
        <rFont val="Calibri"/>
        <family val="2"/>
        <scheme val="minor"/>
      </rPr>
      <t>/ COLONIAL VAN &amp; STORAGE</t>
    </r>
  </si>
  <si>
    <t>1080 STANDARD STREET / 150 SOUTH STANFORD WAY</t>
  </si>
  <si>
    <t>RENO / SPARKS</t>
  </si>
  <si>
    <t>89506 / 89431</t>
  </si>
  <si>
    <t>8000-598-9651</t>
  </si>
  <si>
    <t>7:00-15:00</t>
  </si>
  <si>
    <t>Freightquote</t>
  </si>
  <si>
    <t>Mar Vista Resources</t>
  </si>
  <si>
    <t>745 North Avenue</t>
  </si>
  <si>
    <t>Corcoran </t>
  </si>
  <si>
    <t>559-992-4535</t>
  </si>
  <si>
    <t>Non-Haz Fertilizer</t>
  </si>
  <si>
    <t>Buttonwillow Warehouse Company</t>
  </si>
  <si>
    <t>08:00-05:00</t>
  </si>
  <si>
    <t>21895 Rosehart Way</t>
  </si>
  <si>
    <t>831-758-6095</t>
  </si>
  <si>
    <t>SL201283169</t>
  </si>
  <si>
    <t>SENSIENT NATURAL INGREDIENTS</t>
  </si>
  <si>
    <t>11:00-20:00</t>
  </si>
  <si>
    <t>151 SOUTH WALNUT</t>
  </si>
  <si>
    <t>TURLOCK</t>
  </si>
  <si>
    <t>209-656-5211</t>
  </si>
  <si>
    <t>LEACH LOGISTICS</t>
  </si>
  <si>
    <t>810 E GLENDALE AVE</t>
  </si>
  <si>
    <t>CG Roxane Olancha</t>
  </si>
  <si>
    <t>07:00-19:00</t>
  </si>
  <si>
    <t>1210 US 395</t>
  </si>
  <si>
    <t>OLANCHA</t>
  </si>
  <si>
    <t>Scolaris Warehouse</t>
  </si>
  <si>
    <t>10:00-10:00</t>
  </si>
  <si>
    <t>255 S McCarran Blvd</t>
  </si>
  <si>
    <t>775 331 7700</t>
  </si>
  <si>
    <t>17500 SHIDELER PARKWAY</t>
  </si>
  <si>
    <t>LATHROP</t>
  </si>
  <si>
    <t>(770) 509-9611 EXT 1372</t>
  </si>
  <si>
    <t>PLASTIC</t>
  </si>
  <si>
    <t>825 DEN BESTE</t>
  </si>
  <si>
    <t>WINDSOR</t>
  </si>
  <si>
    <t>ALLCAN WEST INC</t>
  </si>
  <si>
    <t>15:30-18:30</t>
  </si>
  <si>
    <t>3535 ARROWHEAD DRIVE UNIT A</t>
  </si>
  <si>
    <t>EMPTY TINS</t>
  </si>
  <si>
    <t>RIOS INDUSTRIES / AMERICAN INTERNATIONAL</t>
  </si>
  <si>
    <t>08:00-09:00 / 09:00-11:30</t>
  </si>
  <si>
    <t>12234 LOS NIETOS ROAD / 2366 TRAVERSE</t>
  </si>
  <si>
    <t>SANTA FE SPRING / COMMERCE</t>
  </si>
  <si>
    <t>90670 / 90040</t>
  </si>
  <si>
    <t>Need</t>
  </si>
  <si>
    <t>0800-1500</t>
  </si>
  <si>
    <t>S. SAN FRANCISCO</t>
  </si>
  <si>
    <t>MARINE FASTENERS INC</t>
  </si>
  <si>
    <t>150 CIRCUIT COURT</t>
  </si>
  <si>
    <t>StopOFF</t>
  </si>
  <si>
    <t>Snyder Industries --CA</t>
  </si>
  <si>
    <t>13:00:00 PM</t>
  </si>
  <si>
    <t>800 Commerce Dr.</t>
  </si>
  <si>
    <t>Chowchilla</t>
  </si>
  <si>
    <t>72202910; 82988475</t>
  </si>
  <si>
    <t>Prime Wheel</t>
  </si>
  <si>
    <t>17:30 APPT</t>
  </si>
  <si>
    <t>COMPTON</t>
  </si>
  <si>
    <t>90220-5521</t>
  </si>
  <si>
    <t>3105169126 ext.5082</t>
  </si>
  <si>
    <t>Tesla Motors c/o Toyota Tshusho</t>
  </si>
  <si>
    <t>06:00-22:00</t>
  </si>
  <si>
    <t>41490 Boyce Rd</t>
  </si>
  <si>
    <t>FREMONT</t>
  </si>
  <si>
    <t>94538-3113</t>
  </si>
  <si>
    <t>(510) 299-5216</t>
  </si>
  <si>
    <t>TO14411</t>
  </si>
  <si>
    <t>18:00-18:00</t>
  </si>
  <si>
    <t>08:00-08:00</t>
  </si>
  <si>
    <t>EXPEDITORS</t>
  </si>
  <si>
    <t>1075 MONTAGUE EXPY</t>
  </si>
  <si>
    <t>(415) 657-3700</t>
  </si>
  <si>
    <t>Solar Panels</t>
  </si>
  <si>
    <t>City of Corning Waste Water Treatment Plant</t>
  </si>
  <si>
    <t>25010 Gardiner Ferry Road</t>
  </si>
  <si>
    <t>Corning</t>
  </si>
  <si>
    <t>(802) 598-3910</t>
  </si>
  <si>
    <t>Covenant Express</t>
  </si>
  <si>
    <t>S-W Sierra/Nev</t>
  </si>
  <si>
    <t>320524FSSA</t>
  </si>
  <si>
    <t>12090 Sage Point Ct</t>
  </si>
  <si>
    <t>775-971-5109</t>
  </si>
  <si>
    <t>Non-Haz Paint</t>
  </si>
  <si>
    <t>FSS A Galleher Co.</t>
  </si>
  <si>
    <t>N/A</t>
  </si>
  <si>
    <t>1741 JUNCTION AVE</t>
  </si>
  <si>
    <t>408-280-0222</t>
  </si>
  <si>
    <t>TO14478</t>
  </si>
  <si>
    <t>(530) 592-3788</t>
  </si>
  <si>
    <t>(209) 367-7211</t>
  </si>
  <si>
    <t>Quaker</t>
  </si>
  <si>
    <t>1565 North MacArthur Dr.</t>
  </si>
  <si>
    <t>MISC</t>
  </si>
  <si>
    <t>001790512781/001790512780</t>
  </si>
  <si>
    <t>25862 S SCHULTE CT</t>
  </si>
  <si>
    <t>CAL FREIGHT MODESTO</t>
  </si>
  <si>
    <t>770 GARNER RD</t>
  </si>
  <si>
    <t>95357-0515</t>
  </si>
  <si>
    <t>CONSUMER GOODS</t>
  </si>
  <si>
    <t>DAIRY FARMERS</t>
  </si>
  <si>
    <t>16:00-16:00</t>
  </si>
  <si>
    <t>1400 NEW RIVER PKWY</t>
  </si>
  <si>
    <t>GOODWILL</t>
  </si>
  <si>
    <t>1080 N 7TH ST</t>
  </si>
  <si>
    <t xml:space="preserve">books </t>
  </si>
  <si>
    <t>THRIFT BOOKS</t>
  </si>
  <si>
    <t>880 N HILLS BLVD STE 503</t>
  </si>
  <si>
    <t>Salvation Army-Reno</t>
  </si>
  <si>
    <t>2300 Valley Road</t>
  </si>
  <si>
    <t>(775) 229-9561</t>
  </si>
  <si>
    <t>OCC</t>
  </si>
  <si>
    <t>Wesrock</t>
  </si>
  <si>
    <t>06:30-16:00</t>
  </si>
  <si>
    <t>4800 Florin Perkins Road</t>
  </si>
  <si>
    <t>(916) 826-6537</t>
  </si>
  <si>
    <t>WRDS - TRACY</t>
  </si>
  <si>
    <t>MEDU8881771</t>
  </si>
  <si>
    <t>1380 N MACARTHUR DR STE 3</t>
  </si>
  <si>
    <t>MATAGRANO INC</t>
  </si>
  <si>
    <t>440 FORBES BLVD</t>
  </si>
  <si>
    <t>SOUTH SAN FRANCISC</t>
  </si>
  <si>
    <t>Trinity Logistics</t>
  </si>
  <si>
    <t>THE DAVID J. JOSEPH CO.</t>
  </si>
  <si>
    <t>SP-51105/Door 001</t>
  </si>
  <si>
    <t>1325 HYMER AVENUE</t>
  </si>
  <si>
    <t>(999) 999-9999</t>
  </si>
  <si>
    <t>SCRAP METAL</t>
  </si>
  <si>
    <t>Bale</t>
  </si>
  <si>
    <t>AARON METALS</t>
  </si>
  <si>
    <t>WMR-51105-00</t>
  </si>
  <si>
    <t>750 150TH AVENUE</t>
  </si>
  <si>
    <t>PACKAGING INNOVATORS CORP</t>
  </si>
  <si>
    <t>DAN-D-PAK (FRESNO,CA) / BROWNIE BAKER INC (FRESNO,CA)</t>
  </si>
  <si>
    <t>2628 S Cherry Ave / 4870 West Jacquelyn</t>
  </si>
  <si>
    <t xml:space="preserve">Fresno </t>
  </si>
  <si>
    <t>Sasol Chemicals North America Llc</t>
  </si>
  <si>
    <t>102 Cutting Blvd</t>
  </si>
  <si>
    <t>94804-2126</t>
  </si>
  <si>
    <t>WAX</t>
  </si>
  <si>
    <t>Sierra Pine - Martell</t>
  </si>
  <si>
    <t>06-16-00998</t>
  </si>
  <si>
    <t>11300 Ridge Rd</t>
  </si>
  <si>
    <t>MARTELL</t>
  </si>
  <si>
    <t>RFI / Sunrun</t>
  </si>
  <si>
    <t>8760 YOUNGER CREEK / 1227 Striker Ave #200</t>
  </si>
  <si>
    <t>95828 / 95834</t>
  </si>
  <si>
    <t>SOLAR PANELS</t>
  </si>
  <si>
    <t>Sunrun Installation</t>
  </si>
  <si>
    <t>6761 Sierra Ct Ste C</t>
  </si>
  <si>
    <t>Dublin</t>
  </si>
  <si>
    <t>1017182109, 1017176425,1017182932</t>
  </si>
  <si>
    <t>13241 11th Avenue</t>
  </si>
  <si>
    <t>TSC#797 / TSC#1584 / TSC#1642</t>
  </si>
  <si>
    <t>1390 E Main St. / 3950 Grass Vly Hwy / 1360 Broadway</t>
  </si>
  <si>
    <t>Woodland / AUBURN / Placerville</t>
  </si>
  <si>
    <t>95776 / 95602 / 95667</t>
  </si>
  <si>
    <t>Smart &amp; Final (SD USE)</t>
  </si>
  <si>
    <t>Loading Labor</t>
  </si>
  <si>
    <t>Dart Container (Lodi,CA)</t>
  </si>
  <si>
    <t>PO0043906</t>
  </si>
  <si>
    <t>1400 E. Victor Rd</t>
  </si>
  <si>
    <t>209-333-8088 x5206 or x5210</t>
  </si>
  <si>
    <t>Non-Hazardous</t>
  </si>
  <si>
    <t>CFS OAKLAND WAREHOUSE (OAKLAND,CA)</t>
  </si>
  <si>
    <t>Appt 09:00</t>
  </si>
  <si>
    <t>745 85th Ave. Ste I-K</t>
  </si>
  <si>
    <t>MASTER PLASTICS</t>
  </si>
  <si>
    <t>11:00AM - 12:00PM</t>
  </si>
  <si>
    <t>820 Eubanks Drive</t>
  </si>
  <si>
    <t>Vacaville</t>
  </si>
  <si>
    <t>707-451-3168</t>
  </si>
  <si>
    <t>ALPHAGEM BIO</t>
  </si>
  <si>
    <t xml:space="preserve">12:01 PM - 04:00 PM </t>
  </si>
  <si>
    <t>38505 Cherry Street Unit J</t>
  </si>
  <si>
    <t xml:space="preserve"> NIAGARA STOCKON / WAREHOUSE ,STOCKTON,CA,USA</t>
  </si>
  <si>
    <t>22601674 / 22601680</t>
  </si>
  <si>
    <t>1025 RUNWAY DRIVE / 2323 WEST HAMMER LANE</t>
  </si>
  <si>
    <t>95206 / 95209</t>
  </si>
  <si>
    <t>209-373-4900</t>
  </si>
  <si>
    <t>BEVERAGE PRODUCTS</t>
  </si>
  <si>
    <t>WAREHOUSE ,RENO,NV,USA</t>
  </si>
  <si>
    <t>09:00-09:00</t>
  </si>
  <si>
    <t>4047 SOUTH VIRGINIA STREET STORE #7</t>
  </si>
  <si>
    <t>775-825-2151</t>
  </si>
  <si>
    <t>TNU</t>
  </si>
  <si>
    <t>Plastic Express - Stockton</t>
  </si>
  <si>
    <t>07:30-15:30</t>
  </si>
  <si>
    <t>1604 Tillie Lewis Dr</t>
  </si>
  <si>
    <t>95206-1170</t>
  </si>
  <si>
    <t>AXIALL 7181 NAT / 8266 NAT 04 / GP-9113 CLR 13</t>
  </si>
  <si>
    <t>Carton(s)</t>
  </si>
  <si>
    <t>Howard Vipperman</t>
  </si>
  <si>
    <t>PE18610</t>
  </si>
  <si>
    <t>2393 Heybourne Rd</t>
  </si>
  <si>
    <t>Cargo Chief</t>
  </si>
  <si>
    <t>R&amp;A Trucking</t>
  </si>
  <si>
    <t>08:00 AM - 02:00 PM</t>
  </si>
  <si>
    <t>1050 77th Avenue</t>
  </si>
  <si>
    <t>(510) 632-7112</t>
  </si>
  <si>
    <t>Steel pallets sheets blanks</t>
  </si>
  <si>
    <t>12:00 AM - 06:00 PM</t>
  </si>
  <si>
    <t>McCarren</t>
  </si>
  <si>
    <t>(415) 509-7943</t>
  </si>
  <si>
    <t>Starbucks Coffee Company CVDC</t>
  </si>
  <si>
    <t>FOOD STUFFS</t>
  </si>
  <si>
    <t>QCD Vegas</t>
  </si>
  <si>
    <t>1051 Mary Crest Rd Ste DE</t>
  </si>
  <si>
    <t>Henderson</t>
  </si>
  <si>
    <t>Matt5592374752</t>
  </si>
  <si>
    <t>Ray Brothers Transportation Inc.</t>
  </si>
  <si>
    <t>OLAM SPICES</t>
  </si>
  <si>
    <t>EXIT 65 I 80 EAST</t>
  </si>
  <si>
    <t>775 423-0575</t>
  </si>
  <si>
    <t>SPICES</t>
  </si>
  <si>
    <t>110 DON BATES WAY</t>
  </si>
  <si>
    <t>KING CITY</t>
  </si>
  <si>
    <t>TWO HAWK RANCH</t>
  </si>
  <si>
    <t>HCR 37 Box 1181</t>
  </si>
  <si>
    <t>Sandy Valley</t>
  </si>
  <si>
    <t>(702) 860-4938</t>
  </si>
  <si>
    <t>LA GRAIN / ACX</t>
  </si>
  <si>
    <t> 7039098</t>
  </si>
  <si>
    <t>LONG BEACH</t>
  </si>
  <si>
    <t>SL201309331</t>
  </si>
  <si>
    <t>Salvation Army ARC San Jose</t>
  </si>
  <si>
    <t>12:00-12:30</t>
  </si>
  <si>
    <t>702 W. Taylor St.</t>
  </si>
  <si>
    <t>Books Scanned</t>
  </si>
  <si>
    <t>Thrift Books Global LLC-Reno</t>
  </si>
  <si>
    <t>880 N. Hills Boulevard, Suite 503</t>
  </si>
  <si>
    <t>1245 East Watson Center Road</t>
  </si>
  <si>
    <t>CARSON</t>
  </si>
  <si>
    <t>Dry Urea</t>
  </si>
  <si>
    <t>Old World Industries</t>
  </si>
  <si>
    <t>812A Luce St</t>
  </si>
  <si>
    <t>95203-4937</t>
  </si>
  <si>
    <t>MORREY DISTRIBUTING CO</t>
  </si>
  <si>
    <t>1850 EAST LINCOLN WAY</t>
  </si>
  <si>
    <t>(775) 352-6000</t>
  </si>
  <si>
    <t>CAL CARGO</t>
  </si>
  <si>
    <t>2252 WEST WINTON AVENUE</t>
  </si>
  <si>
    <t>14:00 - 14:00</t>
  </si>
  <si>
    <t>POD Late Fine</t>
  </si>
  <si>
    <t>USKR-RLC REPAIR OP - RENO</t>
  </si>
  <si>
    <t>2777 USA Pkwy</t>
  </si>
  <si>
    <t>BLUE CHEP PALLETS</t>
  </si>
  <si>
    <t>American Licorice</t>
  </si>
  <si>
    <t>2477 LISTON WAY</t>
  </si>
  <si>
    <t>U.S.Cotton</t>
  </si>
  <si>
    <t>lixit</t>
  </si>
  <si>
    <t>4969 Energy Way</t>
  </si>
  <si>
    <t>89502-0000</t>
  </si>
  <si>
    <t>Cotton Bales</t>
  </si>
  <si>
    <t>Lixit Company</t>
  </si>
  <si>
    <t>100 Coombs St</t>
  </si>
  <si>
    <t>PACIFIC PAPER TUBE IN</t>
  </si>
  <si>
    <t>15:00-17:00</t>
  </si>
  <si>
    <t>1025 98TH AVENUE</t>
  </si>
  <si>
    <t>TUBES</t>
  </si>
  <si>
    <t>POLYGLASS</t>
  </si>
  <si>
    <t>150 LYON DRIVE</t>
  </si>
  <si>
    <t>BJ052716-4B</t>
  </si>
  <si>
    <t>905 S 34th St</t>
  </si>
  <si>
    <t>RICHMOND</t>
  </si>
  <si>
    <t>94804-4120</t>
  </si>
  <si>
    <t>Bay Polymer Corporation</t>
  </si>
  <si>
    <t>44530 S GRIMMER BLVD</t>
  </si>
  <si>
    <t>PB81925</t>
  </si>
  <si>
    <t>Carrier Nationwide Transportation System</t>
  </si>
  <si>
    <t xml:space="preserve">Plastic Food Grade Packing </t>
  </si>
  <si>
    <t xml:space="preserve">Taylor Farms </t>
  </si>
  <si>
    <t>745 Airport Blvd</t>
  </si>
  <si>
    <t xml:space="preserve">Salinas </t>
  </si>
  <si>
    <t>08:00-01:30</t>
  </si>
  <si>
    <t>USAT Logistics</t>
  </si>
  <si>
    <t>COCA-COLA BOTTLING CO</t>
  </si>
  <si>
    <t>12:00-19:00</t>
  </si>
  <si>
    <t>14655 WICKS BLVD</t>
  </si>
  <si>
    <t>SAN LEANDRO</t>
  </si>
  <si>
    <t>BEVERAGES</t>
  </si>
  <si>
    <t>COSTCO 1091</t>
  </si>
  <si>
    <t>2680 REYNOLDS RANCH PKWY</t>
  </si>
  <si>
    <t>22658157/F4LW061316520</t>
  </si>
  <si>
    <t>4727 Fite Court</t>
  </si>
  <si>
    <t>F4LW061316520</t>
  </si>
  <si>
    <t>10:00-16:00</t>
  </si>
  <si>
    <t>1850 W Lacey Blvd</t>
  </si>
  <si>
    <t>93230-7302</t>
  </si>
  <si>
    <t>(559) 585-2080</t>
  </si>
  <si>
    <t>Stewart and Jasper</t>
  </si>
  <si>
    <t>15.255p-c</t>
  </si>
  <si>
    <t>3500 Shiells Rd, FCFS 0800-1500</t>
  </si>
  <si>
    <t>NEWMAN</t>
  </si>
  <si>
    <t>916-473-7013</t>
  </si>
  <si>
    <t>Nuts</t>
  </si>
  <si>
    <t>Sierra Food Group</t>
  </si>
  <si>
    <t>4603 N Brawley Ave</t>
  </si>
  <si>
    <t>559-277-5960</t>
  </si>
  <si>
    <t>Mercer Foods</t>
  </si>
  <si>
    <t>1836 Lapham Dr</t>
  </si>
  <si>
    <t>Food Items</t>
  </si>
  <si>
    <t>Ralston</t>
  </si>
  <si>
    <t>1055 E. Gregg Street</t>
  </si>
  <si>
    <t>LADDAWN</t>
  </si>
  <si>
    <t>650 LILLARD DR</t>
  </si>
  <si>
    <t>DIAMOND FOODS</t>
  </si>
  <si>
    <t>1050 SOUTH DIAMOND STREET</t>
  </si>
  <si>
    <t>ONLINE BINDERY</t>
  </si>
  <si>
    <t>3950 Bissell Ave.</t>
  </si>
  <si>
    <t>PAPER PROGRAMS</t>
  </si>
  <si>
    <t>RENO RODEO ASSOCIATION</t>
  </si>
  <si>
    <t>1350 N. Wells Ave</t>
  </si>
  <si>
    <t>BEVERAGE</t>
  </si>
  <si>
    <t>COCA COLA</t>
  </si>
  <si>
    <t>1580 BELTLINE RD</t>
  </si>
  <si>
    <t>REDDING</t>
  </si>
  <si>
    <t>AMPINE LLC</t>
  </si>
  <si>
    <t>11610 AMPINE-FIBREFORM</t>
  </si>
  <si>
    <t>SUTTER CREEK</t>
  </si>
  <si>
    <t>(209) 223-1690</t>
  </si>
  <si>
    <t>PARTICLE BOARD</t>
  </si>
  <si>
    <t>318 CORRWOOD- MARTELL</t>
  </si>
  <si>
    <t>7182 RASMUSSEN RD</t>
  </si>
  <si>
    <t>GOSHEN</t>
  </si>
  <si>
    <t>(559) 651-0335</t>
  </si>
  <si>
    <t>ELITE SPICE</t>
  </si>
  <si>
    <t>490 SOUTH ROCK BLVD</t>
  </si>
  <si>
    <t>89502-4111</t>
  </si>
  <si>
    <t>775-856-3744</t>
  </si>
  <si>
    <t>RETAIL GOODS</t>
  </si>
  <si>
    <t>COLUMBUS FOODS</t>
  </si>
  <si>
    <t>3190 CORPORATE PLACE</t>
  </si>
  <si>
    <t>AMERICAN WICK DRAIN</t>
  </si>
  <si>
    <t>2025 KANSAS ST STE B</t>
  </si>
  <si>
    <t>PACIFIC SUPPLY</t>
  </si>
  <si>
    <t>1735 24TH ST</t>
  </si>
  <si>
    <t>RE TRANSPORTATION</t>
  </si>
  <si>
    <t>JACK RABBIT INC</t>
  </si>
  <si>
    <t>1318 N DAKOTA AVE</t>
  </si>
  <si>
    <t>209-253-5929</t>
  </si>
  <si>
    <t>DYNAMIC ISOLATION SYSTEMS</t>
  </si>
  <si>
    <t>SH290-SH295 - 18377</t>
  </si>
  <si>
    <t>885 DENMARK DR STE 101</t>
  </si>
  <si>
    <t>775-359-3333</t>
  </si>
  <si>
    <t>Fresno CA Plant</t>
  </si>
  <si>
    <t>Reno Organization</t>
  </si>
  <si>
    <t>Bell-Carter Foods</t>
  </si>
  <si>
    <t>10111, 10112</t>
  </si>
  <si>
    <t>1012 2nd Street</t>
  </si>
  <si>
    <t>Olives in Cases</t>
  </si>
  <si>
    <t>SUPER STORE INDUSTRIES</t>
  </si>
  <si>
    <t>2400 Louise Ave</t>
  </si>
  <si>
    <t>CALIFORNIA BOTTLING</t>
  </si>
  <si>
    <t>8250 INDUSTRIAL AVE</t>
  </si>
  <si>
    <t>ROSEVILLE</t>
  </si>
  <si>
    <t>(916) 772-1000</t>
  </si>
  <si>
    <t>1555 OLD BAYSHORE HWY</t>
  </si>
  <si>
    <t>(408) 436-3700</t>
  </si>
  <si>
    <t>QUAD GRAPHICS</t>
  </si>
  <si>
    <t>Q1531038</t>
  </si>
  <si>
    <t>2201 COOPER AVE</t>
  </si>
  <si>
    <t>SACRAMENTO BEE MVP</t>
  </si>
  <si>
    <t>22ND &amp; R STREETS</t>
  </si>
  <si>
    <t>Y052798</t>
  </si>
  <si>
    <t>CAL FREIGHT</t>
  </si>
  <si>
    <t>NIAGARA STOCKTON</t>
  </si>
  <si>
    <t>1025 RUNWAY DRIVE</t>
  </si>
  <si>
    <t>C &amp; S WHOL,SPARKS,NV,USA</t>
  </si>
  <si>
    <t>255 SOUTH MC CARRAN BLVD</t>
  </si>
  <si>
    <t>775)785-7325</t>
  </si>
  <si>
    <t>FW QUIKPICK</t>
  </si>
  <si>
    <t>745 85TH AVENUE</t>
  </si>
  <si>
    <t>7Up Bottling</t>
  </si>
  <si>
    <t>GMGTRANSWEST</t>
  </si>
  <si>
    <t>Tec Equipment</t>
  </si>
  <si>
    <t>1955 EAST GREG STREET</t>
  </si>
  <si>
    <t>KOZY SHACK</t>
  </si>
  <si>
    <t>600 SOUTH TEGNER ROAD</t>
  </si>
  <si>
    <t>Turlock</t>
  </si>
  <si>
    <t>CAL CARGO D/B/A PACIFIC CARGO</t>
  </si>
  <si>
    <t>12:00 - 12:00</t>
  </si>
  <si>
    <t>2376 DAVIS AVE</t>
  </si>
  <si>
    <t>510.785.0951 X230</t>
  </si>
  <si>
    <t>PAPER ROLL</t>
  </si>
  <si>
    <t>R R DONNELLEY PRINTING CO</t>
  </si>
  <si>
    <t>14100 LEAR BLVD</t>
  </si>
  <si>
    <t>775-677-3722</t>
  </si>
  <si>
    <t>EP MINERALS FERNLEY</t>
  </si>
  <si>
    <t>C217518</t>
  </si>
  <si>
    <t>4 Front St</t>
  </si>
  <si>
    <t>TEXTILE GOODS</t>
  </si>
  <si>
    <t>American Textile &amp; Supply, Inc</t>
  </si>
  <si>
    <t>3439 Regatta Blvd</t>
  </si>
  <si>
    <t>Matt2</t>
  </si>
  <si>
    <t>Fort Dearborn Offsite Warehouse</t>
  </si>
  <si>
    <t>964 united circle</t>
  </si>
  <si>
    <t>Mislenous</t>
  </si>
  <si>
    <t>Conagra Grocery</t>
  </si>
  <si>
    <t>2213806 &amp; 2213830</t>
  </si>
  <si>
    <t>22:00 appt.</t>
  </si>
  <si>
    <t>MODEL DAIRY</t>
  </si>
  <si>
    <t>500 GOULD ST</t>
  </si>
  <si>
    <t>reno</t>
  </si>
  <si>
    <t>FREEZERS</t>
  </si>
  <si>
    <t>HAYWARD WAREHOUSE</t>
  </si>
  <si>
    <t>06/23/2016 - 06/24/2016</t>
  </si>
  <si>
    <t>10:00 - 16:00</t>
  </si>
  <si>
    <t>1520 CROCKER AVE</t>
  </si>
  <si>
    <t>Driver Assist Pickup</t>
  </si>
  <si>
    <t xml:space="preserve">600 SOUTH TEGNER ROAD </t>
  </si>
  <si>
    <t>209-656-6426</t>
  </si>
  <si>
    <t>PDF SEAL</t>
  </si>
  <si>
    <t>503 ACORN STREET</t>
  </si>
  <si>
    <t xml:space="preserve">DEER PARK </t>
  </si>
  <si>
    <t>NY</t>
  </si>
  <si>
    <t>631-595-7035</t>
  </si>
  <si>
    <t>American Poly Form</t>
  </si>
  <si>
    <t>AD1606210133</t>
  </si>
  <si>
    <t>1455 Crocker Ave</t>
  </si>
  <si>
    <t>Tesla Giga Factory</t>
  </si>
  <si>
    <t>06/22/2016-06/23/2016</t>
  </si>
  <si>
    <t>1 Electric Ave</t>
  </si>
  <si>
    <t>SL201348833</t>
  </si>
  <si>
    <t>S8196</t>
  </si>
  <si>
    <t>(510) 667-6324</t>
  </si>
  <si>
    <t>CCE_IBT</t>
  </si>
  <si>
    <t>(530) 241-4315</t>
  </si>
  <si>
    <t>VP Logistics</t>
  </si>
  <si>
    <t>SWING DOORS</t>
  </si>
  <si>
    <t>UNIFIED GROCERS</t>
  </si>
  <si>
    <t>1990 PICCOLI RD</t>
  </si>
  <si>
    <t>Yard To Shipper</t>
  </si>
  <si>
    <t>Sunny Delivered one Pallet in his truck. Money to sunny.</t>
  </si>
  <si>
    <t>SAFEWAY DS,SANTA CLAR, SARATOGA,CA,USA</t>
  </si>
  <si>
    <t>10:00-02:00 / 11:03-02:03</t>
  </si>
  <si>
    <t>2760 HOMESTEAD ROAD DISTRICT 5 / 12876 SARATOGA SUNNYVALE ROAD DISTR</t>
  </si>
  <si>
    <t>Santa Clara / Saratoga</t>
  </si>
  <si>
    <t>95051 / 95070</t>
  </si>
  <si>
    <t>Matt</t>
  </si>
  <si>
    <t>Tom Smiley</t>
  </si>
  <si>
    <t>2498 W. 19TH STREET BUILDING 805-807 OAKLAND ARMY BASE</t>
  </si>
  <si>
    <t>IGT PARTS - RENO NEW PRODUCTION</t>
  </si>
  <si>
    <t>07:00-03:30</t>
  </si>
  <si>
    <t>9295 PROTOTYPE DRIVE</t>
  </si>
  <si>
    <t>(775) 448 - 1915</t>
  </si>
  <si>
    <t>Graphic Packaging</t>
  </si>
  <si>
    <t>C&amp;H Sugar- Crockett Refinery</t>
  </si>
  <si>
    <t>4500629671; 4500628335</t>
  </si>
  <si>
    <t>1809 Dowrelio Dr</t>
  </si>
  <si>
    <t>CROCKETT</t>
  </si>
  <si>
    <t xml:space="preserve">Alliance Shippers Inc. </t>
  </si>
  <si>
    <t>1 LUNDBERG FARMS</t>
  </si>
  <si>
    <t>5370 CHURCH STREET</t>
  </si>
  <si>
    <t>RICHVALE</t>
  </si>
  <si>
    <t>UNFI GILROY</t>
  </si>
  <si>
    <t>6351 CAMERON BOULEVARD</t>
  </si>
  <si>
    <t>GILROY</t>
  </si>
  <si>
    <r>
      <t xml:space="preserve">GOODWILL-SILICON VALLEY </t>
    </r>
    <r>
      <rPr>
        <b/>
        <sz val="11"/>
        <color theme="1"/>
        <rFont val="Calibri"/>
        <family val="2"/>
        <scheme val="minor"/>
      </rPr>
      <t>SCANNED (SAN JOSE,CA)</t>
    </r>
  </si>
  <si>
    <t>RNO-52601</t>
  </si>
  <si>
    <t>07:30-14:30</t>
  </si>
  <si>
    <t>1080 N 7th St</t>
  </si>
  <si>
    <t xml:space="preserve">SAN JOSE </t>
  </si>
  <si>
    <t>Reading resource books</t>
  </si>
  <si>
    <t>SIERRA NEVADA BOOKS (RENO,NV)</t>
  </si>
  <si>
    <t>880 N Hills Blvd. Suite 503</t>
  </si>
  <si>
    <t>Elyxir Distributing LLC</t>
  </si>
  <si>
    <t>270 W Riverside Dr</t>
  </si>
  <si>
    <t>WATSONVILLE</t>
  </si>
  <si>
    <t>95076-5106</t>
  </si>
  <si>
    <t>Bale(s)</t>
  </si>
  <si>
    <t>Bay Area Beverage Company</t>
  </si>
  <si>
    <t>StopOff</t>
  </si>
  <si>
    <t>UW457646-5</t>
  </si>
  <si>
    <t>Quality Dist.</t>
  </si>
  <si>
    <t>ULS464990-5</t>
  </si>
  <si>
    <t>1141 East Glenvale</t>
  </si>
  <si>
    <t>2201 Cooper Ave</t>
  </si>
  <si>
    <t>UW4640281</t>
  </si>
  <si>
    <t>ULS471593-1</t>
  </si>
  <si>
    <t>17:00-17:00</t>
  </si>
  <si>
    <t xml:space="preserve">Timco Logistics Brokerage </t>
  </si>
  <si>
    <t>FASTENAL</t>
  </si>
  <si>
    <t>FASTENAL HTRM</t>
  </si>
  <si>
    <t>9130 NORWALK</t>
  </si>
  <si>
    <t>SANTA FE SPRINGS</t>
  </si>
  <si>
    <t>DLM - DELMONTE LATHROP DIST.</t>
  </si>
  <si>
    <t>Campbell's - Rancho Cucamonga</t>
  </si>
  <si>
    <t>10:00-13:00</t>
  </si>
  <si>
    <t>Walmart 6026</t>
  </si>
  <si>
    <t>0/07/2016</t>
  </si>
  <si>
    <t>10813 Highway 99 W</t>
  </si>
  <si>
    <t>GFS000453402</t>
  </si>
  <si>
    <t xml:space="preserve">Genco Freight Solutions </t>
  </si>
  <si>
    <t>DIAMOND PET FOODS</t>
  </si>
  <si>
    <t>S00019634</t>
  </si>
  <si>
    <t>942 SOUTH STOCKTON AVE</t>
  </si>
  <si>
    <t>RIPON</t>
  </si>
  <si>
    <t>(209) 824-4640</t>
  </si>
  <si>
    <t>DOG TREATS</t>
  </si>
  <si>
    <t>SKD</t>
  </si>
  <si>
    <t>PETCO DISTRIBUTION RENO</t>
  </si>
  <si>
    <t>S000196342</t>
  </si>
  <si>
    <t>9050 RED ROCK RD</t>
  </si>
  <si>
    <t>07/12/216</t>
  </si>
  <si>
    <t>Piece(s)</t>
  </si>
  <si>
    <t>DOMINO</t>
  </si>
  <si>
    <t>04:30-04:30</t>
  </si>
  <si>
    <t>830 Loring Ave</t>
  </si>
  <si>
    <t>Crockett</t>
  </si>
  <si>
    <t>SUGAR</t>
  </si>
  <si>
    <t>TITAN FROZEN FRUIT</t>
  </si>
  <si>
    <t>1365 West La Brea Ave</t>
  </si>
  <si>
    <t>03:00-03:00</t>
  </si>
  <si>
    <t>CPL Logistics</t>
  </si>
  <si>
    <t>PCC LOGISTICS -7TH STR</t>
  </si>
  <si>
    <t>TKNA601286</t>
  </si>
  <si>
    <t>2099 SEVENTH STREET</t>
  </si>
  <si>
    <t>(510) 763-8991</t>
  </si>
  <si>
    <t>RAW SUGAR</t>
  </si>
  <si>
    <t>PGP INTERNATIONAL INC.</t>
  </si>
  <si>
    <t>351 HANSON WAY</t>
  </si>
  <si>
    <t>WOODLAND</t>
  </si>
  <si>
    <t>(530) 662-5056</t>
  </si>
  <si>
    <t>ALLEN LUND</t>
  </si>
  <si>
    <t>TEMPERATSURE</t>
  </si>
  <si>
    <t>4995 AIRCENTER CIRCLE</t>
  </si>
  <si>
    <t>775-870-1999</t>
  </si>
  <si>
    <t>PREFERRED FREEZER</t>
  </si>
  <si>
    <t>400 HUDSON LANE</t>
  </si>
  <si>
    <t>210-352-3900</t>
  </si>
  <si>
    <t>ComCheck</t>
  </si>
  <si>
    <t>Cambria Bicycle</t>
  </si>
  <si>
    <t>LAX088767-TL3</t>
  </si>
  <si>
    <t>08:30-04:00</t>
  </si>
  <si>
    <t>1645 Commerce Way</t>
  </si>
  <si>
    <t>805-926-2204</t>
  </si>
  <si>
    <t>Bicycle Parts and Wheels</t>
  </si>
  <si>
    <t>AZ West c/o DHL Global Forwarding</t>
  </si>
  <si>
    <t>LAX088767</t>
  </si>
  <si>
    <t>07:30-04:00</t>
  </si>
  <si>
    <t>2220 E Carson St.</t>
  </si>
  <si>
    <t>Long Beach</t>
  </si>
  <si>
    <t>310-898-2090</t>
  </si>
  <si>
    <t xml:space="preserve">BST00261021 </t>
  </si>
  <si>
    <t>RR Donnelley</t>
  </si>
  <si>
    <t>INTERNATIONAL PAPER</t>
  </si>
  <si>
    <t>CB07160108</t>
  </si>
  <si>
    <t>06:00-02:30</t>
  </si>
  <si>
    <t>1950 MARINA BLVD</t>
  </si>
  <si>
    <t>510-614-1600 X3</t>
  </si>
  <si>
    <t>CSAR SANTA CLARA</t>
  </si>
  <si>
    <t>002999-3</t>
  </si>
  <si>
    <t>06:00-02:00</t>
  </si>
  <si>
    <t>525 MATHEW ST</t>
  </si>
  <si>
    <t>SANTA CLARA</t>
  </si>
  <si>
    <t>408-727-7377 X7631</t>
  </si>
  <si>
    <t>TNG PAPERBOARD</t>
  </si>
  <si>
    <t>CB0003827</t>
  </si>
  <si>
    <t>525 Matthew Street</t>
  </si>
  <si>
    <t>FLEENOR COMPANY</t>
  </si>
  <si>
    <t>4201 East Fremont Street</t>
  </si>
  <si>
    <t>Brentwood Originals</t>
  </si>
  <si>
    <t>0062-0080136-0555</t>
  </si>
  <si>
    <t>20639 S. Fordyce Ave.</t>
  </si>
  <si>
    <t>TARGET DC T0555</t>
  </si>
  <si>
    <t>2050 E BEAMER ST</t>
  </si>
  <si>
    <t>Lay Over</t>
  </si>
  <si>
    <t xml:space="preserve">Trans Dynamics, Inc. </t>
  </si>
  <si>
    <t>TRIACTIVE WAREHOUSE</t>
  </si>
  <si>
    <t>09:00-16:00</t>
  </si>
  <si>
    <t>3042 INDUSTRIAL PKWY UNIT 104</t>
  </si>
  <si>
    <t>SANTA MARIA</t>
  </si>
  <si>
    <t>EXERCISE EQUIPMENT</t>
  </si>
  <si>
    <t>CITY OF ROHNERT PARK PW YARD</t>
  </si>
  <si>
    <t>600 ENTERPRISE DRIVE</t>
  </si>
  <si>
    <t>ROHNERT PARK</t>
  </si>
  <si>
    <t>UW4640283</t>
  </si>
  <si>
    <t>ULS4715933</t>
  </si>
  <si>
    <t>PU#QL411692DEL#862384</t>
  </si>
  <si>
    <t>Chico,</t>
  </si>
  <si>
    <t>Arrive Logistics</t>
  </si>
  <si>
    <t>Innovative Molding Inc</t>
  </si>
  <si>
    <t>1200 Valley House Drive Ste 100</t>
  </si>
  <si>
    <t>(707)238-9250</t>
  </si>
  <si>
    <t>G L Enterprises</t>
  </si>
  <si>
    <t>07/14/016</t>
  </si>
  <si>
    <t>07:30-12:00</t>
  </si>
  <si>
    <t>13281 Golden State Blvd</t>
  </si>
  <si>
    <t>KINGSBURG</t>
  </si>
  <si>
    <t>(559)896-6800</t>
  </si>
  <si>
    <t>DREISBACH ENTERPRISES</t>
  </si>
  <si>
    <t>3151 REGATTA BLVD BLDG. A50/A41</t>
  </si>
  <si>
    <t>510-533-6600</t>
  </si>
  <si>
    <t>UBTD8ANTHONY</t>
  </si>
  <si>
    <t>UW472117</t>
  </si>
  <si>
    <t>Hydration Source</t>
  </si>
  <si>
    <t>672631PO</t>
  </si>
  <si>
    <t>3600 Leckron Rd.</t>
  </si>
  <si>
    <t>General Freight</t>
  </si>
  <si>
    <t>Alhambra / Sierra Springs</t>
  </si>
  <si>
    <t>110 Union Street</t>
  </si>
  <si>
    <t>Vallejo</t>
  </si>
  <si>
    <t>1017335513/1017335945/1017335110</t>
  </si>
  <si>
    <t>TSC# 1642 TSC#1167 TSC #1874 Yreka CA</t>
  </si>
  <si>
    <t>1360 Broadway/5450 MOUNTAIN VIEW DRIVE/1455 S Main St</t>
  </si>
  <si>
    <t>Placerville/Redding/Yreka</t>
  </si>
  <si>
    <t>95667/96003/96097</t>
  </si>
  <si>
    <t xml:space="preserve">1200 Valley House Drive </t>
  </si>
  <si>
    <t>LID,PRTZL,PLSTC,BLK,120MM,NONVENT,8.13</t>
  </si>
  <si>
    <t>291/600</t>
  </si>
  <si>
    <t>National Pretzel</t>
  </si>
  <si>
    <t>08:00Appt</t>
  </si>
  <si>
    <t>9945 W. Goshen Ave.</t>
  </si>
  <si>
    <t>746180/746181</t>
  </si>
  <si>
    <t>14:00Appt</t>
  </si>
  <si>
    <t>Olives In Cases</t>
  </si>
  <si>
    <t>746180, 746181</t>
  </si>
  <si>
    <t>05:00Appt</t>
  </si>
  <si>
    <t>M-88577</t>
  </si>
  <si>
    <t>Xcelerated Transportation</t>
  </si>
  <si>
    <t>OATEY CO</t>
  </si>
  <si>
    <t>6600 SMITH AVE</t>
  </si>
  <si>
    <t>510-797-4677</t>
  </si>
  <si>
    <t xml:space="preserve">PLUMBERS GOODS </t>
  </si>
  <si>
    <t>FERGUSON ENTERPRISES</t>
  </si>
  <si>
    <t>10:00AM</t>
  </si>
  <si>
    <t>530 PORT OF STOCKTON EXPRESSWAY</t>
  </si>
  <si>
    <t>Inland Star Distibution Centers</t>
  </si>
  <si>
    <t>3146 S Chestnut Ave</t>
  </si>
  <si>
    <t>MEmaco A 660 (MS) 4x3,906KG 4G</t>
  </si>
  <si>
    <t>White Cap Industries Distribution Center Store#66</t>
  </si>
  <si>
    <t>3601 Navone Rd</t>
  </si>
  <si>
    <t>HILMAR INGREDIENTS, TURLO</t>
  </si>
  <si>
    <t>3600 WEST CANAL DRIVE</t>
  </si>
  <si>
    <t>Hilmar LH SMP Ingredients</t>
  </si>
  <si>
    <t>Thermosafe</t>
  </si>
  <si>
    <t>3466 Enterprise Ave</t>
  </si>
  <si>
    <t>packaging</t>
  </si>
  <si>
    <t>US Cold Storage CA</t>
  </si>
  <si>
    <t>FPP20SP #2</t>
  </si>
  <si>
    <t>3100 52nd Avenue</t>
  </si>
  <si>
    <t>03:00PM</t>
  </si>
  <si>
    <t>07/2082016</t>
  </si>
  <si>
    <t>08:00AM</t>
  </si>
  <si>
    <t>NFI Industries</t>
  </si>
  <si>
    <t>10:15APPT</t>
  </si>
  <si>
    <t>1820 N MacArthur Dr Ste 200</t>
  </si>
  <si>
    <t>95376-2831</t>
  </si>
  <si>
    <t>Tea</t>
  </si>
  <si>
    <t>Wismettac Asian Foods</t>
  </si>
  <si>
    <t>09:00-14:30</t>
  </si>
  <si>
    <t>340 Valley Dr.</t>
  </si>
  <si>
    <t>BRISBANE</t>
  </si>
  <si>
    <t>BONITA PACKING</t>
  </si>
  <si>
    <t>140947-160744</t>
  </si>
  <si>
    <t>08:00-11:00</t>
  </si>
  <si>
    <t>1850 W Stowell Rd</t>
  </si>
  <si>
    <t>805-922-1709</t>
  </si>
  <si>
    <t>Plastic Containers</t>
  </si>
  <si>
    <t>NATURIPE INFIELD COOLER</t>
  </si>
  <si>
    <t>1200 Willams Rd</t>
  </si>
  <si>
    <t>103407891/103405104</t>
  </si>
  <si>
    <t>packaging material</t>
  </si>
  <si>
    <t>Ernest Packaging Solutions / Belnick Flash Furniture</t>
  </si>
  <si>
    <t>110065 / 109794</t>
  </si>
  <si>
    <t>07:00-15:30 / 10:00 APPT</t>
  </si>
  <si>
    <t>360 Lillard Dr / 6650 Echo Ave Ste 10200</t>
  </si>
  <si>
    <t>89434 / 89506</t>
  </si>
  <si>
    <t>VALLEY DISTRIBUTORS /NEW WEST DISTRIBUTING</t>
  </si>
  <si>
    <t>08:00-09:00 / 11:00 AAPT</t>
  </si>
  <si>
    <t>880 E Front / 325 E Nugget Ave.</t>
  </si>
  <si>
    <t>FALLON / SPARKS</t>
  </si>
  <si>
    <t>89406 / 89431</t>
  </si>
  <si>
    <t>775-355-5500</t>
  </si>
  <si>
    <t>Aluminum kegs</t>
  </si>
  <si>
    <t>CAL CARGO (HAYWARD,CA)</t>
  </si>
  <si>
    <t>08:00 APPT</t>
  </si>
  <si>
    <t>UBTD9ARRON</t>
  </si>
  <si>
    <t>Jackie</t>
  </si>
  <si>
    <t>800-742-1817</t>
  </si>
  <si>
    <t>DRIED VEG</t>
  </si>
  <si>
    <t>Waste Paper WBN</t>
  </si>
  <si>
    <t>NOW DELIVERY SAN FRANCISCO CA</t>
  </si>
  <si>
    <t>SAN FRANCISCO CA</t>
  </si>
  <si>
    <t>Flat</t>
  </si>
  <si>
    <t>TRUSSWORKS LV (LAS VEGAS,NV)</t>
  </si>
  <si>
    <t>6570 SPENSER ST SUITE 115</t>
  </si>
  <si>
    <t>LAS VEGAS</t>
  </si>
  <si>
    <t>BLUE DIAMOND HILL GYPSUM MINE</t>
  </si>
  <si>
    <t>06:0-21:00</t>
  </si>
  <si>
    <t>8360 NEVADA HIGHWAY 159</t>
  </si>
  <si>
    <t>BLUE DIAMOND</t>
  </si>
  <si>
    <t>GYPSUM</t>
  </si>
  <si>
    <t>T.I. INC.</t>
  </si>
  <si>
    <t>44935 WEST SHEILDS AVE</t>
  </si>
  <si>
    <t>FIREBAUGH</t>
  </si>
  <si>
    <t>(877) 247-4527</t>
  </si>
  <si>
    <t>plastics bottles</t>
  </si>
  <si>
    <t>GIBSON WINE Company</t>
  </si>
  <si>
    <t>1720 Academy Ave</t>
  </si>
  <si>
    <t>Sanger</t>
  </si>
  <si>
    <t>Boa Logistics</t>
  </si>
  <si>
    <t>Peltier Glassworks</t>
  </si>
  <si>
    <t>3500 Dry CreeK Rd. #12</t>
  </si>
  <si>
    <t>805-704-9218</t>
  </si>
  <si>
    <t>EMPTY GLASS BOTTLES</t>
  </si>
  <si>
    <t>Punchdown Cellars</t>
  </si>
  <si>
    <t>1160 Hopper Ave</t>
  </si>
  <si>
    <t>707­541­7373</t>
  </si>
  <si>
    <t>Freight Tec Management Group Inc.</t>
  </si>
  <si>
    <t>Sunwesr Milling Co. Inc</t>
  </si>
  <si>
    <t>507 BANNOCK ST / PO BOX 70</t>
  </si>
  <si>
    <t>BIGGS</t>
  </si>
  <si>
    <t>RICE</t>
  </si>
  <si>
    <t>Hannam Traders Inc</t>
  </si>
  <si>
    <t>2300 RAYMER AVE</t>
  </si>
  <si>
    <t>FULLERTON</t>
  </si>
  <si>
    <t>Central California Sheets</t>
  </si>
  <si>
    <t>16:00-17:00</t>
  </si>
  <si>
    <t>Almo-Sparks</t>
  </si>
  <si>
    <t>1285 Southern Way - Suite A</t>
  </si>
  <si>
    <t>PRO-CON</t>
  </si>
  <si>
    <t>16:01-19:00</t>
  </si>
  <si>
    <t>280 W. Bonita Ave</t>
  </si>
  <si>
    <t>Pomona</t>
  </si>
  <si>
    <t>pickup after 1600</t>
  </si>
  <si>
    <t xml:space="preserve">FORT DEARBORN </t>
  </si>
  <si>
    <t>295 Lillard Dr</t>
  </si>
  <si>
    <t>Matt3</t>
  </si>
  <si>
    <t>spices</t>
  </si>
  <si>
    <t>QuickPay%</t>
  </si>
  <si>
    <t>QuickPay and Submission Process</t>
  </si>
  <si>
    <t>1330 E EL DORADO #102</t>
  </si>
  <si>
    <t>Email- Rate Confirmation, Signed BOL or POD, Lumper Reciept (if applicable) , Invoice To:ACCOUNTING@A1TRANSPORTANDFREIGHT.COM</t>
  </si>
  <si>
    <t>P.O. Box 1470</t>
  </si>
  <si>
    <t>Decatur</t>
  </si>
  <si>
    <t>IL</t>
  </si>
  <si>
    <t>Email Invoice to ADMLOGISTICSPAYABLES@ADM.COM</t>
  </si>
  <si>
    <t>ALLEN Lund</t>
  </si>
  <si>
    <t>PO BOX 339</t>
  </si>
  <si>
    <t>LA CANADA</t>
  </si>
  <si>
    <t>Email Bol, Invoice, Ratesheet to scaccounting@allenlund.com (2% or $25) + ComCheck $4.50 and pay via comcheck.</t>
  </si>
  <si>
    <t>5700 BROADMOOR SUITE 600</t>
  </si>
  <si>
    <t>MISSION</t>
  </si>
  <si>
    <t>KS</t>
  </si>
  <si>
    <t>66202-3340</t>
  </si>
  <si>
    <t>10845 Rancho Bernardo Rd. Ste100</t>
  </si>
  <si>
    <t>3% 7 day Quick Pay after first 2 loads. Email PPW to broker agent &amp; acct@americanfreightways.net</t>
  </si>
  <si>
    <t>4407 Monterey Oaks Blvd | Suite 150</t>
  </si>
  <si>
    <t>Austin</t>
  </si>
  <si>
    <t>Email Invoice, load confirmation, BOL TO: accounting@arrivelogistics.com</t>
  </si>
  <si>
    <t>29588 Mission Blvd</t>
  </si>
  <si>
    <t>No Quick Pay. Email Ppw To The Agent You Booked Load With, They Send Us Mail Check.</t>
  </si>
  <si>
    <t>Po Box 173</t>
  </si>
  <si>
    <t>Versailles</t>
  </si>
  <si>
    <t>Ohio</t>
  </si>
  <si>
    <t>Email Ppw To Broker Agent</t>
  </si>
  <si>
    <t>PO BOX 365</t>
  </si>
  <si>
    <t>Email PPW to: ap@calfreight.com, Mention 3% Quick Pay on the invoice and Email.</t>
  </si>
  <si>
    <t>1060 La Avenida St.</t>
  </si>
  <si>
    <t>Mountain View</t>
  </si>
  <si>
    <t>Email ctrucco@cargochief.com</t>
  </si>
  <si>
    <t>2109 W Bullard Ave # 101</t>
  </si>
  <si>
    <t>2 Day Qucik Pay Via Paper Check, Email- Invoice, Rate Sheet, Bol, Etc To Billing@Cargobarn.Com</t>
  </si>
  <si>
    <t xml:space="preserve">25 Prospect Street </t>
  </si>
  <si>
    <t>Leominster</t>
  </si>
  <si>
    <t xml:space="preserve">MA </t>
  </si>
  <si>
    <t>email POD, Invoice, Ratesheet etc TO: trucks@carriernationwide.com Write the Load# and POD in subject line</t>
  </si>
  <si>
    <t>12755 East Nine Mile Road</t>
  </si>
  <si>
    <t>Warren</t>
  </si>
  <si>
    <t>Mi</t>
  </si>
  <si>
    <t xml:space="preserve"> Email Invoice, Pod, And Rate Confirmation To Cvgtfb@Utsiimaging.Com</t>
  </si>
  <si>
    <t>P.O. Box 3474</t>
  </si>
  <si>
    <t>Chicago</t>
  </si>
  <si>
    <t>Il</t>
  </si>
  <si>
    <t>Upload Docs Online. Login To Chrwtruck, Go To Accounts Receivables, Select The Load No, Upload Bol, Rate Conf, Lumper Receipt Etc, Press Save, Receive Direct Deposit In Bbva</t>
  </si>
  <si>
    <t>555 Waters Edge Suite 225</t>
  </si>
  <si>
    <t>Lombard</t>
  </si>
  <si>
    <t>Email Invoice, BOL &amp; other docs to ap@circle8logistics.com Simply type in the subject line: “QUICK PAY”</t>
  </si>
  <si>
    <t>P. O. Box 647</t>
  </si>
  <si>
    <t>Olive Branch</t>
  </si>
  <si>
    <t>MS</t>
  </si>
  <si>
    <t>Email Invoices to niki@covenantexpress.com</t>
  </si>
  <si>
    <t>P.O. Box 23968</t>
  </si>
  <si>
    <t>Chattanooga</t>
  </si>
  <si>
    <t>Tn</t>
  </si>
  <si>
    <t>37422-2997</t>
  </si>
  <si>
    <t>Email Bol, Invoice And Other Docs To Broker Agent and solutionsap@covenant-solutions.com Pay in 30 days from PPW Received and Processed.</t>
  </si>
  <si>
    <t>960 Northpoint Parkway Suite 150</t>
  </si>
  <si>
    <t>Alpharetta</t>
  </si>
  <si>
    <t>Ga</t>
  </si>
  <si>
    <t>2Day Pay. Email Docs And Invoice To Quickpay@Coyote.Com</t>
  </si>
  <si>
    <t>PO BOX 141140</t>
  </si>
  <si>
    <t>CINCINNATI</t>
  </si>
  <si>
    <t>Mail Original BOL, Proof of delivery: CPL  PO BOX 14140 CINCINNATI OH 45250 or Email - docs@customprologistics.com</t>
  </si>
  <si>
    <t>P.O. Box 3261</t>
  </si>
  <si>
    <t>Cedar Rapids</t>
  </si>
  <si>
    <t>IA</t>
  </si>
  <si>
    <t>52406-3261</t>
  </si>
  <si>
    <t>Mail Invoice, Rate Confirmation, Bol, &amp; Delivery Reciept to: P.O. Box 3261, Cedar Rapids, Iowa 52406-3261</t>
  </si>
  <si>
    <t>21001 San Ramon Valley Blvd A4313</t>
  </si>
  <si>
    <t>San Ramon</t>
  </si>
  <si>
    <t>Email BOL, Invoice to accounting@creative-trans.com</t>
  </si>
  <si>
    <t>600 W. Chicago Ave., Ste. 725</t>
  </si>
  <si>
    <t>Email BOL, Invoice, Load Conf etc TO : InstaPay@echo.com</t>
  </si>
  <si>
    <t>P O Box 30130</t>
  </si>
  <si>
    <t>Salt Lake City</t>
  </si>
  <si>
    <t>Email Docs To elcp@englandlogistics.com Regular pay</t>
  </si>
  <si>
    <t>2330 Enterprose Park Drive</t>
  </si>
  <si>
    <t>Indianapolis</t>
  </si>
  <si>
    <t>IN</t>
  </si>
  <si>
    <t>25 Northpointe Parkway, Suite 200</t>
  </si>
  <si>
    <t>Amherst</t>
  </si>
  <si>
    <t>Email BOL, Invoice , Lumper Reciepts (If Applicable) to cpr@fetchlogistics.com</t>
  </si>
  <si>
    <t>901 West Carondelet Drive</t>
  </si>
  <si>
    <t>Kansas City</t>
  </si>
  <si>
    <t>MO</t>
  </si>
  <si>
    <t>Email BOL, POD, Invoice, RateConf, etc To:quickpay@freightquote.com</t>
  </si>
  <si>
    <t>P.O. Box 747</t>
  </si>
  <si>
    <t>No Quick Pay, Mail Out Ppw To - P.O. Box 747 Chino, Ca 91708-0747. Pay In 30Days</t>
  </si>
  <si>
    <t>1400 LOMBARDI AVE, SUITE 204</t>
  </si>
  <si>
    <t>GREEN BAY</t>
  </si>
  <si>
    <t>Wisconsin</t>
  </si>
  <si>
    <t>Fax POD &amp; Invoice, BOL to 920-593-8938 or Email to GFSPOD@genco.com</t>
  </si>
  <si>
    <t xml:space="preserve">920 Riverside Prkwy Suite #10 </t>
  </si>
  <si>
    <t>Mial Them Ppw, They Send Us The Check.</t>
  </si>
  <si>
    <t>PO Box 6348</t>
  </si>
  <si>
    <t>Scottsdale</t>
  </si>
  <si>
    <t>Combine, Rate Conf, Invoice, BOL And Other Docs in one pfd and email : To Tlinvoices@Globaltranz.Com, Mail Us Check.</t>
  </si>
  <si>
    <t>65 Orville Drive</t>
  </si>
  <si>
    <t>Bohemia</t>
  </si>
  <si>
    <t>Po Box 8453</t>
  </si>
  <si>
    <t>Send The Bol, Invoice And Other Ppw To The Broker Agent, They Mail Us The Check.</t>
  </si>
  <si>
    <t>411 Brisbane St</t>
  </si>
  <si>
    <t>Houston</t>
  </si>
  <si>
    <t>quickpay@gwii.com - 7day pay. You MUST include your Carrier ID on all documents: 620600</t>
  </si>
  <si>
    <t>2000 Clearwater Drive</t>
  </si>
  <si>
    <t>Oak Brook</t>
  </si>
  <si>
    <t>2090 Commerce Drive</t>
  </si>
  <si>
    <t>Medford</t>
  </si>
  <si>
    <t>Email Bol, Confrmation Sheet, Invoice, To Broker Agent, They Mail Us The Check In 3-5 Days.</t>
  </si>
  <si>
    <t>11707 21St Ave Ct So</t>
  </si>
  <si>
    <t>Email Bol, Invoice, Confirmation Sheet To - To: Idlcarrierrelations@Intd.Com, Cc: Broker Agent. Ach Transfer 3-5 Days.</t>
  </si>
  <si>
    <t xml:space="preserve">620 Spice Island Dr. </t>
  </si>
  <si>
    <t>Email Rate Conf,Bol, Invoice  To Carriers@Itsnational.Com</t>
  </si>
  <si>
    <t>2043 Corporate Lane</t>
  </si>
  <si>
    <t>Naperville</t>
  </si>
  <si>
    <t>Email BOL, Invoice, Ratesheet to: pod@jbstrans.com</t>
  </si>
  <si>
    <t>9840 Indiana Ave, Suite 8</t>
  </si>
  <si>
    <t>dispatch@jlfreight.net</t>
  </si>
  <si>
    <t>215 Marine Drive Suite 200#5</t>
  </si>
  <si>
    <t>Blaine</t>
  </si>
  <si>
    <t>Email Bol, Confirmation, To Pod@Kam-Way.Com, Type Quick Pay Requested In Email Body.</t>
  </si>
  <si>
    <t>20002 N. 19Th Ave.</t>
  </si>
  <si>
    <t>Phoenix</t>
  </si>
  <si>
    <t>Email Load Confirmation, Bol And Invoice To Docsonly@Knighttrans.Com. 5 Days Quick Pay</t>
  </si>
  <si>
    <t>PO BOX 729</t>
  </si>
  <si>
    <t xml:space="preserve">White </t>
  </si>
  <si>
    <t>GA</t>
  </si>
  <si>
    <t>2955 OATES STREET</t>
  </si>
  <si>
    <t>Email Broker Agent 2% paper check</t>
  </si>
  <si>
    <t>P.O. Box 19137</t>
  </si>
  <si>
    <t>Jacksonville</t>
  </si>
  <si>
    <t>Fl</t>
  </si>
  <si>
    <t>Stupid Software To Upload Docs.</t>
  </si>
  <si>
    <t>2511 St Johns Bluff Road, Suite 107</t>
  </si>
  <si>
    <t>3% Or $20</t>
  </si>
  <si>
    <t>Email Bol, Invoice And Other Ppw To Accounting@Magellanlogistics.Com, Pay In 14 Days Com Check. Charge 20 Minimum Or 3%.</t>
  </si>
  <si>
    <t>3234 N Central Ave Ste.3</t>
  </si>
  <si>
    <t>Email Invoice, Bol, Quick Pay Form To, To:Accounting@Magnatrans.Com &amp; Cc:Helpdesk@Magnatrans.Com.</t>
  </si>
  <si>
    <t>4040 Embassy Parkway Suite 370</t>
  </si>
  <si>
    <t>Akron</t>
  </si>
  <si>
    <t>2Daypay Eft To Bank. Submit Invoice And Ppw To Quickpayakr@Matson.Com</t>
  </si>
  <si>
    <t>P.O. Box 4207</t>
  </si>
  <si>
    <t>kongl@nationwidetransinc.com, donovand@nationwidelogisticsnwl.com</t>
  </si>
  <si>
    <t>365 Northridge Road Suite 100</t>
  </si>
  <si>
    <t>Atlanta</t>
  </si>
  <si>
    <t>Email P.O.D, Invoice, Proof of Delivery,Quick Pay Form @ POD@NTGFREIGHT.COM or Fax to 678-569-1059</t>
  </si>
  <si>
    <t>9933 Dove Shellway</t>
  </si>
  <si>
    <t>2 Day Quick Pay 4%. Email Invoice, Load Conf, Bol, Etc To Invoicesntl@Gmail.Com &amp; Ntldispatch@Yahoo.Com</t>
  </si>
  <si>
    <t>5600 Headquarters Drive C2D11</t>
  </si>
  <si>
    <t>Plano</t>
  </si>
  <si>
    <t>Sends Us Invoice, We Accept It, Attach Bol,Lumper Doc, Select The Quick Pay Term We Want, Select 2%.</t>
  </si>
  <si>
    <t>P.O Box 94520</t>
  </si>
  <si>
    <t>North Little Rock</t>
  </si>
  <si>
    <t>Ar</t>
  </si>
  <si>
    <t>Email Bol, Rate Sheet Check Mark Quick Pay Option On The Rate Sheet, Email :Mona@pinnacletrans.com, Tiffiney@pinnacletrans.com, dispatch@pinnacletrans.com. They Mail Us The Check.</t>
  </si>
  <si>
    <t>10739 Deerwood Park Blvd. Suite 103</t>
  </si>
  <si>
    <t>FL</t>
  </si>
  <si>
    <t>Email invoice and documents to  Quickpay@r2logisticsteam.com Mention 4% in email.</t>
  </si>
  <si>
    <t>1848 N. WOODSON AVE.</t>
  </si>
  <si>
    <t>BOL, POD, Invoice, Rate sheet TO: jackieboswell33@yahoo.com &amp; rbmatt3@aol.com</t>
  </si>
  <si>
    <t>P.O. BOX 171346</t>
  </si>
  <si>
    <t>MEMPHIS</t>
  </si>
  <si>
    <t>TN</t>
  </si>
  <si>
    <t>Email Ppw To Broker Agent TO: accountspayable@retrans.com</t>
  </si>
  <si>
    <t>1000 Windham Pkwy.</t>
  </si>
  <si>
    <t>Bolingbrook</t>
  </si>
  <si>
    <t>Email Bol, Invoice w/ load# POD, Load tender confirmation to dlsfreightinvoices@rrd.com</t>
  </si>
  <si>
    <t>Ryder Integreated Logistics, Inc.</t>
  </si>
  <si>
    <t>Email Rate Confirmation, paperwork to RyderFMGpaperwork@ryder.com or Fax# 678-587-6101</t>
  </si>
  <si>
    <t>P.O. Box 2545 3101 South Packerland Drive</t>
  </si>
  <si>
    <t>Green Bay</t>
  </si>
  <si>
    <t>54306-2545</t>
  </si>
  <si>
    <t>Email Invoice, BOL, to STMQuickPay@TripPak.com , Transflo Broker ID: SLCYVQP</t>
  </si>
  <si>
    <t>P.O. Box 391</t>
  </si>
  <si>
    <t>Rome</t>
  </si>
  <si>
    <t>Email Invoice, Bol, Ratesheet. To:The Broker Agent &amp; Billing@Scottlogistics.Com</t>
  </si>
  <si>
    <t>2146 N Thompson Lane</t>
  </si>
  <si>
    <t>Murfreesboro</t>
  </si>
  <si>
    <t>Email BOL, Invoice, Ratesheet TO: acctpay@somersetlogistics.com</t>
  </si>
  <si>
    <t>Po Box 66670</t>
  </si>
  <si>
    <t> Email Bol, Invoice, Rate Sheet, To - Accounting@Summitexpedited.Com. They Mail Check.</t>
  </si>
  <si>
    <t>6413 Congress Ave., Suite 260</t>
  </si>
  <si>
    <t>Boca Raton</t>
  </si>
  <si>
    <t>Email Rate Conf,Bol, Invoice To: QuickPay@Suntecktransport.Net, Cc: Broker Agent. Ask For 2.5% (write QUICK PAY by COMCHECK or QUICK PAY by PAPER CHECK on the invoice)</t>
  </si>
  <si>
    <t>241 Regency Parkway</t>
  </si>
  <si>
    <t>Mansfield</t>
  </si>
  <si>
    <t>Email: Aalnutt@Taservices.Com &amp; Accounting@Taservices.Com</t>
  </si>
  <si>
    <t>412 SOUTH I-35E</t>
  </si>
  <si>
    <t>RED OAK</t>
  </si>
  <si>
    <t>Fax BOL, RATE CONFIRMATION, ULOAD &amp; LOAD RCPT, INVOICE  WITH ORDER # ON THEM TO 469-517-1172</t>
  </si>
  <si>
    <t>P.O. Box 799</t>
  </si>
  <si>
    <t>Milford</t>
  </si>
  <si>
    <t>Email Bol, Invoice, Confirmation Sheet(Check The 7Day Quick Pay On The Conf Sheet, To Quickpay@Tql.Com.</t>
  </si>
  <si>
    <t>6665 Cote-de-liesse</t>
  </si>
  <si>
    <t>Montreal</t>
  </si>
  <si>
    <t>QC</t>
  </si>
  <si>
    <t>CANADA</t>
  </si>
  <si>
    <t>H4T1Z5</t>
  </si>
  <si>
    <t>Email P.O.D, Bol, Invoice, Rate Sheet TO Broker Agenent</t>
  </si>
  <si>
    <t>PO BOX 956968</t>
  </si>
  <si>
    <t>Duluth</t>
  </si>
  <si>
    <t>Email POD to settlement@transdynamics.com</t>
  </si>
  <si>
    <t>Po Box 681044</t>
  </si>
  <si>
    <t>In</t>
  </si>
  <si>
    <t>Email Docs To Tnlbilling@Transcorr.Com</t>
  </si>
  <si>
    <t>2 Park Ave, 4th Floor</t>
  </si>
  <si>
    <t>New York</t>
  </si>
  <si>
    <t>Email BOL, Invoce, Rate Sheet to: accounting@transfix.io at 1% or Submit via phone app to get free quick pay.</t>
  </si>
  <si>
    <t>P.O. BOX 1620</t>
  </si>
  <si>
    <t>Seaford</t>
  </si>
  <si>
    <t>DE</t>
  </si>
  <si>
    <t>Email carrierinvoices@trinitylogistics.com</t>
  </si>
  <si>
    <t>US LOGISTICS</t>
  </si>
  <si>
    <t>PO BOX 14309</t>
  </si>
  <si>
    <t>Email BOL, POD &amp; Sales Tickets with load # to whenson@uslfreight.com</t>
  </si>
  <si>
    <t>Po Box 9349</t>
  </si>
  <si>
    <t>Louisville</t>
  </si>
  <si>
    <t>Ky</t>
  </si>
  <si>
    <t>Email Ppw To:logisticsqp@usxpress.com,  CC: paystatus@usxpress.com</t>
  </si>
  <si>
    <t>P.O. BOX 1326</t>
  </si>
  <si>
    <t>Van Buren</t>
  </si>
  <si>
    <t>AR</t>
  </si>
  <si>
    <t xml:space="preserve">Fax BOL, INVOICE , RATE CONFIRMATION TO 479-922-8492 Quickpay@usa-truck.com </t>
  </si>
  <si>
    <t>Po Box 1147</t>
  </si>
  <si>
    <t>Send Bol And Invoice Via Mail, Receive Check In Mail In A Week, No Quick Pay Option.</t>
  </si>
  <si>
    <t>3091 Governors Lake Drive Suite 350</t>
  </si>
  <si>
    <t>Norcross</t>
  </si>
  <si>
    <t>Email BOL, Invoice to  truckloadpayables@veritivcorp.com</t>
  </si>
  <si>
    <t>1909 Waukegan Rd.</t>
  </si>
  <si>
    <t>Waukegan</t>
  </si>
  <si>
    <t>1888 LOCKHEED CT</t>
  </si>
  <si>
    <t>Send BOL, POD, Invoice, Ratesheet signed to Email: Group@xceltrans.com  NO QUICK PAY - 30Day</t>
  </si>
  <si>
    <t xml:space="preserve">303 E Wacker Dr. </t>
  </si>
  <si>
    <t>Email BOL, Invoice, Ratesheet to: Quickpay@xpo.com 2% two day pay.</t>
  </si>
  <si>
    <t>10885 Washington Blvd</t>
  </si>
  <si>
    <t>Culver City</t>
  </si>
  <si>
    <t>P.O. BOX 1349</t>
  </si>
  <si>
    <t>BOUNTIFUL</t>
  </si>
  <si>
    <t>UT</t>
  </si>
  <si>
    <t>Email  Invoice, Rate Confirmation, Bol to billing@freight-tec.com</t>
  </si>
  <si>
    <t>BrokerConfNo</t>
  </si>
  <si>
    <t>PaymentReceived</t>
  </si>
  <si>
    <t>BrokerPaymentStatus</t>
  </si>
  <si>
    <t>PayCarrier</t>
  </si>
  <si>
    <t>UBActualReceived</t>
  </si>
  <si>
    <t>PayDriver</t>
  </si>
  <si>
    <t>Received</t>
  </si>
  <si>
    <t>ServiceCharges</t>
  </si>
  <si>
    <t>DriverPaid</t>
  </si>
  <si>
    <t>WeekEndingDate</t>
  </si>
  <si>
    <t>PayDay</t>
  </si>
  <si>
    <t>LoadPickDate</t>
  </si>
  <si>
    <t>FromCity</t>
  </si>
  <si>
    <t>ToCity</t>
  </si>
  <si>
    <t>DispatchAgent</t>
  </si>
  <si>
    <t>DispatchPay</t>
  </si>
  <si>
    <t>DispatachPayDay</t>
  </si>
  <si>
    <t>ActionYear</t>
  </si>
  <si>
    <t>1/21/201</t>
  </si>
  <si>
    <t>AR6501939</t>
  </si>
  <si>
    <t>2/19/2016 </t>
  </si>
  <si>
    <t>72073588Ar</t>
  </si>
  <si>
    <t>72073588We</t>
  </si>
  <si>
    <t>98525019Mi</t>
  </si>
  <si>
    <t>98525019Ar</t>
  </si>
  <si>
    <t>Arturo</t>
  </si>
  <si>
    <t>37101093Ar</t>
  </si>
  <si>
    <t>Yard</t>
  </si>
  <si>
    <t>7058wn19Ar</t>
  </si>
  <si>
    <t>37101093Mi</t>
  </si>
  <si>
    <t>Miguel Jaime</t>
  </si>
  <si>
    <t>7058wn19Mi</t>
  </si>
  <si>
    <t>01620119Al</t>
  </si>
  <si>
    <t>Albel</t>
  </si>
  <si>
    <t>01620119Mi</t>
  </si>
  <si>
    <t>72wnwn49Al</t>
  </si>
  <si>
    <t>72wnwn49Mi</t>
  </si>
  <si>
    <t>98Xwn19Al</t>
  </si>
  <si>
    <t>63wnwn49Mi</t>
  </si>
  <si>
    <t>98Xwn19Mi</t>
  </si>
  <si>
    <t>63wnwn49Al</t>
  </si>
  <si>
    <t>715/2016</t>
  </si>
  <si>
    <t>Date</t>
  </si>
  <si>
    <t>InvoiceNumber</t>
  </si>
  <si>
    <t>Card</t>
  </si>
  <si>
    <t>Unit#</t>
  </si>
  <si>
    <t>Payee</t>
  </si>
  <si>
    <t>Shop</t>
  </si>
  <si>
    <t>State</t>
  </si>
  <si>
    <t>QTY</t>
  </si>
  <si>
    <t>PerGallon</t>
  </si>
  <si>
    <t>PricePlusTax</t>
  </si>
  <si>
    <t>PaymentStatus</t>
  </si>
  <si>
    <t>ChargeDate</t>
  </si>
  <si>
    <t>ActionMonth</t>
  </si>
  <si>
    <t>Action Year</t>
  </si>
  <si>
    <t>Fuel Report</t>
  </si>
  <si>
    <t>UT2</t>
  </si>
  <si>
    <t>Christopher</t>
  </si>
  <si>
    <t>Flying J Lodi</t>
  </si>
  <si>
    <t>Settled</t>
  </si>
  <si>
    <t>Driver</t>
  </si>
  <si>
    <t>$PerGallon</t>
  </si>
  <si>
    <t>Gallons</t>
  </si>
  <si>
    <t>PricePlus.Tax</t>
  </si>
  <si>
    <t>3B's Truck Lodi</t>
  </si>
  <si>
    <t>Vanco Truck Stockton</t>
  </si>
  <si>
    <t>LostHills Trav</t>
  </si>
  <si>
    <t>PetroStoping Spark NV</t>
  </si>
  <si>
    <t>3 B's Truck A Lodi</t>
  </si>
  <si>
    <t>SanPasoTruck</t>
  </si>
  <si>
    <t>Loves Santa N CA</t>
  </si>
  <si>
    <t>Loves Wells NV</t>
  </si>
  <si>
    <t>Loves Salt La,UT</t>
  </si>
  <si>
    <t>Loves Fernley NV</t>
  </si>
  <si>
    <t>UBTrucking</t>
  </si>
  <si>
    <t>Loves Ripon</t>
  </si>
  <si>
    <t>Wesley</t>
  </si>
  <si>
    <t>Pacific Pride Arroyo CA</t>
  </si>
  <si>
    <t>Flying Fraizer CA</t>
  </si>
  <si>
    <t>Pilot Oil Caastaic</t>
  </si>
  <si>
    <t>Ta Santa Nella</t>
  </si>
  <si>
    <t>Flying J Lodi CA</t>
  </si>
  <si>
    <t>Pilot Oil Salinas CA</t>
  </si>
  <si>
    <t xml:space="preserve">Carson Mini Tru Gardena, CA </t>
  </si>
  <si>
    <t>Pilot Oil Lost Hills</t>
  </si>
  <si>
    <t>Ta Santa Nella CA</t>
  </si>
  <si>
    <t>Ta Ontario CA</t>
  </si>
  <si>
    <t>TA Las Vegas, NV</t>
  </si>
  <si>
    <t>Flying J Lodi Ca</t>
  </si>
  <si>
    <t>UT3</t>
  </si>
  <si>
    <t>Miguel</t>
  </si>
  <si>
    <t>TA Sparks Reno NV</t>
  </si>
  <si>
    <t>Flying J Lodi, CA</t>
  </si>
  <si>
    <t>Loves Lost Hill CA</t>
  </si>
  <si>
    <t>Flying J Ripon</t>
  </si>
  <si>
    <t>Pilot Oil Sacramento CA</t>
  </si>
  <si>
    <t>Vanco Truck Stockton CA</t>
  </si>
  <si>
    <t>PetroStoping Las Vegas NV</t>
  </si>
  <si>
    <t>Asim</t>
  </si>
  <si>
    <t>Vanco Truck &amp; A Stockton CA</t>
  </si>
  <si>
    <t>Pilot Castaic CA</t>
  </si>
  <si>
    <t>Flying J Ripon CA</t>
  </si>
  <si>
    <t>Vanco Truck A Stockton CA</t>
  </si>
  <si>
    <t>Rotten Robbie 5 Gustine CA</t>
  </si>
  <si>
    <t>Loves Travel S Barslow</t>
  </si>
  <si>
    <t>Pacific Pride F Stockton CA</t>
  </si>
  <si>
    <t xml:space="preserve"> Vanco Truck &amp; A Stockton CA</t>
  </si>
  <si>
    <t>Pilot Oil Castica CA</t>
  </si>
  <si>
    <t>Love's Travel Buckeye AZ</t>
  </si>
  <si>
    <t>AZ</t>
  </si>
  <si>
    <t xml:space="preserve">Ta Snata Nella </t>
  </si>
  <si>
    <t>Flying j #618</t>
  </si>
  <si>
    <t>Ta Livingston</t>
  </si>
  <si>
    <t>Sukhpaul</t>
  </si>
  <si>
    <t>Ta Redding Redding CA</t>
  </si>
  <si>
    <t>Sunnycashbbva</t>
  </si>
  <si>
    <t>Loves Travel St</t>
  </si>
  <si>
    <t>Ez Trip Golden</t>
  </si>
  <si>
    <t>76 Truck Stop</t>
  </si>
  <si>
    <t>Modesto Truck P</t>
  </si>
  <si>
    <t>Ta Buttonwillow</t>
  </si>
  <si>
    <t>Pilot Oil#168</t>
  </si>
  <si>
    <t>Sac Valley Truc</t>
  </si>
  <si>
    <t>Pilot Oil Central, OR</t>
  </si>
  <si>
    <t>Flying J Aurora OR</t>
  </si>
  <si>
    <t>Pilot Travel Lost Hill CA</t>
  </si>
  <si>
    <t>Pilot Travel NV</t>
  </si>
  <si>
    <t>Modesto Truck</t>
  </si>
  <si>
    <t>Modesto Truck Plaza</t>
  </si>
  <si>
    <t>Loves Travel Ripon CA</t>
  </si>
  <si>
    <t>Ez Trip Golden Foresno</t>
  </si>
  <si>
    <t>Beacon Kettlem</t>
  </si>
  <si>
    <t>Ez Trip Golden Fresno</t>
  </si>
  <si>
    <t>Flying J 618</t>
  </si>
  <si>
    <t xml:space="preserve">Ez Trip Golden </t>
  </si>
  <si>
    <t xml:space="preserve">Loves Travel St </t>
  </si>
  <si>
    <t>TA Sparks</t>
  </si>
  <si>
    <t>Flying J 616</t>
  </si>
  <si>
    <t>Vanco Truck &amp; A</t>
  </si>
  <si>
    <t>Pilot Travel Ce</t>
  </si>
  <si>
    <t xml:space="preserve">Flying J 618 </t>
  </si>
  <si>
    <t>Pilot Dealer 87</t>
  </si>
  <si>
    <t>Ez Trip Fresno</t>
  </si>
  <si>
    <t>ARTURO</t>
  </si>
  <si>
    <t>TA Santa Nella</t>
  </si>
  <si>
    <t>Petro Santa Nel</t>
  </si>
  <si>
    <t>Owed</t>
  </si>
  <si>
    <t>TA Buttonwillow</t>
  </si>
  <si>
    <t>Vanco Truck</t>
  </si>
  <si>
    <t>UT4</t>
  </si>
  <si>
    <t>Anthony Fonseca</t>
  </si>
  <si>
    <t>Flying J 617</t>
  </si>
  <si>
    <t>Grand Total</t>
  </si>
  <si>
    <t>UT5</t>
  </si>
  <si>
    <t>Tracy Truck &amp; A</t>
  </si>
  <si>
    <t>Loves Travel S</t>
  </si>
  <si>
    <t>UP2</t>
  </si>
  <si>
    <t xml:space="preserve">TA Las Vegas / Flying J 613 </t>
  </si>
  <si>
    <t>NV /CA</t>
  </si>
  <si>
    <t>2.689 / 2.799</t>
  </si>
  <si>
    <t>Category</t>
  </si>
  <si>
    <t>RepairType</t>
  </si>
  <si>
    <t>Part</t>
  </si>
  <si>
    <t>TruckODOMeter</t>
  </si>
  <si>
    <t>Price</t>
  </si>
  <si>
    <t>ActionStatus</t>
  </si>
  <si>
    <t>Settlement</t>
  </si>
  <si>
    <t>VinNumber</t>
  </si>
  <si>
    <t>Make</t>
  </si>
  <si>
    <t>Model</t>
  </si>
  <si>
    <t>WeekEnding</t>
  </si>
  <si>
    <t>Business</t>
  </si>
  <si>
    <t>Fees</t>
  </si>
  <si>
    <t>Non Repair</t>
  </si>
  <si>
    <t>Insurance Deposit 2015</t>
  </si>
  <si>
    <t>Glen A Schuberg Inc</t>
  </si>
  <si>
    <t>Done</t>
  </si>
  <si>
    <t>BBVA</t>
  </si>
  <si>
    <t>Settled BBVA</t>
  </si>
  <si>
    <t>Loan Processing Fee</t>
  </si>
  <si>
    <t>Bank Of The West</t>
  </si>
  <si>
    <t>BOW</t>
  </si>
  <si>
    <t>Settled BOW</t>
  </si>
  <si>
    <t>BusinessExpense</t>
  </si>
  <si>
    <t>Burritos</t>
  </si>
  <si>
    <t>Tacobel</t>
  </si>
  <si>
    <t>DrugTest Chris</t>
  </si>
  <si>
    <t>QuestDiagnostics</t>
  </si>
  <si>
    <t>Truck Trailer Reg</t>
  </si>
  <si>
    <t>Relaible Reg</t>
  </si>
  <si>
    <t>Rent</t>
  </si>
  <si>
    <t>Yard Deposit</t>
  </si>
  <si>
    <t>West Coast Truck Equipment Repair</t>
  </si>
  <si>
    <t>Yard Rent</t>
  </si>
  <si>
    <t>V2</t>
  </si>
  <si>
    <t>Maintenance/Repair</t>
  </si>
  <si>
    <t>F008726853</t>
  </si>
  <si>
    <t>Scale &amp; Kit</t>
  </si>
  <si>
    <t>Delta Equipment Center</t>
  </si>
  <si>
    <t>Interval Service</t>
  </si>
  <si>
    <t>Engine Oil, Hub Oil Level, Water Filter, Fuel Filter, Fuel Filter Cummins, Oil Filter</t>
  </si>
  <si>
    <t>ProFleet</t>
  </si>
  <si>
    <t>TrailerLube</t>
  </si>
  <si>
    <t>Truck Wash</t>
  </si>
  <si>
    <t>RonEquipmentWash</t>
  </si>
  <si>
    <t>2LP22426</t>
  </si>
  <si>
    <t>Brake Job</t>
  </si>
  <si>
    <t>1-1/2 28 Spline 5.5 Arm - Brake Assembly</t>
  </si>
  <si>
    <t xml:space="preserve">Utility Trailer </t>
  </si>
  <si>
    <t>Gladhand Seal</t>
  </si>
  <si>
    <t>Fleet Pride</t>
  </si>
  <si>
    <t>Labor, BrakeShoes, Brake Kit</t>
  </si>
  <si>
    <t>US Truck And Trailer Repair</t>
  </si>
  <si>
    <t>RoadTax UT2</t>
  </si>
  <si>
    <t>RoadTax</t>
  </si>
  <si>
    <t>UT2/V2</t>
  </si>
  <si>
    <t>Cat Scale</t>
  </si>
  <si>
    <t>Chowchilla Scale</t>
  </si>
  <si>
    <t>Diesel Kleen</t>
  </si>
  <si>
    <t>Walmart</t>
  </si>
  <si>
    <t>Final Coolant</t>
  </si>
  <si>
    <t>Break Fix</t>
  </si>
  <si>
    <t>Alignment</t>
  </si>
  <si>
    <t>V3</t>
  </si>
  <si>
    <t>Torque Arm Labor</t>
  </si>
  <si>
    <t>Bit Inspection</t>
  </si>
  <si>
    <t>PIZZA Chris</t>
  </si>
  <si>
    <t>PIZZA GREEK DELI MANTECA </t>
  </si>
  <si>
    <t>Supplies</t>
  </si>
  <si>
    <t>Costco</t>
  </si>
  <si>
    <t>Grocers</t>
  </si>
  <si>
    <t>Joes Plaza Westley</t>
  </si>
  <si>
    <t>Tires</t>
  </si>
  <si>
    <t>New Tires</t>
  </si>
  <si>
    <t>NSF CHARGE</t>
  </si>
  <si>
    <t>BBVA Tracy</t>
  </si>
  <si>
    <t>Equipment Trail Wash</t>
  </si>
  <si>
    <t>RTV,DieselKleen, InflatorKit</t>
  </si>
  <si>
    <t>Loves Ripon CA</t>
  </si>
  <si>
    <t>AUG EXCESS WITHDRAWAL FEE</t>
  </si>
  <si>
    <t>Wheel Replacement</t>
  </si>
  <si>
    <t xml:space="preserve">GILL EXPRESS RIPON RIPON </t>
  </si>
  <si>
    <t>Load Board</t>
  </si>
  <si>
    <t>DAT SOLUTIONS</t>
  </si>
  <si>
    <t>GPS Instal</t>
  </si>
  <si>
    <t>Craigslist</t>
  </si>
  <si>
    <t>H2O GPS Charge</t>
  </si>
  <si>
    <t>H2O</t>
  </si>
  <si>
    <t>US Equipment AND TRACHECKCARD</t>
  </si>
  <si>
    <t>DrugTest wesley</t>
  </si>
  <si>
    <t>Ardass</t>
  </si>
  <si>
    <t>Tire Valve</t>
  </si>
  <si>
    <t>Navarro Truck Tire Service</t>
  </si>
  <si>
    <t>Fuel Card Activation</t>
  </si>
  <si>
    <t>FleetOne</t>
  </si>
  <si>
    <t>ActivateCardFee</t>
  </si>
  <si>
    <t>FeetOne</t>
  </si>
  <si>
    <t>W0110822</t>
  </si>
  <si>
    <t>Tire Inflate Kit</t>
  </si>
  <si>
    <t>Vanco Truck Auto Plaza Stockton</t>
  </si>
  <si>
    <t>V1</t>
  </si>
  <si>
    <t>Registration</t>
  </si>
  <si>
    <t>Reliable Reg</t>
  </si>
  <si>
    <t>F008741582</t>
  </si>
  <si>
    <t>Guage only chrome</t>
  </si>
  <si>
    <t>Delta Truck Center</t>
  </si>
  <si>
    <t>Fast Track</t>
  </si>
  <si>
    <t>W0110842</t>
  </si>
  <si>
    <t>RRS9703</t>
  </si>
  <si>
    <t>DMV Reg</t>
  </si>
  <si>
    <t>eReg</t>
  </si>
  <si>
    <t>Board Of Equalization CA</t>
  </si>
  <si>
    <t>Initial Tuneup</t>
  </si>
  <si>
    <t>Waterpum, Belts, Coolantflush, Oil, OilFilter, FuelFilter, Grease</t>
  </si>
  <si>
    <t>T&amp;S Truck Repair</t>
  </si>
  <si>
    <t>Goof Off</t>
  </si>
  <si>
    <t>Orchard Supply Hardware</t>
  </si>
  <si>
    <t>Stickers</t>
  </si>
  <si>
    <t>Tejinder</t>
  </si>
  <si>
    <t>Glue Degreaser</t>
  </si>
  <si>
    <t>DMV</t>
  </si>
  <si>
    <t>503-3786699</t>
  </si>
  <si>
    <t>Oregon</t>
  </si>
  <si>
    <t>truckingonline</t>
  </si>
  <si>
    <t>13-188491</t>
  </si>
  <si>
    <t>Mattress</t>
  </si>
  <si>
    <t>LKQ</t>
  </si>
  <si>
    <t>01P40200</t>
  </si>
  <si>
    <t>Guage Fuel Tank Repair</t>
  </si>
  <si>
    <t>Interstate Truck Center</t>
  </si>
  <si>
    <t>WO110832</t>
  </si>
  <si>
    <t>Diagnostics/Sensor Fuel Tank</t>
  </si>
  <si>
    <t>Fitting Hose</t>
  </si>
  <si>
    <t>PAPE Kenworth</t>
  </si>
  <si>
    <t>Seat Bracket</t>
  </si>
  <si>
    <t>HomeDepot</t>
  </si>
  <si>
    <t>Excess withdraw fee Fine</t>
  </si>
  <si>
    <t>J.MILANOco.Inc</t>
  </si>
  <si>
    <t>OCT Excess Charge</t>
  </si>
  <si>
    <t>GPs Tracker</t>
  </si>
  <si>
    <t>Best Buy</t>
  </si>
  <si>
    <t>Nuts Bolts</t>
  </si>
  <si>
    <t>Ace Hardware</t>
  </si>
  <si>
    <t>Drugtest Driver Applicant1</t>
  </si>
  <si>
    <t>Loves Tulare CA</t>
  </si>
  <si>
    <t>Tittle Transfer UT3</t>
  </si>
  <si>
    <t xml:space="preserve"> V3</t>
  </si>
  <si>
    <t>Tittle Transfer V3</t>
  </si>
  <si>
    <t>Diese Kleen, Keys, Diesel Can</t>
  </si>
  <si>
    <t>2LP27453</t>
  </si>
  <si>
    <t>Snow Chains</t>
  </si>
  <si>
    <t>Utility Trailer Sales</t>
  </si>
  <si>
    <t>Diesel Fill Up UT3</t>
  </si>
  <si>
    <t>01S14926</t>
  </si>
  <si>
    <t>MiscRepairs</t>
  </si>
  <si>
    <t>New Tires - 2AB</t>
  </si>
  <si>
    <t>Starter Fluid</t>
  </si>
  <si>
    <t>Napa Auto Parts</t>
  </si>
  <si>
    <t>BIT Inspection</t>
  </si>
  <si>
    <t>J &amp; S Truck Repair</t>
  </si>
  <si>
    <t>Mailbox</t>
  </si>
  <si>
    <t>2LP28220</t>
  </si>
  <si>
    <t>bolts</t>
  </si>
  <si>
    <t>Oil Filter, Fuel Filter, Primary Fuel Filter, Oil</t>
  </si>
  <si>
    <t>Door Fix</t>
  </si>
  <si>
    <t>United Collision Center</t>
  </si>
  <si>
    <t>Rubber Trap Tie</t>
  </si>
  <si>
    <t>Utility Trailer Lathrop</t>
  </si>
  <si>
    <t>Replaced oil filter and gasket</t>
  </si>
  <si>
    <t>ALOHA MOBILE REPAIR</t>
  </si>
  <si>
    <t>01P43430</t>
  </si>
  <si>
    <t>Horn</t>
  </si>
  <si>
    <t>WiperBlades</t>
  </si>
  <si>
    <t>NameCheap</t>
  </si>
  <si>
    <t>Domain Renewal ubgo.net</t>
  </si>
  <si>
    <t>NOV Excess Withdrawl Fee</t>
  </si>
  <si>
    <t>Wash</t>
  </si>
  <si>
    <t>Ron Truck Wash</t>
  </si>
  <si>
    <t>01P44267</t>
  </si>
  <si>
    <t>Isolator- Thermal, Gasket, Injector</t>
  </si>
  <si>
    <t>Brake Rear Axle Drums Pads</t>
  </si>
  <si>
    <t>Driver Leather Repair</t>
  </si>
  <si>
    <t>Misc Tools, Screws, Builder Hardware</t>
  </si>
  <si>
    <t>Trailer Light Cord V2</t>
  </si>
  <si>
    <t>Tire Plug Kit</t>
  </si>
  <si>
    <t>AutoZone</t>
  </si>
  <si>
    <t>WD40, Tire Guage</t>
  </si>
  <si>
    <t>Monument Car Parts</t>
  </si>
  <si>
    <t>01P44648</t>
  </si>
  <si>
    <t>Plug 7-Way</t>
  </si>
  <si>
    <t>Jummper Cable</t>
  </si>
  <si>
    <t>RTS</t>
  </si>
  <si>
    <t>Paid Out</t>
  </si>
  <si>
    <t>Wesley LA Drive Hustle(400-150tnu)</t>
  </si>
  <si>
    <t>WO110880</t>
  </si>
  <si>
    <t>Winder Bug, RX Booster, UT3 Delo 15w40</t>
  </si>
  <si>
    <t>Golden State Truck Wash</t>
  </si>
  <si>
    <t>202U/MISC</t>
  </si>
  <si>
    <t>Seat Belt Assm</t>
  </si>
  <si>
    <t>K&amp;R</t>
  </si>
  <si>
    <t>CLICKSAFETY</t>
  </si>
  <si>
    <t>Dec Excess Withdrawl Fee</t>
  </si>
  <si>
    <t>NameCheap ubgo</t>
  </si>
  <si>
    <t>ublgo.com</t>
  </si>
  <si>
    <t>unionbridge.net</t>
  </si>
  <si>
    <t>Drug Test Arturo</t>
  </si>
  <si>
    <t>UT3/V3</t>
  </si>
  <si>
    <t>Flying J Pilot</t>
  </si>
  <si>
    <t>Sacramento 49er Auto Truck Plaza</t>
  </si>
  <si>
    <t>NM DEPT OF REV EGT DIST</t>
  </si>
  <si>
    <t>Close university bridge &amp; Open Union Brigde</t>
  </si>
  <si>
    <t>PrePass</t>
  </si>
  <si>
    <t>Prepass</t>
  </si>
  <si>
    <t>TNU Manjit</t>
  </si>
  <si>
    <t>First Transportion</t>
  </si>
  <si>
    <t>StarBucks Driver Meet</t>
  </si>
  <si>
    <t>StarBucks Coffee Stockton</t>
  </si>
  <si>
    <t>822383D</t>
  </si>
  <si>
    <t>Sensor, Bulb</t>
  </si>
  <si>
    <t>Tec of California Inc</t>
  </si>
  <si>
    <t>IPC122457</t>
  </si>
  <si>
    <t xml:space="preserve">Ifta Payment </t>
  </si>
  <si>
    <t>Ca.Gov</t>
  </si>
  <si>
    <t>WO110902</t>
  </si>
  <si>
    <t>WO110903</t>
  </si>
  <si>
    <t>Mud Flap</t>
  </si>
  <si>
    <t>Brake Shoes , Bit Inspection, Tire Pitch</t>
  </si>
  <si>
    <t>Shock Absorber</t>
  </si>
  <si>
    <t>Insurance Deposit 2016</t>
  </si>
  <si>
    <t>GM Lawrance</t>
  </si>
  <si>
    <t>Driver Add</t>
  </si>
  <si>
    <t>Waterpump Labor</t>
  </si>
  <si>
    <t>WaterPump, Seal-O Ring, O Ring, Coolant TRP, O Rring</t>
  </si>
  <si>
    <t>DAT Load Board</t>
  </si>
  <si>
    <t>Sensor</t>
  </si>
  <si>
    <t>Jessey Stockton</t>
  </si>
  <si>
    <t>Jan Excess Withdrawl Fee</t>
  </si>
  <si>
    <t>Tax Return Prep UB Trucking</t>
  </si>
  <si>
    <t>Coolant</t>
  </si>
  <si>
    <t>TA Truck Services Aurora OR</t>
  </si>
  <si>
    <t>HAT for Wesley</t>
  </si>
  <si>
    <t>Lids Tracy</t>
  </si>
  <si>
    <t>76 Truck Stop Albany</t>
  </si>
  <si>
    <t>Walmart Truck Supply</t>
  </si>
  <si>
    <t>Taxes, 1year RA Union Bridge, StateFee</t>
  </si>
  <si>
    <t>FLYER Shell Foresno</t>
  </si>
  <si>
    <t>Petro Lube Westlake Ohio</t>
  </si>
  <si>
    <t>Amex UB</t>
  </si>
  <si>
    <t>EGR</t>
  </si>
  <si>
    <t>Online</t>
  </si>
  <si>
    <t>EGR Labor</t>
  </si>
  <si>
    <t>WO110923</t>
  </si>
  <si>
    <t>Compressor Air</t>
  </si>
  <si>
    <t>Peterbilt Stockton</t>
  </si>
  <si>
    <t>Compressor Labor</t>
  </si>
  <si>
    <t>Tcheck CREng &amp; Magellan</t>
  </si>
  <si>
    <t>Lovers Ripon Ca</t>
  </si>
  <si>
    <t>Relay</t>
  </si>
  <si>
    <t>Trailer Lights</t>
  </si>
  <si>
    <t>J.P. Roadside</t>
  </si>
  <si>
    <t>ENGINE OIL</t>
  </si>
  <si>
    <t>Feb Excess Branch Deposit Fee</t>
  </si>
  <si>
    <t>Feb Excess Withdrawl Fee</t>
  </si>
  <si>
    <t>coolant</t>
  </si>
  <si>
    <t>reilly auto parts</t>
  </si>
  <si>
    <t>Printer Ink</t>
  </si>
  <si>
    <t>Target</t>
  </si>
  <si>
    <t xml:space="preserve">OIL </t>
  </si>
  <si>
    <t>OIL</t>
  </si>
  <si>
    <t>Far-Go Distribution Company</t>
  </si>
  <si>
    <t>Truck &amp; Trailer Wash</t>
  </si>
  <si>
    <t>New Tires - 3ABCD</t>
  </si>
  <si>
    <t>Sensor AC, DPF Filter Clean, Doser Valve Clean</t>
  </si>
  <si>
    <t>W3102</t>
  </si>
  <si>
    <t>Turbo Charger, Stud, Nut, Connector, Terminal, Seal, ELT Diagnostics</t>
  </si>
  <si>
    <t>Rig Master Truck Repair</t>
  </si>
  <si>
    <t>Oregon Motor Carrier Fee</t>
  </si>
  <si>
    <t xml:space="preserve">Tire &amp; Wheel Outlet </t>
  </si>
  <si>
    <t>01P58452</t>
  </si>
  <si>
    <t>Cartridge Ait Dryer Ad Sp</t>
  </si>
  <si>
    <t>01P58447</t>
  </si>
  <si>
    <t>Coolant, Cap-Radiator Surge Tank Scre</t>
  </si>
  <si>
    <t>01P58433</t>
  </si>
  <si>
    <t>Filter, Switch</t>
  </si>
  <si>
    <t>Cartridge kit Dryer</t>
  </si>
  <si>
    <t>DPF FILTER BAKE, GASKETS, SENSEOR, CLEAN DORES VALVE, Turbo Actuator</t>
  </si>
  <si>
    <t>Oil Change, Filters</t>
  </si>
  <si>
    <t>MAR EXCESS WITHDRAWAL FEE</t>
  </si>
  <si>
    <t>Split Load #8398</t>
  </si>
  <si>
    <t>Cabin AIR FILTER</t>
  </si>
  <si>
    <t>AUTO PARTS</t>
  </si>
  <si>
    <t>Driving truck to mechanic shops</t>
  </si>
  <si>
    <t>motorkote hyber</t>
  </si>
  <si>
    <t>W3135</t>
  </si>
  <si>
    <t>TAX for Invoice# W3135</t>
  </si>
  <si>
    <t>Turbo oil suply hose</t>
  </si>
  <si>
    <t>DPF Filler</t>
  </si>
  <si>
    <t>Installed new batteries</t>
  </si>
  <si>
    <t>AC Pressure switch, AC Gas vacume and Recharge</t>
  </si>
  <si>
    <t>02P57179</t>
  </si>
  <si>
    <t>Kit-Retro Internal Check Valve</t>
  </si>
  <si>
    <t>Insurance</t>
  </si>
  <si>
    <t>Over Lay, Split Loads 2</t>
  </si>
  <si>
    <t>Brake Clean, SnapRingPliers</t>
  </si>
  <si>
    <t>Supplies(Gloves, Tools)</t>
  </si>
  <si>
    <t>MONUMENT CAR PARTS #4 TRACY</t>
  </si>
  <si>
    <t>Miguel Ticket</t>
  </si>
  <si>
    <t>CNTYOFMERCED*E-PAY</t>
  </si>
  <si>
    <t>New Tires - 1AB</t>
  </si>
  <si>
    <t>41012502/42011077</t>
  </si>
  <si>
    <t>TA Truck Center of America</t>
  </si>
  <si>
    <t>Oregon 1st Q 2016</t>
  </si>
  <si>
    <t>01P62051</t>
  </si>
  <si>
    <t>Adapter, Cap-Radiator Surge Tan Scre</t>
  </si>
  <si>
    <t>01P62350</t>
  </si>
  <si>
    <t>AC Compresser, O-Ring, Belt AC.</t>
  </si>
  <si>
    <t>w3219</t>
  </si>
  <si>
    <t>Labor -  AC Compressor, Fix Exhaust Leak, Replace Coolant Hose Clamp</t>
  </si>
  <si>
    <t>New Tires - 1ABCD</t>
  </si>
  <si>
    <t>Envelopes/Stamps</t>
  </si>
  <si>
    <t>DOT Stickers</t>
  </si>
  <si>
    <t>New Tires - 1CD</t>
  </si>
  <si>
    <t>826912D</t>
  </si>
  <si>
    <t>TurnSignal</t>
  </si>
  <si>
    <t>Tec Equipment, Inc.</t>
  </si>
  <si>
    <t>01P66089</t>
  </si>
  <si>
    <t>6 Pack Coolan Box</t>
  </si>
  <si>
    <t>01P66086</t>
  </si>
  <si>
    <t>Right Hood Mirror Head</t>
  </si>
  <si>
    <t>Fresno Truck tanker Wash</t>
  </si>
  <si>
    <t>Sac Valley Truck Stop</t>
  </si>
  <si>
    <t>Recaped Tires - 2ABCD</t>
  </si>
  <si>
    <t>RRS11196</t>
  </si>
  <si>
    <t>DMV Fees Advance by RRs UT4</t>
  </si>
  <si>
    <t>Reliable Reg Svcs Inc</t>
  </si>
  <si>
    <t>Jump Start</t>
  </si>
  <si>
    <t>Reliable Truck Repair Inc</t>
  </si>
  <si>
    <t>w3501</t>
  </si>
  <si>
    <t>Replaced starter Motor</t>
  </si>
  <si>
    <t>UT3/V1</t>
  </si>
  <si>
    <t>Surface Pen</t>
  </si>
  <si>
    <t>Microsoft</t>
  </si>
  <si>
    <t>Shell RotellaT</t>
  </si>
  <si>
    <t>Not Settled</t>
  </si>
  <si>
    <t>V6</t>
  </si>
  <si>
    <t>828159D</t>
  </si>
  <si>
    <t>UT4/V4</t>
  </si>
  <si>
    <t>Joes Plaza Lathrop</t>
  </si>
  <si>
    <t>Truck#</t>
  </si>
  <si>
    <t>Trailer #</t>
  </si>
  <si>
    <t>FuelCard</t>
  </si>
  <si>
    <t>EquipToDriverStat</t>
  </si>
  <si>
    <t>DriverInsurance Premium</t>
  </si>
  <si>
    <t>DriverTaxID</t>
  </si>
  <si>
    <t>DriverBank</t>
  </si>
  <si>
    <t>DriverRoutingNumber</t>
  </si>
  <si>
    <t>DriverAccountNumber</t>
  </si>
  <si>
    <t>DriverAccountType</t>
  </si>
  <si>
    <t>DriverSpecialEndorsemet</t>
  </si>
  <si>
    <t>DriverDrugtestDate</t>
  </si>
  <si>
    <t>DriverMedicalExpireDate</t>
  </si>
  <si>
    <t>CarrierCA#</t>
  </si>
  <si>
    <t>InsuranceDaysToExpiration</t>
  </si>
  <si>
    <t>OriginalContractorStrartDate</t>
  </si>
  <si>
    <t>ContractSignDate</t>
  </si>
  <si>
    <t>ContractorToBeRenewedOn</t>
  </si>
  <si>
    <t>Contractor</t>
  </si>
  <si>
    <t>ContractDaysToExpire</t>
  </si>
  <si>
    <t>ContarctorDaysToRenewal</t>
  </si>
  <si>
    <t>Ponse De Leon Transportation</t>
  </si>
  <si>
    <t>Marco A Ponse</t>
  </si>
  <si>
    <t>De Leon</t>
  </si>
  <si>
    <t>UnAssigned</t>
  </si>
  <si>
    <t>510-432-3796</t>
  </si>
  <si>
    <t>20 Begier Avenue</t>
  </si>
  <si>
    <t>ponyondroad@aol.com</t>
  </si>
  <si>
    <t>Bank of America</t>
  </si>
  <si>
    <t>Checking</t>
  </si>
  <si>
    <t>B7179996</t>
  </si>
  <si>
    <t>Class A</t>
  </si>
  <si>
    <t>Western Truck Insurance Srvcs</t>
  </si>
  <si>
    <t>CTP 499561</t>
  </si>
  <si>
    <t>AVT Trans</t>
  </si>
  <si>
    <t>Karamjeet</t>
  </si>
  <si>
    <t>Singh</t>
  </si>
  <si>
    <t>530-301-7234</t>
  </si>
  <si>
    <t>10738 Irene Way</t>
  </si>
  <si>
    <t>karamjeet3378@hotmail.com</t>
  </si>
  <si>
    <t>Gold Country Bank</t>
  </si>
  <si>
    <t>D8900715</t>
  </si>
  <si>
    <t>Wilshire insurance company</t>
  </si>
  <si>
    <t>BA2601347</t>
  </si>
  <si>
    <t>BoyalTrucking</t>
  </si>
  <si>
    <t>Satnam</t>
  </si>
  <si>
    <t>Boyal</t>
  </si>
  <si>
    <t>MISSING</t>
  </si>
  <si>
    <t>209-589-5951</t>
  </si>
  <si>
    <t>2821 jubliee Drive</t>
  </si>
  <si>
    <t>samboyal@yahoo.com</t>
  </si>
  <si>
    <t>Bank of the West</t>
  </si>
  <si>
    <t>B8245525</t>
  </si>
  <si>
    <t>Sentry Insurance</t>
  </si>
  <si>
    <t>A0036221001</t>
  </si>
  <si>
    <t>Chahil</t>
  </si>
  <si>
    <t>UT1</t>
  </si>
  <si>
    <t>Assigned</t>
  </si>
  <si>
    <t>510-773-9450</t>
  </si>
  <si>
    <t>3124 Cynthia CT</t>
  </si>
  <si>
    <t>ubgollc@gmail.com</t>
  </si>
  <si>
    <t>606-40-7823</t>
  </si>
  <si>
    <t>Wellsfargo</t>
  </si>
  <si>
    <t>A8390649</t>
  </si>
  <si>
    <t>Class A Hazmat</t>
  </si>
  <si>
    <t>DSK2842P160210</t>
  </si>
  <si>
    <t>Christopher J.</t>
  </si>
  <si>
    <t>Vanoss</t>
  </si>
  <si>
    <t>209-993-1286</t>
  </si>
  <si>
    <t>1044 Rivara RD # 106</t>
  </si>
  <si>
    <t xml:space="preserve">cvanoss@live.com </t>
  </si>
  <si>
    <t>Green DOT Bank</t>
  </si>
  <si>
    <t>15483701728216-288</t>
  </si>
  <si>
    <t>C6568516</t>
  </si>
  <si>
    <t>Cousain</t>
  </si>
  <si>
    <t>925-383-5364</t>
  </si>
  <si>
    <t>110 Cordova Ln</t>
  </si>
  <si>
    <t>wesleycousain1@gmail.com</t>
  </si>
  <si>
    <t>550-89-7974</t>
  </si>
  <si>
    <t>D4903588</t>
  </si>
  <si>
    <t>Martin Del Campo Velarca</t>
  </si>
  <si>
    <t>209-322-5231</t>
  </si>
  <si>
    <t>572 Predersen RD</t>
  </si>
  <si>
    <t>Miguelmartin52@yahoo.com</t>
  </si>
  <si>
    <t>616-84-0561</t>
  </si>
  <si>
    <t>D5179619</t>
  </si>
  <si>
    <t>Manjit</t>
  </si>
  <si>
    <t>209-409-1626 </t>
  </si>
  <si>
    <t>1860 Matterhorn St</t>
  </si>
  <si>
    <t>firsttransportation@gmail.com</t>
  </si>
  <si>
    <t>087-74-2122</t>
  </si>
  <si>
    <t>Chase</t>
  </si>
  <si>
    <t>D4777274</t>
  </si>
  <si>
    <t>Northland Insurance Company</t>
  </si>
  <si>
    <t>WK167462</t>
  </si>
  <si>
    <t>Sukhpal</t>
  </si>
  <si>
    <t>916-833-9981</t>
  </si>
  <si>
    <t>htl0916@gmail.com</t>
  </si>
  <si>
    <t>B4532630</t>
  </si>
  <si>
    <t>Carrillo</t>
  </si>
  <si>
    <t>209-276-9785</t>
  </si>
  <si>
    <t>1685 Winthrop Ln</t>
  </si>
  <si>
    <t>Ceres</t>
  </si>
  <si>
    <t>arturocarr777@gmail.com</t>
  </si>
  <si>
    <t>C7056793</t>
  </si>
  <si>
    <t>Khan</t>
  </si>
  <si>
    <t>408-489-2377</t>
  </si>
  <si>
    <t>1502 Village Cir #137</t>
  </si>
  <si>
    <t>Arlington</t>
  </si>
  <si>
    <t>aokhan1@gmail.com</t>
  </si>
  <si>
    <t>Anthony</t>
  </si>
  <si>
    <t>Fonseca</t>
  </si>
  <si>
    <t>V5</t>
  </si>
  <si>
    <t>209-405-4622</t>
  </si>
  <si>
    <t>367 Mosswood Ave</t>
  </si>
  <si>
    <t>anthony_fonseca@ymail.com</t>
  </si>
  <si>
    <t>605-16-5776</t>
  </si>
  <si>
    <t>D7005547</t>
  </si>
  <si>
    <t>Aaron</t>
  </si>
  <si>
    <t>RaymondTrejo</t>
  </si>
  <si>
    <t>V4</t>
  </si>
  <si>
    <t>2144 S 12th St</t>
  </si>
  <si>
    <t>A9173174</t>
  </si>
  <si>
    <t>UnitNo</t>
  </si>
  <si>
    <t>Modle</t>
  </si>
  <si>
    <t>EquipType</t>
  </si>
  <si>
    <t>EquipDetail</t>
  </si>
  <si>
    <t>PlateNo</t>
  </si>
  <si>
    <t>VIN</t>
  </si>
  <si>
    <t>OregonDOTNo</t>
  </si>
  <si>
    <t>OregonExpireDate</t>
  </si>
  <si>
    <t>OregonDaysExpire</t>
  </si>
  <si>
    <t>Grate Dane</t>
  </si>
  <si>
    <t>DryVan</t>
  </si>
  <si>
    <t>NonVented</t>
  </si>
  <si>
    <t>4KY6311</t>
  </si>
  <si>
    <t>1GRAA0625XB130354</t>
  </si>
  <si>
    <t>Wabash</t>
  </si>
  <si>
    <t>Utility</t>
  </si>
  <si>
    <t>4FA8537</t>
  </si>
  <si>
    <t>1UYVS25305P500707</t>
  </si>
  <si>
    <t>International</t>
  </si>
  <si>
    <t>Prostar Eagle</t>
  </si>
  <si>
    <t>Tractor</t>
  </si>
  <si>
    <t>Sleeper</t>
  </si>
  <si>
    <t>5QCE808</t>
  </si>
  <si>
    <t>2HSCUAPR88C657099</t>
  </si>
  <si>
    <t>WP64741</t>
  </si>
  <si>
    <t>Peterbilt</t>
  </si>
  <si>
    <t>9E76213</t>
  </si>
  <si>
    <t>1XPHD49X28D763820</t>
  </si>
  <si>
    <t>4QHK671</t>
  </si>
  <si>
    <t>2HSCUAPR79CO93785</t>
  </si>
  <si>
    <t>WP46919</t>
  </si>
  <si>
    <t>Kenworth</t>
  </si>
  <si>
    <t xml:space="preserve">International </t>
  </si>
  <si>
    <t>Prostar</t>
  </si>
  <si>
    <t>4LH2319</t>
  </si>
  <si>
    <t>1JJV532V3BL370658</t>
  </si>
  <si>
    <t>Duraplate</t>
  </si>
  <si>
    <t>Vented</t>
  </si>
  <si>
    <t>Insured</t>
  </si>
  <si>
    <t>WklyPremiumDriver</t>
  </si>
  <si>
    <t>WklyPremiumUB</t>
  </si>
  <si>
    <t>Day</t>
  </si>
  <si>
    <t>Company</t>
  </si>
  <si>
    <t>Type</t>
  </si>
  <si>
    <t>Unit</t>
  </si>
  <si>
    <t>WeeklyEarning</t>
  </si>
  <si>
    <t>Earning</t>
  </si>
  <si>
    <t>Sit</t>
  </si>
  <si>
    <t>StartUpCapital</t>
  </si>
  <si>
    <t>ubtrucking.com</t>
  </si>
  <si>
    <t>TrailerLoan V2</t>
  </si>
  <si>
    <t>Payments</t>
  </si>
  <si>
    <t>TruckLoan UT2</t>
  </si>
  <si>
    <t>DOT       50</t>
  </si>
  <si>
    <t>MC         350</t>
  </si>
  <si>
    <t>Settled By Partners</t>
  </si>
  <si>
    <t>Loan</t>
  </si>
  <si>
    <t>CA          50</t>
  </si>
  <si>
    <t>5 Way settlement</t>
  </si>
  <si>
    <t>LoanLeftover</t>
  </si>
  <si>
    <t>EPN        50</t>
  </si>
  <si>
    <t>Chirag</t>
  </si>
  <si>
    <t>BOC 3    50</t>
  </si>
  <si>
    <t>MCP      150</t>
  </si>
  <si>
    <t>IFTA       63.5</t>
  </si>
  <si>
    <t>NM        55.5</t>
  </si>
  <si>
    <t>InvestedBy Partnes</t>
  </si>
  <si>
    <t>OR         220</t>
  </si>
  <si>
    <t>ARDASS Corp</t>
  </si>
  <si>
    <t>Decal</t>
  </si>
  <si>
    <t>UBTrucking Decals</t>
  </si>
  <si>
    <t>DAT LoardBoard</t>
  </si>
  <si>
    <t>Printer Paper</t>
  </si>
  <si>
    <t>Print Shop</t>
  </si>
  <si>
    <t>Print Shop2</t>
  </si>
  <si>
    <t>Drug Test Enrollment</t>
  </si>
  <si>
    <t>Bank Deposit</t>
  </si>
  <si>
    <t>Stamps</t>
  </si>
  <si>
    <t>Invested</t>
  </si>
  <si>
    <t>Logbook</t>
  </si>
  <si>
    <t>Glue Remover</t>
  </si>
  <si>
    <t>Sumant Pay Gas</t>
  </si>
  <si>
    <t>Sumant</t>
  </si>
  <si>
    <t>Webhosting 3 years</t>
  </si>
  <si>
    <t>CA# Bit Fleet</t>
  </si>
  <si>
    <t>Printer</t>
  </si>
  <si>
    <t>TruckKey Duplicate</t>
  </si>
  <si>
    <t>Bank(TejinderPaidHarman12/9/15)</t>
  </si>
  <si>
    <t>InsuranceDeposite 2016</t>
  </si>
  <si>
    <t>Money Out</t>
  </si>
  <si>
    <t>DispatchPaidOut</t>
  </si>
  <si>
    <t>UB Trucking INCOME YTD</t>
  </si>
  <si>
    <t>UT2 Loan Payments</t>
  </si>
  <si>
    <t>YTD Profit</t>
  </si>
  <si>
    <t>UBTrucking Expense</t>
  </si>
  <si>
    <t>DispatchIncome</t>
  </si>
  <si>
    <t>UT2 Payment September 2015</t>
  </si>
  <si>
    <t>Earning (-Diesel&amp;Insurance)</t>
  </si>
  <si>
    <t>UT2 Payment October 2015</t>
  </si>
  <si>
    <t>AidMoney</t>
  </si>
  <si>
    <t>UT2 Payment November 2015</t>
  </si>
  <si>
    <t>BankHold</t>
  </si>
  <si>
    <t>UT2 Payment December 2015</t>
  </si>
  <si>
    <t>UT2 Payment January 2016</t>
  </si>
  <si>
    <t>UT2 Payment Feburary 2016</t>
  </si>
  <si>
    <t>UT2 Payment March 2016</t>
  </si>
  <si>
    <t>UT2 Payment April 2016</t>
  </si>
  <si>
    <t>UT2 Payment May 2016</t>
  </si>
  <si>
    <t>UT2 Payment June 2016</t>
  </si>
  <si>
    <t>UBOrderNo.</t>
  </si>
  <si>
    <t xml:space="preserve"> PayDriver</t>
  </si>
  <si>
    <t>87L36719</t>
  </si>
  <si>
    <t>59555519</t>
  </si>
  <si>
    <t>17POPO19</t>
  </si>
  <si>
    <t>66818119</t>
  </si>
  <si>
    <t>79393919</t>
  </si>
  <si>
    <t>DieselFillDate</t>
  </si>
  <si>
    <t>Pump</t>
  </si>
  <si>
    <t>$TotalFuel</t>
  </si>
  <si>
    <t>Insurance Provider</t>
  </si>
  <si>
    <t>Insurance Premium</t>
  </si>
  <si>
    <t>GrandTotal-(Expenses)</t>
  </si>
  <si>
    <t>Miguel Pay</t>
  </si>
  <si>
    <t>Van Delivery</t>
  </si>
  <si>
    <t xml:space="preserve"> Van Door Repair 1/5</t>
  </si>
  <si>
    <t>Miguel Pay after Adjustments</t>
  </si>
  <si>
    <t>Pay.Driver</t>
  </si>
  <si>
    <t>39wnwn93</t>
  </si>
  <si>
    <t>1 08-393</t>
  </si>
  <si>
    <t>92270793</t>
  </si>
  <si>
    <t>Fill Date</t>
  </si>
  <si>
    <t>Insurance Provicer</t>
  </si>
  <si>
    <t>Grand Total - (Expenses)</t>
  </si>
  <si>
    <t>Arturo Pay</t>
  </si>
  <si>
    <t>Load Delivery Monday</t>
  </si>
  <si>
    <t>Truck Cleanup</t>
  </si>
  <si>
    <t>Missing Pay Check in the Mail</t>
  </si>
  <si>
    <t>Arturo Pay after Adjustmens</t>
  </si>
  <si>
    <t>(Multiple Items)</t>
  </si>
  <si>
    <t>PayCarrier(-Dispatch)</t>
  </si>
  <si>
    <t>20773549</t>
  </si>
  <si>
    <t>42383849</t>
  </si>
  <si>
    <t>02344249</t>
  </si>
  <si>
    <t>43wnwn49</t>
  </si>
  <si>
    <t>65868649</t>
  </si>
  <si>
    <t>7399ng49</t>
  </si>
  <si>
    <t>Albel Pay</t>
  </si>
  <si>
    <t>Row Labels</t>
  </si>
  <si>
    <t>Sum of DispatchPay</t>
  </si>
  <si>
    <t>0502wn88</t>
  </si>
  <si>
    <t>07-27288</t>
  </si>
  <si>
    <t>09newn88</t>
  </si>
  <si>
    <t>5406ne19</t>
  </si>
  <si>
    <t>7102ne88</t>
  </si>
  <si>
    <t>76020288</t>
  </si>
  <si>
    <t>91087088</t>
  </si>
  <si>
    <t>15938088</t>
  </si>
  <si>
    <t>33579788</t>
  </si>
  <si>
    <t>56000019</t>
  </si>
  <si>
    <t>37565688</t>
  </si>
  <si>
    <t>9738ne19</t>
  </si>
  <si>
    <t>8810wn93</t>
  </si>
  <si>
    <t>8079wn93</t>
  </si>
  <si>
    <t>02CAsa93</t>
  </si>
  <si>
    <t>33555593</t>
  </si>
  <si>
    <t>23252593</t>
  </si>
  <si>
    <t>70ONwn93</t>
  </si>
  <si>
    <t>17wnwn59</t>
  </si>
  <si>
    <t>6964wn59</t>
  </si>
  <si>
    <t>11505059</t>
  </si>
  <si>
    <t>34019059</t>
  </si>
  <si>
    <t>62977993</t>
  </si>
  <si>
    <t>93070793</t>
  </si>
  <si>
    <t>20383593</t>
  </si>
  <si>
    <t>52676719</t>
  </si>
  <si>
    <t>3903wn93</t>
  </si>
  <si>
    <t>75760119</t>
  </si>
  <si>
    <t>97574193</t>
  </si>
  <si>
    <t>9346wn19</t>
  </si>
  <si>
    <t>62wnwn93</t>
  </si>
  <si>
    <t>18181819</t>
  </si>
  <si>
    <t>43848493</t>
  </si>
  <si>
    <t>49wnwn19</t>
  </si>
  <si>
    <t>36wnwn93</t>
  </si>
  <si>
    <t>92920793</t>
  </si>
  <si>
    <t>83080819</t>
  </si>
  <si>
    <t>45eses93</t>
  </si>
  <si>
    <t>71464693</t>
  </si>
  <si>
    <t>04wnwn19</t>
  </si>
  <si>
    <t>83LELE93</t>
  </si>
  <si>
    <t>69BRwn19</t>
  </si>
  <si>
    <t>83464693</t>
  </si>
  <si>
    <t>51131349</t>
  </si>
  <si>
    <t>77850493</t>
  </si>
  <si>
    <t>0202wn49</t>
  </si>
  <si>
    <t>3131ng49</t>
  </si>
  <si>
    <t>44010193</t>
  </si>
  <si>
    <t>80wnwn93</t>
  </si>
  <si>
    <t>05173349</t>
  </si>
  <si>
    <t>45wnwn49</t>
  </si>
  <si>
    <t>89848419</t>
  </si>
  <si>
    <t>98wnwn93</t>
  </si>
  <si>
    <t>67wnwn49</t>
  </si>
  <si>
    <t>5716ne49</t>
  </si>
  <si>
    <t>2128wn49</t>
  </si>
  <si>
    <t>32nene49</t>
  </si>
  <si>
    <t>24656593</t>
  </si>
  <si>
    <t>19818193</t>
  </si>
  <si>
    <t>5211wn93</t>
  </si>
  <si>
    <t>81wnwn93</t>
  </si>
  <si>
    <t>62189793</t>
  </si>
  <si>
    <t>9817wn93</t>
  </si>
  <si>
    <t>64559519</t>
  </si>
  <si>
    <t>9516wn19</t>
  </si>
  <si>
    <t>1318wn49</t>
  </si>
  <si>
    <t>23wnwn49</t>
  </si>
  <si>
    <t>28070749</t>
  </si>
  <si>
    <t>31151549</t>
  </si>
  <si>
    <t>96303049</t>
  </si>
  <si>
    <t>2094wn49</t>
  </si>
  <si>
    <t>16860793</t>
  </si>
  <si>
    <t>01wnwn93</t>
  </si>
  <si>
    <t>76875419</t>
  </si>
  <si>
    <t>9815wn19</t>
  </si>
  <si>
    <t>270ne88</t>
  </si>
  <si>
    <t>RepairStatus</t>
  </si>
  <si>
    <t>Needed</t>
  </si>
  <si>
    <t>GM Lawrence Ins</t>
  </si>
  <si>
    <t>(blank)</t>
  </si>
  <si>
    <t>2% 4 day QuicK pay.  Weird as crap. Call the AP at 18003324821</t>
  </si>
  <si>
    <t>Wheel seal, Labor, Nuts Bolt - For Invice 7728</t>
  </si>
  <si>
    <t>Used Tire - 3D</t>
  </si>
  <si>
    <t>Brake Shoes</t>
  </si>
  <si>
    <t>Drums Front</t>
  </si>
  <si>
    <t>Brake Shoes Front</t>
  </si>
  <si>
    <t>FBN Statement</t>
  </si>
  <si>
    <t>San Joquin County Recorders</t>
  </si>
  <si>
    <t>1 Valvoline Premium BL</t>
  </si>
  <si>
    <t>Flying J</t>
  </si>
  <si>
    <t>Funnel, Gloves</t>
  </si>
  <si>
    <t>Monument Auto Parts</t>
  </si>
  <si>
    <t>01P66459</t>
  </si>
  <si>
    <t>A/C Hose</t>
  </si>
  <si>
    <t>Brake chamber Front</t>
  </si>
  <si>
    <t>Brake shoes</t>
  </si>
  <si>
    <t>S Cam</t>
  </si>
  <si>
    <t>2012 PeterBilt</t>
  </si>
  <si>
    <t>Wood Floor Repair</t>
  </si>
  <si>
    <t>Central Valley Trailer Repair</t>
  </si>
  <si>
    <t>Tire Patch</t>
  </si>
  <si>
    <t>Good Year</t>
  </si>
  <si>
    <t>Big Valley Truck Wash</t>
  </si>
  <si>
    <t>SP371764</t>
  </si>
  <si>
    <t>Radiator Cap, Coolant</t>
  </si>
  <si>
    <t>Silver State International</t>
  </si>
  <si>
    <t>Truck wash</t>
  </si>
  <si>
    <t>Equipment Wash V4 V2</t>
  </si>
  <si>
    <t>Scale Install</t>
  </si>
  <si>
    <t>Keys</t>
  </si>
  <si>
    <t>W3598</t>
  </si>
  <si>
    <t>TrailerMarker Light Fix</t>
  </si>
  <si>
    <t>SS Clamp and Nut Driver</t>
  </si>
  <si>
    <t>Auburn Hardware Store</t>
  </si>
  <si>
    <t>828375D</t>
  </si>
  <si>
    <t>Thermostat Gasaket</t>
  </si>
  <si>
    <t>EGR Cooler, Thermostate Labor</t>
  </si>
  <si>
    <t>Egr Cooler</t>
  </si>
  <si>
    <t>Cruz Tire Truck Repair and Parts</t>
  </si>
  <si>
    <t>0344609P</t>
  </si>
  <si>
    <t>Thermostat</t>
  </si>
  <si>
    <t>Coast County Truck and Equipment CO</t>
  </si>
  <si>
    <t>Engien Oil</t>
  </si>
  <si>
    <t>Auto Zone</t>
  </si>
  <si>
    <t>Aurturo</t>
  </si>
  <si>
    <t>01P41101</t>
  </si>
  <si>
    <t>Hood Mirror</t>
  </si>
  <si>
    <t>828515D</t>
  </si>
  <si>
    <t>Air Hose For Cabin</t>
  </si>
  <si>
    <t>v6</t>
  </si>
  <si>
    <t>Add 2015 wabash</t>
  </si>
  <si>
    <t>Sum of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</si>
</sst>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0.0"/>
    <numFmt numFmtId="165" formatCode="_(&quot;$&quot;* #,##0.000_);_(&quot;$&quot;* \(#,##0.000\);_(&quot;$&quot;* &quot;-&quot;??_);_(@_)"/>
    <numFmt numFmtId="166" formatCode="[$-F400]h:mm:ss\ AM/PM"/>
    <numFmt numFmtId="167" formatCode="&quot;$&quot;#,##0.00"/>
  </numFmts>
  <fonts count="68">
    <font>
      <sz val="11"/>
      <color theme="1"/>
      <name val="Calibri"/>
      <family val="2"/>
      <scheme val="minor"/>
    </font>
    <font>
      <sz val="11"/>
      <color theme="1"/>
      <name val="Calibri"/>
      <scheme val="minor"/>
    </font>
    <font>
      <b/>
      <sz val="11"/>
      <color theme="1"/>
      <name val="Calibri"/>
      <family val="2"/>
      <scheme val="minor"/>
    </font>
    <font>
      <sz val="11"/>
      <color theme="1"/>
      <name val="Calibri"/>
      <family val="2"/>
      <scheme val="minor"/>
    </font>
    <font>
      <b/>
      <sz val="11"/>
      <name val="Calibri"/>
      <family val="2"/>
      <scheme val="minor"/>
    </font>
    <font>
      <sz val="10"/>
      <name val="Arial"/>
      <family val="2"/>
    </font>
    <font>
      <sz val="11"/>
      <color rgb="FFFF0000"/>
      <name val="Calibri"/>
      <family val="2"/>
      <scheme val="minor"/>
    </font>
    <font>
      <sz val="11"/>
      <name val="Calibri"/>
      <family val="2"/>
      <scheme val="minor"/>
    </font>
    <font>
      <u/>
      <sz val="11"/>
      <color theme="10"/>
      <name val="Calibri"/>
      <family val="2"/>
      <scheme val="minor"/>
    </font>
    <font>
      <u/>
      <sz val="11"/>
      <name val="Calibri"/>
      <family val="2"/>
      <scheme val="minor"/>
    </font>
    <font>
      <b/>
      <sz val="11"/>
      <color rgb="FFFF0000"/>
      <name val="Calibri"/>
      <family val="2"/>
      <scheme val="minor"/>
    </font>
    <font>
      <sz val="11"/>
      <color rgb="FF000000"/>
      <name val="Calibri"/>
      <family val="2"/>
    </font>
    <font>
      <sz val="11"/>
      <color rgb="FF000000"/>
      <name val="Calibri"/>
      <family val="2"/>
      <scheme val="minor"/>
    </font>
    <font>
      <b/>
      <sz val="11"/>
      <color theme="8" tint="-0.249977111117893"/>
      <name val="Calibri"/>
      <family val="2"/>
      <scheme val="minor"/>
    </font>
    <font>
      <sz val="11"/>
      <color rgb="FF9933FF"/>
      <name val="Calibri"/>
      <family val="2"/>
      <scheme val="minor"/>
    </font>
    <font>
      <sz val="11"/>
      <color rgb="FFCC0000"/>
      <name val="Calibri"/>
      <family val="2"/>
      <scheme val="minor"/>
    </font>
    <font>
      <sz val="11"/>
      <color rgb="FF7030A0"/>
      <name val="Calibri"/>
      <family val="2"/>
      <scheme val="minor"/>
    </font>
    <font>
      <i/>
      <sz val="11"/>
      <color theme="1"/>
      <name val="Calibri"/>
      <family val="2"/>
      <scheme val="minor"/>
    </font>
    <font>
      <i/>
      <sz val="11"/>
      <color rgb="FF9933FF"/>
      <name val="Calibri"/>
      <family val="2"/>
      <scheme val="minor"/>
    </font>
    <font>
      <b/>
      <sz val="11"/>
      <color rgb="FF000000"/>
      <name val="Calibri"/>
      <family val="2"/>
    </font>
    <font>
      <i/>
      <sz val="11"/>
      <color rgb="FF000000"/>
      <name val="Calibri"/>
      <family val="2"/>
    </font>
    <font>
      <b/>
      <i/>
      <sz val="11"/>
      <color theme="1"/>
      <name val="Calibri"/>
      <family val="2"/>
      <scheme val="minor"/>
    </font>
    <font>
      <b/>
      <i/>
      <sz val="11"/>
      <name val="Calibri"/>
      <family val="2"/>
      <scheme val="minor"/>
    </font>
    <font>
      <b/>
      <i/>
      <u/>
      <sz val="11"/>
      <color theme="10"/>
      <name val="Calibri"/>
      <family val="2"/>
      <scheme val="minor"/>
    </font>
    <font>
      <b/>
      <sz val="11"/>
      <color rgb="FF7030A0"/>
      <name val="Calibri"/>
      <family val="2"/>
      <scheme val="minor"/>
    </font>
    <font>
      <i/>
      <sz val="11"/>
      <color rgb="FF7030A0"/>
      <name val="Calibri"/>
      <family val="2"/>
      <scheme val="minor"/>
    </font>
    <font>
      <strike/>
      <sz val="11"/>
      <color theme="1"/>
      <name val="Calibri"/>
      <family val="2"/>
      <scheme val="minor"/>
    </font>
    <font>
      <b/>
      <sz val="11"/>
      <color theme="0"/>
      <name val="Calibri"/>
      <family val="2"/>
      <scheme val="minor"/>
    </font>
    <font>
      <b/>
      <i/>
      <sz val="11"/>
      <color rgb="FF7030A0"/>
      <name val="Calibri"/>
      <family val="2"/>
      <scheme val="minor"/>
    </font>
    <font>
      <sz val="11"/>
      <color rgb="FF222222"/>
      <name val="Calibri"/>
      <family val="2"/>
      <scheme val="minor"/>
    </font>
    <font>
      <b/>
      <sz val="11"/>
      <color rgb="FFCC0000"/>
      <name val="Calibri"/>
      <family val="2"/>
      <scheme val="minor"/>
    </font>
    <font>
      <sz val="11"/>
      <color theme="0"/>
      <name val="Calibri"/>
      <family val="2"/>
      <scheme val="minor"/>
    </font>
    <font>
      <u/>
      <sz val="11"/>
      <color theme="4" tint="-0.249977111117893"/>
      <name val="Calibri"/>
      <family val="2"/>
      <scheme val="minor"/>
    </font>
    <font>
      <sz val="11"/>
      <color rgb="FF263238"/>
      <name val="Calibri"/>
      <family val="2"/>
      <scheme val="minor"/>
    </font>
    <font>
      <sz val="11"/>
      <name val="Calibri"/>
      <scheme val="minor"/>
    </font>
    <font>
      <sz val="11"/>
      <color rgb="FF7030A0"/>
      <name val="Calibri"/>
      <scheme val="minor"/>
    </font>
    <font>
      <sz val="11"/>
      <color rgb="FF9933FF"/>
      <name val="Calibri"/>
      <scheme val="minor"/>
    </font>
    <font>
      <sz val="11"/>
      <color rgb="FFCC0000"/>
      <name val="Calibri"/>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name val="Arial"/>
      <family val="2"/>
    </font>
    <font>
      <sz val="10"/>
      <color rgb="FF222222"/>
      <name val="Arial"/>
      <family val="2"/>
    </font>
    <font>
      <sz val="11"/>
      <color theme="1"/>
      <name val="Arial"/>
      <family val="2"/>
    </font>
    <font>
      <b/>
      <u/>
      <sz val="11"/>
      <color theme="1"/>
      <name val="Calibri"/>
      <family val="2"/>
      <scheme val="minor"/>
    </font>
    <font>
      <b/>
      <sz val="11"/>
      <color theme="5" tint="-0.249977111117893"/>
      <name val="Calibri"/>
      <family val="2"/>
      <scheme val="minor"/>
    </font>
    <font>
      <sz val="11"/>
      <color theme="8" tint="-0.249977111117893"/>
      <name val="Calibri"/>
      <family val="2"/>
      <scheme val="minor"/>
    </font>
    <font>
      <b/>
      <i/>
      <sz val="11"/>
      <color theme="9" tint="-0.249977111117893"/>
      <name val="Calibri"/>
      <family val="2"/>
      <scheme val="minor"/>
    </font>
    <font>
      <b/>
      <sz val="11"/>
      <color theme="9" tint="-0.249977111117893"/>
      <name val="Calibri"/>
      <family val="2"/>
      <scheme val="minor"/>
    </font>
    <font>
      <b/>
      <i/>
      <sz val="11"/>
      <color rgb="FFFF0000"/>
      <name val="Calibri"/>
      <family val="2"/>
      <scheme val="minor"/>
    </font>
    <font>
      <strike/>
      <sz val="11"/>
      <name val="Calibri"/>
      <family val="2"/>
      <scheme val="minor"/>
    </font>
    <font>
      <strike/>
      <sz val="11"/>
      <color rgb="FF9933FF"/>
      <name val="Calibri"/>
      <family val="2"/>
      <scheme val="minor"/>
    </font>
    <font>
      <strike/>
      <sz val="11"/>
      <color rgb="FFCC0000"/>
      <name val="Calibri"/>
      <family val="2"/>
      <scheme val="minor"/>
    </font>
    <font>
      <b/>
      <sz val="8.8000000000000007"/>
      <color rgb="FF555555"/>
      <name val="Arial"/>
      <family val="2"/>
    </font>
    <font>
      <u/>
      <sz val="11"/>
      <color theme="10"/>
      <name val="Calibri"/>
      <scheme val="minor"/>
    </font>
    <font>
      <sz val="11"/>
      <color theme="9" tint="-0.249977111117893"/>
      <name val="Calibri"/>
      <family val="2"/>
      <scheme val="minor"/>
    </font>
    <font>
      <i/>
      <sz val="11"/>
      <color theme="9" tint="-0.249977111117893"/>
      <name val="Calibri"/>
      <family val="2"/>
      <scheme val="minor"/>
    </font>
    <font>
      <strike/>
      <sz val="11"/>
      <color theme="9" tint="-0.249977111117893"/>
      <name val="Calibri"/>
      <family val="2"/>
      <scheme val="minor"/>
    </font>
    <font>
      <sz val="11"/>
      <color theme="9" tint="-0.249977111117893"/>
      <name val="Calibri"/>
      <scheme val="minor"/>
    </font>
  </fonts>
  <fills count="56">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39997558519241921"/>
        <bgColor rgb="FF92D050"/>
      </patternFill>
    </fill>
    <fill>
      <patternFill patternType="solid">
        <fgColor theme="4" tint="0.59999389629810485"/>
        <bgColor indexed="64"/>
      </patternFill>
    </fill>
    <fill>
      <patternFill patternType="solid">
        <fgColor rgb="FFFBC9C1"/>
        <bgColor indexed="64"/>
      </patternFill>
    </fill>
    <fill>
      <patternFill patternType="solid">
        <fgColor rgb="FF99FFCC"/>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7C80"/>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8383"/>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4" tint="0.39997558519241921"/>
        <bgColor indexed="64"/>
      </patternFill>
    </fill>
  </fills>
  <borders count="35">
    <border>
      <left/>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diagonal/>
    </border>
    <border>
      <left/>
      <right style="medium">
        <color indexed="64"/>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s>
  <cellStyleXfs count="48">
    <xf numFmtId="0" fontId="0" fillId="0" borderId="0"/>
    <xf numFmtId="44" fontId="3" fillId="0" borderId="0" applyFont="0" applyFill="0" applyBorder="0" applyAlignment="0" applyProtection="0"/>
    <xf numFmtId="9" fontId="3" fillId="0" borderId="0" applyFont="0" applyFill="0" applyBorder="0" applyAlignment="0" applyProtection="0"/>
    <xf numFmtId="0" fontId="5" fillId="0" borderId="0"/>
    <xf numFmtId="0" fontId="8" fillId="0" borderId="0" applyNumberFormat="0" applyFill="0" applyBorder="0" applyAlignment="0" applyProtection="0"/>
    <xf numFmtId="0" fontId="11" fillId="0" borderId="0"/>
    <xf numFmtId="43" fontId="3" fillId="0" borderId="0" applyFont="0" applyFill="0" applyBorder="0" applyAlignment="0" applyProtection="0"/>
    <xf numFmtId="0" fontId="38" fillId="0" borderId="0" applyNumberFormat="0" applyFill="0" applyBorder="0" applyAlignment="0" applyProtection="0"/>
    <xf numFmtId="0" fontId="39" fillId="0" borderId="17" applyNumberFormat="0" applyFill="0" applyAlignment="0" applyProtection="0"/>
    <xf numFmtId="0" fontId="40" fillId="0" borderId="18" applyNumberFormat="0" applyFill="0" applyAlignment="0" applyProtection="0"/>
    <xf numFmtId="0" fontId="41" fillId="0" borderId="19" applyNumberFormat="0" applyFill="0" applyAlignment="0" applyProtection="0"/>
    <xf numFmtId="0" fontId="41" fillId="0" borderId="0" applyNumberFormat="0" applyFill="0" applyBorder="0" applyAlignment="0" applyProtection="0"/>
    <xf numFmtId="0" fontId="42" fillId="17" borderId="0" applyNumberFormat="0" applyBorder="0" applyAlignment="0" applyProtection="0"/>
    <xf numFmtId="0" fontId="43" fillId="18" borderId="0" applyNumberFormat="0" applyBorder="0" applyAlignment="0" applyProtection="0"/>
    <xf numFmtId="0" fontId="44" fillId="19" borderId="0" applyNumberFormat="0" applyBorder="0" applyAlignment="0" applyProtection="0"/>
    <xf numFmtId="0" fontId="45" fillId="20" borderId="20" applyNumberFormat="0" applyAlignment="0" applyProtection="0"/>
    <xf numFmtId="0" fontId="46" fillId="21" borderId="21" applyNumberFormat="0" applyAlignment="0" applyProtection="0"/>
    <xf numFmtId="0" fontId="47" fillId="21" borderId="20" applyNumberFormat="0" applyAlignment="0" applyProtection="0"/>
    <xf numFmtId="0" fontId="48" fillId="0" borderId="22" applyNumberFormat="0" applyFill="0" applyAlignment="0" applyProtection="0"/>
    <xf numFmtId="0" fontId="27" fillId="22" borderId="23" applyNumberFormat="0" applyAlignment="0" applyProtection="0"/>
    <xf numFmtId="0" fontId="6" fillId="0" borderId="0" applyNumberFormat="0" applyFill="0" applyBorder="0" applyAlignment="0" applyProtection="0"/>
    <xf numFmtId="0" fontId="3" fillId="23" borderId="24" applyNumberFormat="0" applyFont="0" applyAlignment="0" applyProtection="0"/>
    <xf numFmtId="0" fontId="49" fillId="0" borderId="0" applyNumberFormat="0" applyFill="0" applyBorder="0" applyAlignment="0" applyProtection="0"/>
    <xf numFmtId="0" fontId="2" fillId="0" borderId="25" applyNumberFormat="0" applyFill="0" applyAlignment="0" applyProtection="0"/>
    <xf numFmtId="0" fontId="31"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1" fillId="27" borderId="0" applyNumberFormat="0" applyBorder="0" applyAlignment="0" applyProtection="0"/>
    <xf numFmtId="0" fontId="31"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1" fillId="31" borderId="0" applyNumberFormat="0" applyBorder="0" applyAlignment="0" applyProtection="0"/>
    <xf numFmtId="0" fontId="31"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1" fillId="43" borderId="0" applyNumberFormat="0" applyBorder="0" applyAlignment="0" applyProtection="0"/>
    <xf numFmtId="0" fontId="31" fillId="44" borderId="0" applyNumberFormat="0" applyBorder="0" applyAlignment="0" applyProtection="0"/>
    <xf numFmtId="0" fontId="3" fillId="45" borderId="0" applyNumberFormat="0" applyBorder="0" applyAlignment="0" applyProtection="0"/>
    <xf numFmtId="0" fontId="3" fillId="46" borderId="0" applyNumberFormat="0" applyBorder="0" applyAlignment="0" applyProtection="0"/>
    <xf numFmtId="0" fontId="31" fillId="47" borderId="0" applyNumberFormat="0" applyBorder="0" applyAlignment="0" applyProtection="0"/>
  </cellStyleXfs>
  <cellXfs count="591">
    <xf numFmtId="0" fontId="0" fillId="0" borderId="0" xfId="0"/>
    <xf numFmtId="0" fontId="0" fillId="0" borderId="0" xfId="0" applyFill="1" applyAlignment="1">
      <alignment horizontal="left"/>
    </xf>
    <xf numFmtId="0" fontId="0" fillId="0" borderId="0" xfId="1" applyNumberFormat="1" applyFont="1" applyFill="1" applyAlignment="1">
      <alignment horizontal="left"/>
    </xf>
    <xf numFmtId="0" fontId="0" fillId="0" borderId="0" xfId="0" applyNumberFormat="1" applyAlignment="1">
      <alignment horizontal="left"/>
    </xf>
    <xf numFmtId="0" fontId="7" fillId="0" borderId="0" xfId="0" applyNumberFormat="1" applyFont="1" applyFill="1" applyBorder="1" applyAlignment="1">
      <alignment horizontal="left"/>
    </xf>
    <xf numFmtId="44" fontId="7" fillId="0" borderId="0" xfId="0" applyNumberFormat="1" applyFont="1" applyFill="1" applyBorder="1" applyAlignment="1">
      <alignment horizontal="left"/>
    </xf>
    <xf numFmtId="14" fontId="7" fillId="0" borderId="0" xfId="0" applyNumberFormat="1" applyFont="1" applyAlignment="1">
      <alignment horizontal="left"/>
    </xf>
    <xf numFmtId="0" fontId="7" fillId="0" borderId="0" xfId="0" applyFont="1" applyAlignment="1">
      <alignment horizontal="left"/>
    </xf>
    <xf numFmtId="0" fontId="7" fillId="0" borderId="0" xfId="0" applyNumberFormat="1" applyFont="1" applyAlignment="1">
      <alignment horizontal="left"/>
    </xf>
    <xf numFmtId="0" fontId="7" fillId="0" borderId="0" xfId="1" applyNumberFormat="1" applyFont="1" applyFill="1" applyAlignment="1">
      <alignment horizontal="left"/>
    </xf>
    <xf numFmtId="0" fontId="7" fillId="0" borderId="0" xfId="1" applyNumberFormat="1" applyFont="1" applyFill="1" applyBorder="1" applyAlignment="1">
      <alignment horizontal="left"/>
    </xf>
    <xf numFmtId="14" fontId="7" fillId="0" borderId="0" xfId="1" applyNumberFormat="1" applyFont="1" applyFill="1" applyBorder="1" applyAlignment="1">
      <alignment horizontal="left"/>
    </xf>
    <xf numFmtId="44" fontId="0" fillId="0" borderId="0" xfId="0" applyNumberFormat="1" applyAlignment="1">
      <alignment horizontal="left"/>
    </xf>
    <xf numFmtId="44" fontId="3" fillId="0" borderId="0" xfId="1" applyFont="1" applyAlignment="1">
      <alignment horizontal="left"/>
    </xf>
    <xf numFmtId="0" fontId="0" fillId="0" borderId="0" xfId="0" applyNumberFormat="1" applyFont="1" applyFill="1" applyAlignment="1">
      <alignment horizontal="left"/>
    </xf>
    <xf numFmtId="0" fontId="0" fillId="0" borderId="0" xfId="0" applyNumberFormat="1" applyFont="1" applyFill="1" applyBorder="1" applyAlignment="1">
      <alignment horizontal="left"/>
    </xf>
    <xf numFmtId="14" fontId="0" fillId="0" borderId="0" xfId="1" applyNumberFormat="1" applyFont="1" applyFill="1" applyAlignment="1">
      <alignment horizontal="left"/>
    </xf>
    <xf numFmtId="0" fontId="7" fillId="0" borderId="0" xfId="0" applyFont="1" applyFill="1" applyAlignment="1">
      <alignment horizontal="left"/>
    </xf>
    <xf numFmtId="0" fontId="0" fillId="0" borderId="0" xfId="0" applyFont="1" applyFill="1" applyAlignment="1">
      <alignment horizontal="left"/>
    </xf>
    <xf numFmtId="14" fontId="7" fillId="0" borderId="0" xfId="0" applyNumberFormat="1" applyFont="1" applyFill="1" applyAlignment="1">
      <alignment horizontal="left"/>
    </xf>
    <xf numFmtId="14" fontId="7" fillId="0" borderId="0" xfId="0" applyNumberFormat="1" applyFont="1" applyFill="1" applyBorder="1" applyAlignment="1">
      <alignment horizontal="left"/>
    </xf>
    <xf numFmtId="44" fontId="7" fillId="0" borderId="0" xfId="1" applyFont="1" applyFill="1" applyAlignment="1">
      <alignment horizontal="left"/>
    </xf>
    <xf numFmtId="164" fontId="7" fillId="0" borderId="0" xfId="0" applyNumberFormat="1" applyFont="1" applyAlignment="1">
      <alignment horizontal="left"/>
    </xf>
    <xf numFmtId="0" fontId="0" fillId="0" borderId="0" xfId="0" applyNumberFormat="1" applyFont="1" applyAlignment="1">
      <alignment horizontal="left"/>
    </xf>
    <xf numFmtId="0" fontId="8" fillId="0" borderId="0" xfId="4" applyNumberFormat="1" applyFont="1" applyFill="1" applyAlignment="1">
      <alignment horizontal="left"/>
    </xf>
    <xf numFmtId="14" fontId="7" fillId="0" borderId="0" xfId="1" applyNumberFormat="1" applyFont="1" applyFill="1" applyAlignment="1">
      <alignment horizontal="left"/>
    </xf>
    <xf numFmtId="14" fontId="0" fillId="0" borderId="0" xfId="0" applyNumberFormat="1" applyFont="1" applyFill="1" applyAlignment="1">
      <alignment horizontal="left"/>
    </xf>
    <xf numFmtId="44" fontId="7" fillId="0" borderId="0" xfId="1" applyNumberFormat="1" applyFont="1" applyFill="1" applyAlignment="1">
      <alignment horizontal="left"/>
    </xf>
    <xf numFmtId="0" fontId="17" fillId="0" borderId="0" xfId="0" applyFont="1" applyFill="1" applyAlignment="1">
      <alignment horizontal="left"/>
    </xf>
    <xf numFmtId="0" fontId="6" fillId="0" borderId="0" xfId="0" applyNumberFormat="1" applyFont="1" applyFill="1" applyBorder="1" applyAlignment="1">
      <alignment horizontal="left"/>
    </xf>
    <xf numFmtId="10" fontId="7" fillId="0" borderId="0" xfId="0" applyNumberFormat="1" applyFont="1" applyFill="1" applyBorder="1" applyAlignment="1">
      <alignment horizontal="left"/>
    </xf>
    <xf numFmtId="0" fontId="11" fillId="0" borderId="0" xfId="5" applyFont="1"/>
    <xf numFmtId="0" fontId="11" fillId="0" borderId="0" xfId="5" applyFont="1" applyAlignment="1"/>
    <xf numFmtId="0" fontId="19" fillId="0" borderId="0" xfId="5" applyFont="1"/>
    <xf numFmtId="0" fontId="20" fillId="0" borderId="0" xfId="5" applyFont="1" applyAlignment="1"/>
    <xf numFmtId="0" fontId="19" fillId="0" borderId="0" xfId="5" applyFont="1" applyAlignment="1"/>
    <xf numFmtId="0" fontId="11" fillId="0" borderId="0" xfId="5" applyFont="1" applyAlignment="1"/>
    <xf numFmtId="0" fontId="19" fillId="0" borderId="3" xfId="5" applyFont="1" applyBorder="1" applyAlignment="1"/>
    <xf numFmtId="0" fontId="11" fillId="10" borderId="0" xfId="5" applyFont="1" applyFill="1"/>
    <xf numFmtId="0" fontId="11" fillId="11" borderId="0" xfId="5" applyFont="1" applyFill="1" applyAlignment="1"/>
    <xf numFmtId="0" fontId="11" fillId="6" borderId="0" xfId="5" applyFont="1" applyFill="1"/>
    <xf numFmtId="0" fontId="11" fillId="10" borderId="0" xfId="5" applyFont="1" applyFill="1" applyAlignment="1"/>
    <xf numFmtId="14" fontId="0" fillId="0" borderId="0" xfId="0" applyNumberFormat="1" applyFont="1" applyAlignment="1">
      <alignment horizontal="left"/>
    </xf>
    <xf numFmtId="0" fontId="22" fillId="0" borderId="0" xfId="0" applyNumberFormat="1" applyFont="1" applyFill="1" applyBorder="1" applyAlignment="1">
      <alignment horizontal="left"/>
    </xf>
    <xf numFmtId="44" fontId="22" fillId="0" borderId="0" xfId="0" applyNumberFormat="1" applyFont="1" applyFill="1" applyBorder="1" applyAlignment="1">
      <alignment horizontal="left"/>
    </xf>
    <xf numFmtId="44" fontId="11" fillId="0" borderId="0" xfId="5" applyNumberFormat="1" applyFont="1" applyAlignment="1">
      <alignment horizontal="center"/>
    </xf>
    <xf numFmtId="0" fontId="11" fillId="6" borderId="0" xfId="5" applyFont="1" applyFill="1" applyAlignment="1"/>
    <xf numFmtId="0" fontId="15" fillId="0" borderId="0" xfId="0" applyNumberFormat="1" applyFont="1" applyFill="1" applyBorder="1" applyAlignment="1">
      <alignment horizontal="left"/>
    </xf>
    <xf numFmtId="44" fontId="0" fillId="0" borderId="0" xfId="1" applyFont="1" applyFill="1" applyAlignment="1">
      <alignment horizontal="left"/>
    </xf>
    <xf numFmtId="0" fontId="2" fillId="0" borderId="2" xfId="0" applyFont="1" applyFill="1" applyBorder="1" applyAlignment="1">
      <alignment horizontal="left"/>
    </xf>
    <xf numFmtId="0" fontId="2" fillId="0" borderId="3" xfId="0" applyFont="1" applyFill="1" applyBorder="1" applyAlignment="1">
      <alignment horizontal="left"/>
    </xf>
    <xf numFmtId="44" fontId="2" fillId="0" borderId="3" xfId="1" applyFont="1" applyFill="1" applyBorder="1" applyAlignment="1">
      <alignment horizontal="left"/>
    </xf>
    <xf numFmtId="44" fontId="2" fillId="0" borderId="0" xfId="1" applyFont="1" applyFill="1" applyBorder="1" applyAlignment="1">
      <alignment horizontal="left"/>
    </xf>
    <xf numFmtId="14" fontId="0" fillId="0" borderId="0" xfId="0" applyNumberFormat="1" applyFill="1" applyAlignment="1">
      <alignment horizontal="left"/>
    </xf>
    <xf numFmtId="44" fontId="0" fillId="0" borderId="0" xfId="1" applyFont="1" applyAlignment="1">
      <alignment horizontal="left"/>
    </xf>
    <xf numFmtId="1" fontId="0" fillId="0" borderId="0" xfId="0" applyNumberFormat="1" applyFont="1" applyFill="1" applyAlignment="1">
      <alignment horizontal="left"/>
    </xf>
    <xf numFmtId="9" fontId="7" fillId="0" borderId="0" xfId="0" applyNumberFormat="1" applyFont="1" applyFill="1" applyBorder="1" applyAlignment="1">
      <alignment horizontal="left"/>
    </xf>
    <xf numFmtId="0" fontId="7" fillId="6" borderId="0" xfId="0" applyFont="1" applyFill="1" applyAlignment="1">
      <alignment horizontal="left"/>
    </xf>
    <xf numFmtId="0" fontId="0" fillId="0" borderId="0" xfId="0" applyFont="1" applyBorder="1" applyAlignment="1">
      <alignment horizontal="left"/>
    </xf>
    <xf numFmtId="44" fontId="0" fillId="0" borderId="0" xfId="1" applyFont="1" applyBorder="1" applyAlignment="1">
      <alignment horizontal="left"/>
    </xf>
    <xf numFmtId="0" fontId="0" fillId="0" borderId="0" xfId="0" applyAlignment="1">
      <alignment horizontal="left"/>
    </xf>
    <xf numFmtId="2" fontId="7" fillId="0" borderId="0" xfId="0" applyNumberFormat="1" applyFont="1" applyFill="1" applyBorder="1" applyAlignment="1">
      <alignment horizontal="left"/>
    </xf>
    <xf numFmtId="2" fontId="0" fillId="0" borderId="0" xfId="0" applyNumberFormat="1" applyFont="1" applyFill="1" applyBorder="1" applyAlignment="1">
      <alignment horizontal="left"/>
    </xf>
    <xf numFmtId="2" fontId="21" fillId="0" borderId="0" xfId="0" applyNumberFormat="1" applyFont="1" applyFill="1" applyBorder="1" applyAlignment="1">
      <alignment horizontal="left"/>
    </xf>
    <xf numFmtId="44" fontId="0" fillId="0" borderId="0" xfId="0" applyNumberFormat="1" applyFont="1" applyFill="1" applyBorder="1" applyAlignment="1">
      <alignment horizontal="left"/>
    </xf>
    <xf numFmtId="0" fontId="0" fillId="0" borderId="0" xfId="0" applyFont="1" applyAlignment="1">
      <alignment horizontal="left"/>
    </xf>
    <xf numFmtId="44" fontId="0" fillId="0" borderId="0" xfId="1" applyNumberFormat="1" applyFont="1" applyBorder="1" applyAlignment="1">
      <alignment horizontal="left"/>
    </xf>
    <xf numFmtId="0" fontId="0" fillId="0" borderId="0" xfId="0" applyFill="1" applyBorder="1" applyAlignment="1">
      <alignment horizontal="left"/>
    </xf>
    <xf numFmtId="0" fontId="0" fillId="0" borderId="0" xfId="0" applyFont="1" applyFill="1" applyBorder="1" applyAlignment="1">
      <alignment horizontal="left"/>
    </xf>
    <xf numFmtId="0" fontId="2" fillId="0" borderId="0" xfId="0" applyFont="1" applyAlignment="1">
      <alignment horizontal="left"/>
    </xf>
    <xf numFmtId="14" fontId="0" fillId="0" borderId="0" xfId="0" applyNumberFormat="1" applyFill="1" applyBorder="1" applyAlignment="1">
      <alignment horizontal="left"/>
    </xf>
    <xf numFmtId="0" fontId="26" fillId="0" borderId="0" xfId="0" applyFont="1" applyAlignment="1">
      <alignment horizontal="left"/>
    </xf>
    <xf numFmtId="0" fontId="4" fillId="0" borderId="0" xfId="0" applyFont="1" applyFill="1" applyAlignment="1">
      <alignment horizontal="left"/>
    </xf>
    <xf numFmtId="44" fontId="0" fillId="0" borderId="0" xfId="0" applyNumberFormat="1" applyFill="1" applyBorder="1" applyAlignment="1">
      <alignment horizontal="left"/>
    </xf>
    <xf numFmtId="1" fontId="7" fillId="0" borderId="0" xfId="0" applyNumberFormat="1" applyFont="1" applyFill="1" applyAlignment="1">
      <alignment horizontal="left"/>
    </xf>
    <xf numFmtId="44" fontId="11" fillId="0" borderId="0" xfId="1" applyNumberFormat="1" applyFont="1" applyAlignment="1"/>
    <xf numFmtId="44" fontId="11" fillId="0" borderId="0" xfId="1" applyNumberFormat="1" applyFont="1" applyAlignment="1">
      <alignment horizontal="center"/>
    </xf>
    <xf numFmtId="0" fontId="11" fillId="0" borderId="0" xfId="5" applyFont="1" applyFill="1" applyAlignment="1">
      <alignment vertical="top"/>
    </xf>
    <xf numFmtId="10" fontId="2" fillId="0" borderId="0" xfId="2" applyNumberFormat="1" applyFont="1" applyAlignment="1">
      <alignment horizontal="center"/>
    </xf>
    <xf numFmtId="44" fontId="7" fillId="13" borderId="0" xfId="0" applyNumberFormat="1" applyFont="1" applyFill="1" applyBorder="1" applyAlignment="1">
      <alignment horizontal="left"/>
    </xf>
    <xf numFmtId="1" fontId="17" fillId="0" borderId="0" xfId="0" applyNumberFormat="1" applyFont="1" applyFill="1" applyAlignment="1">
      <alignment horizontal="left"/>
    </xf>
    <xf numFmtId="1" fontId="0" fillId="0" borderId="0" xfId="0" applyNumberFormat="1" applyFont="1" applyFill="1" applyBorder="1" applyAlignment="1">
      <alignment horizontal="left"/>
    </xf>
    <xf numFmtId="44" fontId="7" fillId="14" borderId="0" xfId="0" applyNumberFormat="1" applyFont="1" applyFill="1" applyBorder="1" applyAlignment="1">
      <alignment horizontal="left"/>
    </xf>
    <xf numFmtId="44" fontId="22" fillId="14" borderId="0" xfId="0" applyNumberFormat="1" applyFont="1" applyFill="1" applyBorder="1" applyAlignment="1">
      <alignment horizontal="left"/>
    </xf>
    <xf numFmtId="14" fontId="4" fillId="3" borderId="0" xfId="1" applyNumberFormat="1" applyFont="1" applyFill="1" applyBorder="1" applyAlignment="1">
      <alignment horizontal="left"/>
    </xf>
    <xf numFmtId="0" fontId="4" fillId="3" borderId="0" xfId="1" applyNumberFormat="1" applyFont="1" applyFill="1" applyBorder="1" applyAlignment="1">
      <alignment horizontal="left"/>
    </xf>
    <xf numFmtId="0" fontId="0" fillId="0" borderId="0" xfId="1" applyNumberFormat="1" applyFont="1" applyAlignment="1">
      <alignment horizontal="left"/>
    </xf>
    <xf numFmtId="0" fontId="0" fillId="0" borderId="0" xfId="4" applyFont="1" applyAlignment="1">
      <alignment horizontal="left"/>
    </xf>
    <xf numFmtId="0" fontId="0" fillId="6" borderId="0" xfId="0" applyFill="1" applyAlignment="1">
      <alignment horizontal="left"/>
    </xf>
    <xf numFmtId="0" fontId="0" fillId="0" borderId="0" xfId="0" applyAlignment="1">
      <alignment horizontal="left" wrapText="1"/>
    </xf>
    <xf numFmtId="0" fontId="2" fillId="0" borderId="0" xfId="0" applyNumberFormat="1" applyFont="1" applyAlignment="1">
      <alignment horizontal="left" vertical="top"/>
    </xf>
    <xf numFmtId="0" fontId="0" fillId="0" borderId="0" xfId="0" applyNumberFormat="1" applyAlignment="1">
      <alignment horizontal="left" vertical="top"/>
    </xf>
    <xf numFmtId="10" fontId="0" fillId="0" borderId="0" xfId="2" applyNumberFormat="1" applyFont="1" applyAlignment="1">
      <alignment horizontal="center"/>
    </xf>
    <xf numFmtId="0" fontId="8" fillId="0" borderId="0" xfId="4" applyFont="1" applyAlignment="1">
      <alignment horizontal="left"/>
    </xf>
    <xf numFmtId="0" fontId="8" fillId="0" borderId="0" xfId="4" applyFont="1" applyFill="1" applyAlignment="1"/>
    <xf numFmtId="0" fontId="8" fillId="0" borderId="0" xfId="4" applyFont="1"/>
    <xf numFmtId="0" fontId="0" fillId="0" borderId="0" xfId="0" applyFont="1"/>
    <xf numFmtId="0" fontId="0" fillId="0" borderId="0" xfId="0" pivotButton="1" applyBorder="1" applyAlignment="1">
      <alignment horizontal="left"/>
    </xf>
    <xf numFmtId="44" fontId="0" fillId="0" borderId="0" xfId="0" applyNumberFormat="1" applyBorder="1" applyAlignment="1">
      <alignment horizontal="left"/>
    </xf>
    <xf numFmtId="0" fontId="0" fillId="0" borderId="0" xfId="0" applyAlignment="1">
      <alignment horizontal="left" vertical="top"/>
    </xf>
    <xf numFmtId="14" fontId="0" fillId="0" borderId="0" xfId="0" applyNumberFormat="1" applyAlignment="1">
      <alignment horizontal="left" vertical="top"/>
    </xf>
    <xf numFmtId="44" fontId="0" fillId="0" borderId="0" xfId="1" applyFont="1" applyAlignment="1">
      <alignment horizontal="left" vertical="top"/>
    </xf>
    <xf numFmtId="0" fontId="2" fillId="0" borderId="0" xfId="0" applyFont="1" applyAlignment="1">
      <alignment horizontal="left" vertical="top"/>
    </xf>
    <xf numFmtId="44" fontId="2" fillId="0" borderId="0" xfId="1" applyFont="1" applyAlignment="1">
      <alignment horizontal="left" vertical="top"/>
    </xf>
    <xf numFmtId="14" fontId="0" fillId="0" borderId="0" xfId="0" applyNumberFormat="1" applyFont="1" applyFill="1" applyBorder="1" applyAlignment="1">
      <alignment horizontal="left"/>
    </xf>
    <xf numFmtId="0" fontId="0" fillId="0" borderId="0" xfId="0" applyBorder="1"/>
    <xf numFmtId="0" fontId="0" fillId="0" borderId="0" xfId="0" applyFont="1" applyAlignment="1">
      <alignment horizontal="center"/>
    </xf>
    <xf numFmtId="44" fontId="0" fillId="0" borderId="0" xfId="1" applyFont="1" applyAlignment="1">
      <alignment horizontal="center"/>
    </xf>
    <xf numFmtId="0" fontId="4" fillId="3" borderId="0" xfId="0" applyNumberFormat="1" applyFont="1" applyFill="1" applyBorder="1" applyAlignment="1">
      <alignment horizontal="left"/>
    </xf>
    <xf numFmtId="14" fontId="15" fillId="0" borderId="0" xfId="0" applyNumberFormat="1" applyFont="1" applyFill="1" applyAlignment="1">
      <alignment horizontal="left"/>
    </xf>
    <xf numFmtId="14" fontId="15" fillId="0" borderId="0" xfId="1" applyNumberFormat="1" applyFont="1" applyFill="1" applyAlignment="1">
      <alignment horizontal="left"/>
    </xf>
    <xf numFmtId="0" fontId="0" fillId="0" borderId="0" xfId="0" pivotButton="1" applyFont="1" applyAlignment="1">
      <alignment horizontal="left"/>
    </xf>
    <xf numFmtId="0" fontId="0" fillId="0" borderId="0" xfId="0" pivotButton="1" applyNumberFormat="1" applyFont="1" applyAlignment="1">
      <alignment horizontal="left"/>
    </xf>
    <xf numFmtId="0" fontId="3" fillId="0" borderId="0" xfId="1" applyNumberFormat="1" applyFont="1" applyAlignment="1">
      <alignment horizontal="left"/>
    </xf>
    <xf numFmtId="167" fontId="0" fillId="0" borderId="0" xfId="0" applyNumberFormat="1" applyFont="1" applyAlignment="1">
      <alignment horizontal="center"/>
    </xf>
    <xf numFmtId="0" fontId="27" fillId="0" borderId="1" xfId="1" applyNumberFormat="1" applyFont="1" applyFill="1" applyBorder="1" applyAlignment="1" applyProtection="1">
      <alignment horizontal="left"/>
      <protection locked="0"/>
    </xf>
    <xf numFmtId="0" fontId="27" fillId="0" borderId="1" xfId="0" applyNumberFormat="1" applyFont="1" applyFill="1" applyBorder="1" applyAlignment="1">
      <alignment horizontal="left"/>
    </xf>
    <xf numFmtId="0" fontId="27" fillId="0" borderId="1" xfId="0" applyFont="1" applyFill="1" applyBorder="1" applyAlignment="1">
      <alignment horizontal="left"/>
    </xf>
    <xf numFmtId="0" fontId="31" fillId="0" borderId="0" xfId="0" applyFont="1" applyFill="1" applyAlignment="1">
      <alignment horizontal="left"/>
    </xf>
    <xf numFmtId="14" fontId="7" fillId="0" borderId="0" xfId="0" applyNumberFormat="1" applyFont="1" applyAlignment="1">
      <alignment horizontal="center"/>
    </xf>
    <xf numFmtId="14" fontId="27" fillId="0" borderId="1" xfId="1" applyNumberFormat="1" applyFont="1" applyFill="1" applyBorder="1" applyAlignment="1" applyProtection="1">
      <alignment horizontal="center"/>
      <protection locked="0"/>
    </xf>
    <xf numFmtId="14" fontId="0" fillId="0" borderId="0" xfId="1" applyNumberFormat="1" applyFont="1" applyFill="1" applyAlignment="1">
      <alignment horizontal="center"/>
    </xf>
    <xf numFmtId="14" fontId="7" fillId="0" borderId="0" xfId="1" applyNumberFormat="1" applyFont="1" applyFill="1" applyAlignment="1">
      <alignment horizontal="center"/>
    </xf>
    <xf numFmtId="14" fontId="0" fillId="0" borderId="0" xfId="0" applyNumberFormat="1" applyFont="1" applyAlignment="1">
      <alignment horizontal="center"/>
    </xf>
    <xf numFmtId="0" fontId="8" fillId="0" borderId="0" xfId="4" applyAlignment="1">
      <alignment horizontal="left"/>
    </xf>
    <xf numFmtId="0" fontId="2" fillId="0" borderId="0" xfId="0" applyFont="1" applyBorder="1" applyAlignment="1">
      <alignment horizontal="left"/>
    </xf>
    <xf numFmtId="0" fontId="0" fillId="0" borderId="0" xfId="0" applyBorder="1" applyAlignment="1">
      <alignment horizontal="left"/>
    </xf>
    <xf numFmtId="0" fontId="0" fillId="0" borderId="0" xfId="0" pivotButton="1" applyAlignment="1">
      <alignment horizontal="left"/>
    </xf>
    <xf numFmtId="0" fontId="2" fillId="0" borderId="0" xfId="0" applyFont="1" applyFill="1" applyBorder="1" applyAlignment="1"/>
    <xf numFmtId="44" fontId="2" fillId="0" borderId="0" xfId="1" applyFont="1" applyFill="1" applyBorder="1" applyAlignment="1"/>
    <xf numFmtId="14" fontId="0" fillId="0" borderId="0" xfId="4" applyNumberFormat="1" applyFont="1" applyFill="1" applyAlignment="1">
      <alignment horizontal="left"/>
    </xf>
    <xf numFmtId="0" fontId="7" fillId="0" borderId="0" xfId="0" applyFont="1" applyFill="1" applyBorder="1" applyAlignment="1">
      <alignment horizontal="left"/>
    </xf>
    <xf numFmtId="44" fontId="7" fillId="0" borderId="0" xfId="1" applyFont="1" applyFill="1" applyBorder="1" applyAlignment="1">
      <alignment horizontal="left"/>
    </xf>
    <xf numFmtId="44" fontId="0" fillId="0" borderId="0" xfId="1" applyNumberFormat="1" applyFont="1" applyFill="1" applyBorder="1" applyAlignment="1">
      <alignment horizontal="left"/>
    </xf>
    <xf numFmtId="44" fontId="7" fillId="0" borderId="0" xfId="1" applyNumberFormat="1" applyFont="1" applyFill="1" applyBorder="1" applyAlignment="1">
      <alignment horizontal="left"/>
    </xf>
    <xf numFmtId="14" fontId="15" fillId="0" borderId="0" xfId="0" applyNumberFormat="1" applyFont="1" applyFill="1" applyBorder="1" applyAlignment="1">
      <alignment horizontal="left"/>
    </xf>
    <xf numFmtId="44" fontId="0" fillId="0" borderId="0" xfId="1" applyFont="1" applyFill="1" applyBorder="1" applyAlignment="1">
      <alignment horizontal="left"/>
    </xf>
    <xf numFmtId="14" fontId="15" fillId="0" borderId="0" xfId="1" applyNumberFormat="1" applyFont="1" applyFill="1" applyBorder="1" applyAlignment="1">
      <alignment horizontal="left"/>
    </xf>
    <xf numFmtId="0" fontId="17" fillId="0" borderId="0" xfId="0" applyFont="1" applyFill="1" applyBorder="1" applyAlignment="1">
      <alignment horizontal="left"/>
    </xf>
    <xf numFmtId="1" fontId="17" fillId="0" borderId="0" xfId="0" applyNumberFormat="1" applyFont="1" applyFill="1" applyBorder="1" applyAlignment="1">
      <alignment horizontal="left"/>
    </xf>
    <xf numFmtId="14" fontId="17" fillId="0" borderId="0" xfId="0" applyNumberFormat="1" applyFont="1" applyFill="1" applyBorder="1" applyAlignment="1">
      <alignment horizontal="left"/>
    </xf>
    <xf numFmtId="1" fontId="7" fillId="0" borderId="0" xfId="0" applyNumberFormat="1" applyFont="1" applyFill="1" applyBorder="1" applyAlignment="1">
      <alignment horizontal="left"/>
    </xf>
    <xf numFmtId="0" fontId="7" fillId="0" borderId="0" xfId="0" applyFont="1" applyBorder="1" applyAlignment="1">
      <alignment horizontal="left"/>
    </xf>
    <xf numFmtId="14" fontId="0" fillId="0" borderId="0" xfId="1" applyNumberFormat="1" applyFont="1" applyBorder="1" applyAlignment="1">
      <alignment horizontal="left"/>
    </xf>
    <xf numFmtId="0" fontId="0" fillId="0" borderId="0" xfId="0" applyNumberFormat="1" applyFont="1" applyBorder="1" applyAlignment="1">
      <alignment horizontal="left"/>
    </xf>
    <xf numFmtId="1" fontId="0" fillId="0" borderId="0" xfId="0" applyNumberFormat="1" applyFont="1" applyBorder="1" applyAlignment="1">
      <alignment horizontal="left"/>
    </xf>
    <xf numFmtId="14" fontId="0" fillId="0" borderId="0" xfId="0" applyNumberFormat="1" applyFont="1" applyBorder="1" applyAlignment="1">
      <alignment horizontal="left"/>
    </xf>
    <xf numFmtId="44" fontId="11" fillId="0" borderId="0" xfId="1" applyFont="1" applyBorder="1" applyAlignment="1">
      <alignment horizontal="left"/>
    </xf>
    <xf numFmtId="0" fontId="11" fillId="0" borderId="0" xfId="5" applyFont="1" applyBorder="1" applyAlignment="1">
      <alignment horizontal="left"/>
    </xf>
    <xf numFmtId="0" fontId="0" fillId="4" borderId="0" xfId="0" applyFont="1" applyFill="1" applyBorder="1" applyAlignment="1">
      <alignment horizontal="left"/>
    </xf>
    <xf numFmtId="0" fontId="0" fillId="0" borderId="0" xfId="1" applyNumberFormat="1" applyFont="1" applyBorder="1" applyAlignment="1">
      <alignment horizontal="left"/>
    </xf>
    <xf numFmtId="0" fontId="4" fillId="5" borderId="2" xfId="0" applyFont="1" applyFill="1" applyBorder="1" applyAlignment="1">
      <alignment horizontal="left"/>
    </xf>
    <xf numFmtId="0" fontId="2" fillId="5" borderId="2" xfId="0" applyFont="1" applyFill="1" applyBorder="1" applyAlignment="1">
      <alignment horizontal="left"/>
    </xf>
    <xf numFmtId="0" fontId="4" fillId="5" borderId="3" xfId="0" applyFont="1" applyFill="1" applyBorder="1" applyAlignment="1">
      <alignment horizontal="left"/>
    </xf>
    <xf numFmtId="0" fontId="2" fillId="0" borderId="5" xfId="0" applyFont="1" applyBorder="1" applyAlignment="1">
      <alignment horizontal="left"/>
    </xf>
    <xf numFmtId="44" fontId="10" fillId="0" borderId="6" xfId="1" applyFont="1" applyBorder="1" applyAlignment="1">
      <alignment horizontal="left"/>
    </xf>
    <xf numFmtId="0" fontId="2" fillId="0" borderId="6" xfId="0" applyFont="1" applyBorder="1" applyAlignment="1">
      <alignment horizontal="left"/>
    </xf>
    <xf numFmtId="0" fontId="0" fillId="0" borderId="5" xfId="0" applyBorder="1" applyAlignment="1">
      <alignment horizontal="left"/>
    </xf>
    <xf numFmtId="0" fontId="0" fillId="0" borderId="6" xfId="0" applyBorder="1" applyAlignment="1">
      <alignment horizontal="left"/>
    </xf>
    <xf numFmtId="44" fontId="7" fillId="0" borderId="0" xfId="1" applyFont="1" applyBorder="1" applyAlignment="1">
      <alignment horizontal="left"/>
    </xf>
    <xf numFmtId="14" fontId="7" fillId="0" borderId="0" xfId="0" applyNumberFormat="1" applyFont="1" applyBorder="1" applyAlignment="1">
      <alignment horizontal="left"/>
    </xf>
    <xf numFmtId="1" fontId="7" fillId="0" borderId="0" xfId="0" applyNumberFormat="1" applyFont="1" applyBorder="1" applyAlignment="1">
      <alignment horizontal="left"/>
    </xf>
    <xf numFmtId="0" fontId="7" fillId="0" borderId="0" xfId="0" applyNumberFormat="1" applyFont="1" applyBorder="1" applyAlignment="1">
      <alignment horizontal="left"/>
    </xf>
    <xf numFmtId="164" fontId="7" fillId="0" borderId="0" xfId="0" applyNumberFormat="1" applyFont="1" applyBorder="1" applyAlignment="1">
      <alignment horizontal="left"/>
    </xf>
    <xf numFmtId="0" fontId="9" fillId="0" borderId="0" xfId="4" applyFont="1" applyFill="1" applyBorder="1" applyAlignment="1">
      <alignment horizontal="left"/>
    </xf>
    <xf numFmtId="44" fontId="7" fillId="0" borderId="0" xfId="1" applyNumberFormat="1" applyFont="1" applyBorder="1" applyAlignment="1">
      <alignment horizontal="left"/>
    </xf>
    <xf numFmtId="0" fontId="7" fillId="0" borderId="0" xfId="2" applyNumberFormat="1" applyFont="1" applyBorder="1" applyAlignment="1">
      <alignment horizontal="left"/>
    </xf>
    <xf numFmtId="44" fontId="7" fillId="0" borderId="0" xfId="0" applyNumberFormat="1" applyFont="1" applyBorder="1" applyAlignment="1">
      <alignment horizontal="left"/>
    </xf>
    <xf numFmtId="44" fontId="7" fillId="7" borderId="0" xfId="0" applyNumberFormat="1" applyFont="1" applyFill="1" applyBorder="1" applyAlignment="1">
      <alignment horizontal="left"/>
    </xf>
    <xf numFmtId="44" fontId="16" fillId="0" borderId="0" xfId="0" applyNumberFormat="1" applyFont="1" applyBorder="1" applyAlignment="1">
      <alignment horizontal="left"/>
    </xf>
    <xf numFmtId="0" fontId="12" fillId="0" borderId="0" xfId="0" applyFont="1" applyBorder="1" applyAlignment="1">
      <alignment horizontal="left"/>
    </xf>
    <xf numFmtId="0" fontId="0" fillId="0" borderId="0" xfId="1" applyNumberFormat="1" applyFont="1" applyFill="1" applyBorder="1" applyAlignment="1">
      <alignment horizontal="left"/>
    </xf>
    <xf numFmtId="14" fontId="0" fillId="0" borderId="0" xfId="1" applyNumberFormat="1" applyFont="1" applyFill="1" applyBorder="1" applyAlignment="1">
      <alignment horizontal="left"/>
    </xf>
    <xf numFmtId="0" fontId="8" fillId="0" borderId="0" xfId="4" applyNumberFormat="1" applyFont="1" applyFill="1" applyBorder="1" applyAlignment="1">
      <alignment horizontal="left"/>
    </xf>
    <xf numFmtId="44" fontId="0" fillId="0" borderId="0" xfId="0" applyNumberFormat="1" applyFont="1" applyBorder="1" applyAlignment="1">
      <alignment horizontal="left"/>
    </xf>
    <xf numFmtId="165" fontId="7" fillId="0" borderId="0" xfId="1" applyNumberFormat="1" applyFont="1" applyBorder="1" applyAlignment="1">
      <alignment horizontal="left"/>
    </xf>
    <xf numFmtId="0" fontId="8" fillId="0" borderId="0" xfId="4" applyFont="1" applyFill="1" applyBorder="1" applyAlignment="1">
      <alignment horizontal="left"/>
    </xf>
    <xf numFmtId="44" fontId="16" fillId="0" borderId="0" xfId="0" applyNumberFormat="1" applyFont="1" applyFill="1" applyBorder="1" applyAlignment="1">
      <alignment horizontal="left"/>
    </xf>
    <xf numFmtId="18" fontId="0" fillId="0" borderId="0" xfId="0" applyNumberFormat="1" applyFont="1" applyBorder="1" applyAlignment="1">
      <alignment horizontal="left"/>
    </xf>
    <xf numFmtId="44" fontId="15" fillId="0" borderId="0" xfId="0" applyNumberFormat="1" applyFont="1" applyBorder="1" applyAlignment="1">
      <alignment horizontal="left"/>
    </xf>
    <xf numFmtId="18" fontId="0" fillId="0" borderId="0" xfId="0" applyNumberFormat="1" applyFont="1" applyFill="1" applyBorder="1" applyAlignment="1">
      <alignment horizontal="left"/>
    </xf>
    <xf numFmtId="44" fontId="6" fillId="0" borderId="0" xfId="0" applyNumberFormat="1" applyFont="1" applyBorder="1" applyAlignment="1">
      <alignment horizontal="left"/>
    </xf>
    <xf numFmtId="20" fontId="0" fillId="0" borderId="0" xfId="0" applyNumberFormat="1" applyFont="1" applyBorder="1" applyAlignment="1">
      <alignment horizontal="left"/>
    </xf>
    <xf numFmtId="44" fontId="25" fillId="0" borderId="0" xfId="0" applyNumberFormat="1" applyFont="1" applyBorder="1" applyAlignment="1">
      <alignment horizontal="left"/>
    </xf>
    <xf numFmtId="20" fontId="7" fillId="0" borderId="0" xfId="0" applyNumberFormat="1" applyFont="1" applyBorder="1" applyAlignment="1">
      <alignment horizontal="left"/>
    </xf>
    <xf numFmtId="3" fontId="0" fillId="0" borderId="0" xfId="0" applyNumberFormat="1" applyFont="1" applyBorder="1" applyAlignment="1">
      <alignment horizontal="left"/>
    </xf>
    <xf numFmtId="3" fontId="7" fillId="0" borderId="0" xfId="0" applyNumberFormat="1" applyFont="1" applyBorder="1" applyAlignment="1">
      <alignment horizontal="left"/>
    </xf>
    <xf numFmtId="0" fontId="0" fillId="0" borderId="0" xfId="0" applyFont="1" applyBorder="1" applyAlignment="1">
      <alignment horizontal="left" wrapText="1"/>
    </xf>
    <xf numFmtId="1" fontId="0" fillId="0" borderId="0" xfId="0" applyNumberFormat="1" applyFont="1" applyBorder="1" applyAlignment="1">
      <alignment horizontal="left" wrapText="1"/>
    </xf>
    <xf numFmtId="44" fontId="6" fillId="0" borderId="0" xfId="0" applyNumberFormat="1" applyFont="1" applyFill="1" applyBorder="1" applyAlignment="1">
      <alignment horizontal="left"/>
    </xf>
    <xf numFmtId="14" fontId="0" fillId="0" borderId="0" xfId="0" applyNumberFormat="1" applyFont="1" applyBorder="1" applyAlignment="1">
      <alignment horizontal="left" wrapText="1"/>
    </xf>
    <xf numFmtId="20" fontId="0" fillId="0" borderId="0" xfId="0" applyNumberFormat="1" applyFont="1" applyBorder="1" applyAlignment="1">
      <alignment horizontal="left" wrapText="1"/>
    </xf>
    <xf numFmtId="0" fontId="0" fillId="0" borderId="0" xfId="6" applyNumberFormat="1" applyFont="1" applyBorder="1" applyAlignment="1">
      <alignment horizontal="left"/>
    </xf>
    <xf numFmtId="14" fontId="22" fillId="0" borderId="0" xfId="0" applyNumberFormat="1" applyFont="1" applyFill="1" applyBorder="1" applyAlignment="1">
      <alignment horizontal="left"/>
    </xf>
    <xf numFmtId="14" fontId="21" fillId="0" borderId="0" xfId="0" applyNumberFormat="1" applyFont="1" applyBorder="1" applyAlignment="1">
      <alignment horizontal="left"/>
    </xf>
    <xf numFmtId="1" fontId="21" fillId="0" borderId="0" xfId="0" applyNumberFormat="1" applyFont="1" applyBorder="1" applyAlignment="1">
      <alignment horizontal="left"/>
    </xf>
    <xf numFmtId="0" fontId="21" fillId="0" borderId="0" xfId="0" applyFont="1" applyBorder="1" applyAlignment="1">
      <alignment horizontal="left"/>
    </xf>
    <xf numFmtId="0" fontId="22" fillId="0" borderId="0" xfId="0" applyFont="1" applyBorder="1" applyAlignment="1">
      <alignment horizontal="left"/>
    </xf>
    <xf numFmtId="0" fontId="21" fillId="0" borderId="0" xfId="0" applyNumberFormat="1" applyFont="1" applyBorder="1" applyAlignment="1">
      <alignment horizontal="left"/>
    </xf>
    <xf numFmtId="0" fontId="22" fillId="0" borderId="0" xfId="1" applyNumberFormat="1" applyFont="1" applyFill="1" applyBorder="1" applyAlignment="1">
      <alignment horizontal="left"/>
    </xf>
    <xf numFmtId="14" fontId="22" fillId="0" borderId="0" xfId="1" applyNumberFormat="1" applyFont="1" applyFill="1" applyBorder="1" applyAlignment="1">
      <alignment horizontal="left"/>
    </xf>
    <xf numFmtId="0" fontId="23" fillId="0" borderId="0" xfId="4" applyNumberFormat="1" applyFont="1" applyFill="1" applyBorder="1" applyAlignment="1">
      <alignment horizontal="left"/>
    </xf>
    <xf numFmtId="14" fontId="22" fillId="0" borderId="0" xfId="0" applyNumberFormat="1" applyFont="1" applyBorder="1" applyAlignment="1">
      <alignment horizontal="left"/>
    </xf>
    <xf numFmtId="44" fontId="21" fillId="0" borderId="0" xfId="0" applyNumberFormat="1" applyFont="1" applyBorder="1" applyAlignment="1">
      <alignment horizontal="left"/>
    </xf>
    <xf numFmtId="44" fontId="22" fillId="0" borderId="0" xfId="0" applyNumberFormat="1" applyFont="1" applyBorder="1" applyAlignment="1">
      <alignment horizontal="left"/>
    </xf>
    <xf numFmtId="44" fontId="21" fillId="0" borderId="0" xfId="1" applyNumberFormat="1" applyFont="1" applyFill="1" applyBorder="1" applyAlignment="1">
      <alignment horizontal="left"/>
    </xf>
    <xf numFmtId="0" fontId="21" fillId="0" borderId="0" xfId="0" applyNumberFormat="1" applyFont="1" applyFill="1" applyBorder="1" applyAlignment="1">
      <alignment horizontal="left"/>
    </xf>
    <xf numFmtId="44" fontId="21" fillId="0" borderId="0" xfId="0" applyNumberFormat="1" applyFont="1" applyFill="1" applyBorder="1" applyAlignment="1">
      <alignment horizontal="left"/>
    </xf>
    <xf numFmtId="44" fontId="22" fillId="7" borderId="0" xfId="0" applyNumberFormat="1" applyFont="1" applyFill="1" applyBorder="1" applyAlignment="1">
      <alignment horizontal="left"/>
    </xf>
    <xf numFmtId="44" fontId="28" fillId="0" borderId="0" xfId="0" applyNumberFormat="1" applyFont="1" applyBorder="1" applyAlignment="1">
      <alignment horizontal="left"/>
    </xf>
    <xf numFmtId="14" fontId="21" fillId="0" borderId="0" xfId="0" applyNumberFormat="1" applyFont="1" applyFill="1" applyBorder="1" applyAlignment="1">
      <alignment horizontal="left"/>
    </xf>
    <xf numFmtId="44" fontId="24" fillId="0" borderId="0" xfId="0" applyNumberFormat="1" applyFont="1" applyBorder="1" applyAlignment="1">
      <alignment horizontal="left"/>
    </xf>
    <xf numFmtId="0" fontId="6" fillId="12" borderId="0" xfId="0" applyNumberFormat="1" applyFont="1" applyFill="1" applyBorder="1" applyAlignment="1">
      <alignment horizontal="left"/>
    </xf>
    <xf numFmtId="44" fontId="6" fillId="12" borderId="0" xfId="0" applyNumberFormat="1" applyFont="1" applyFill="1" applyBorder="1" applyAlignment="1">
      <alignment horizontal="left"/>
    </xf>
    <xf numFmtId="44" fontId="0" fillId="7" borderId="0" xfId="0" applyNumberFormat="1" applyFont="1" applyFill="1" applyBorder="1" applyAlignment="1">
      <alignment horizontal="left"/>
    </xf>
    <xf numFmtId="0" fontId="0" fillId="0" borderId="0" xfId="2" applyNumberFormat="1" applyFont="1" applyFill="1" applyBorder="1" applyAlignment="1">
      <alignment horizontal="left"/>
    </xf>
    <xf numFmtId="0" fontId="0" fillId="0" borderId="0" xfId="0" applyFont="1" applyBorder="1"/>
    <xf numFmtId="0" fontId="8" fillId="0" borderId="0" xfId="4" applyFont="1" applyBorder="1" applyAlignment="1">
      <alignment horizontal="left"/>
    </xf>
    <xf numFmtId="164" fontId="0" fillId="0" borderId="0" xfId="1" applyNumberFormat="1" applyFont="1" applyFill="1" applyBorder="1" applyAlignment="1">
      <alignment horizontal="left"/>
    </xf>
    <xf numFmtId="0" fontId="32" fillId="0" borderId="0" xfId="1" applyNumberFormat="1" applyFont="1" applyFill="1" applyBorder="1" applyAlignment="1">
      <alignment horizontal="left"/>
    </xf>
    <xf numFmtId="10" fontId="0" fillId="0" borderId="0" xfId="2" applyNumberFormat="1" applyFont="1" applyFill="1" applyBorder="1" applyAlignment="1">
      <alignment horizontal="left"/>
    </xf>
    <xf numFmtId="0" fontId="2" fillId="0" borderId="0" xfId="0" applyFont="1" applyFill="1" applyBorder="1" applyAlignment="1">
      <alignment horizontal="left"/>
    </xf>
    <xf numFmtId="0" fontId="29" fillId="0" borderId="0" xfId="0" applyFont="1"/>
    <xf numFmtId="0" fontId="29" fillId="0" borderId="0" xfId="0" applyFont="1" applyAlignment="1">
      <alignment horizontal="left"/>
    </xf>
    <xf numFmtId="0" fontId="8" fillId="0" borderId="0" xfId="4" applyFont="1" applyFill="1" applyBorder="1" applyAlignment="1">
      <alignment horizontal="left" wrapText="1"/>
    </xf>
    <xf numFmtId="3" fontId="0" fillId="0" borderId="0" xfId="0" applyNumberFormat="1" applyFont="1" applyFill="1" applyBorder="1" applyAlignment="1">
      <alignment horizontal="left"/>
    </xf>
    <xf numFmtId="20" fontId="0" fillId="0" borderId="0" xfId="0" applyNumberFormat="1" applyFont="1" applyFill="1" applyBorder="1" applyAlignment="1">
      <alignment horizontal="left"/>
    </xf>
    <xf numFmtId="0" fontId="0" fillId="0" borderId="0" xfId="0" applyNumberFormat="1" applyFont="1" applyBorder="1" applyAlignment="1">
      <alignment horizontal="left" vertical="top"/>
    </xf>
    <xf numFmtId="166" fontId="0" fillId="0" borderId="0" xfId="0" applyNumberFormat="1" applyFont="1" applyFill="1" applyBorder="1" applyAlignment="1">
      <alignment horizontal="left"/>
    </xf>
    <xf numFmtId="0" fontId="0" fillId="14" borderId="0" xfId="0" applyFont="1" applyFill="1" applyBorder="1" applyAlignment="1">
      <alignment horizontal="left"/>
    </xf>
    <xf numFmtId="0" fontId="33" fillId="0" borderId="0" xfId="0" applyFont="1" applyBorder="1"/>
    <xf numFmtId="44" fontId="2" fillId="0" borderId="0" xfId="1" applyNumberFormat="1" applyFont="1" applyFill="1" applyBorder="1" applyAlignment="1">
      <alignment horizontal="left"/>
    </xf>
    <xf numFmtId="0" fontId="7" fillId="0" borderId="0" xfId="0" applyNumberFormat="1" applyFont="1" applyAlignment="1">
      <alignment horizontal="left" vertical="top"/>
    </xf>
    <xf numFmtId="10" fontId="7" fillId="0" borderId="0" xfId="2" applyNumberFormat="1" applyFont="1" applyAlignment="1">
      <alignment horizontal="center"/>
    </xf>
    <xf numFmtId="0" fontId="7" fillId="0" borderId="0" xfId="4" applyFont="1" applyAlignment="1">
      <alignment horizontal="left"/>
    </xf>
    <xf numFmtId="0" fontId="34" fillId="0" borderId="0" xfId="0" applyNumberFormat="1" applyFont="1" applyFill="1" applyBorder="1" applyAlignment="1">
      <alignment horizontal="left"/>
    </xf>
    <xf numFmtId="0" fontId="34" fillId="0" borderId="0" xfId="1" applyNumberFormat="1" applyFont="1" applyFill="1" applyBorder="1" applyAlignment="1">
      <alignment horizontal="left"/>
    </xf>
    <xf numFmtId="44" fontId="34" fillId="0" borderId="0" xfId="0" applyNumberFormat="1" applyFont="1" applyFill="1" applyBorder="1" applyAlignment="1">
      <alignment horizontal="left"/>
    </xf>
    <xf numFmtId="44" fontId="34" fillId="7" borderId="0" xfId="0" applyNumberFormat="1" applyFont="1" applyFill="1" applyBorder="1" applyAlignment="1">
      <alignment horizontal="left"/>
    </xf>
    <xf numFmtId="44" fontId="35" fillId="0" borderId="0" xfId="0" applyNumberFormat="1" applyFont="1" applyFill="1" applyBorder="1" applyAlignment="1">
      <alignment horizontal="left"/>
    </xf>
    <xf numFmtId="44" fontId="34" fillId="14" borderId="0" xfId="0" applyNumberFormat="1" applyFont="1" applyFill="1" applyBorder="1" applyAlignment="1">
      <alignment horizontal="left"/>
    </xf>
    <xf numFmtId="44" fontId="34" fillId="0" borderId="0" xfId="1" applyNumberFormat="1" applyFont="1" applyFill="1" applyBorder="1" applyAlignment="1">
      <alignment horizontal="left"/>
    </xf>
    <xf numFmtId="14" fontId="37" fillId="0" borderId="0" xfId="0" applyNumberFormat="1" applyFont="1" applyFill="1" applyBorder="1" applyAlignment="1">
      <alignment horizontal="left"/>
    </xf>
    <xf numFmtId="14" fontId="37" fillId="0" borderId="0" xfId="1" applyNumberFormat="1" applyFont="1" applyFill="1" applyBorder="1" applyAlignment="1">
      <alignment horizontal="left"/>
    </xf>
    <xf numFmtId="2" fontId="0" fillId="0" borderId="0" xfId="0" applyNumberFormat="1" applyFill="1" applyAlignment="1">
      <alignment horizontal="left"/>
    </xf>
    <xf numFmtId="0" fontId="11" fillId="0" borderId="0" xfId="5" applyFont="1" applyBorder="1" applyAlignment="1"/>
    <xf numFmtId="0" fontId="11" fillId="0" borderId="0" xfId="5" applyFont="1" applyFill="1" applyBorder="1" applyAlignment="1"/>
    <xf numFmtId="0" fontId="11" fillId="0" borderId="0" xfId="5" applyFont="1" applyFill="1" applyAlignment="1"/>
    <xf numFmtId="0" fontId="19" fillId="0" borderId="7" xfId="5" applyFont="1" applyFill="1" applyBorder="1" applyAlignment="1"/>
    <xf numFmtId="0" fontId="10" fillId="0" borderId="0" xfId="0" applyFont="1" applyAlignment="1">
      <alignment horizontal="left"/>
    </xf>
    <xf numFmtId="14" fontId="10" fillId="0" borderId="0" xfId="0" applyNumberFormat="1" applyFont="1" applyAlignment="1">
      <alignment horizontal="left"/>
    </xf>
    <xf numFmtId="0" fontId="4" fillId="3" borderId="1" xfId="1" applyNumberFormat="1" applyFont="1" applyFill="1" applyBorder="1" applyAlignment="1" applyProtection="1">
      <alignment horizontal="left"/>
      <protection locked="0"/>
    </xf>
    <xf numFmtId="0" fontId="11" fillId="0" borderId="16" xfId="5" applyFont="1" applyBorder="1" applyAlignment="1"/>
    <xf numFmtId="14" fontId="10" fillId="0" borderId="0" xfId="0" applyNumberFormat="1" applyFont="1" applyFill="1" applyAlignment="1">
      <alignment horizontal="center"/>
    </xf>
    <xf numFmtId="164" fontId="10" fillId="0" borderId="0" xfId="0" applyNumberFormat="1" applyFont="1" applyAlignment="1">
      <alignment horizontal="left"/>
    </xf>
    <xf numFmtId="0" fontId="0" fillId="0" borderId="0" xfId="0" applyNumberFormat="1" applyFont="1" applyBorder="1" applyAlignment="1">
      <alignment horizontal="left" wrapText="1"/>
    </xf>
    <xf numFmtId="14" fontId="0" fillId="0" borderId="0" xfId="0" applyNumberFormat="1"/>
    <xf numFmtId="0" fontId="0" fillId="13" borderId="0" xfId="0" applyFont="1" applyFill="1" applyBorder="1" applyAlignment="1">
      <alignment horizontal="left"/>
    </xf>
    <xf numFmtId="44" fontId="7" fillId="15" borderId="0" xfId="0" applyNumberFormat="1" applyFont="1" applyFill="1" applyBorder="1" applyAlignment="1">
      <alignment horizontal="left"/>
    </xf>
    <xf numFmtId="44" fontId="6" fillId="15" borderId="0" xfId="0" applyNumberFormat="1" applyFont="1" applyFill="1" applyBorder="1" applyAlignment="1">
      <alignment horizontal="left"/>
    </xf>
    <xf numFmtId="44" fontId="22" fillId="15" borderId="0" xfId="0" applyNumberFormat="1" applyFont="1" applyFill="1" applyBorder="1" applyAlignment="1">
      <alignment horizontal="left"/>
    </xf>
    <xf numFmtId="44" fontId="15" fillId="15" borderId="0" xfId="0" applyNumberFormat="1" applyFont="1" applyFill="1" applyBorder="1" applyAlignment="1">
      <alignment horizontal="left"/>
    </xf>
    <xf numFmtId="44" fontId="0" fillId="15" borderId="0" xfId="0" applyNumberFormat="1" applyFont="1" applyFill="1" applyBorder="1" applyAlignment="1">
      <alignment horizontal="left"/>
    </xf>
    <xf numFmtId="44" fontId="34" fillId="15" borderId="0" xfId="0" applyNumberFormat="1" applyFont="1" applyFill="1" applyBorder="1" applyAlignment="1">
      <alignment horizontal="left"/>
    </xf>
    <xf numFmtId="0" fontId="0" fillId="15" borderId="0" xfId="0" applyFont="1" applyFill="1" applyBorder="1" applyAlignment="1">
      <alignment horizontal="left"/>
    </xf>
    <xf numFmtId="0" fontId="2" fillId="0" borderId="3" xfId="0" applyNumberFormat="1" applyFont="1" applyFill="1" applyBorder="1" applyAlignment="1">
      <alignment horizontal="left"/>
    </xf>
    <xf numFmtId="0" fontId="0" fillId="0" borderId="0" xfId="0" applyNumberFormat="1" applyFill="1" applyAlignment="1">
      <alignment horizontal="left"/>
    </xf>
    <xf numFmtId="0" fontId="0" fillId="7" borderId="0" xfId="0" applyFont="1" applyFill="1" applyBorder="1" applyAlignment="1">
      <alignment horizontal="left"/>
    </xf>
    <xf numFmtId="14" fontId="17" fillId="0" borderId="0" xfId="0" applyNumberFormat="1" applyFont="1" applyFill="1" applyAlignment="1">
      <alignment horizontal="left"/>
    </xf>
    <xf numFmtId="0" fontId="34" fillId="0" borderId="0" xfId="2" applyNumberFormat="1" applyFont="1" applyFill="1" applyBorder="1" applyAlignment="1">
      <alignment horizontal="left"/>
    </xf>
    <xf numFmtId="44" fontId="6" fillId="0" borderId="0" xfId="1" applyFont="1" applyFill="1" applyBorder="1" applyAlignment="1">
      <alignment horizontal="left"/>
    </xf>
    <xf numFmtId="44" fontId="22" fillId="0" borderId="0" xfId="1" applyFont="1" applyFill="1" applyBorder="1" applyAlignment="1">
      <alignment horizontal="left"/>
    </xf>
    <xf numFmtId="44" fontId="6" fillId="12" borderId="0" xfId="1" applyFont="1" applyFill="1" applyBorder="1" applyAlignment="1">
      <alignment horizontal="left"/>
    </xf>
    <xf numFmtId="44" fontId="22" fillId="0" borderId="0" xfId="1" applyFont="1" applyBorder="1" applyAlignment="1">
      <alignment horizontal="left"/>
    </xf>
    <xf numFmtId="14" fontId="0" fillId="0" borderId="0" xfId="0" applyNumberFormat="1" applyBorder="1" applyAlignment="1">
      <alignment horizontal="left"/>
    </xf>
    <xf numFmtId="11" fontId="0" fillId="0" borderId="0" xfId="0" applyNumberFormat="1" applyAlignment="1">
      <alignment horizontal="left"/>
    </xf>
    <xf numFmtId="14" fontId="4" fillId="0" borderId="0" xfId="0" applyNumberFormat="1" applyFont="1" applyFill="1" applyAlignment="1">
      <alignment horizontal="left"/>
    </xf>
    <xf numFmtId="164" fontId="0" fillId="0" borderId="0" xfId="1" applyNumberFormat="1" applyFont="1" applyFill="1" applyAlignment="1">
      <alignment horizontal="left"/>
    </xf>
    <xf numFmtId="0" fontId="7" fillId="0" borderId="0" xfId="2" applyNumberFormat="1" applyFont="1" applyFill="1" applyBorder="1" applyAlignment="1">
      <alignment horizontal="left"/>
    </xf>
    <xf numFmtId="0" fontId="7" fillId="0" borderId="0" xfId="4" applyNumberFormat="1" applyFont="1" applyAlignment="1">
      <alignment horizontal="left" vertical="top"/>
    </xf>
    <xf numFmtId="0" fontId="5" fillId="0" borderId="0" xfId="0" applyNumberFormat="1" applyFont="1" applyAlignment="1">
      <alignment horizontal="left" vertical="top"/>
    </xf>
    <xf numFmtId="0" fontId="50" fillId="0" borderId="0" xfId="0" applyFont="1"/>
    <xf numFmtId="0" fontId="50" fillId="0" borderId="0" xfId="0" applyFont="1" applyAlignment="1">
      <alignment horizontal="left"/>
    </xf>
    <xf numFmtId="0" fontId="51" fillId="48" borderId="0" xfId="0" applyFont="1" applyFill="1" applyAlignment="1">
      <alignment vertical="center" wrapText="1"/>
    </xf>
    <xf numFmtId="0" fontId="51" fillId="0" borderId="0" xfId="0" applyFont="1"/>
    <xf numFmtId="3" fontId="51" fillId="48" borderId="0" xfId="0" applyNumberFormat="1" applyFont="1" applyFill="1" applyAlignment="1">
      <alignment horizontal="left" vertical="top" wrapText="1"/>
    </xf>
    <xf numFmtId="0" fontId="52" fillId="48" borderId="0" xfId="0" applyFont="1" applyFill="1" applyAlignment="1">
      <alignment vertical="center" wrapText="1"/>
    </xf>
    <xf numFmtId="14" fontId="0" fillId="9" borderId="0" xfId="0" applyNumberFormat="1" applyFill="1" applyAlignment="1">
      <alignment horizontal="left"/>
    </xf>
    <xf numFmtId="0" fontId="0" fillId="9" borderId="0" xfId="0" applyFill="1" applyAlignment="1">
      <alignment horizontal="left"/>
    </xf>
    <xf numFmtId="44" fontId="0" fillId="9" borderId="0" xfId="0" applyNumberFormat="1" applyFill="1" applyAlignment="1">
      <alignment horizontal="left"/>
    </xf>
    <xf numFmtId="0" fontId="2" fillId="0" borderId="0" xfId="0" applyFont="1" applyAlignment="1"/>
    <xf numFmtId="14" fontId="4" fillId="3" borderId="0" xfId="0" applyNumberFormat="1" applyFont="1" applyFill="1" applyAlignment="1"/>
    <xf numFmtId="0" fontId="4" fillId="3" borderId="0" xfId="0" applyNumberFormat="1" applyFont="1" applyFill="1" applyAlignment="1"/>
    <xf numFmtId="0" fontId="4" fillId="3" borderId="0" xfId="0" applyFont="1" applyFill="1" applyBorder="1" applyAlignment="1"/>
    <xf numFmtId="44" fontId="2" fillId="0" borderId="0" xfId="1" applyFont="1" applyBorder="1" applyAlignment="1"/>
    <xf numFmtId="0" fontId="4" fillId="3" borderId="0" xfId="1" applyNumberFormat="1" applyFont="1" applyFill="1" applyAlignment="1"/>
    <xf numFmtId="0" fontId="0" fillId="0" borderId="0" xfId="0" applyAlignment="1">
      <alignment horizontal="left"/>
    </xf>
    <xf numFmtId="14" fontId="0" fillId="0" borderId="0" xfId="0" applyNumberFormat="1" applyAlignment="1">
      <alignment horizontal="left"/>
    </xf>
    <xf numFmtId="0" fontId="0" fillId="0" borderId="0" xfId="0" applyFont="1" applyBorder="1" applyAlignment="1">
      <alignment horizontal="left"/>
    </xf>
    <xf numFmtId="44" fontId="3" fillId="0" borderId="0" xfId="1" applyFont="1" applyFill="1" applyBorder="1" applyAlignment="1">
      <alignment horizontal="left"/>
    </xf>
    <xf numFmtId="0" fontId="3" fillId="0" borderId="0" xfId="0" applyFont="1" applyFill="1" applyBorder="1" applyAlignment="1">
      <alignment horizontal="left"/>
    </xf>
    <xf numFmtId="14" fontId="3" fillId="0" borderId="0" xfId="0" applyNumberFormat="1" applyFont="1" applyFill="1" applyBorder="1" applyAlignment="1">
      <alignment horizontal="left"/>
    </xf>
    <xf numFmtId="1" fontId="3"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0" xfId="0" applyNumberFormat="1" applyFont="1" applyBorder="1" applyAlignment="1">
      <alignment horizontal="left"/>
    </xf>
    <xf numFmtId="20" fontId="3" fillId="0" borderId="0" xfId="0" applyNumberFormat="1" applyFont="1" applyFill="1" applyBorder="1" applyAlignment="1">
      <alignment horizontal="left"/>
    </xf>
    <xf numFmtId="0" fontId="3" fillId="0" borderId="0" xfId="1" applyNumberFormat="1" applyFont="1" applyFill="1" applyBorder="1" applyAlignment="1">
      <alignment horizontal="left"/>
    </xf>
    <xf numFmtId="44" fontId="3" fillId="0" borderId="0" xfId="1" applyNumberFormat="1" applyFont="1" applyFill="1" applyBorder="1" applyAlignment="1">
      <alignment horizontal="left"/>
    </xf>
    <xf numFmtId="0" fontId="3" fillId="0" borderId="0" xfId="2" applyNumberFormat="1" applyFont="1" applyFill="1" applyBorder="1" applyAlignment="1">
      <alignment horizontal="left"/>
    </xf>
    <xf numFmtId="14" fontId="3" fillId="0" borderId="0" xfId="1" applyNumberFormat="1" applyFont="1" applyFill="1" applyBorder="1" applyAlignment="1">
      <alignment horizontal="left"/>
    </xf>
    <xf numFmtId="3" fontId="3" fillId="0" borderId="0" xfId="0" applyNumberFormat="1" applyFont="1" applyFill="1" applyBorder="1" applyAlignment="1">
      <alignment horizontal="left"/>
    </xf>
    <xf numFmtId="1" fontId="3" fillId="0" borderId="0" xfId="0" applyNumberFormat="1" applyFont="1" applyFill="1" applyAlignment="1">
      <alignment horizontal="left"/>
    </xf>
    <xf numFmtId="0" fontId="3" fillId="0" borderId="0" xfId="0" applyNumberFormat="1" applyFont="1" applyFill="1" applyAlignment="1">
      <alignment horizontal="left"/>
    </xf>
    <xf numFmtId="14" fontId="3" fillId="0" borderId="0" xfId="0" applyNumberFormat="1" applyFont="1" applyFill="1" applyAlignment="1">
      <alignment horizontal="left"/>
    </xf>
    <xf numFmtId="0" fontId="3" fillId="0" borderId="0" xfId="0" applyFont="1" applyFill="1" applyAlignment="1">
      <alignment horizontal="left"/>
    </xf>
    <xf numFmtId="44" fontId="3" fillId="0" borderId="0" xfId="1" applyFont="1" applyFill="1" applyAlignment="1">
      <alignment horizontal="left"/>
    </xf>
    <xf numFmtId="10" fontId="3" fillId="0" borderId="0" xfId="2" applyNumberFormat="1" applyFont="1" applyAlignment="1">
      <alignment horizontal="center"/>
    </xf>
    <xf numFmtId="14" fontId="3" fillId="0" borderId="0" xfId="1" applyNumberFormat="1" applyFont="1" applyFill="1" applyAlignment="1">
      <alignment horizontal="left"/>
    </xf>
    <xf numFmtId="0" fontId="3" fillId="0" borderId="0" xfId="1" applyNumberFormat="1" applyFont="1" applyFill="1" applyAlignment="1">
      <alignment horizontal="left"/>
    </xf>
    <xf numFmtId="14" fontId="3" fillId="0" borderId="0" xfId="0" applyNumberFormat="1" applyFont="1" applyBorder="1" applyAlignment="1">
      <alignment horizontal="left"/>
    </xf>
    <xf numFmtId="0" fontId="3" fillId="0" borderId="0" xfId="0" applyFont="1" applyBorder="1" applyAlignment="1">
      <alignment horizontal="left"/>
    </xf>
    <xf numFmtId="1" fontId="3" fillId="0" borderId="0" xfId="0" applyNumberFormat="1" applyFont="1" applyBorder="1" applyAlignment="1">
      <alignment horizontal="left"/>
    </xf>
    <xf numFmtId="44" fontId="3" fillId="0" borderId="0" xfId="1" applyFont="1" applyBorder="1" applyAlignment="1">
      <alignment horizontal="left"/>
    </xf>
    <xf numFmtId="14" fontId="3" fillId="0" borderId="0" xfId="1" applyNumberFormat="1" applyFont="1" applyBorder="1" applyAlignment="1">
      <alignment horizontal="left"/>
    </xf>
    <xf numFmtId="0" fontId="3" fillId="0" borderId="0" xfId="1" applyNumberFormat="1" applyFont="1" applyBorder="1" applyAlignment="1">
      <alignment horizontal="left"/>
    </xf>
    <xf numFmtId="0" fontId="3" fillId="0" borderId="0" xfId="0" applyFont="1" applyAlignment="1">
      <alignment horizontal="left"/>
    </xf>
    <xf numFmtId="44" fontId="3" fillId="0" borderId="0" xfId="1" applyFont="1" applyAlignment="1">
      <alignment horizontal="left" vertical="top"/>
    </xf>
    <xf numFmtId="0" fontId="7" fillId="0" borderId="0" xfId="0" applyFont="1"/>
    <xf numFmtId="0" fontId="0" fillId="0" borderId="0" xfId="0" applyBorder="1" applyAlignment="1">
      <alignment horizontal="left"/>
    </xf>
    <xf numFmtId="0" fontId="0" fillId="0" borderId="0" xfId="0" applyFont="1" applyFill="1" applyBorder="1" applyAlignment="1">
      <alignment horizontal="left"/>
    </xf>
    <xf numFmtId="44" fontId="14" fillId="0" borderId="0" xfId="1" applyNumberFormat="1" applyFont="1" applyFill="1" applyBorder="1" applyAlignment="1">
      <alignment horizontal="right"/>
    </xf>
    <xf numFmtId="44" fontId="14" fillId="0" borderId="0" xfId="1" applyNumberFormat="1" applyFont="1" applyFill="1" applyAlignment="1">
      <alignment horizontal="right"/>
    </xf>
    <xf numFmtId="44" fontId="18" fillId="0" borderId="0" xfId="1" applyNumberFormat="1" applyFont="1" applyFill="1" applyAlignment="1">
      <alignment horizontal="right"/>
    </xf>
    <xf numFmtId="44" fontId="18" fillId="0" borderId="0" xfId="0" applyNumberFormat="1" applyFont="1" applyFill="1" applyBorder="1" applyAlignment="1">
      <alignment horizontal="right"/>
    </xf>
    <xf numFmtId="44" fontId="14" fillId="0" borderId="0" xfId="0" applyNumberFormat="1" applyFont="1" applyFill="1" applyAlignment="1">
      <alignment horizontal="right"/>
    </xf>
    <xf numFmtId="44" fontId="14" fillId="0" borderId="0" xfId="0" applyNumberFormat="1" applyFont="1" applyFill="1" applyBorder="1" applyAlignment="1">
      <alignment horizontal="right"/>
    </xf>
    <xf numFmtId="44" fontId="18" fillId="0" borderId="0" xfId="1" applyNumberFormat="1" applyFont="1" applyFill="1" applyBorder="1" applyAlignment="1">
      <alignment horizontal="right"/>
    </xf>
    <xf numFmtId="44" fontId="7" fillId="0" borderId="0" xfId="1" applyNumberFormat="1" applyFont="1" applyFill="1" applyAlignment="1">
      <alignment horizontal="right"/>
    </xf>
    <xf numFmtId="44" fontId="36" fillId="0" borderId="0" xfId="1" applyNumberFormat="1" applyFont="1" applyFill="1" applyBorder="1" applyAlignment="1">
      <alignment horizontal="right"/>
    </xf>
    <xf numFmtId="0" fontId="0" fillId="6" borderId="0" xfId="0" applyNumberFormat="1" applyFill="1" applyBorder="1" applyAlignment="1">
      <alignment horizontal="left"/>
    </xf>
    <xf numFmtId="0" fontId="0" fillId="0" borderId="0" xfId="0" applyNumberFormat="1" applyBorder="1" applyAlignment="1">
      <alignment horizontal="left"/>
    </xf>
    <xf numFmtId="14" fontId="2" fillId="9" borderId="0" xfId="0" applyNumberFormat="1" applyFont="1" applyFill="1" applyBorder="1" applyAlignment="1">
      <alignment horizontal="left"/>
    </xf>
    <xf numFmtId="0" fontId="2" fillId="9" borderId="0" xfId="0" applyFont="1" applyFill="1" applyBorder="1" applyAlignment="1">
      <alignment horizontal="left"/>
    </xf>
    <xf numFmtId="44" fontId="2" fillId="9" borderId="0" xfId="0" applyNumberFormat="1" applyFont="1" applyFill="1" applyBorder="1" applyAlignment="1">
      <alignment horizontal="left"/>
    </xf>
    <xf numFmtId="14" fontId="27" fillId="0" borderId="0" xfId="0" applyNumberFormat="1" applyFont="1" applyFill="1" applyBorder="1" applyAlignment="1">
      <alignment horizontal="left"/>
    </xf>
    <xf numFmtId="0" fontId="27" fillId="0" borderId="0" xfId="0" applyFont="1" applyFill="1" applyBorder="1" applyAlignment="1">
      <alignment horizontal="left"/>
    </xf>
    <xf numFmtId="1" fontId="27" fillId="0" borderId="0" xfId="0" applyNumberFormat="1" applyFont="1" applyFill="1" applyBorder="1" applyAlignment="1">
      <alignment horizontal="left"/>
    </xf>
    <xf numFmtId="44" fontId="27" fillId="0" borderId="0" xfId="1" applyFont="1" applyFill="1" applyBorder="1" applyAlignment="1">
      <alignment horizontal="left"/>
    </xf>
    <xf numFmtId="0" fontId="27" fillId="0" borderId="0" xfId="1" applyNumberFormat="1" applyFont="1" applyFill="1" applyBorder="1" applyAlignment="1">
      <alignment horizontal="left"/>
    </xf>
    <xf numFmtId="0" fontId="31" fillId="0" borderId="0" xfId="0" applyFont="1" applyFill="1" applyBorder="1" applyAlignment="1">
      <alignment horizontal="left"/>
    </xf>
    <xf numFmtId="44" fontId="14" fillId="0" borderId="0" xfId="1" applyNumberFormat="1" applyFont="1" applyFill="1" applyBorder="1" applyAlignment="1">
      <alignment horizontal="left"/>
    </xf>
    <xf numFmtId="44" fontId="36" fillId="0" borderId="0" xfId="1" applyNumberFormat="1" applyFont="1" applyFill="1" applyBorder="1" applyAlignment="1">
      <alignment horizontal="left"/>
    </xf>
    <xf numFmtId="0" fontId="53" fillId="0" borderId="0" xfId="0" applyFont="1"/>
    <xf numFmtId="0" fontId="27" fillId="49" borderId="1" xfId="0" applyFont="1" applyFill="1" applyBorder="1" applyAlignment="1">
      <alignment horizontal="left"/>
    </xf>
    <xf numFmtId="44" fontId="13" fillId="0" borderId="0" xfId="1" applyFont="1" applyFill="1" applyBorder="1" applyAlignment="1">
      <alignment horizontal="left"/>
    </xf>
    <xf numFmtId="44" fontId="10" fillId="0" borderId="0" xfId="1" applyFont="1" applyFill="1" applyBorder="1" applyAlignment="1">
      <alignment horizontal="left"/>
    </xf>
    <xf numFmtId="0" fontId="2" fillId="51" borderId="4" xfId="0" applyFont="1" applyFill="1" applyBorder="1" applyAlignment="1">
      <alignment horizontal="left"/>
    </xf>
    <xf numFmtId="44" fontId="4" fillId="0" borderId="4" xfId="1" applyFont="1" applyFill="1" applyBorder="1" applyAlignment="1">
      <alignment horizontal="left"/>
    </xf>
    <xf numFmtId="0" fontId="2" fillId="0" borderId="0" xfId="0" applyFont="1" applyFill="1" applyAlignment="1">
      <alignment horizontal="left"/>
    </xf>
    <xf numFmtId="44" fontId="2" fillId="0" borderId="3" xfId="0" applyNumberFormat="1" applyFont="1" applyFill="1" applyBorder="1" applyAlignment="1">
      <alignment horizontal="left"/>
    </xf>
    <xf numFmtId="0" fontId="2" fillId="50" borderId="2" xfId="0" applyFont="1" applyFill="1" applyBorder="1" applyAlignment="1">
      <alignment horizontal="left"/>
    </xf>
    <xf numFmtId="44" fontId="55" fillId="0" borderId="6" xfId="1" applyFont="1" applyBorder="1" applyAlignment="1">
      <alignment horizontal="left"/>
    </xf>
    <xf numFmtId="44" fontId="54" fillId="0" borderId="6" xfId="1" applyFont="1" applyBorder="1" applyAlignment="1">
      <alignment horizontal="left"/>
    </xf>
    <xf numFmtId="44" fontId="56" fillId="5" borderId="3" xfId="1" applyFont="1" applyFill="1" applyBorder="1" applyAlignment="1">
      <alignment horizontal="left"/>
    </xf>
    <xf numFmtId="44" fontId="57" fillId="0" borderId="6" xfId="1" applyFont="1" applyBorder="1" applyAlignment="1">
      <alignment horizontal="left"/>
    </xf>
    <xf numFmtId="44" fontId="57" fillId="0" borderId="6" xfId="0" applyNumberFormat="1" applyFont="1" applyBorder="1" applyAlignment="1">
      <alignment horizontal="left"/>
    </xf>
    <xf numFmtId="44" fontId="58" fillId="5" borderId="3" xfId="1" applyFont="1" applyFill="1" applyBorder="1" applyAlignment="1">
      <alignment horizontal="left"/>
    </xf>
    <xf numFmtId="44" fontId="58" fillId="51" borderId="4" xfId="1" applyFont="1" applyFill="1" applyBorder="1" applyAlignment="1">
      <alignment horizontal="left"/>
    </xf>
    <xf numFmtId="44" fontId="6" fillId="0" borderId="6" xfId="1" applyFont="1" applyBorder="1" applyAlignment="1">
      <alignment horizontal="left"/>
    </xf>
    <xf numFmtId="0" fontId="2" fillId="0" borderId="3" xfId="0" applyFont="1" applyBorder="1" applyAlignment="1">
      <alignment horizontal="left"/>
    </xf>
    <xf numFmtId="0" fontId="2" fillId="0" borderId="7" xfId="0" applyFont="1" applyBorder="1" applyAlignment="1">
      <alignment horizontal="left"/>
    </xf>
    <xf numFmtId="44" fontId="0" fillId="0" borderId="15" xfId="0" applyNumberFormat="1" applyFill="1" applyBorder="1" applyAlignment="1">
      <alignment horizontal="left"/>
    </xf>
    <xf numFmtId="44" fontId="0" fillId="0" borderId="16" xfId="0" applyNumberFormat="1" applyFill="1" applyBorder="1" applyAlignment="1">
      <alignment horizontal="left"/>
    </xf>
    <xf numFmtId="0" fontId="27" fillId="0" borderId="0" xfId="0" applyNumberFormat="1" applyFont="1" applyBorder="1" applyAlignment="1">
      <alignment horizontal="left"/>
    </xf>
    <xf numFmtId="0" fontId="27" fillId="0" borderId="0" xfId="0" applyNumberFormat="1" applyFont="1" applyFill="1" applyBorder="1" applyAlignment="1">
      <alignment horizontal="left"/>
    </xf>
    <xf numFmtId="0" fontId="30" fillId="3" borderId="0" xfId="0" applyNumberFormat="1" applyFont="1" applyFill="1" applyBorder="1" applyAlignment="1">
      <alignment horizontal="left"/>
    </xf>
    <xf numFmtId="0" fontId="30" fillId="3" borderId="0" xfId="1" applyNumberFormat="1" applyFont="1" applyFill="1" applyBorder="1" applyAlignment="1">
      <alignment horizontal="left"/>
    </xf>
    <xf numFmtId="0" fontId="27" fillId="0" borderId="26" xfId="1" applyNumberFormat="1" applyFont="1" applyFill="1" applyBorder="1" applyAlignment="1" applyProtection="1">
      <alignment horizontal="left"/>
      <protection locked="0"/>
    </xf>
    <xf numFmtId="0" fontId="4" fillId="3" borderId="27" xfId="1" applyNumberFormat="1" applyFont="1" applyFill="1" applyBorder="1" applyAlignment="1" applyProtection="1">
      <alignment horizontal="left"/>
      <protection locked="0"/>
    </xf>
    <xf numFmtId="0" fontId="27" fillId="0" borderId="28" xfId="1" applyNumberFormat="1" applyFont="1" applyFill="1" applyBorder="1" applyAlignment="1" applyProtection="1">
      <alignment horizontal="left"/>
      <protection locked="0"/>
    </xf>
    <xf numFmtId="0" fontId="4" fillId="3" borderId="28" xfId="1" applyNumberFormat="1" applyFont="1" applyFill="1" applyBorder="1" applyAlignment="1" applyProtection="1">
      <alignment horizontal="left"/>
      <protection locked="0"/>
    </xf>
    <xf numFmtId="14" fontId="27" fillId="0" borderId="28" xfId="1" applyNumberFormat="1" applyFont="1" applyFill="1" applyBorder="1" applyAlignment="1" applyProtection="1">
      <alignment horizontal="left"/>
      <protection locked="0"/>
    </xf>
    <xf numFmtId="0" fontId="27" fillId="49" borderId="28" xfId="1" applyNumberFormat="1" applyFont="1" applyFill="1" applyBorder="1" applyAlignment="1" applyProtection="1">
      <alignment horizontal="left"/>
      <protection locked="0"/>
    </xf>
    <xf numFmtId="14" fontId="4" fillId="3" borderId="28" xfId="1" applyNumberFormat="1" applyFont="1" applyFill="1" applyBorder="1" applyAlignment="1" applyProtection="1">
      <alignment horizontal="left"/>
      <protection locked="0"/>
    </xf>
    <xf numFmtId="0" fontId="12" fillId="0" borderId="0" xfId="0" applyFont="1"/>
    <xf numFmtId="0" fontId="12" fillId="0" borderId="0" xfId="0" applyFont="1" applyAlignment="1">
      <alignment horizontal="left"/>
    </xf>
    <xf numFmtId="14" fontId="12" fillId="0" borderId="0" xfId="0" applyNumberFormat="1" applyFont="1" applyAlignment="1">
      <alignment horizontal="left"/>
    </xf>
    <xf numFmtId="14" fontId="0" fillId="0" borderId="0" xfId="1" applyNumberFormat="1" applyFont="1" applyAlignment="1">
      <alignment horizontal="left"/>
    </xf>
    <xf numFmtId="14" fontId="3" fillId="0" borderId="0" xfId="1" applyNumberFormat="1" applyFont="1" applyAlignment="1">
      <alignment horizontal="left"/>
    </xf>
    <xf numFmtId="0" fontId="0" fillId="0" borderId="0" xfId="1" applyNumberFormat="1" applyFont="1" applyAlignment="1">
      <alignment horizontal="center"/>
    </xf>
    <xf numFmtId="0" fontId="3" fillId="0" borderId="0" xfId="1" applyNumberFormat="1" applyFont="1" applyAlignment="1">
      <alignment horizontal="center"/>
    </xf>
    <xf numFmtId="0" fontId="26" fillId="0" borderId="0" xfId="0" applyNumberFormat="1" applyFont="1" applyFill="1" applyBorder="1" applyAlignment="1">
      <alignment horizontal="left"/>
    </xf>
    <xf numFmtId="1" fontId="26" fillId="0" borderId="0" xfId="0" applyNumberFormat="1" applyFont="1" applyFill="1" applyBorder="1" applyAlignment="1">
      <alignment horizontal="left"/>
    </xf>
    <xf numFmtId="0" fontId="26" fillId="0" borderId="0" xfId="0" applyFont="1" applyFill="1" applyBorder="1" applyAlignment="1">
      <alignment horizontal="left"/>
    </xf>
    <xf numFmtId="44" fontId="59" fillId="0" borderId="0" xfId="1" applyNumberFormat="1" applyFont="1" applyFill="1" applyBorder="1" applyAlignment="1">
      <alignment horizontal="left"/>
    </xf>
    <xf numFmtId="44" fontId="59" fillId="0" borderId="0" xfId="1" applyFont="1" applyFill="1" applyBorder="1" applyAlignment="1">
      <alignment horizontal="left"/>
    </xf>
    <xf numFmtId="44" fontId="60" fillId="0" borderId="0" xfId="1" applyNumberFormat="1" applyFont="1" applyFill="1" applyBorder="1" applyAlignment="1">
      <alignment horizontal="right"/>
    </xf>
    <xf numFmtId="14" fontId="26" fillId="0" borderId="0" xfId="0" applyNumberFormat="1" applyFont="1" applyFill="1" applyBorder="1" applyAlignment="1">
      <alignment horizontal="left"/>
    </xf>
    <xf numFmtId="14" fontId="61" fillId="0" borderId="0" xfId="0" applyNumberFormat="1" applyFont="1" applyFill="1" applyBorder="1" applyAlignment="1">
      <alignment horizontal="left"/>
    </xf>
    <xf numFmtId="44" fontId="26" fillId="0" borderId="0" xfId="1" applyFont="1" applyFill="1" applyBorder="1" applyAlignment="1">
      <alignment horizontal="left"/>
    </xf>
    <xf numFmtId="14" fontId="61" fillId="0" borderId="0" xfId="1" applyNumberFormat="1" applyFont="1" applyFill="1" applyBorder="1" applyAlignment="1">
      <alignment horizontal="left"/>
    </xf>
    <xf numFmtId="1" fontId="26" fillId="0" borderId="0" xfId="0" applyNumberFormat="1" applyFont="1" applyFill="1" applyAlignment="1">
      <alignment horizontal="left"/>
    </xf>
    <xf numFmtId="0" fontId="26" fillId="0" borderId="0" xfId="0" applyNumberFormat="1" applyFont="1" applyFill="1" applyAlignment="1">
      <alignment horizontal="left"/>
    </xf>
    <xf numFmtId="14" fontId="26" fillId="0" borderId="0" xfId="0" applyNumberFormat="1" applyFont="1" applyFill="1" applyAlignment="1">
      <alignment horizontal="left"/>
    </xf>
    <xf numFmtId="0" fontId="26" fillId="0" borderId="0" xfId="0" applyFont="1" applyFill="1" applyAlignment="1">
      <alignment horizontal="left"/>
    </xf>
    <xf numFmtId="44" fontId="59" fillId="0" borderId="0" xfId="1" applyNumberFormat="1" applyFont="1" applyFill="1" applyAlignment="1">
      <alignment horizontal="left"/>
    </xf>
    <xf numFmtId="44" fontId="60" fillId="0" borderId="0" xfId="1" applyNumberFormat="1" applyFont="1" applyFill="1" applyAlignment="1">
      <alignment horizontal="right"/>
    </xf>
    <xf numFmtId="14" fontId="61" fillId="0" borderId="0" xfId="0" applyNumberFormat="1" applyFont="1" applyFill="1" applyAlignment="1">
      <alignment horizontal="left"/>
    </xf>
    <xf numFmtId="44" fontId="26" fillId="0" borderId="0" xfId="1" applyFont="1" applyFill="1" applyAlignment="1">
      <alignment horizontal="left"/>
    </xf>
    <xf numFmtId="14" fontId="61" fillId="0" borderId="0" xfId="1" applyNumberFormat="1" applyFont="1" applyFill="1" applyAlignment="1">
      <alignment horizontal="left"/>
    </xf>
    <xf numFmtId="44" fontId="26" fillId="0" borderId="0" xfId="1" applyFont="1" applyFill="1" applyBorder="1" applyAlignment="1">
      <alignment horizontal="center"/>
    </xf>
    <xf numFmtId="0" fontId="0" fillId="0" borderId="0" xfId="0" applyNumberFormat="1" applyFont="1" applyFill="1" applyBorder="1" applyAlignment="1">
      <alignment horizontal="left" vertical="top"/>
    </xf>
    <xf numFmtId="44" fontId="34" fillId="0" borderId="0" xfId="1" applyFont="1" applyFill="1" applyBorder="1" applyAlignment="1">
      <alignment horizontal="left"/>
    </xf>
    <xf numFmtId="0" fontId="29" fillId="0" borderId="0" xfId="0" applyNumberFormat="1" applyFont="1" applyBorder="1" applyAlignment="1">
      <alignment horizontal="left" vertical="center" wrapText="1"/>
    </xf>
    <xf numFmtId="0" fontId="29" fillId="0" borderId="0" xfId="0" applyNumberFormat="1" applyFont="1" applyBorder="1" applyAlignment="1">
      <alignment horizontal="left"/>
    </xf>
    <xf numFmtId="0" fontId="12" fillId="0" borderId="0" xfId="0" applyNumberFormat="1" applyFont="1" applyAlignment="1">
      <alignment horizontal="left"/>
    </xf>
    <xf numFmtId="0" fontId="0" fillId="0" borderId="0" xfId="0" applyFont="1" applyFill="1" applyBorder="1" applyAlignment="1">
      <alignment horizontal="left"/>
    </xf>
    <xf numFmtId="0" fontId="58" fillId="0" borderId="0" xfId="0" applyFont="1" applyFill="1" applyBorder="1" applyAlignment="1">
      <alignment horizontal="left"/>
    </xf>
    <xf numFmtId="14" fontId="58" fillId="0" borderId="0" xfId="0" applyNumberFormat="1" applyFont="1" applyFill="1" applyBorder="1" applyAlignment="1">
      <alignment horizontal="left"/>
    </xf>
    <xf numFmtId="0" fontId="58" fillId="0" borderId="0" xfId="0" applyNumberFormat="1" applyFont="1" applyFill="1" applyBorder="1" applyAlignment="1">
      <alignment horizontal="left"/>
    </xf>
    <xf numFmtId="0" fontId="58" fillId="0" borderId="0" xfId="0" applyNumberFormat="1" applyFont="1" applyBorder="1" applyAlignment="1">
      <alignment horizontal="left"/>
    </xf>
    <xf numFmtId="1" fontId="58" fillId="0" borderId="0" xfId="0" applyNumberFormat="1" applyFont="1" applyFill="1" applyBorder="1" applyAlignment="1">
      <alignment horizontal="left"/>
    </xf>
    <xf numFmtId="20" fontId="58" fillId="0" borderId="0" xfId="0" applyNumberFormat="1" applyFont="1" applyFill="1" applyBorder="1" applyAlignment="1">
      <alignment horizontal="left"/>
    </xf>
    <xf numFmtId="3" fontId="58" fillId="0" borderId="0" xfId="0" applyNumberFormat="1" applyFont="1" applyFill="1" applyBorder="1" applyAlignment="1">
      <alignment horizontal="left"/>
    </xf>
    <xf numFmtId="0" fontId="58" fillId="0" borderId="0" xfId="1" applyNumberFormat="1" applyFont="1" applyFill="1" applyBorder="1" applyAlignment="1">
      <alignment horizontal="left"/>
    </xf>
    <xf numFmtId="0" fontId="58" fillId="0" borderId="0" xfId="1" applyNumberFormat="1" applyFont="1" applyFill="1" applyAlignment="1">
      <alignment horizontal="left"/>
    </xf>
    <xf numFmtId="14" fontId="58" fillId="0" borderId="0" xfId="1" applyNumberFormat="1" applyFont="1" applyFill="1" applyBorder="1" applyAlignment="1">
      <alignment horizontal="left"/>
    </xf>
    <xf numFmtId="164" fontId="58" fillId="0" borderId="0" xfId="1" applyNumberFormat="1" applyFont="1" applyFill="1" applyAlignment="1">
      <alignment horizontal="left"/>
    </xf>
    <xf numFmtId="44" fontId="58" fillId="0" borderId="0" xfId="1" applyNumberFormat="1" applyFont="1" applyFill="1" applyBorder="1" applyAlignment="1">
      <alignment horizontal="left"/>
    </xf>
    <xf numFmtId="0" fontId="58" fillId="0" borderId="0" xfId="2" applyNumberFormat="1" applyFont="1" applyFill="1" applyBorder="1" applyAlignment="1">
      <alignment horizontal="left"/>
    </xf>
    <xf numFmtId="2" fontId="58" fillId="0" borderId="0" xfId="0" applyNumberFormat="1" applyFont="1" applyFill="1" applyBorder="1" applyAlignment="1">
      <alignment horizontal="left"/>
    </xf>
    <xf numFmtId="44" fontId="58" fillId="0" borderId="0" xfId="0" applyNumberFormat="1" applyFont="1" applyFill="1" applyBorder="1" applyAlignment="1">
      <alignment horizontal="left"/>
    </xf>
    <xf numFmtId="44" fontId="58" fillId="0" borderId="0" xfId="1" applyFont="1" applyFill="1" applyBorder="1" applyAlignment="1">
      <alignment horizontal="left"/>
    </xf>
    <xf numFmtId="44" fontId="58" fillId="7" borderId="0" xfId="0" applyNumberFormat="1" applyFont="1" applyFill="1" applyBorder="1" applyAlignment="1">
      <alignment horizontal="left"/>
    </xf>
    <xf numFmtId="44" fontId="58" fillId="14" borderId="0" xfId="0" applyNumberFormat="1" applyFont="1" applyFill="1" applyBorder="1" applyAlignment="1">
      <alignment horizontal="left"/>
    </xf>
    <xf numFmtId="44" fontId="58" fillId="15" borderId="0" xfId="0" applyNumberFormat="1" applyFont="1" applyFill="1" applyBorder="1" applyAlignment="1">
      <alignment horizontal="left"/>
    </xf>
    <xf numFmtId="20" fontId="7" fillId="0" borderId="0" xfId="0" applyNumberFormat="1" applyFont="1" applyFill="1" applyBorder="1" applyAlignment="1">
      <alignment horizontal="left"/>
    </xf>
    <xf numFmtId="3" fontId="7" fillId="0" borderId="0" xfId="0" applyNumberFormat="1" applyFont="1" applyFill="1" applyBorder="1" applyAlignment="1">
      <alignment horizontal="left"/>
    </xf>
    <xf numFmtId="164" fontId="7" fillId="0" borderId="0" xfId="1" applyNumberFormat="1" applyFont="1" applyFill="1" applyAlignment="1">
      <alignment horizontal="left"/>
    </xf>
    <xf numFmtId="44" fontId="2" fillId="53" borderId="0" xfId="1" applyNumberFormat="1" applyFont="1" applyFill="1" applyBorder="1" applyAlignment="1">
      <alignment horizontal="left"/>
    </xf>
    <xf numFmtId="0" fontId="51" fillId="0" borderId="0" xfId="0" applyFont="1" applyAlignment="1">
      <alignment horizontal="left"/>
    </xf>
    <xf numFmtId="0" fontId="62" fillId="0" borderId="0" xfId="0" applyFont="1"/>
    <xf numFmtId="0" fontId="29" fillId="0" borderId="0" xfId="0" applyNumberFormat="1" applyFont="1" applyAlignment="1">
      <alignment horizontal="left"/>
    </xf>
    <xf numFmtId="0" fontId="34" fillId="0" borderId="0" xfId="0" applyFont="1" applyAlignment="1">
      <alignment horizontal="left"/>
    </xf>
    <xf numFmtId="164" fontId="34" fillId="0" borderId="0" xfId="0" applyNumberFormat="1" applyFont="1" applyAlignment="1">
      <alignment horizontal="left"/>
    </xf>
    <xf numFmtId="14" fontId="34" fillId="0" borderId="0" xfId="0" applyNumberFormat="1" applyFont="1" applyAlignment="1">
      <alignment horizontal="left"/>
    </xf>
    <xf numFmtId="0" fontId="63" fillId="0" borderId="0" xfId="4" applyFont="1" applyAlignment="1">
      <alignment horizontal="left"/>
    </xf>
    <xf numFmtId="0" fontId="34" fillId="0" borderId="0" xfId="0" applyNumberFormat="1" applyFont="1" applyAlignment="1">
      <alignment horizontal="left"/>
    </xf>
    <xf numFmtId="0" fontId="34" fillId="0" borderId="0" xfId="1" applyNumberFormat="1" applyFont="1" applyFill="1" applyAlignment="1">
      <alignment horizontal="left"/>
    </xf>
    <xf numFmtId="14" fontId="34" fillId="0" borderId="0" xfId="1" applyNumberFormat="1" applyFont="1" applyFill="1" applyAlignment="1">
      <alignment horizontal="left"/>
    </xf>
    <xf numFmtId="0" fontId="29" fillId="0" borderId="0" xfId="0" applyNumberFormat="1" applyFont="1" applyAlignment="1">
      <alignment horizontal="left" vertical="top"/>
    </xf>
    <xf numFmtId="44" fontId="11" fillId="0" borderId="7" xfId="1" applyFont="1" applyBorder="1" applyAlignment="1"/>
    <xf numFmtId="0" fontId="19" fillId="0" borderId="0" xfId="5" applyFont="1" applyBorder="1" applyAlignment="1"/>
    <xf numFmtId="44" fontId="11" fillId="0" borderId="0" xfId="1" applyFont="1" applyBorder="1" applyAlignment="1"/>
    <xf numFmtId="44" fontId="19" fillId="0" borderId="0" xfId="1" applyFont="1" applyFill="1" applyBorder="1" applyAlignment="1"/>
    <xf numFmtId="44" fontId="19" fillId="0" borderId="0" xfId="1" applyFont="1" applyFill="1" applyBorder="1" applyAlignment="1">
      <alignment vertical="top"/>
    </xf>
    <xf numFmtId="44" fontId="11" fillId="0" borderId="0" xfId="1" applyFont="1" applyFill="1" applyBorder="1" applyAlignment="1"/>
    <xf numFmtId="0" fontId="11" fillId="0" borderId="0" xfId="5" applyFont="1" applyFill="1" applyBorder="1" applyAlignment="1">
      <alignment vertical="top"/>
    </xf>
    <xf numFmtId="44" fontId="11" fillId="0" borderId="0" xfId="5" applyNumberFormat="1" applyFont="1" applyBorder="1"/>
    <xf numFmtId="44" fontId="11" fillId="0" borderId="0" xfId="5" applyNumberFormat="1" applyFont="1" applyBorder="1" applyAlignment="1"/>
    <xf numFmtId="0" fontId="19" fillId="0" borderId="9" xfId="5" applyFont="1" applyFill="1" applyBorder="1" applyAlignment="1"/>
    <xf numFmtId="0" fontId="19" fillId="0" borderId="5" xfId="5" applyFont="1" applyFill="1" applyBorder="1" applyAlignment="1"/>
    <xf numFmtId="0" fontId="19" fillId="0" borderId="8" xfId="5" applyFont="1" applyFill="1" applyBorder="1" applyAlignment="1"/>
    <xf numFmtId="0" fontId="19" fillId="0" borderId="2" xfId="5" applyFont="1" applyFill="1" applyBorder="1" applyAlignment="1"/>
    <xf numFmtId="0" fontId="11" fillId="0" borderId="2" xfId="5" applyFont="1" applyBorder="1" applyAlignment="1"/>
    <xf numFmtId="44" fontId="11" fillId="15" borderId="3" xfId="1" applyFont="1" applyFill="1" applyBorder="1" applyAlignment="1"/>
    <xf numFmtId="44" fontId="11" fillId="12" borderId="4" xfId="1" applyFont="1" applyFill="1" applyBorder="1" applyAlignment="1"/>
    <xf numFmtId="44" fontId="11" fillId="12" borderId="6" xfId="1" applyFont="1" applyFill="1" applyBorder="1" applyAlignment="1"/>
    <xf numFmtId="44" fontId="11" fillId="12" borderId="7" xfId="1" applyFont="1" applyFill="1" applyBorder="1" applyAlignment="1"/>
    <xf numFmtId="0" fontId="19" fillId="0" borderId="8" xfId="5" applyFont="1" applyBorder="1" applyAlignment="1"/>
    <xf numFmtId="44" fontId="19" fillId="8" borderId="16" xfId="1" applyFont="1" applyFill="1" applyBorder="1" applyAlignment="1"/>
    <xf numFmtId="44" fontId="19" fillId="15" borderId="30" xfId="1" applyFont="1" applyFill="1" applyBorder="1" applyAlignment="1"/>
    <xf numFmtId="0" fontId="19" fillId="0" borderId="2" xfId="5" applyFont="1" applyBorder="1" applyAlignment="1"/>
    <xf numFmtId="0" fontId="11" fillId="0" borderId="30" xfId="5" applyFont="1" applyBorder="1" applyAlignment="1"/>
    <xf numFmtId="44" fontId="11" fillId="0" borderId="3" xfId="1" applyFont="1" applyBorder="1" applyAlignment="1"/>
    <xf numFmtId="0" fontId="11" fillId="0" borderId="3" xfId="5" applyFont="1" applyBorder="1" applyAlignment="1"/>
    <xf numFmtId="0" fontId="11" fillId="0" borderId="7" xfId="5" applyFont="1" applyBorder="1" applyAlignment="1"/>
    <xf numFmtId="0" fontId="19" fillId="0" borderId="0" xfId="5" applyFont="1" applyAlignment="1">
      <alignment vertical="top"/>
    </xf>
    <xf numFmtId="0" fontId="4" fillId="3" borderId="9" xfId="0" applyNumberFormat="1" applyFont="1" applyFill="1" applyBorder="1" applyAlignment="1" applyProtection="1">
      <alignment horizontal="left" vertical="top" wrapText="1"/>
      <protection locked="0"/>
    </xf>
    <xf numFmtId="0" fontId="4" fillId="3" borderId="12" xfId="0" applyNumberFormat="1" applyFont="1" applyFill="1" applyBorder="1" applyAlignment="1" applyProtection="1">
      <alignment horizontal="left" vertical="top"/>
      <protection locked="0"/>
    </xf>
    <xf numFmtId="0" fontId="27" fillId="0" borderId="12" xfId="0" applyNumberFormat="1" applyFont="1" applyFill="1" applyBorder="1" applyAlignment="1" applyProtection="1">
      <alignment horizontal="left" vertical="top"/>
      <protection locked="0"/>
    </xf>
    <xf numFmtId="0" fontId="4" fillId="3" borderId="12" xfId="0" applyFont="1" applyFill="1" applyBorder="1" applyAlignment="1">
      <alignment horizontal="left" vertical="top"/>
    </xf>
    <xf numFmtId="1" fontId="27" fillId="0" borderId="12" xfId="0" applyNumberFormat="1" applyFont="1" applyFill="1" applyBorder="1" applyAlignment="1" applyProtection="1">
      <alignment horizontal="left" vertical="top"/>
      <protection locked="0"/>
    </xf>
    <xf numFmtId="0" fontId="4" fillId="2" borderId="12" xfId="0" applyNumberFormat="1" applyFont="1" applyFill="1" applyBorder="1" applyAlignment="1" applyProtection="1">
      <alignment horizontal="left" vertical="top"/>
      <protection locked="0"/>
    </xf>
    <xf numFmtId="0" fontId="4" fillId="3" borderId="10" xfId="0" applyNumberFormat="1" applyFont="1" applyFill="1" applyBorder="1" applyAlignment="1">
      <alignment horizontal="left" vertical="top"/>
    </xf>
    <xf numFmtId="0" fontId="27" fillId="0" borderId="10" xfId="0" applyNumberFormat="1" applyFont="1" applyFill="1" applyBorder="1" applyAlignment="1">
      <alignment horizontal="left" vertical="top"/>
    </xf>
    <xf numFmtId="0" fontId="4" fillId="3" borderId="10" xfId="1" applyNumberFormat="1" applyFont="1" applyFill="1" applyBorder="1" applyAlignment="1" applyProtection="1">
      <alignment horizontal="left" vertical="top"/>
      <protection locked="0"/>
    </xf>
    <xf numFmtId="14" fontId="4" fillId="3" borderId="10" xfId="1" applyNumberFormat="1" applyFont="1" applyFill="1" applyBorder="1" applyAlignment="1" applyProtection="1">
      <alignment horizontal="left" vertical="top"/>
      <protection locked="0"/>
    </xf>
    <xf numFmtId="44" fontId="27" fillId="0" borderId="10" xfId="1" applyNumberFormat="1" applyFont="1" applyFill="1" applyBorder="1" applyAlignment="1">
      <alignment horizontal="left" vertical="top" wrapText="1"/>
    </xf>
    <xf numFmtId="44" fontId="4" fillId="3" borderId="10" xfId="1" applyFont="1" applyFill="1" applyBorder="1" applyAlignment="1">
      <alignment horizontal="left" vertical="top"/>
    </xf>
    <xf numFmtId="44" fontId="4" fillId="52" borderId="10" xfId="1" applyFont="1" applyFill="1" applyBorder="1" applyAlignment="1">
      <alignment horizontal="left" vertical="top" wrapText="1"/>
    </xf>
    <xf numFmtId="44" fontId="4" fillId="3" borderId="10" xfId="1" applyFont="1" applyFill="1" applyBorder="1" applyAlignment="1">
      <alignment horizontal="left" vertical="top" wrapText="1"/>
    </xf>
    <xf numFmtId="44" fontId="27" fillId="0" borderId="10" xfId="0" applyNumberFormat="1" applyFont="1" applyFill="1" applyBorder="1" applyAlignment="1">
      <alignment horizontal="left" vertical="top" wrapText="1"/>
    </xf>
    <xf numFmtId="0" fontId="4" fillId="3" borderId="10" xfId="0" applyNumberFormat="1" applyFont="1" applyFill="1" applyBorder="1" applyAlignment="1">
      <alignment horizontal="left" vertical="top" wrapText="1"/>
    </xf>
    <xf numFmtId="0" fontId="4" fillId="3" borderId="10" xfId="0" applyFont="1" applyFill="1" applyBorder="1" applyAlignment="1">
      <alignment horizontal="left" vertical="top"/>
    </xf>
    <xf numFmtId="0" fontId="27" fillId="0" borderId="10" xfId="1" applyNumberFormat="1" applyFont="1" applyFill="1" applyBorder="1" applyAlignment="1" applyProtection="1">
      <alignment horizontal="left" vertical="top"/>
      <protection locked="0"/>
    </xf>
    <xf numFmtId="2" fontId="27" fillId="0" borderId="10" xfId="1" applyNumberFormat="1" applyFont="1" applyFill="1" applyBorder="1" applyAlignment="1" applyProtection="1">
      <alignment horizontal="left" vertical="top"/>
      <protection locked="0"/>
    </xf>
    <xf numFmtId="0" fontId="27" fillId="0" borderId="10" xfId="0" applyNumberFormat="1" applyFont="1" applyFill="1" applyBorder="1" applyAlignment="1" applyProtection="1">
      <alignment horizontal="left" vertical="top"/>
      <protection locked="0"/>
    </xf>
    <xf numFmtId="44" fontId="4" fillId="3" borderId="10" xfId="1" applyFont="1" applyFill="1" applyBorder="1" applyAlignment="1" applyProtection="1">
      <alignment horizontal="left" vertical="top"/>
      <protection locked="0"/>
    </xf>
    <xf numFmtId="44" fontId="4" fillId="3" borderId="11" xfId="1" applyFont="1" applyFill="1" applyBorder="1" applyAlignment="1">
      <alignment horizontal="left" vertical="top"/>
    </xf>
    <xf numFmtId="0" fontId="4" fillId="3" borderId="4" xfId="0" applyNumberFormat="1" applyFont="1" applyFill="1" applyBorder="1" applyAlignment="1">
      <alignment horizontal="left" vertical="top"/>
    </xf>
    <xf numFmtId="0" fontId="4" fillId="3" borderId="13" xfId="0" applyNumberFormat="1" applyFont="1" applyFill="1" applyBorder="1" applyAlignment="1">
      <alignment horizontal="left" vertical="top"/>
    </xf>
    <xf numFmtId="0" fontId="4" fillId="3" borderId="9" xfId="0" applyNumberFormat="1" applyFont="1" applyFill="1" applyBorder="1" applyAlignment="1">
      <alignment horizontal="left" vertical="top"/>
    </xf>
    <xf numFmtId="0" fontId="4" fillId="3" borderId="4" xfId="0" applyNumberFormat="1" applyFont="1" applyFill="1" applyBorder="1" applyAlignment="1" applyProtection="1">
      <alignment horizontal="left" vertical="top"/>
      <protection locked="0"/>
    </xf>
    <xf numFmtId="0" fontId="4" fillId="3" borderId="4" xfId="0" applyNumberFormat="1" applyFont="1" applyFill="1" applyBorder="1" applyAlignment="1" applyProtection="1">
      <alignment horizontal="left" vertical="top" wrapText="1"/>
      <protection locked="0"/>
    </xf>
    <xf numFmtId="0" fontId="4" fillId="3" borderId="10" xfId="0" applyNumberFormat="1" applyFont="1" applyFill="1" applyBorder="1" applyAlignment="1" applyProtection="1">
      <alignment horizontal="left" vertical="top" wrapText="1"/>
      <protection locked="0"/>
    </xf>
    <xf numFmtId="0" fontId="4" fillId="3" borderId="13" xfId="0" applyNumberFormat="1" applyFont="1" applyFill="1" applyBorder="1" applyAlignment="1" applyProtection="1">
      <alignment horizontal="left" vertical="top" wrapText="1"/>
      <protection locked="0"/>
    </xf>
    <xf numFmtId="0" fontId="4" fillId="0" borderId="0" xfId="0" applyNumberFormat="1" applyFont="1" applyFill="1" applyBorder="1" applyAlignment="1" applyProtection="1">
      <alignment horizontal="left" vertical="top"/>
      <protection locked="0"/>
    </xf>
    <xf numFmtId="0" fontId="4" fillId="55" borderId="9" xfId="0" applyNumberFormat="1" applyFont="1" applyFill="1" applyBorder="1" applyAlignment="1" applyProtection="1">
      <alignment vertical="top" wrapText="1"/>
      <protection locked="0"/>
    </xf>
    <xf numFmtId="0" fontId="4" fillId="55" borderId="14" xfId="0" applyNumberFormat="1" applyFont="1" applyFill="1" applyBorder="1" applyAlignment="1" applyProtection="1">
      <alignment horizontal="left" vertical="top"/>
      <protection locked="0"/>
    </xf>
    <xf numFmtId="0" fontId="0" fillId="0" borderId="34" xfId="0" applyFill="1" applyBorder="1" applyAlignment="1">
      <alignment horizontal="left"/>
    </xf>
    <xf numFmtId="0" fontId="0" fillId="0" borderId="33" xfId="0" applyFill="1" applyBorder="1" applyAlignment="1">
      <alignment horizontal="left"/>
    </xf>
    <xf numFmtId="44" fontId="0" fillId="0" borderId="31" xfId="0" applyNumberFormat="1" applyFill="1" applyBorder="1" applyAlignment="1">
      <alignment horizontal="left"/>
    </xf>
    <xf numFmtId="44" fontId="0" fillId="0" borderId="32" xfId="0" applyNumberFormat="1" applyFill="1" applyBorder="1" applyAlignment="1">
      <alignment horizontal="left"/>
    </xf>
    <xf numFmtId="44" fontId="0" fillId="0" borderId="33" xfId="0" applyNumberFormat="1" applyFill="1" applyBorder="1" applyAlignment="1">
      <alignment horizontal="left"/>
    </xf>
    <xf numFmtId="0" fontId="4" fillId="3" borderId="29" xfId="1" applyNumberFormat="1" applyFont="1" applyFill="1" applyBorder="1" applyAlignment="1" applyProtection="1">
      <alignment horizontal="left"/>
      <protection locked="0"/>
    </xf>
    <xf numFmtId="44" fontId="27" fillId="0" borderId="1" xfId="1" applyFont="1" applyFill="1" applyBorder="1" applyAlignment="1" applyProtection="1">
      <alignment horizontal="left"/>
      <protection locked="0"/>
    </xf>
    <xf numFmtId="44" fontId="7" fillId="0" borderId="0" xfId="1" applyFont="1" applyAlignment="1">
      <alignment horizontal="left"/>
    </xf>
    <xf numFmtId="44" fontId="34" fillId="0" borderId="0" xfId="1" applyFont="1" applyAlignment="1">
      <alignment horizontal="left"/>
    </xf>
    <xf numFmtId="44" fontId="7" fillId="0" borderId="0" xfId="1" applyFont="1" applyAlignment="1">
      <alignment horizontal="center"/>
    </xf>
    <xf numFmtId="0" fontId="0" fillId="0" borderId="0" xfId="0" applyBorder="1" applyAlignment="1">
      <alignment horizontal="left"/>
    </xf>
    <xf numFmtId="0" fontId="0" fillId="0" borderId="0" xfId="0" pivotButton="1"/>
    <xf numFmtId="0" fontId="0" fillId="0" borderId="0" xfId="0" applyNumberFormat="1"/>
    <xf numFmtId="44" fontId="0" fillId="0" borderId="0" xfId="0" applyNumberFormat="1"/>
    <xf numFmtId="44" fontId="0" fillId="9" borderId="0" xfId="0" applyNumberFormat="1" applyFill="1"/>
    <xf numFmtId="44" fontId="64" fillId="0" borderId="0" xfId="1" applyNumberFormat="1" applyFont="1" applyFill="1" applyBorder="1" applyAlignment="1">
      <alignment horizontal="right"/>
    </xf>
    <xf numFmtId="44" fontId="64" fillId="0" borderId="0" xfId="1" applyNumberFormat="1" applyFont="1" applyFill="1" applyAlignment="1">
      <alignment horizontal="right"/>
    </xf>
    <xf numFmtId="44" fontId="65" fillId="0" borderId="0" xfId="1" applyNumberFormat="1" applyFont="1" applyFill="1" applyAlignment="1">
      <alignment horizontal="right"/>
    </xf>
    <xf numFmtId="44" fontId="65" fillId="0" borderId="0" xfId="0" applyNumberFormat="1" applyFont="1" applyFill="1" applyBorder="1" applyAlignment="1">
      <alignment horizontal="right"/>
    </xf>
    <xf numFmtId="44" fontId="64" fillId="0" borderId="0" xfId="0" applyNumberFormat="1" applyFont="1" applyFill="1" applyAlignment="1">
      <alignment horizontal="right"/>
    </xf>
    <xf numFmtId="44" fontId="64" fillId="0" borderId="0" xfId="0" applyNumberFormat="1" applyFont="1" applyFill="1" applyBorder="1" applyAlignment="1">
      <alignment horizontal="right"/>
    </xf>
    <xf numFmtId="44" fontId="65" fillId="0" borderId="0" xfId="1" applyNumberFormat="1" applyFont="1" applyFill="1" applyBorder="1" applyAlignment="1">
      <alignment horizontal="right"/>
    </xf>
    <xf numFmtId="44" fontId="66" fillId="0" borderId="0" xfId="1" applyNumberFormat="1" applyFont="1" applyFill="1" applyAlignment="1">
      <alignment horizontal="right"/>
    </xf>
    <xf numFmtId="44" fontId="64" fillId="0" borderId="0" xfId="1" applyNumberFormat="1" applyFont="1" applyFill="1" applyBorder="1" applyAlignment="1">
      <alignment horizontal="left"/>
    </xf>
    <xf numFmtId="44" fontId="66" fillId="0" borderId="0" xfId="1" applyNumberFormat="1" applyFont="1" applyFill="1" applyBorder="1" applyAlignment="1">
      <alignment horizontal="right"/>
    </xf>
    <xf numFmtId="44" fontId="2" fillId="12" borderId="0" xfId="1" applyFont="1" applyFill="1" applyBorder="1" applyAlignment="1">
      <alignment horizontal="left"/>
    </xf>
    <xf numFmtId="44" fontId="2" fillId="0" borderId="0" xfId="1" applyFont="1" applyBorder="1" applyAlignment="1">
      <alignment horizontal="left"/>
    </xf>
    <xf numFmtId="44" fontId="2" fillId="53" borderId="0" xfId="0" applyNumberFormat="1" applyFont="1" applyFill="1" applyBorder="1" applyAlignment="1">
      <alignment horizontal="left"/>
    </xf>
    <xf numFmtId="44" fontId="2" fillId="12" borderId="0" xfId="1" applyNumberFormat="1" applyFont="1" applyFill="1" applyBorder="1" applyAlignment="1"/>
    <xf numFmtId="0" fontId="2" fillId="4" borderId="0" xfId="0" applyFont="1" applyFill="1" applyAlignment="1">
      <alignment horizontal="left"/>
    </xf>
    <xf numFmtId="44" fontId="2" fillId="4" borderId="0" xfId="1" applyNumberFormat="1" applyFont="1" applyFill="1" applyBorder="1" applyAlignment="1"/>
    <xf numFmtId="44" fontId="34" fillId="13" borderId="0" xfId="0" applyNumberFormat="1" applyFont="1" applyFill="1" applyBorder="1" applyAlignment="1">
      <alignment horizontal="left"/>
    </xf>
    <xf numFmtId="44" fontId="67" fillId="0" borderId="0" xfId="1" applyNumberFormat="1" applyFont="1" applyFill="1" applyBorder="1" applyAlignment="1">
      <alignment horizontal="right"/>
    </xf>
    <xf numFmtId="0" fontId="2" fillId="0" borderId="0" xfId="0" applyFont="1" applyAlignment="1">
      <alignment horizontal="left"/>
    </xf>
    <xf numFmtId="0" fontId="0" fillId="0" borderId="0" xfId="0" applyAlignment="1">
      <alignment horizontal="left"/>
    </xf>
    <xf numFmtId="0" fontId="0" fillId="10" borderId="0" xfId="0" applyFill="1" applyBorder="1" applyAlignment="1">
      <alignment horizontal="left"/>
    </xf>
    <xf numFmtId="44" fontId="0" fillId="10" borderId="0" xfId="1" applyFont="1" applyFill="1" applyBorder="1" applyAlignment="1">
      <alignment horizontal="left"/>
    </xf>
    <xf numFmtId="0" fontId="0" fillId="0" borderId="0" xfId="0" applyAlignment="1">
      <alignment horizontal="left"/>
    </xf>
    <xf numFmtId="0" fontId="1" fillId="0" borderId="0" xfId="0" applyFont="1" applyFill="1" applyBorder="1" applyAlignment="1">
      <alignment horizontal="left"/>
    </xf>
    <xf numFmtId="14" fontId="1" fillId="0" borderId="0" xfId="0" applyNumberFormat="1" applyFont="1" applyFill="1" applyBorder="1" applyAlignment="1">
      <alignment horizontal="left"/>
    </xf>
    <xf numFmtId="0" fontId="1" fillId="0" borderId="0" xfId="0" applyNumberFormat="1" applyFont="1" applyFill="1" applyBorder="1" applyAlignment="1">
      <alignment horizontal="left"/>
    </xf>
    <xf numFmtId="0" fontId="1" fillId="0" borderId="0" xfId="0" applyNumberFormat="1" applyFont="1" applyBorder="1" applyAlignment="1">
      <alignment horizontal="left"/>
    </xf>
    <xf numFmtId="1" fontId="1" fillId="0" borderId="0" xfId="0" applyNumberFormat="1" applyFont="1" applyFill="1" applyBorder="1" applyAlignment="1">
      <alignment horizontal="left"/>
    </xf>
    <xf numFmtId="3" fontId="1" fillId="0" borderId="0" xfId="0" applyNumberFormat="1" applyFont="1" applyFill="1" applyBorder="1" applyAlignment="1">
      <alignment horizontal="left"/>
    </xf>
    <xf numFmtId="0" fontId="1" fillId="0" borderId="0" xfId="1" applyNumberFormat="1" applyFont="1" applyFill="1" applyBorder="1" applyAlignment="1">
      <alignment horizontal="left"/>
    </xf>
    <xf numFmtId="0" fontId="1" fillId="0" borderId="0" xfId="1" applyNumberFormat="1" applyFont="1" applyFill="1" applyAlignment="1">
      <alignment horizontal="left"/>
    </xf>
    <xf numFmtId="14" fontId="1" fillId="0" borderId="0" xfId="1" applyNumberFormat="1" applyFont="1" applyFill="1" applyBorder="1" applyAlignment="1">
      <alignment horizontal="left"/>
    </xf>
    <xf numFmtId="164" fontId="1" fillId="0" borderId="0" xfId="1" applyNumberFormat="1" applyFont="1" applyFill="1" applyAlignment="1">
      <alignment horizontal="left"/>
    </xf>
    <xf numFmtId="44" fontId="1" fillId="0" borderId="0" xfId="1" applyNumberFormat="1" applyFont="1" applyFill="1" applyBorder="1" applyAlignment="1">
      <alignment horizontal="left"/>
    </xf>
    <xf numFmtId="0" fontId="1" fillId="0" borderId="0" xfId="2" applyNumberFormat="1" applyFont="1" applyFill="1" applyBorder="1" applyAlignment="1">
      <alignment horizontal="left"/>
    </xf>
    <xf numFmtId="20" fontId="1" fillId="0" borderId="0" xfId="0" applyNumberFormat="1" applyFont="1" applyFill="1" applyBorder="1" applyAlignment="1">
      <alignment horizontal="left"/>
    </xf>
    <xf numFmtId="2" fontId="1" fillId="0" borderId="0" xfId="0" applyNumberFormat="1" applyFont="1" applyFill="1" applyBorder="1" applyAlignment="1">
      <alignment horizontal="left"/>
    </xf>
    <xf numFmtId="164" fontId="1" fillId="0" borderId="0" xfId="1" applyNumberFormat="1" applyFont="1" applyFill="1" applyBorder="1" applyAlignment="1">
      <alignment horizontal="left"/>
    </xf>
    <xf numFmtId="0" fontId="1" fillId="0" borderId="0" xfId="0" applyNumberFormat="1" applyFont="1" applyFill="1" applyBorder="1" applyAlignment="1">
      <alignment horizontal="left" vertical="top"/>
    </xf>
    <xf numFmtId="0" fontId="1" fillId="0" borderId="0" xfId="0" applyFont="1" applyFill="1" applyBorder="1" applyAlignment="1">
      <alignment horizontal="left" wrapText="1"/>
    </xf>
    <xf numFmtId="18" fontId="1" fillId="0" borderId="0" xfId="0" applyNumberFormat="1" applyFont="1" applyFill="1" applyBorder="1" applyAlignment="1">
      <alignment horizontal="left"/>
    </xf>
    <xf numFmtId="10" fontId="1" fillId="0" borderId="0" xfId="2" applyNumberFormat="1" applyFont="1" applyAlignment="1">
      <alignment horizontal="center"/>
    </xf>
    <xf numFmtId="44" fontId="1" fillId="0" borderId="0" xfId="1" applyFont="1" applyFill="1" applyBorder="1" applyAlignment="1">
      <alignment horizontal="left"/>
    </xf>
    <xf numFmtId="44" fontId="1" fillId="0" borderId="0" xfId="1" applyFont="1" applyFill="1" applyAlignment="1">
      <alignment horizontal="left"/>
    </xf>
    <xf numFmtId="14" fontId="1" fillId="0" borderId="0" xfId="1" applyNumberFormat="1" applyFont="1" applyFill="1" applyAlignment="1">
      <alignment horizontal="left"/>
    </xf>
    <xf numFmtId="14" fontId="1" fillId="0" borderId="0" xfId="0" applyNumberFormat="1" applyFont="1" applyBorder="1" applyAlignment="1">
      <alignment horizontal="left"/>
    </xf>
    <xf numFmtId="0" fontId="1" fillId="0" borderId="0" xfId="0" applyFont="1" applyBorder="1" applyAlignment="1">
      <alignment horizontal="left"/>
    </xf>
    <xf numFmtId="1" fontId="1" fillId="0" borderId="0" xfId="0" applyNumberFormat="1" applyFont="1" applyBorder="1" applyAlignment="1">
      <alignment horizontal="left"/>
    </xf>
    <xf numFmtId="44" fontId="1" fillId="0" borderId="0" xfId="1" applyFont="1" applyBorder="1" applyAlignment="1">
      <alignment horizontal="left"/>
    </xf>
    <xf numFmtId="0" fontId="1" fillId="0" borderId="0" xfId="1" applyNumberFormat="1" applyFont="1" applyBorder="1" applyAlignment="1">
      <alignment horizontal="left"/>
    </xf>
    <xf numFmtId="14" fontId="1" fillId="0" borderId="0" xfId="1" applyNumberFormat="1" applyFont="1" applyBorder="1" applyAlignment="1">
      <alignment horizontal="left"/>
    </xf>
    <xf numFmtId="0" fontId="1" fillId="0" borderId="0" xfId="0" applyFont="1" applyAlignment="1">
      <alignment horizontal="left"/>
    </xf>
    <xf numFmtId="44" fontId="1" fillId="0" borderId="0" xfId="1" applyFont="1" applyAlignment="1">
      <alignment horizontal="left"/>
    </xf>
    <xf numFmtId="0" fontId="1" fillId="0" borderId="0" xfId="1" applyNumberFormat="1" applyFont="1" applyAlignment="1">
      <alignment horizontal="left"/>
    </xf>
    <xf numFmtId="14" fontId="1" fillId="0" borderId="0" xfId="0" applyNumberFormat="1" applyFont="1" applyFill="1" applyAlignment="1">
      <alignment horizontal="left"/>
    </xf>
    <xf numFmtId="44" fontId="1" fillId="0" borderId="0" xfId="1" applyFont="1" applyBorder="1" applyAlignment="1"/>
    <xf numFmtId="14" fontId="1" fillId="0" borderId="0" xfId="1" applyNumberFormat="1" applyFont="1" applyAlignment="1">
      <alignment horizontal="left"/>
    </xf>
    <xf numFmtId="44" fontId="1" fillId="0" borderId="0" xfId="1" applyFont="1" applyAlignment="1">
      <alignment horizontal="left" vertical="top"/>
    </xf>
    <xf numFmtId="0" fontId="2" fillId="16" borderId="0" xfId="0" applyFont="1" applyFill="1" applyAlignment="1">
      <alignment horizontal="left"/>
    </xf>
    <xf numFmtId="0" fontId="19" fillId="54" borderId="0" xfId="5" applyFont="1" applyFill="1" applyAlignment="1">
      <alignment horizontal="center" vertical="top"/>
    </xf>
    <xf numFmtId="0" fontId="2" fillId="53" borderId="0" xfId="0" applyFont="1" applyFill="1" applyAlignment="1">
      <alignment horizontal="left"/>
    </xf>
    <xf numFmtId="0" fontId="2" fillId="12" borderId="0" xfId="0" applyFont="1" applyFill="1" applyAlignment="1">
      <alignment horizontal="left"/>
    </xf>
    <xf numFmtId="0" fontId="2" fillId="0" borderId="0" xfId="0" applyFont="1" applyAlignment="1">
      <alignment horizontal="left"/>
    </xf>
    <xf numFmtId="0" fontId="0" fillId="0" borderId="0" xfId="0" applyAlignment="1">
      <alignment horizontal="left"/>
    </xf>
    <xf numFmtId="0" fontId="0" fillId="0" borderId="0" xfId="0" applyAlignment="1"/>
    <xf numFmtId="44" fontId="31" fillId="0" borderId="0" xfId="0" applyNumberFormat="1" applyFont="1" applyFill="1" applyBorder="1" applyAlignment="1">
      <alignment horizontal="left"/>
    </xf>
  </cellXfs>
  <cellStyles count="48">
    <cellStyle name="20% - Accent1" xfId="25" builtinId="30" customBuiltin="1"/>
    <cellStyle name="20% - Accent2" xfId="29" builtinId="34" customBuiltin="1"/>
    <cellStyle name="20% - Accent3" xfId="33" builtinId="38" customBuiltin="1"/>
    <cellStyle name="20% - Accent4" xfId="37" builtinId="42" customBuiltin="1"/>
    <cellStyle name="20% - Accent5" xfId="41" builtinId="46" customBuiltin="1"/>
    <cellStyle name="20% - Accent6" xfId="45" builtinId="50" customBuiltin="1"/>
    <cellStyle name="40% - Accent1" xfId="26" builtinId="31" customBuiltin="1"/>
    <cellStyle name="40% - Accent2" xfId="30" builtinId="35" customBuiltin="1"/>
    <cellStyle name="40% - Accent3" xfId="34" builtinId="39" customBuiltin="1"/>
    <cellStyle name="40% - Accent4" xfId="38" builtinId="43" customBuiltin="1"/>
    <cellStyle name="40% - Accent5" xfId="42" builtinId="47" customBuiltin="1"/>
    <cellStyle name="40% - Accent6" xfId="46" builtinId="51" customBuiltin="1"/>
    <cellStyle name="60% - Accent1" xfId="27" builtinId="32" customBuiltin="1"/>
    <cellStyle name="60% - Accent2" xfId="31" builtinId="36" customBuiltin="1"/>
    <cellStyle name="60% - Accent3" xfId="35" builtinId="40" customBuiltin="1"/>
    <cellStyle name="60% - Accent4" xfId="39" builtinId="44" customBuiltin="1"/>
    <cellStyle name="60% - Accent5" xfId="43" builtinId="48" customBuiltin="1"/>
    <cellStyle name="60%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Bad" xfId="13" builtinId="27" customBuiltin="1"/>
    <cellStyle name="Calculation" xfId="17" builtinId="22" customBuiltin="1"/>
    <cellStyle name="Check Cell" xfId="19" builtinId="23" customBuiltin="1"/>
    <cellStyle name="Comma" xfId="6" builtinId="3"/>
    <cellStyle name="Currency" xfId="1" builtinId="4"/>
    <cellStyle name="Explanatory Text" xfId="22"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4" builtinId="8"/>
    <cellStyle name="Input" xfId="15" builtinId="20" customBuiltin="1"/>
    <cellStyle name="Linked Cell" xfId="18" builtinId="24" customBuiltin="1"/>
    <cellStyle name="Neutral" xfId="14" builtinId="28" customBuiltin="1"/>
    <cellStyle name="Normal" xfId="0" builtinId="0"/>
    <cellStyle name="Normal 2" xfId="3"/>
    <cellStyle name="Normal 3" xfId="5"/>
    <cellStyle name="Note" xfId="21" builtinId="10" customBuiltin="1"/>
    <cellStyle name="Output" xfId="16" builtinId="21" customBuiltin="1"/>
    <cellStyle name="Percent" xfId="2" builtinId="5"/>
    <cellStyle name="Title" xfId="7" builtinId="15" customBuiltin="1"/>
    <cellStyle name="Total" xfId="23" builtinId="25" customBuiltin="1"/>
    <cellStyle name="Warning Text" xfId="20" builtinId="11" customBuiltin="1"/>
  </cellStyles>
  <dxfs count="1269">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bgColor rgb="FF92D050"/>
        </patternFill>
      </fill>
    </dxf>
    <dxf>
      <fill>
        <patternFill>
          <bgColor theme="7" tint="0.39994506668294322"/>
        </patternFill>
      </fill>
    </dxf>
    <dxf>
      <fill>
        <patternFill>
          <bgColor rgb="FFFF0000"/>
        </patternFill>
      </fill>
    </dxf>
    <dxf>
      <font>
        <b/>
        <i val="0"/>
        <color rgb="FFFF0000"/>
      </font>
      <fill>
        <patternFill patternType="none">
          <bgColor auto="1"/>
        </patternFill>
      </fill>
    </dxf>
    <dxf>
      <fill>
        <patternFill>
          <bgColor rgb="FFFF0000"/>
        </patternFill>
      </fill>
    </dxf>
    <dxf>
      <font>
        <color rgb="FFFF0000"/>
      </font>
      <fill>
        <patternFill>
          <bgColor theme="7" tint="0.39994506668294322"/>
        </patternFill>
      </fill>
    </dxf>
    <dxf>
      <font>
        <b/>
        <i val="0"/>
        <color rgb="FFFF0000"/>
      </font>
    </dxf>
    <dxf>
      <fill>
        <patternFill>
          <bgColor theme="9"/>
        </patternFill>
      </fill>
    </dxf>
    <dxf>
      <fill>
        <patternFill>
          <bgColor rgb="FFFF0000"/>
        </patternFill>
      </fill>
    </dxf>
    <dxf>
      <fill>
        <patternFill>
          <bgColor theme="9" tint="0.39994506668294322"/>
        </patternFill>
      </fill>
    </dxf>
    <dxf>
      <fill>
        <patternFill>
          <bgColor theme="7" tint="0.59996337778862885"/>
        </patternFill>
      </fill>
    </dxf>
    <dxf>
      <fill>
        <patternFill>
          <bgColor rgb="FFFF0000"/>
        </patternFill>
      </fill>
    </dxf>
    <dxf>
      <font>
        <b/>
        <i val="0"/>
        <color rgb="FFFF0000"/>
      </font>
    </dxf>
    <dxf>
      <fill>
        <patternFill>
          <bgColor theme="9" tint="0.39994506668294322"/>
        </patternFill>
      </fill>
    </dxf>
    <dxf>
      <fill>
        <patternFill>
          <bgColor theme="7" tint="0.39994506668294322"/>
        </patternFill>
      </fill>
    </dxf>
    <dxf>
      <fill>
        <patternFill>
          <bgColor theme="5" tint="0.39994506668294322"/>
        </patternFill>
      </fill>
    </dxf>
    <dxf>
      <fill>
        <patternFill>
          <bgColor rgb="FFFF0000"/>
        </patternFill>
      </fill>
    </dxf>
    <dxf>
      <font>
        <b/>
        <i val="0"/>
        <color rgb="FFFF5050"/>
      </font>
    </dxf>
    <dxf>
      <fill>
        <patternFill>
          <bgColor rgb="FFFF0000"/>
        </patternFill>
      </fill>
    </dxf>
    <dxf>
      <fill>
        <patternFill>
          <bgColor theme="9" tint="0.39994506668294322"/>
        </patternFill>
      </fill>
    </dxf>
    <dxf>
      <fill>
        <patternFill>
          <bgColor theme="7" tint="0.59996337778862885"/>
        </patternFill>
      </fill>
    </dxf>
    <dxf>
      <fill>
        <patternFill>
          <bgColor rgb="FFFF0000"/>
        </patternFill>
      </fill>
    </dxf>
    <dxf>
      <font>
        <b/>
        <i val="0"/>
        <color rgb="FFCC0000"/>
      </font>
    </dxf>
    <dxf>
      <font>
        <b/>
        <i val="0"/>
        <color rgb="FFFF0000"/>
      </font>
      <fill>
        <patternFill patternType="none">
          <bgColor auto="1"/>
        </patternFill>
      </fill>
    </dxf>
    <dxf>
      <fill>
        <patternFill>
          <bgColor rgb="FFFF0000"/>
        </patternFill>
      </fill>
    </dxf>
    <dxf>
      <fill>
        <patternFill>
          <bgColor rgb="FFFF0000"/>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rgb="FFFF0000"/>
        </patternFill>
      </fill>
    </dxf>
    <dxf>
      <font>
        <color rgb="FFFF0000"/>
      </font>
      <fill>
        <patternFill>
          <bgColor theme="7"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rgb="FFFF0000"/>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rgb="FFFF0000"/>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rgb="FFFF0000"/>
        </patternFill>
      </fill>
    </dxf>
    <dxf>
      <fill>
        <patternFill>
          <bgColor theme="5" tint="0.39994506668294322"/>
        </patternFill>
      </fill>
    </dxf>
    <dxf>
      <fill>
        <patternFill>
          <bgColor rgb="FFFF0000"/>
        </patternFill>
      </fill>
    </dxf>
    <dxf>
      <fill>
        <patternFill>
          <bgColor theme="9" tint="0.39994506668294322"/>
        </patternFill>
      </fill>
    </dxf>
    <dxf>
      <fill>
        <patternFill>
          <bgColor theme="7" tint="0.39994506668294322"/>
        </patternFill>
      </fill>
    </dxf>
    <dxf>
      <fill>
        <patternFill>
          <bgColor rgb="FFFFFF00"/>
        </patternFill>
      </fill>
    </dxf>
    <dxf>
      <fill>
        <patternFill>
          <bgColor rgb="FFFFFF00"/>
        </patternFill>
      </fill>
    </dxf>
    <dxf>
      <fill>
        <patternFill>
          <bgColor theme="9" tint="0.39994506668294322"/>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C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patternType="none">
          <bgColor auto="1"/>
        </patternFill>
      </fill>
    </dxf>
    <dxf>
      <font>
        <b/>
        <i val="0"/>
        <color auto="1"/>
      </font>
      <fill>
        <patternFill>
          <bgColor rgb="FFFF0000"/>
        </patternFill>
      </fill>
    </dxf>
    <dxf>
      <font>
        <b/>
        <i val="0"/>
        <color auto="1"/>
      </font>
      <fill>
        <patternFill>
          <bgColor rgb="FFFF0000"/>
        </patternFill>
      </fill>
    </dxf>
    <dxf>
      <font>
        <b/>
        <i val="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ill>
        <patternFill>
          <bgColor rgb="FFFF0000"/>
        </patternFill>
      </fill>
    </dxf>
    <dxf>
      <fill>
        <patternFill>
          <bgColor theme="9"/>
        </patternFill>
      </fill>
    </dxf>
    <dxf>
      <fill>
        <patternFill>
          <bgColor theme="7"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readingOrder="0"/>
    </dxf>
    <dxf>
      <alignment horizontal="center" readingOrder="0"/>
    </dxf>
    <dxf>
      <numFmt numFmtId="167" formatCode="&quot;$&quot;#,##0.00"/>
    </dxf>
    <dxf>
      <font>
        <b val="0"/>
      </font>
    </dxf>
    <dxf>
      <alignment horizontal="left"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readingOrder="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numFmt numFmtId="34" formatCode="_(&quot;$&quot;* #,##0.00_);_(&quot;$&quot;* \(#,##0.00\);_(&quot;$&quot;* &quot;-&quot;??_);_(@_)"/>
    </dxf>
    <dxf>
      <numFmt numFmtId="34" formatCode="_(&quot;$&quot;* #,##0.00_);_(&quot;$&quot;* \(#,##0.00\);_(&quot;$&quot;* &quot;-&quot;??_);_(@_)"/>
    </dxf>
    <dxf>
      <border>
        <bottom/>
      </border>
    </dxf>
    <dxf>
      <border>
        <bottom/>
      </border>
    </dxf>
    <dxf>
      <border>
        <bottom/>
      </border>
    </dxf>
    <dxf>
      <border>
        <bottom/>
      </border>
    </dxf>
    <dxf>
      <border>
        <bottom/>
      </border>
    </dxf>
    <dxf>
      <border>
        <bottom/>
      </border>
    </dxf>
    <dxf>
      <border>
        <bottom/>
      </border>
    </dxf>
    <dxf>
      <border>
        <bottom/>
      </border>
    </dxf>
    <dxf>
      <border>
        <bottom/>
      </border>
    </dxf>
    <dxf>
      <border>
        <bottom/>
      </border>
    </dxf>
    <dxf>
      <border>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general" readingOrder="0"/>
    </dxf>
    <dxf>
      <alignment horizontal="general" readingOrder="0"/>
    </dxf>
    <dxf>
      <alignment horizontal="left" readingOrder="0"/>
    </dxf>
    <dxf>
      <alignment horizontal="left" readingOrder="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readingOrder="0"/>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left/>
      </border>
    </dxf>
    <dxf>
      <border>
        <left/>
      </border>
    </dxf>
    <dxf>
      <border>
        <left style="medium">
          <color indexed="64"/>
        </left>
        <right style="medium">
          <color indexed="64"/>
        </right>
      </border>
    </dxf>
    <dxf>
      <border>
        <left style="medium">
          <color indexed="64"/>
        </left>
        <right style="medium">
          <color indexed="64"/>
        </right>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alignment horizontal="left" readingOrder="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4" formatCode="_(&quot;$&quot;* #,##0.00_);_(&quot;$&quot;* \(#,##0.00\);_(&quot;$&quot;* &quot;-&quot;??_);_(@_)"/>
    </dxf>
    <dxf>
      <fill>
        <patternFill patternType="solid">
          <bgColor theme="0" tint="-0.14999847407452621"/>
        </patternFill>
      </fill>
    </dxf>
    <dxf>
      <fill>
        <patternFill patternType="solid">
          <bgColor theme="0" tint="-0.14999847407452621"/>
        </patternFill>
      </fill>
    </dxf>
    <dxf>
      <numFmt numFmtId="34" formatCode="_(&quot;$&quot;* #,##0.00_);_(&quot;$&quot;* \(#,##0.00\);_(&quot;$&quot;* &quot;-&quot;??_);_(@_)"/>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numFmt numFmtId="34" formatCode="_(&quot;$&quot;* #,##0.00_);_(&quot;$&quot;* \(#,##0.00\);_(&quot;$&quot;* &quot;-&quot;??_);_(@_)"/>
    </dxf>
    <dxf>
      <numFmt numFmtId="34" formatCode="_(&quot;$&quot;* #,##0.00_);_(&quot;$&quot;* \(#,##0.00\);_(&quot;$&quot;* &quot;-&quot;??_);_(@_)"/>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numFmt numFmtId="34" formatCode="_(&quot;$&quot;* #,##0.00_);_(&quot;$&quot;* \(#,##0.00\);_(&quot;$&quot;* &quot;-&quot;??_);_(@_)"/>
    </dxf>
    <dxf>
      <numFmt numFmtId="34" formatCode="_(&quot;$&quot;* #,##0.00_);_(&quot;$&quot;* \(#,##0.00\);_(&quot;$&quot;* &quot;-&quot;??_);_(@_)"/>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numFmt numFmtId="0" formatCode="General"/>
    </dxf>
    <dxf>
      <alignment horizontal="left" readingOrder="0"/>
    </dxf>
    <dxf>
      <alignment horizontal="left" readingOrder="0"/>
    </dxf>
    <dxf>
      <alignment horizontal="left" readingOrder="0"/>
    </dxf>
    <dxf>
      <alignment horizontal="left" readingOrder="0"/>
    </dxf>
    <dxf>
      <alignment horizontal="left" readingOrder="0"/>
    </dxf>
    <dxf>
      <alignment horizontal="center"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numFmt numFmtId="34" formatCode="_(&quot;$&quot;* #,##0.00_);_(&quot;$&quot;* \(#,##0.00\);_(&quot;$&quot;* &quot;-&quot;??_);_(@_)"/>
    </dxf>
    <dxf>
      <fill>
        <patternFill patternType="solid">
          <bgColor theme="0" tint="-0.14999847407452621"/>
        </patternFill>
      </fill>
    </dxf>
    <dxf>
      <fill>
        <patternFill patternType="solid">
          <bgColor theme="0" tint="-0.14999847407452621"/>
        </patternFill>
      </fill>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0" formatCode="General"/>
    </dxf>
    <dxf>
      <alignment horizontal="center" readingOrder="0"/>
    </dxf>
    <dxf>
      <alignment horizontal="left" readingOrder="0"/>
    </dxf>
    <dxf>
      <border>
        <left/>
      </border>
    </dxf>
    <dxf>
      <alignment horizontal="left" readingOrder="0"/>
    </dxf>
    <dxf>
      <alignment horizontal="left" readingOrder="0"/>
    </dxf>
    <dxf>
      <alignment horizontal="left" readingOrder="0"/>
    </dxf>
    <dxf>
      <alignment horizontal="left" readingOrder="0"/>
    </dxf>
    <dxf>
      <border>
        <bottom style="thin">
          <color indexed="64"/>
        </bottom>
      </border>
    </dxf>
    <dxf>
      <border>
        <bottom style="thin">
          <color indexed="64"/>
        </bottom>
      </border>
    </dxf>
    <dxf>
      <border>
        <bottom style="thin">
          <color indexed="64"/>
        </bottom>
      </border>
    </dxf>
    <dxf>
      <border>
        <bottom style="thin">
          <color indexed="64"/>
        </bottom>
      </border>
    </dxf>
    <dxf>
      <fill>
        <patternFill>
          <bgColor theme="0" tint="-0.14999847407452621"/>
        </patternFill>
      </fill>
    </dxf>
    <dxf>
      <fill>
        <patternFill>
          <bgColor theme="4" tint="0.79998168889431442"/>
        </patternFill>
      </fill>
    </dxf>
    <dxf>
      <fill>
        <patternFill patternType="solid">
          <bgColor theme="2" tint="-9.9978637043366805E-2"/>
        </patternFill>
      </fill>
    </dxf>
    <dxf>
      <fill>
        <patternFill patternType="solid">
          <bgColor theme="9" tint="0.39997558519241921"/>
        </patternFill>
      </fill>
    </dxf>
    <dxf>
      <font>
        <b/>
      </font>
    </dxf>
    <dxf>
      <font>
        <b/>
      </font>
    </dxf>
    <dxf>
      <alignment horizontal="left" readingOrder="0"/>
    </dxf>
    <dxf>
      <alignment horizontal="left" readingOrder="0"/>
    </dxf>
    <dxf>
      <alignment horizontal="left" readingOrder="0"/>
    </dxf>
    <dxf>
      <alignment horizontal="left" readingOrder="0"/>
    </dxf>
    <dxf>
      <numFmt numFmtId="34" formatCode="_(&quot;$&quot;* #,##0.00_);_(&quot;$&quot;* \(#,##0.00\);_(&quot;$&quot;* &quot;-&quot;??_);_(@_)"/>
    </dxf>
    <dxf>
      <numFmt numFmtId="1" formatCode="0"/>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readingOrder="0"/>
    </dxf>
    <dxf>
      <border>
        <left/>
      </border>
    </dxf>
    <dxf>
      <numFmt numFmtId="0" formatCode="General"/>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general" readingOrder="0"/>
    </dxf>
    <dxf>
      <alignment horizontal="general" readingOrder="0"/>
    </dxf>
    <dxf>
      <alignment horizontal="left" readingOrder="0"/>
    </dxf>
    <dxf>
      <alignment horizontal="left" readingOrder="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readingOrder="0"/>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left/>
      </border>
    </dxf>
    <dxf>
      <border>
        <left/>
      </border>
    </dxf>
    <dxf>
      <border>
        <left style="medium">
          <color indexed="64"/>
        </left>
        <right style="medium">
          <color indexed="64"/>
        </right>
      </border>
    </dxf>
    <dxf>
      <border>
        <left style="medium">
          <color indexed="64"/>
        </left>
        <right style="medium">
          <color indexed="64"/>
        </right>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alignment horizontal="left" readingOrder="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4" formatCode="_(&quot;$&quot;* #,##0.00_);_(&quot;$&quot;* \(#,##0.00\);_(&quot;$&quot;* &quot;-&quot;??_);_(@_)"/>
    </dxf>
    <dxf>
      <fill>
        <patternFill patternType="solid">
          <bgColor theme="0" tint="-0.14999847407452621"/>
        </patternFill>
      </fill>
    </dxf>
    <dxf>
      <numFmt numFmtId="34" formatCode="_(&quot;$&quot;* #,##0.00_);_(&quot;$&quot;* \(#,##0.00\);_(&quot;$&quot;* &quot;-&quot;??_);_(@_)"/>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19" formatCode="m/d/yyyy"/>
      <alignment horizontal="left" vertical="top" textRotation="0" wrapText="0" indent="0" justifyLastLine="0" shrinkToFit="0" readingOrder="0"/>
    </dxf>
    <dxf>
      <alignment horizontal="left"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numFmt numFmtId="0" formatCode="General"/>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ertAlign val="baseline"/>
        <sz val="11"/>
        <color theme="10"/>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0.0"/>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0.0"/>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0.0"/>
      <alignment horizontal="left" vertical="bottom" textRotation="0" wrapText="0" indent="0" justifyLastLine="0" shrinkToFit="0" readingOrder="0"/>
    </dxf>
    <dxf>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border outline="0">
        <bottom style="thin">
          <color indexed="64"/>
        </bottom>
      </border>
    </dxf>
    <dxf>
      <font>
        <strike val="0"/>
        <outline val="0"/>
        <shadow val="0"/>
        <u val="none"/>
        <vertAlign val="baseline"/>
        <sz val="11"/>
        <color theme="0"/>
        <name val="Calibri"/>
        <scheme val="minor"/>
      </font>
      <fill>
        <patternFill patternType="none">
          <fgColor indexed="64"/>
          <bgColor auto="1"/>
        </patternFill>
      </fill>
    </dxf>
    <dxf>
      <font>
        <strike val="0"/>
        <outline val="0"/>
        <shadow val="0"/>
        <u val="none"/>
        <vertAlign val="baseline"/>
        <sz val="11"/>
        <name val="Calibri"/>
      </font>
      <numFmt numFmtId="0" formatCode="General"/>
      <alignment horizontal="left" vertical="bottom" textRotation="0" wrapText="0" indent="0" justifyLastLine="0" shrinkToFit="0" readingOrder="0"/>
    </dxf>
    <dxf>
      <font>
        <strike val="0"/>
        <outline val="0"/>
        <shadow val="0"/>
        <u val="none"/>
        <vertAlign val="baseline"/>
        <sz val="11"/>
        <name val="Calibri"/>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1"/>
        <name val="Calibri"/>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left" vertical="bottom" textRotation="0" wrapText="0" indent="0" justifyLastLine="0" shrinkToFit="0" readingOrder="0"/>
    </dxf>
    <dxf>
      <font>
        <strike val="0"/>
        <outline val="0"/>
        <shadow val="0"/>
        <u val="none"/>
        <vertAlign val="baseline"/>
        <sz val="11"/>
        <name val="Calibri"/>
      </font>
      <alignment horizontal="left" vertical="bottom" textRotation="0" wrapText="0" indent="0" justifyLastLine="0" shrinkToFit="0" readingOrder="0"/>
    </dxf>
    <dxf>
      <font>
        <strike val="0"/>
        <outline val="0"/>
        <shadow val="0"/>
        <u val="none"/>
        <vertAlign val="baseline"/>
        <sz val="11"/>
        <name val="Calibri"/>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strike val="0"/>
        <outline val="0"/>
        <shadow val="0"/>
        <u val="none"/>
        <vertAlign val="baseline"/>
        <sz val="11"/>
        <name val="Calibri"/>
      </font>
      <numFmt numFmtId="0" formatCode="General"/>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1"/>
        <name val="Calibri"/>
      </font>
      <alignment horizontal="left" vertical="bottom" textRotation="0" wrapText="0" indent="0" justifyLastLine="0" shrinkToFit="0" readingOrder="0"/>
    </dxf>
    <dxf>
      <font>
        <strike val="0"/>
        <outline val="0"/>
        <shadow val="0"/>
        <u val="none"/>
        <vertAlign val="baseline"/>
        <sz val="11"/>
        <name val="Calibri"/>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strike val="0"/>
        <outline val="0"/>
        <shadow val="0"/>
        <u val="none"/>
        <vertAlign val="baseline"/>
        <sz val="11"/>
        <name val="Calibri"/>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alignment horizontal="left" vertical="bottom" textRotation="0" wrapText="0" indent="0" justifyLastLine="0" shrinkToFit="0" readingOrder="0"/>
    </dxf>
    <dxf>
      <font>
        <strike val="0"/>
        <outline val="0"/>
        <shadow val="0"/>
        <u val="none"/>
        <vertAlign val="baseline"/>
        <sz val="11"/>
        <name val="Calibri"/>
      </font>
      <numFmt numFmtId="19" formatCode="m/d/yyyy"/>
      <alignment horizontal="left" vertical="bottom" textRotation="0" wrapText="0" indent="0" justifyLastLine="0" shrinkToFit="0" readingOrder="0"/>
    </dxf>
    <dxf>
      <font>
        <strike val="0"/>
        <outline val="0"/>
        <shadow val="0"/>
        <u val="none"/>
        <vertAlign val="baseline"/>
        <sz val="11"/>
        <name val="Calibri"/>
      </font>
      <numFmt numFmtId="0" formatCode="General"/>
      <alignment horizontal="left" vertical="bottom" textRotation="0" wrapText="0" indent="0" justifyLastLine="0" shrinkToFit="0" readingOrder="0"/>
    </dxf>
    <dxf>
      <font>
        <b/>
        <i val="0"/>
        <strike val="0"/>
        <condense val="0"/>
        <extend val="0"/>
        <outline val="0"/>
        <shadow val="0"/>
        <u val="none"/>
        <vertAlign val="baseline"/>
        <sz val="11"/>
        <color theme="0"/>
        <name val="Calibri"/>
        <scheme val="minor"/>
      </font>
      <numFmt numFmtId="0" formatCode="General"/>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19" formatCode="m/d/yyyy"/>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CC0000"/>
        <name val="Calibri"/>
        <scheme val="minor"/>
      </font>
      <numFmt numFmtId="19" formatCode="m/d/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CC0000"/>
        <name val="Calibri"/>
        <scheme val="minor"/>
      </font>
      <numFmt numFmtId="19" formatCode="m/d/yyyy"/>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9" tint="-0.249977111117893"/>
        <name val="Calibri"/>
        <scheme val="minor"/>
      </font>
      <numFmt numFmtId="34" formatCode="_(&quot;$&quot;* #,##0.00_);_(&quot;$&quot;* \(#,##0.00\);_(&quot;$&quot;*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rgb="FF9933FF"/>
        <name val="Calibri"/>
        <scheme val="minor"/>
      </font>
      <numFmt numFmtId="34" formatCode="_(&quot;$&quot;* #,##0.00_);_(&quot;$&quot;* \(#,##0.00\);_(&quot;$&quot;*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alignment horizontal="center" vertical="bottom"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font>
        <b/>
        <i val="0"/>
        <strike val="0"/>
        <condense val="0"/>
        <extend val="0"/>
        <outline val="0"/>
        <shadow val="0"/>
        <u val="none"/>
        <vertAlign val="baseline"/>
        <sz val="11"/>
        <color theme="1"/>
        <name val="Calibri"/>
        <scheme val="minor"/>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strike val="0"/>
        <outline val="0"/>
        <shadow val="0"/>
        <vertAlign val="baseline"/>
        <sz val="11"/>
        <name val="Calibri"/>
        <scheme val="minor"/>
      </font>
      <numFmt numFmtId="19" formatCode="m/d/yyyy"/>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solid">
          <fgColor indexed="64"/>
          <bgColor theme="7"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solid">
          <fgColor indexed="64"/>
          <bgColor rgb="FFFBC9C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solid">
          <fgColor indexed="64"/>
          <bgColor rgb="FF99FFCC"/>
        </patternFill>
      </fill>
      <alignment horizontal="left" vertical="bottom" textRotation="0" wrapText="0" indent="0" justifyLastLine="0" shrinkToFit="0" readingOrder="0"/>
    </dxf>
    <dxf>
      <font>
        <b val="0"/>
        <i val="0"/>
        <strike val="0"/>
        <condense val="0"/>
        <extend val="0"/>
        <outline val="0"/>
        <shadow val="0"/>
        <u val="none"/>
        <vertAlign val="baseline"/>
        <sz val="11"/>
        <color rgb="FF7030A0"/>
        <name val="Calibri"/>
        <scheme val="minor"/>
      </font>
      <numFmt numFmtId="34" formatCode="_(&quot;$&quot;* #,##0.00_);_(&quot;$&quot;* \(#,##0.00\);_(&quot;$&quot;*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solid">
          <fgColor indexed="64"/>
          <bgColor theme="5"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strike val="0"/>
        <outline val="0"/>
        <shadow val="0"/>
        <vertAlign val="baseline"/>
        <sz val="11"/>
        <name val="Calibri"/>
        <scheme val="minor"/>
      </font>
      <numFmt numFmtId="34" formatCode="_(&quot;$&quot;* #,##0.00_);_(&quot;$&quot;* \(#,##0.00\);_(&quot;$&quot;*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numFmt numFmtId="19" formatCode="m/d/yyyy"/>
      <alignment horizontal="left" vertical="bottom" textRotation="0" wrapText="0" indent="0" justifyLastLine="0" shrinkToFit="0" readingOrder="0"/>
    </dxf>
    <dxf>
      <font>
        <strike val="0"/>
        <outline val="0"/>
        <shadow val="0"/>
        <vertAlign val="baseline"/>
        <sz val="11"/>
        <name val="Calibri"/>
        <scheme val="minor"/>
      </font>
      <numFmt numFmtId="1" formatCode="0"/>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numFmt numFmtId="3" formatCode="#,##0"/>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numFmt numFmtId="0" formatCode="General"/>
      <alignment horizontal="left" vertical="bottom" textRotation="0" wrapText="0" indent="0" justifyLastLine="0" shrinkToFit="0" readingOrder="0"/>
    </dxf>
    <dxf>
      <font>
        <strike val="0"/>
        <outline val="0"/>
        <shadow val="0"/>
        <vertAlign val="baseline"/>
        <sz val="11"/>
        <name val="Calibri"/>
        <scheme val="minor"/>
      </font>
      <numFmt numFmtId="19" formatCode="m/d/yyyy"/>
      <alignment horizontal="left" vertical="bottom" textRotation="0" wrapText="0" indent="0" justifyLastLine="0" shrinkToFit="0" readingOrder="0"/>
    </dxf>
    <dxf>
      <font>
        <strike val="0"/>
        <outline val="0"/>
        <shadow val="0"/>
        <vertAlign val="baseline"/>
        <sz val="11"/>
        <name val="Calibri"/>
        <scheme val="minor"/>
      </font>
      <numFmt numFmtId="1" formatCode="0"/>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font>
        <strike val="0"/>
        <outline val="0"/>
        <shadow val="0"/>
        <vertAlign val="baseline"/>
        <sz val="11"/>
        <name val="Calibri"/>
        <scheme val="minor"/>
      </font>
      <numFmt numFmtId="0" formatCode="General"/>
      <alignment horizontal="left" vertical="bottom" textRotation="0" indent="0" justifyLastLine="0" shrinkToFit="0" readingOrder="0"/>
    </dxf>
    <dxf>
      <font>
        <strike val="0"/>
        <outline val="0"/>
        <shadow val="0"/>
        <vertAlign val="baseline"/>
        <sz val="11"/>
        <name val="Calibri"/>
        <scheme val="minor"/>
      </font>
      <numFmt numFmtId="0" formatCode="General"/>
      <alignment horizontal="left" vertical="bottom" textRotation="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vertAlign val="baseline"/>
        <sz val="11"/>
        <name val="Calibri"/>
        <scheme val="minor"/>
      </font>
      <alignment horizontal="left" vertical="bottom" textRotation="0" wrapText="0" indent="0" justifyLastLine="0" shrinkToFit="0" readingOrder="0"/>
    </dxf>
    <dxf>
      <font>
        <strike val="0"/>
        <outline val="0"/>
        <shadow val="0"/>
        <u val="none"/>
        <vertAlign val="baseline"/>
        <sz val="11"/>
        <name val="Calibri"/>
        <scheme val="minor"/>
      </font>
      <numFmt numFmtId="0" formatCode="General"/>
      <alignment horizontal="left" vertical="bottom" textRotation="0" wrapText="0" indent="0" justifyLastLine="0" shrinkToFit="0" readingOrder="0"/>
    </dxf>
    <dxf>
      <font>
        <strike val="0"/>
        <outline val="0"/>
        <shadow val="0"/>
        <vertAlign val="baseline"/>
        <sz val="11"/>
        <name val="Calibri"/>
        <scheme val="minor"/>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1"/>
        <color auto="1"/>
        <name val="Calibri"/>
        <scheme val="minor"/>
      </font>
      <alignment horizontal="left" vertical="top" textRotation="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CC0000"/>
      <color rgb="FFFF0000"/>
      <color rgb="FFFF5050"/>
      <color rgb="FFFF8383"/>
      <color rgb="FF9933FF"/>
      <color rgb="FFFF0066"/>
      <color rgb="FFFF7C80"/>
      <color rgb="FFFBC9C1"/>
      <color rgb="FF99FFCC"/>
      <color rgb="FFAED4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6.xml"/><Relationship Id="rId3" Type="http://schemas.openxmlformats.org/officeDocument/2006/relationships/worksheet" Target="worksheets/sheet3.xml"/><Relationship Id="rId21" Type="http://schemas.microsoft.com/office/2007/relationships/slicerCache" Target="slicerCaches/slicerCache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32" Type="http://schemas.microsoft.com/office/2007/relationships/slicerCache" Target="slicerCaches/slicerCache12.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microsoft.com/office/2007/relationships/slicerCache" Target="slicerCaches/slicerCache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microsoft.com/office/2007/relationships/slicerCache" Target="slicerCaches/slicerCache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microsoft.com/office/2007/relationships/slicerCache" Target="slicerCaches/slicerCache7.xml"/><Relationship Id="rId30" Type="http://schemas.microsoft.com/office/2007/relationships/slicerCache" Target="slicerCaches/slicerCache10.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26</xdr:col>
      <xdr:colOff>295275</xdr:colOff>
      <xdr:row>1</xdr:row>
      <xdr:rowOff>9526</xdr:rowOff>
    </xdr:from>
    <xdr:to>
      <xdr:col>28</xdr:col>
      <xdr:colOff>660135</xdr:colOff>
      <xdr:row>7</xdr:row>
      <xdr:rowOff>0</xdr:rowOff>
    </xdr:to>
    <mc:AlternateContent xmlns:mc="http://schemas.openxmlformats.org/markup-compatibility/2006" xmlns:a14="http://schemas.microsoft.com/office/drawing/2010/main">
      <mc:Choice Requires="a14">
        <xdr:graphicFrame macro="">
          <xdr:nvGraphicFramePr>
            <xdr:cNvPr id="2" name="Unit# 3">
              <a:extLst>
                <a:ext uri="{FF2B5EF4-FFF2-40B4-BE49-F238E27FC236}">
                  <a16:creationId xmlns:a16="http://schemas.microsoft.com/office/drawing/2014/main" xmlns="" id="{00000000-0008-0000-03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Unit# 3"/>
            </a:graphicData>
          </a:graphic>
        </xdr:graphicFrame>
      </mc:Choice>
      <mc:Fallback xmlns="">
        <xdr:sp macro="" textlink="">
          <xdr:nvSpPr>
            <xdr:cNvPr id="0" name=""/>
            <xdr:cNvSpPr>
              <a:spLocks noTextEdit="1"/>
            </xdr:cNvSpPr>
          </xdr:nvSpPr>
          <xdr:spPr>
            <a:xfrm>
              <a:off x="22710775" y="210609"/>
              <a:ext cx="2054225" cy="114405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284692</xdr:colOff>
      <xdr:row>7</xdr:row>
      <xdr:rowOff>9525</xdr:rowOff>
    </xdr:from>
    <xdr:to>
      <xdr:col>28</xdr:col>
      <xdr:colOff>660135</xdr:colOff>
      <xdr:row>20</xdr:row>
      <xdr:rowOff>57150</xdr:rowOff>
    </xdr:to>
    <mc:AlternateContent xmlns:mc="http://schemas.openxmlformats.org/markup-compatibility/2006" xmlns:a14="http://schemas.microsoft.com/office/drawing/2010/main">
      <mc:Choice Requires="a14">
        <xdr:graphicFrame macro="">
          <xdr:nvGraphicFramePr>
            <xdr:cNvPr id="3" name="Payee">
              <a:extLst>
                <a:ext uri="{FF2B5EF4-FFF2-40B4-BE49-F238E27FC236}">
                  <a16:creationId xmlns:a16="http://schemas.microsoft.com/office/drawing/2014/main" xmlns="" id="{00000000-0008-0000-0300-000003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ayee"/>
            </a:graphicData>
          </a:graphic>
        </xdr:graphicFrame>
      </mc:Choice>
      <mc:Fallback xmlns="">
        <xdr:sp macro="" textlink="">
          <xdr:nvSpPr>
            <xdr:cNvPr id="0" name=""/>
            <xdr:cNvSpPr>
              <a:spLocks noTextEdit="1"/>
            </xdr:cNvSpPr>
          </xdr:nvSpPr>
          <xdr:spPr>
            <a:xfrm>
              <a:off x="22700192" y="1353608"/>
              <a:ext cx="206480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30691</xdr:colOff>
      <xdr:row>7</xdr:row>
      <xdr:rowOff>9525</xdr:rowOff>
    </xdr:from>
    <xdr:to>
      <xdr:col>26</xdr:col>
      <xdr:colOff>166156</xdr:colOff>
      <xdr:row>20</xdr:row>
      <xdr:rowOff>57150</xdr:rowOff>
    </xdr:to>
    <mc:AlternateContent xmlns:mc="http://schemas.openxmlformats.org/markup-compatibility/2006" xmlns:a14="http://schemas.microsoft.com/office/drawing/2010/main">
      <mc:Choice Requires="a14">
        <xdr:graphicFrame macro="">
          <xdr:nvGraphicFramePr>
            <xdr:cNvPr id="5" name="ActionMonth">
              <a:extLst>
                <a:ext uri="{FF2B5EF4-FFF2-40B4-BE49-F238E27FC236}">
                  <a16:creationId xmlns:a16="http://schemas.microsoft.com/office/drawing/2014/main" xmlns="" id="{00000000-0008-0000-0300-000005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ctionMonth"/>
            </a:graphicData>
          </a:graphic>
        </xdr:graphicFrame>
      </mc:Choice>
      <mc:Fallback xmlns="">
        <xdr:sp macro="" textlink="">
          <xdr:nvSpPr>
            <xdr:cNvPr id="0" name=""/>
            <xdr:cNvSpPr>
              <a:spLocks noTextEdit="1"/>
            </xdr:cNvSpPr>
          </xdr:nvSpPr>
          <xdr:spPr>
            <a:xfrm>
              <a:off x="20879858" y="135360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30692</xdr:colOff>
      <xdr:row>1</xdr:row>
      <xdr:rowOff>10585</xdr:rowOff>
    </xdr:from>
    <xdr:to>
      <xdr:col>26</xdr:col>
      <xdr:colOff>166157</xdr:colOff>
      <xdr:row>7</xdr:row>
      <xdr:rowOff>0</xdr:rowOff>
    </xdr:to>
    <mc:AlternateContent xmlns:mc="http://schemas.openxmlformats.org/markup-compatibility/2006" xmlns:a14="http://schemas.microsoft.com/office/drawing/2010/main">
      <mc:Choice Requires="a14">
        <xdr:graphicFrame macro="">
          <xdr:nvGraphicFramePr>
            <xdr:cNvPr id="6" name="Action Year">
              <a:extLst>
                <a:ext uri="{FF2B5EF4-FFF2-40B4-BE49-F238E27FC236}">
                  <a16:creationId xmlns:a16="http://schemas.microsoft.com/office/drawing/2014/main" xmlns="" id="{00000000-0008-0000-0300-000006000000}"/>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Action Year"/>
            </a:graphicData>
          </a:graphic>
        </xdr:graphicFrame>
      </mc:Choice>
      <mc:Fallback xmlns="">
        <xdr:sp macro="" textlink="">
          <xdr:nvSpPr>
            <xdr:cNvPr id="0" name=""/>
            <xdr:cNvSpPr>
              <a:spLocks noTextEdit="1"/>
            </xdr:cNvSpPr>
          </xdr:nvSpPr>
          <xdr:spPr>
            <a:xfrm>
              <a:off x="20879859" y="211668"/>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34927</xdr:colOff>
      <xdr:row>20</xdr:row>
      <xdr:rowOff>41063</xdr:rowOff>
    </xdr:from>
    <xdr:to>
      <xdr:col>26</xdr:col>
      <xdr:colOff>158962</xdr:colOff>
      <xdr:row>27</xdr:row>
      <xdr:rowOff>179917</xdr:rowOff>
    </xdr:to>
    <mc:AlternateContent xmlns:mc="http://schemas.openxmlformats.org/markup-compatibility/2006" xmlns:a14="http://schemas.microsoft.com/office/drawing/2010/main">
      <mc:Choice Requires="a14">
        <xdr:graphicFrame macro="">
          <xdr:nvGraphicFramePr>
            <xdr:cNvPr id="7" name="State">
              <a:extLst>
                <a:ext uri="{FF2B5EF4-FFF2-40B4-BE49-F238E27FC236}">
                  <a16:creationId xmlns:a16="http://schemas.microsoft.com/office/drawing/2014/main" xmlns="" id="{00000000-0008-0000-0300-000007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0884094" y="3861646"/>
              <a:ext cx="1817370" cy="147235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5292</xdr:colOff>
      <xdr:row>5</xdr:row>
      <xdr:rowOff>23282</xdr:rowOff>
    </xdr:from>
    <xdr:to>
      <xdr:col>24</xdr:col>
      <xdr:colOff>267759</xdr:colOff>
      <xdr:row>18</xdr:row>
      <xdr:rowOff>70907</xdr:rowOff>
    </xdr:to>
    <mc:AlternateContent xmlns:mc="http://schemas.openxmlformats.org/markup-compatibility/2006">
      <mc:Choice xmlns:a14="http://schemas.microsoft.com/office/drawing/2010/main" Requires="a14">
        <xdr:graphicFrame macro="">
          <xdr:nvGraphicFramePr>
            <xdr:cNvPr id="2" name="Unit#"/>
            <xdr:cNvGraphicFramePr/>
          </xdr:nvGraphicFramePr>
          <xdr:xfrm>
            <a:off x="0" y="0"/>
            <a:ext cx="0" cy="0"/>
          </xdr:xfrm>
          <a:graphic>
            <a:graphicData uri="http://schemas.microsoft.com/office/drawing/2010/slicer">
              <sle:slicer xmlns:sle="http://schemas.microsoft.com/office/drawing/2010/slicer" name="Unit#"/>
            </a:graphicData>
          </a:graphic>
        </xdr:graphicFrame>
      </mc:Choice>
      <mc:Fallback>
        <xdr:sp macro="" textlink="">
          <xdr:nvSpPr>
            <xdr:cNvPr id="0" name=""/>
            <xdr:cNvSpPr>
              <a:spLocks noTextEdit="1"/>
            </xdr:cNvSpPr>
          </xdr:nvSpPr>
          <xdr:spPr>
            <a:xfrm>
              <a:off x="28347459" y="97578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5292</xdr:colOff>
      <xdr:row>18</xdr:row>
      <xdr:rowOff>65617</xdr:rowOff>
    </xdr:from>
    <xdr:to>
      <xdr:col>24</xdr:col>
      <xdr:colOff>267759</xdr:colOff>
      <xdr:row>31</xdr:row>
      <xdr:rowOff>113242</xdr:rowOff>
    </xdr:to>
    <mc:AlternateContent xmlns:mc="http://schemas.openxmlformats.org/markup-compatibility/2006">
      <mc:Choice xmlns:a14="http://schemas.microsoft.com/office/drawing/2010/main"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8347459" y="349461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5291</xdr:colOff>
      <xdr:row>31</xdr:row>
      <xdr:rowOff>107949</xdr:rowOff>
    </xdr:from>
    <xdr:to>
      <xdr:col>24</xdr:col>
      <xdr:colOff>267758</xdr:colOff>
      <xdr:row>44</xdr:row>
      <xdr:rowOff>155574</xdr:rowOff>
    </xdr:to>
    <mc:AlternateContent xmlns:mc="http://schemas.openxmlformats.org/markup-compatibility/2006">
      <mc:Choice xmlns:a14="http://schemas.microsoft.com/office/drawing/2010/main" Requires="a14">
        <xdr:graphicFrame macro="">
          <xdr:nvGraphicFramePr>
            <xdr:cNvPr id="4" name="RepairType"/>
            <xdr:cNvGraphicFramePr/>
          </xdr:nvGraphicFramePr>
          <xdr:xfrm>
            <a:off x="0" y="0"/>
            <a:ext cx="0" cy="0"/>
          </xdr:xfrm>
          <a:graphic>
            <a:graphicData uri="http://schemas.microsoft.com/office/drawing/2010/slicer">
              <sle:slicer xmlns:sle="http://schemas.microsoft.com/office/drawing/2010/slicer" name="RepairType"/>
            </a:graphicData>
          </a:graphic>
        </xdr:graphicFrame>
      </mc:Choice>
      <mc:Fallback>
        <xdr:sp macro="" textlink="">
          <xdr:nvSpPr>
            <xdr:cNvPr id="0" name=""/>
            <xdr:cNvSpPr>
              <a:spLocks noTextEdit="1"/>
            </xdr:cNvSpPr>
          </xdr:nvSpPr>
          <xdr:spPr>
            <a:xfrm>
              <a:off x="28347458" y="601344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600074</xdr:colOff>
      <xdr:row>15</xdr:row>
      <xdr:rowOff>1</xdr:rowOff>
    </xdr:from>
    <xdr:to>
      <xdr:col>14</xdr:col>
      <xdr:colOff>323850</xdr:colOff>
      <xdr:row>21</xdr:row>
      <xdr:rowOff>1</xdr:rowOff>
    </xdr:to>
    <mc:AlternateContent xmlns:mc="http://schemas.openxmlformats.org/markup-compatibility/2006" xmlns:a14="http://schemas.microsoft.com/office/drawing/2010/main">
      <mc:Choice Requires="a14">
        <xdr:graphicFrame macro="">
          <xdr:nvGraphicFramePr>
            <xdr:cNvPr id="2" name="DispatchAgent">
              <a:extLst>
                <a:ext uri="{FF2B5EF4-FFF2-40B4-BE49-F238E27FC236}">
                  <a16:creationId xmlns:a16="http://schemas.microsoft.com/office/drawing/2014/main" xmlns="" id="{00000000-0008-0000-0C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ispatchAgent"/>
            </a:graphicData>
          </a:graphic>
        </xdr:graphicFrame>
      </mc:Choice>
      <mc:Fallback xmlns="">
        <xdr:sp macro="" textlink="">
          <xdr:nvSpPr>
            <xdr:cNvPr id="0" name=""/>
            <xdr:cNvSpPr>
              <a:spLocks noTextEdit="1"/>
            </xdr:cNvSpPr>
          </xdr:nvSpPr>
          <xdr:spPr>
            <a:xfrm>
              <a:off x="11096624" y="2857501"/>
              <a:ext cx="1552576"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9524</xdr:colOff>
      <xdr:row>1</xdr:row>
      <xdr:rowOff>0</xdr:rowOff>
    </xdr:from>
    <xdr:to>
      <xdr:col>12</xdr:col>
      <xdr:colOff>0</xdr:colOff>
      <xdr:row>15</xdr:row>
      <xdr:rowOff>0</xdr:rowOff>
    </xdr:to>
    <mc:AlternateContent xmlns:mc="http://schemas.openxmlformats.org/markup-compatibility/2006" xmlns:a14="http://schemas.microsoft.com/office/drawing/2010/main">
      <mc:Choice Requires="a14">
        <xdr:graphicFrame macro="">
          <xdr:nvGraphicFramePr>
            <xdr:cNvPr id="3" name="Month 3">
              <a:extLst>
                <a:ext uri="{FF2B5EF4-FFF2-40B4-BE49-F238E27FC236}">
                  <a16:creationId xmlns:a16="http://schemas.microsoft.com/office/drawing/2014/main" xmlns="" id="{00000000-0008-0000-0C00-000003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9896474" y="190500"/>
              <a:ext cx="1209675"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xdr:colOff>
      <xdr:row>15</xdr:row>
      <xdr:rowOff>0</xdr:rowOff>
    </xdr:from>
    <xdr:to>
      <xdr:col>12</xdr:col>
      <xdr:colOff>2</xdr:colOff>
      <xdr:row>21</xdr:row>
      <xdr:rowOff>1904</xdr:rowOff>
    </xdr:to>
    <mc:AlternateContent xmlns:mc="http://schemas.openxmlformats.org/markup-compatibility/2006" xmlns:a14="http://schemas.microsoft.com/office/drawing/2010/main">
      <mc:Choice Requires="a14">
        <xdr:graphicFrame macro="">
          <xdr:nvGraphicFramePr>
            <xdr:cNvPr id="4" name="ActionYear">
              <a:extLst>
                <a:ext uri="{FF2B5EF4-FFF2-40B4-BE49-F238E27FC236}">
                  <a16:creationId xmlns:a16="http://schemas.microsoft.com/office/drawing/2014/main" xmlns="" id="{00000000-0008-0000-0C00-000004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ctionYear"/>
            </a:graphicData>
          </a:graphic>
        </xdr:graphicFrame>
      </mc:Choice>
      <mc:Fallback xmlns="">
        <xdr:sp macro="" textlink="">
          <xdr:nvSpPr>
            <xdr:cNvPr id="0" name=""/>
            <xdr:cNvSpPr>
              <a:spLocks noTextEdit="1"/>
            </xdr:cNvSpPr>
          </xdr:nvSpPr>
          <xdr:spPr>
            <a:xfrm>
              <a:off x="9896475" y="2857500"/>
              <a:ext cx="1209676"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xdr:row>
      <xdr:rowOff>0</xdr:rowOff>
    </xdr:from>
    <xdr:to>
      <xdr:col>14</xdr:col>
      <xdr:colOff>323850</xdr:colOff>
      <xdr:row>15</xdr:row>
      <xdr:rowOff>1904</xdr:rowOff>
    </xdr:to>
    <mc:AlternateContent xmlns:mc="http://schemas.openxmlformats.org/markup-compatibility/2006" xmlns:a14="http://schemas.microsoft.com/office/drawing/2010/main">
      <mc:Choice Requires="a14">
        <xdr:graphicFrame macro="">
          <xdr:nvGraphicFramePr>
            <xdr:cNvPr id="6" name="DispatachPayDay">
              <a:extLst>
                <a:ext uri="{FF2B5EF4-FFF2-40B4-BE49-F238E27FC236}">
                  <a16:creationId xmlns:a16="http://schemas.microsoft.com/office/drawing/2014/main" xmlns="" id="{00000000-0008-0000-0C00-000006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ispatachPayDay"/>
            </a:graphicData>
          </a:graphic>
        </xdr:graphicFrame>
      </mc:Choice>
      <mc:Fallback xmlns="">
        <xdr:sp macro="" textlink="">
          <xdr:nvSpPr>
            <xdr:cNvPr id="0" name=""/>
            <xdr:cNvSpPr>
              <a:spLocks noTextEdit="1"/>
            </xdr:cNvSpPr>
          </xdr:nvSpPr>
          <xdr:spPr>
            <a:xfrm>
              <a:off x="11106150" y="190500"/>
              <a:ext cx="1543050" cy="26669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Tejinder Singh" refreshedDate="42576.441036921293" createdVersion="4" refreshedVersion="4" minRefreshableVersion="3" recordCount="573">
  <cacheSource type="worksheet">
    <worksheetSource name="Table2"/>
  </cacheSource>
  <cacheFields count="24">
    <cacheField name="UBOrderNo" numFmtId="0">
      <sharedItems containsMixedTypes="1" containsNumber="1" containsInteger="1" minValue="-494915" maxValue="99898949" count="771">
        <s v="89857596"/>
        <s v="87606515"/>
        <s v="178825"/>
        <s v="-0494915"/>
        <s v="24494949"/>
        <s v="35678349"/>
        <s v="14565315"/>
        <s v="237A7049"/>
        <s v="99898949"/>
        <s v="586425"/>
        <s v="42090949"/>
        <s v="59Rh49"/>
        <s v="93049"/>
        <s v="65878725"/>
        <s v="8083e349"/>
        <s v="08556825"/>
        <s v="19049"/>
        <s v="19030349"/>
        <s v="92339149"/>
        <s v="31622725"/>
        <s v="29726549"/>
        <s v="72070149"/>
        <s v="70909025"/>
        <s v="58042549"/>
        <s v="255825"/>
        <s v="47049"/>
        <s v="530349"/>
        <s v="317349"/>
        <s v="257849"/>
        <s v="970949"/>
        <s v="00705249"/>
        <s v="27901249"/>
        <s v="96681949"/>
        <s v="58sfsf49"/>
        <s v="24606049"/>
        <s v="08979749"/>
        <s v="941649"/>
        <s v="77021449"/>
        <s v="89023A49"/>
        <s v="832649"/>
        <s v="33555549"/>
        <s v="38868649"/>
        <s v="51484849"/>
        <s v="44444449"/>
        <s v="31838349"/>
        <s v="24848449"/>
        <s v="03868649"/>
        <s v="67737349"/>
        <s v="71636349"/>
        <s v="02997749"/>
        <s v="702749"/>
        <s v="90828249"/>
        <s v="100C0C49"/>
        <s v="14480449"/>
        <s v="13170949"/>
        <s v="68793049"/>
        <s v="28555549"/>
        <s v="55818149"/>
        <s v="99803149"/>
        <s v="249349"/>
        <s v="09048949"/>
        <s v="17696916"/>
        <s v="15151549"/>
        <s v="21078916"/>
        <s v="33289549"/>
        <s v="494916"/>
        <s v="22070749"/>
        <s v="14548949"/>
        <s v="67868616"/>
        <s v="30242416"/>
        <s v="20666649"/>
        <s v="68267549"/>
        <s v="48897116"/>
        <s v="36833449"/>
        <s v="741049"/>
        <s v="57974816"/>
        <s v="43434316"/>
        <s v="818149"/>
        <s v="29171749"/>
        <s v="76775916"/>
        <s v="64159749"/>
        <s v="89191916"/>
        <s v="46784616"/>
        <s v="849X9X49"/>
        <s v="94le49"/>
        <s v="33471749"/>
        <s v="98er16"/>
        <s v="500U-249"/>
        <s v="36519949"/>
        <s v="27anne49"/>
        <s v="12523949"/>
        <s v="56050516"/>
        <s v="91leme16"/>
        <s v="03843549"/>
        <s v="00919149"/>
        <s v="52101049"/>
        <s v="77070749"/>
        <s v="63leme49"/>
        <s v="891149"/>
        <s v="91252549"/>
        <s v="24053949"/>
        <s v="68ne49"/>
        <s v="27626288"/>
        <s v="58122988"/>
        <s v="30626249"/>
        <s v="26333388"/>
        <s v="30nunu49"/>
        <s v="6626fs49"/>
        <s v="39888888"/>
        <s v="26nene49"/>
        <s v="882049"/>
        <s v="11949449"/>
        <s v="048588"/>
        <s v="66563449"/>
        <s v="43182988"/>
        <s v="44363649"/>
        <s v="02737349"/>
        <s v="4372-288"/>
        <s v="83454588"/>
        <s v="266749"/>
        <s v="16060649"/>
        <s v="82190088"/>
        <s v="75131349"/>
        <s v="03373788"/>
        <s v="819149"/>
        <s v="37707088"/>
        <s v="93353549"/>
        <s v="40156188"/>
        <s v="32l2l288"/>
        <s v="81-A5A49"/>
        <s v="62340J49"/>
        <s v="84lwlw88"/>
        <s v="24235249"/>
        <s v="59nene88"/>
        <s v="54149149"/>
        <s v="63453388"/>
        <s v="15enne88"/>
        <s v="77161849"/>
        <s v="3113fs88"/>
        <s v="06nkne49"/>
        <s v="84232688"/>
        <s v="84605788"/>
        <s v="16nenk49"/>
        <s v="46161649"/>
        <s v="42wnnk88"/>
        <s v="51219688"/>
        <s v="30penk49"/>
        <s v="06eyne49"/>
        <s v="59iank88"/>
        <s v="19wnne88"/>
        <s v="84447149"/>
        <s v="70252549"/>
        <s v="93nkne88"/>
        <s v="32Cane88"/>
        <s v="75adad49"/>
        <s v="84wnne88"/>
        <s v="72esne49"/>
        <s v="60esnk88"/>
        <s v="74074849"/>
        <s v="62nkne88"/>
        <s v="37nenk88"/>
        <s v="51adto49"/>
        <s v="05ngne88"/>
        <s v="5216nk49"/>
        <s v="05nkng49"/>
        <s v="96842088"/>
        <s v="76nu2388"/>
        <s v="36640449"/>
        <s v="89nkne88"/>
        <s v="37neng49"/>
        <s v="121149"/>
        <s v="39ngne49"/>
        <s v="02350088"/>
        <s v="13nkwn49"/>
        <s v="73029888"/>
        <s v="79667149"/>
        <s v="72313119"/>
        <s v="57484888"/>
        <s v="03bd9349"/>
        <s v="47117088"/>
        <s v="1575ne19"/>
        <s v="79nkng49"/>
        <s v="11nenk19"/>
        <s v="35d2nk49"/>
        <s v="28394488"/>
        <s v="05309719"/>
        <s v="7764rs88"/>
        <s v="7994ne49"/>
        <s v="59591288"/>
        <s v="56rank88"/>
        <s v="82sene49"/>
        <s v="58222288"/>
        <s v="00nkwn49"/>
        <s v="4298ne19"/>
        <s v="89newn49"/>
        <s v="34newn49"/>
        <s v="75463588"/>
        <s v="51nenk19"/>
        <s v="47nkwn19"/>
        <s v="70newn88"/>
        <s v="2201ne19"/>
        <s v="76nkwy49"/>
        <s v="522319"/>
        <s v="44493849"/>
        <s v="87wnnk88"/>
        <s v="38nkne49"/>
        <s v="56nkne19"/>
        <s v="48575488"/>
        <s v="22ne8419"/>
        <s v="32onwn49"/>
        <s v="47971288"/>
        <s v="99474749"/>
        <s v="19nkne88"/>
        <s v="302Q-249"/>
        <s v="39167249"/>
        <s v="97616119"/>
        <s v="77-7wn19"/>
        <s v="33959549"/>
        <s v="27999988"/>
        <s v="6233ne19"/>
        <s v="17826388"/>
        <s v="4768ne19"/>
        <s v="97441249"/>
        <s v="73561288"/>
        <s v="76131319"/>
        <s v="09newn88"/>
        <s v="51665119"/>
        <s v="76020288"/>
        <s v="270ne88"/>
        <s v="80193319"/>
        <s v="0502wn88"/>
        <s v="0103ne19"/>
        <s v="79wnne19"/>
        <s v="58122419"/>
        <s v="61723549"/>
        <s v="91087088"/>
        <s v="15938088"/>
        <s v="70070774"/>
        <s v="4500wn19"/>
        <s v="34849519"/>
        <s v="53860249"/>
        <s v="33579788"/>
        <s v="10wn1749"/>
        <s v="34wnne19"/>
        <s v="7102ne88"/>
        <s v="68171719"/>
        <s v="36828249"/>
        <s v="42979719"/>
        <s v="07727249"/>
        <s v="76763149"/>
        <s v="68tl7119"/>
        <s v="37565688"/>
        <s v="44620049"/>
        <s v="56000019"/>
        <s v="9738ne19"/>
        <s v="07-27288"/>
        <s v="5406ne19"/>
        <s v="1171ne49"/>
        <s v="63wn0688"/>
        <s v="28771449"/>
        <s v="82629419"/>
        <s v="64151519"/>
        <s v="00686849"/>
        <s v="77313188"/>
        <s v="65619319"/>
        <s v="740788"/>
        <s v="69010188"/>
        <s v="22wnwn88"/>
        <s v="24002488"/>
        <s v="44188688"/>
        <s v="58242419"/>
        <s v="106B6B49"/>
        <s v="35wnwn49"/>
        <s v="87898988"/>
        <s v="51wnwn49"/>
        <s v="12-1wn49"/>
        <s v="23463249"/>
        <s v="04484819"/>
        <s v="91026888"/>
        <s v="23969688"/>
        <s v="897049"/>
        <s v="82271719"/>
        <s v="521319"/>
        <s v="30858549"/>
        <s v="46283449"/>
        <s v="93wnwn49"/>
        <s v="55012019"/>
        <s v="74004249"/>
        <s v="5919ne49"/>
        <s v="39newn19"/>
        <s v="40Brwn88"/>
        <s v="9804om49"/>
        <s v="14555588"/>
        <s v="9905om49"/>
        <s v="0006om19"/>
        <s v="30Brwn49"/>
        <s v="6817an30"/>
        <s v="49885449"/>
        <s v="9417wn30"/>
        <s v="00393988"/>
        <s v="12icic30"/>
        <s v="77411030"/>
        <s v="49wnwn49"/>
        <s v="16wnwn88"/>
        <s v="7415wn49"/>
        <s v="02067830"/>
        <s v="22464688"/>
        <s v="16137349"/>
        <s v="61020249"/>
        <s v="72073588Ar"/>
        <s v="73272730"/>
        <s v="72073588We"/>
        <s v="95067993"/>
        <s v="13151549"/>
        <s v="04505730"/>
        <s v="65-5wn93"/>
        <s v="42686830"/>
        <s v="34wnwn49"/>
        <s v="82259930"/>
        <s v="55421093"/>
        <s v="58-8wn49"/>
        <s v="95393949"/>
        <s v="44newn93"/>
        <s v="3983wn49"/>
        <s v="0511wn93"/>
        <s v="10907593"/>
        <s v="33243349"/>
        <s v="53wnwn93"/>
        <s v="8810wn93"/>
        <s v="17wnwn59"/>
        <s v="8079wn93"/>
        <s v="02CAsa93"/>
        <s v="6964wn59"/>
        <s v="70ONwn93"/>
        <s v="11505059"/>
        <s v="33555593"/>
        <s v="34019059"/>
        <s v="23252593"/>
        <s v="62977993"/>
        <s v="93070793"/>
        <s v="87131649"/>
        <s v="52676719"/>
        <s v="20383593"/>
        <s v="3903wn93"/>
        <s v="75760119"/>
        <s v="97574193"/>
        <s v="18181819"/>
        <s v="62wnwn93"/>
        <s v="9346wn19"/>
        <s v="43848493"/>
        <s v="36wnwn93"/>
        <s v="49wnwn19"/>
        <s v="83080819"/>
        <s v="92920793"/>
        <s v="71464693"/>
        <s v="45eses93"/>
        <s v="04wnwn19"/>
        <s v="51131349"/>
        <s v="77850493"/>
        <s v="83LELE93"/>
        <s v="83464693"/>
        <s v="69BRwn19"/>
        <s v="0202wn49"/>
        <s v="98525019Mi"/>
        <s v="3131ng49"/>
        <s v="98525019Ar"/>
        <s v="44010193"/>
        <s v="5716ne49"/>
        <s v="80wnwn93"/>
        <s v="05173349"/>
        <s v="89848419"/>
        <s v="45wnwn49"/>
        <s v="67wnwn49"/>
        <s v="98wnwn93"/>
        <s v="24656593"/>
        <s v="2128wn49"/>
        <s v="32nene49"/>
        <s v="19818193"/>
        <s v="16860793"/>
        <s v="31151549"/>
        <s v="28070749"/>
        <s v="37101093Ar"/>
        <s v="7058wn19Ar"/>
        <s v="37101093Mi"/>
        <s v="7058wn19Mi"/>
        <s v="23wnwn49"/>
        <s v="81wnwn93"/>
        <s v="96303049"/>
        <s v="5211wn93"/>
        <s v="62189793"/>
        <s v="64559519"/>
        <s v="2094wn49"/>
        <s v="9817wn93"/>
        <s v="9516wn19"/>
        <s v="1318wn49"/>
        <s v="01wnwn93"/>
        <s v="9815wn19"/>
        <s v="76875419"/>
        <s v="3672wn93"/>
        <s v="17848449"/>
        <s v="4174wn93"/>
        <s v="77wnwn19"/>
        <s v="91929249"/>
        <s v="01620119Al"/>
        <s v="98555519"/>
        <s v="20667749"/>
        <s v="01620119Mi"/>
        <s v="5614wn93"/>
        <s v="72wnwn49Al"/>
        <s v="72wnwn49Mi"/>
        <s v="66189693"/>
        <s v="19650019"/>
        <s v="08992349"/>
        <s v="20wnwn93"/>
        <s v="7707wn93"/>
        <s v="98Xwn19Al"/>
        <s v="63wnwn49Mi"/>
        <s v="98Xwn19Mi"/>
        <s v="63wnwn49Al"/>
        <s v="9387XX49"/>
        <s v="64474719"/>
        <s v="86191993"/>
        <s v="22404019"/>
        <s v="92846993"/>
        <s v="11161649"/>
        <s v="74247749"/>
        <s v="14wnwn19"/>
        <s v="27444493"/>
        <s v="50474719"/>
        <s v="82wnwn49"/>
        <s v="29wnwn93"/>
        <s v="55111193"/>
        <s v="18wnwn49"/>
        <s v="88wnwn49"/>
        <s v="6 353519"/>
        <s v="6 717149"/>
        <s v="56151519"/>
        <s v="03wnwn19"/>
        <s v="61860793"/>
        <s v="22191993"/>
        <s v="15wnwn93"/>
        <s v="69353593"/>
        <s v="81030419"/>
        <s v="06101093"/>
        <s v="36wnwn19"/>
        <s v="79wnwn49"/>
        <s v="57wnng49"/>
        <s v="01898949"/>
        <s v="96010119"/>
        <s v="30267593"/>
        <s v="57111193"/>
        <s v="5011wn19"/>
        <s v="12wnwn49"/>
        <s v="51787819"/>
        <s v="49SASA49"/>
        <s v="44758093"/>
        <s v="24080819"/>
        <s v="19wnwn49"/>
        <s v="39717393"/>
        <s v="47wnwn49"/>
        <s v="64010019"/>
        <s v="9393wn49"/>
        <s v="38839819"/>
        <s v="1732wn93"/>
        <s v="29ngwn93"/>
        <s v="66677949"/>
        <s v="29101019"/>
        <s v="14807419"/>
        <s v="44wnwn93"/>
        <s v="41060649"/>
        <s v="13842919"/>
        <s v="34ngwn49"/>
        <s v="52wnwn49"/>
        <s v="98wn9819"/>
        <s v="3098wn19"/>
        <s v="3154wn49"/>
        <s v="47wnwn19"/>
        <s v="46363649"/>
        <s v="68454549"/>
        <s v="05itwn19"/>
        <s v="92wnwn19"/>
        <s v="564Bwn49"/>
        <s v="25wnwn19"/>
        <s v="60wnwn19"/>
        <s v="4008wn49"/>
        <s v="86202093"/>
        <s v="90959549"/>
        <s v="71-c8149"/>
        <s v="0365wn93"/>
        <s v="14292919"/>
        <s v="04ngwn19"/>
        <s v="2137wn49"/>
        <s v="61290119"/>
        <s v="59170093"/>
        <s v="02300049"/>
        <s v="53537793"/>
        <s v="81190719"/>
        <s v="7332wn19"/>
        <s v="7112wn49"/>
        <s v="3206wn93"/>
        <s v="1338wn93"/>
        <s v="98790449"/>
        <s v="84511249"/>
        <s v="60ngwn93"/>
        <s v="2688wn93"/>
        <s v="53181849"/>
        <s v="06ngwn19"/>
        <s v="t2nkwn93"/>
        <s v="93303019"/>
        <s v="54080849"/>
        <s v="0185wn93"/>
        <s v="8633wn49"/>
        <s v="33969693"/>
        <s v="4481BT19"/>
        <s v="48273593"/>
        <s v="50171093"/>
        <s v="ttwnwn93"/>
        <s v="eywnwn93"/>
        <s v="20773549"/>
        <s v="59594119"/>
        <s v="68010119"/>
        <s v="84222393"/>
        <s v="-5-5-519"/>
        <s v="81-1cs93"/>
        <s v="95363693"/>
        <s v="75595919"/>
        <s v="42383849"/>
        <s v="99523319"/>
        <s v="02344249"/>
        <s v="4582BT49"/>
        <s v="12989893"/>
        <s v="43wnwn49"/>
        <s v="37wnwn19"/>
        <s v="65868649"/>
        <s v="39wnwn93"/>
        <s v="87L36719"/>
        <s v="1 08-393"/>
        <s v="92270793"/>
        <s v="59555519"/>
        <s v="81wnwn49"/>
        <s v="7399ng49"/>
        <s v="83338493"/>
        <s v="89183419"/>
        <s v="07969649"/>
        <s v="67wnwn47"/>
        <s v="17POPO19"/>
        <s v="26101049"/>
        <s v="66818119"/>
        <s v="54818149"/>
        <s v="77434347"/>
        <s v="79393919"/>
        <s v="5099wn47"/>
        <s v="95wn#247"/>
        <s v="27wnwn49"/>
        <s v="77wnwn47"/>
        <s v="7829wn49"/>
        <s v="8044wn49"/>
        <s v="24049493"/>
        <s v="43616193"/>
        <s v="21373719"/>
        <s v="78835474"/>
        <s v="iewnwn74"/>
        <s v="7705wn19"/>
        <s v="29/Awn93"/>
        <s v="30050593"/>
        <s v="49wnwn47"/>
        <s v="18/Awn49"/>
        <s v="79/Awn49"/>
        <s v="3065wn19"/>
        <s v="1476wn49"/>
        <s v="10wnwn19"/>
        <s v="47345193"/>
        <s v="t3wnwn47"/>
        <n v="39888888" u="1"/>
        <n v="55818149" u="1"/>
        <n v="37565688" u="1"/>
        <n v="76775916" u="1"/>
        <n v="58242419" u="1"/>
        <n v="63453388" u="1"/>
        <n v="90828249" u="1"/>
        <n v="24606049" u="1"/>
        <n v="705249" u="1"/>
        <n v="2350088" u="1"/>
        <n v="28771449" u="1"/>
        <n v="84447149" u="1"/>
        <n v="49885449" u="1"/>
        <n v="99803149" u="1"/>
        <n v="826294" u="1"/>
        <n v="79667149" u="1"/>
        <n v="7727249" u="1"/>
        <n v="77021449" u="1"/>
        <n v="26333388" u="1"/>
        <n v="33555549" u="1"/>
        <n v="93353549" u="1"/>
        <n v="37707088" u="1"/>
        <n v="48588" u="1"/>
        <n v="40156188" u="1"/>
        <n v="27626288" u="1"/>
        <n v="15151549" u="1"/>
        <n v="33289549" u="1"/>
        <n v="978649" u="1"/>
        <n v="919149" u="1"/>
        <n v="27901249" u="1"/>
        <n v="58122419" u="1"/>
        <n v="121149" u="1"/>
        <n v="70252549" u="1"/>
        <n v="54149149" u="1"/>
        <n v="87898988" u="1"/>
        <n v="31838349" u="1"/>
        <n v="51665119" u="1"/>
        <n v="33579788" u="1"/>
        <n v="57974816" u="1"/>
        <n v="77313188" u="1"/>
        <n v="89191916" u="1"/>
        <n v="22464688" u="1"/>
        <n v="30242416" u="1"/>
        <n v="393988" u="1"/>
        <n v="77161849" u="1"/>
        <n v="3843549" u="1"/>
        <n v="14555588" u="1"/>
        <n v="47971288" u="1"/>
        <n v="317349" u="1"/>
        <n v="21078916" u="1"/>
        <n v="74074849" u="1"/>
        <n v="586425" u="1"/>
        <n v="16137349" u="1"/>
        <n v="897049" u="1"/>
        <n v="97441249" u="1"/>
        <n v="64159749" u="1"/>
        <n v="72070149" u="1"/>
        <n v="92339149" u="1"/>
        <n v="59591288" u="1"/>
        <n v="4484819" u="1"/>
        <n v="56000019" u="1"/>
        <n v="178825" u="1"/>
        <n v="65619319" u="1"/>
        <n v="740788" u="1"/>
        <n v="68171719" u="1"/>
        <n v="56050516" u="1"/>
        <n v="732727" u="1"/>
        <n v="19030349" u="1"/>
        <n v="12523949" u="1"/>
        <n v="-494915" u="1"/>
        <n v="46283449" u="1"/>
        <n v="42090949" u="1"/>
        <n v="68793049" u="1"/>
        <n v="774110" u="1"/>
        <n v="72313119" u="1"/>
        <n v="46161649" u="1"/>
        <n v="882049" u="1"/>
        <n v="80193319" u="1"/>
        <n v="494916" u="1"/>
        <n v="33959549" u="1"/>
        <n v="832649" u="1"/>
        <n v="38868649" u="1"/>
        <n v="891149" u="1"/>
        <n v="87606515" u="1"/>
        <n v="13170949" u="1"/>
        <n v="1949" u="1"/>
        <n v="58042549" u="1"/>
        <n v="4749" u="1"/>
        <n v="70070774" u="1"/>
        <n v="97616119" u="1"/>
        <n v="17696916" u="1"/>
        <n v="89857596" u="1"/>
        <n v="58122988" u="1"/>
        <n v="31622725" u="1"/>
        <n v="3868649" u="1"/>
        <n v="17826388" u="1"/>
        <n v="28555549" u="1"/>
        <n v="52101049" u="1"/>
        <n v="941649" u="1"/>
        <n v="82271719" u="1"/>
        <n v="91087088" u="1"/>
        <n v="29171749" u="1"/>
        <n v="51219688" u="1"/>
        <n v="8556825" u="1"/>
        <n v="5309719" u="1"/>
        <n v="22070749" u="1"/>
        <n v="20678" u="1"/>
        <n v="61723549" u="1"/>
        <n v="66563449" u="1"/>
        <n v="30626249" u="1"/>
        <n v="44188688" u="1"/>
        <n v="16060649" u="1"/>
        <n v="44363649" u="1"/>
        <n v="2997749" u="1"/>
        <n v="741049" u="1"/>
        <n v="24235249" u="1"/>
        <n v="48897116" u="1"/>
        <n v="24848449" u="1"/>
        <n v="48575488" u="1"/>
        <n v="99474749" u="1"/>
        <n v="73029888" u="1"/>
        <n v="67868616" u="1"/>
        <n v="24494949" u="1"/>
        <n v="702749" u="1"/>
        <n v="82198088" u="1"/>
        <n v="42979719" u="1"/>
        <n v="76763149" u="1"/>
        <n v="34849519" u="1"/>
        <n v="44493849" u="1"/>
        <n v="14480449" u="1"/>
        <n v="57484888" u="1"/>
        <n v="530349" u="1"/>
        <n v="23463249" u="1"/>
        <n v="64151519" u="1"/>
        <n v="8979749" u="1"/>
        <n v="73561288" u="1"/>
        <n v="29726549" u="1"/>
        <n v="467846" u="1"/>
        <n v="255825" u="1"/>
        <n v="67737349" u="1"/>
        <n v="27999988" u="1"/>
        <n v="84605788" u="1"/>
        <n v="74004249" u="1"/>
        <n v="70909025" u="1"/>
        <n v="53860249" u="1"/>
        <n v="522319" u="1"/>
        <n v="257849" u="1"/>
        <n v="521319" u="1"/>
        <n v="33471749" u="1"/>
        <n v="76020288" u="1"/>
        <n v="68267549" u="1"/>
        <n v="11949449" u="1"/>
        <n v="3373749" u="1"/>
        <n v="446200" u="1"/>
        <n v="30858549" u="1"/>
        <n v="23969688" u="1"/>
        <n v="24002488" u="1"/>
        <n v="14548949" u="1"/>
        <n v="44444449" u="1"/>
        <n v="686849" u="1"/>
        <n v="51484849" u="1"/>
        <n v="9349" u="1"/>
        <n v="36828249" u="1"/>
        <n v="99898949" u="1"/>
        <n v="83454588" u="1"/>
        <n v="14565315" u="1"/>
        <n v="84232388" u="1"/>
        <n v="91252549" u="1"/>
        <n v="36833449" u="1"/>
        <n v="75463588" u="1"/>
        <n v="43434316" u="1"/>
        <n v="96681949" u="1"/>
        <n v="65878725" u="1"/>
        <n v="266749" u="1"/>
        <n v="28394488" u="1"/>
        <n v="36640449" u="1"/>
        <n v="71636349" u="1"/>
        <n v="69010188" u="1"/>
        <n v="20666649" u="1"/>
        <n v="75131349" u="1"/>
        <n v="35678349" u="1"/>
        <n v="9048949" u="1"/>
        <n v="77070749" u="1"/>
        <n v="15938088" u="1"/>
        <n v="58222288" u="1"/>
        <n v="96842088" u="1"/>
        <n v="47117088" u="1"/>
        <n v="55012019" u="1"/>
        <n v="24053949" u="1"/>
        <n v="43182988" u="1"/>
        <n v="91026888" u="1"/>
        <n v="36519949" u="1"/>
        <n v="39167249" u="1"/>
        <n v="76131319" u="1"/>
        <n v="819149" u="1"/>
        <n v="2737349" u="1"/>
        <n v="249349" u="1"/>
        <n v="818149" u="1"/>
      </sharedItems>
    </cacheField>
    <cacheField name="BrokerConfNo" numFmtId="0">
      <sharedItems containsMixedTypes="1" containsNumber="1" containsInteger="1" minValue="27" maxValue="291214766930126" count="568">
        <n v="175225689"/>
        <n v="175605287"/>
        <n v="175669817"/>
        <s v="395640-0"/>
        <n v="175695124"/>
        <n v="175907635"/>
        <n v="10904214"/>
        <n v="175920523"/>
        <n v="175712699"/>
        <n v="176007458"/>
        <n v="176104342"/>
        <n v="175520859"/>
        <n v="154093"/>
        <n v="176272465"/>
        <n v="90580"/>
        <n v="176211108"/>
        <n v="176229619"/>
        <n v="176272519"/>
        <n v="176232692"/>
        <n v="176505431"/>
        <n v="176336329"/>
        <n v="176520172"/>
        <n v="176243170"/>
        <n v="176518558"/>
        <n v="1462425"/>
        <n v="175966547"/>
        <n v="176774353"/>
        <n v="1464831"/>
        <n v="176947125"/>
        <n v="179057397"/>
        <n v="5897300"/>
        <n v="27"/>
        <n v="77496"/>
        <n v="177361558"/>
        <n v="5908024"/>
        <n v="5930008"/>
        <n v="6101794"/>
        <n v="177323977"/>
        <n v="87589"/>
        <n v="177743283"/>
        <n v="177951733"/>
        <n v="178040538"/>
        <n v="10957051"/>
        <n v="706744"/>
        <n v="5895331"/>
        <n v="178437124"/>
        <n v="5982903"/>
        <n v="178445067"/>
        <n v="6005671"/>
        <n v="1485102"/>
        <n v="6013270"/>
        <n v="178863790"/>
        <n v="179027210"/>
        <n v="6029314"/>
        <n v="204813"/>
        <n v="82268"/>
        <n v="179295328"/>
        <n v="204855"/>
        <n v="85299"/>
        <n v="6040724"/>
        <n v="179672509"/>
        <n v="179717617"/>
        <n v="35615"/>
        <n v="179672521"/>
        <n v="179663833"/>
        <n v="6080649"/>
        <n v="179899422"/>
        <n v="179995214"/>
        <n v="6089867"/>
        <n v="179543630"/>
        <n v="6078920"/>
        <n v="180100468"/>
        <n v="87248"/>
        <n v="87836"/>
        <n v="180401274"/>
        <n v="180504157"/>
        <n v="6007543"/>
        <n v="6011581"/>
        <n v="180391629"/>
        <n v="180015876"/>
        <n v="180396164"/>
        <n v="180513289"/>
        <n v="180617246"/>
        <n v="6015884"/>
        <n v="1994"/>
        <n v="180950633"/>
        <n v="6032998"/>
        <n v="6015850"/>
        <n v="180405036"/>
        <n v="181285327"/>
        <n v="181271412"/>
        <n v="180878956"/>
        <n v="6050091"/>
        <n v="91303"/>
        <n v="181536100"/>
        <n v="6205952"/>
        <n v="6209177"/>
        <n v="6067063"/>
        <n v="182039789"/>
        <n v="182087991"/>
        <n v="181323224"/>
        <n v="446968"/>
        <n v="182280027"/>
        <n v="182735358"/>
        <n v="182280230"/>
        <n v="261200339740126"/>
        <n v="182872930"/>
        <n v="6120366"/>
        <n v="182118939"/>
        <n v="182804926"/>
        <n v="10736088"/>
        <n v="94911"/>
        <n v="183125704"/>
        <n v="6259066"/>
        <n v="182757343"/>
        <n v="183261344"/>
        <n v="183129702"/>
        <n v="183352543"/>
        <n v="183096683"/>
        <n v="261200994670126"/>
        <n v="183616716"/>
        <n v="183462382"/>
        <n v="183508775"/>
        <n v="183302403"/>
        <n v="183806481"/>
        <n v="183930837"/>
        <n v="97193"/>
        <n v="183865940"/>
        <n v="183828332"/>
        <n v="184141181"/>
        <n v="184042062"/>
        <n v="184141784"/>
        <n v="183928424"/>
        <n v="184297759"/>
        <n v="184206354"/>
        <n v="6187363"/>
        <n v="184366215"/>
        <n v="184417277"/>
        <n v="6209231"/>
        <n v="184435606"/>
        <n v="184163184"/>
        <n v="184505084"/>
        <n v="6220616"/>
        <n v="184791246"/>
        <n v="6233942"/>
        <n v="184776851"/>
        <n v="185216830"/>
        <n v="185216306"/>
        <n v="185215859"/>
        <n v="185426319"/>
        <n v="1574884"/>
        <n v="185415770"/>
        <n v="6239293"/>
        <n v="185326732"/>
        <n v="185500975"/>
        <n v="185663584"/>
        <n v="185780972"/>
        <n v="185780860"/>
        <n v="185601274"/>
        <n v="185821062"/>
        <n v="185904137"/>
        <n v="186108551"/>
        <n v="186116005"/>
        <n v="1582352"/>
        <n v="186150705"/>
        <n v="185716896"/>
        <n v="186195876"/>
        <n v="185634136"/>
        <n v="186427289"/>
        <n v="186426437"/>
        <n v="186527812"/>
        <n v="186641639"/>
        <n v="186546602"/>
        <n v="186810213"/>
        <n v="186701373"/>
        <n v="186658379"/>
        <n v="186955072"/>
        <n v="186992957"/>
        <n v="187258103"/>
        <n v="186680547"/>
        <n v="187292015"/>
        <n v="187317879"/>
        <n v="187454111"/>
        <n v="187423435"/>
        <n v="187118128"/>
        <n v="187375205"/>
        <n v="186998577"/>
        <n v="187554779"/>
        <n v="187300759"/>
        <n v="187804256"/>
        <n v="187803982"/>
        <n v="187614058"/>
        <n v="187880400"/>
        <n v="187750542"/>
        <n v="6269789"/>
        <n v="6388434"/>
        <n v="187996675"/>
        <n v="188067751"/>
        <n v="188058247"/>
        <n v="188087070"/>
        <n v="187523122"/>
        <n v="188194876"/>
        <n v="188356852"/>
        <n v="187860544"/>
        <n v="188387487"/>
        <n v="188512438"/>
        <n v="188657256"/>
        <n v="188590148"/>
        <n v="187820722"/>
        <n v="187978132"/>
        <n v="188750847"/>
        <n v="111499"/>
        <n v="188862019"/>
        <n v="6397830"/>
        <n v="188142939"/>
        <n v="189047697"/>
        <n v="2359677"/>
        <n v="189282833"/>
        <n v="187950527"/>
        <n v="189399862"/>
        <n v="189424917"/>
        <n v="189434147"/>
        <n v="188999397"/>
        <n v="189509073"/>
        <n v="189617476"/>
        <n v="189633109"/>
        <n v="189514151"/>
        <n v="189636676"/>
        <n v="189958627"/>
        <n v="189618880"/>
        <n v="189883405"/>
        <n v="187075201"/>
        <n v="6476479"/>
        <n v="190122758"/>
        <n v="188905061"/>
        <n v="190241991"/>
        <n v="190016515"/>
        <n v="6755170"/>
        <n v="6487845"/>
        <n v="189684534"/>
        <n v="190521653"/>
        <n v="190527533"/>
        <n v="190637710"/>
        <n v="190673234"/>
        <n v="190629371"/>
        <n v="190812368"/>
        <n v="190118136"/>
        <n v="46542"/>
        <n v="190409007"/>
        <n v="190735076"/>
        <n v="9468"/>
        <n v="190869437"/>
        <n v="117544"/>
        <n v="6510156"/>
        <n v="190660297"/>
        <n v="190223607"/>
        <n v="190782054"/>
        <n v="46811"/>
        <n v="191099463"/>
        <n v="110828"/>
        <n v="46682"/>
        <n v="46864"/>
        <n v="46900"/>
        <n v="191468677"/>
        <n v="191248065"/>
        <n v="191624574"/>
        <n v="191225669"/>
        <n v="6556322"/>
        <n v="2764324"/>
        <n v="501844"/>
        <n v="192065758"/>
        <n v="191030510"/>
        <n v="156835"/>
        <n v="192163287"/>
        <n v="2111851"/>
        <n v="6875712"/>
        <n v="191916123"/>
        <n v="192012104"/>
        <n v="6866291"/>
        <n v="51523"/>
        <n v="6573489"/>
        <n v="47282"/>
        <n v="192484752"/>
        <n v="192572930"/>
        <n v="47346"/>
        <n v="10781193"/>
        <n v="507255"/>
        <n v="6580174"/>
        <n v="1862259"/>
        <s v="AR6501939"/>
        <n v="8458840"/>
        <n v="47498"/>
        <n v="123414"/>
        <n v="47499"/>
        <n v="47500"/>
        <n v="8459630"/>
        <n v="47568"/>
        <n v="6924249"/>
        <n v="194"/>
        <n v="2389500"/>
        <n v="193145912"/>
        <n v="156977"/>
        <n v="61249"/>
        <n v="118416"/>
        <n v="2391374"/>
        <n v="125002"/>
        <n v="47722"/>
        <n v="7391516"/>
        <s v="M0290261"/>
        <n v="1681772"/>
        <n v="6620573"/>
        <n v="511395"/>
        <n v="193687213"/>
        <n v="6916104"/>
        <n v="2394765"/>
        <n v="6618842"/>
        <n v="47934"/>
        <n v="510282"/>
        <n v="1681455"/>
        <n v="2395558"/>
        <n v="193605895"/>
        <n v="2396244"/>
        <n v="225939"/>
        <n v="194230905"/>
        <n v="193390910"/>
        <n v="6991133"/>
        <n v="2398553"/>
        <n v="194752488"/>
        <n v="8472517"/>
        <n v="194773380"/>
        <n v="48302"/>
        <n v="2397969"/>
        <n v="48370"/>
        <n v="6693511"/>
        <n v="7467933"/>
        <n v="129934"/>
        <n v="6707023"/>
        <s v="LDS12025362"/>
        <n v="195699993"/>
        <n v="2016087"/>
        <n v="195960452"/>
        <n v="6696620"/>
        <n v="584539"/>
        <n v="14108475"/>
        <n v="1714997"/>
        <n v="133718"/>
        <n v="196617262"/>
        <n v="7523393"/>
        <n v="10796543"/>
        <n v="2415536"/>
        <n v="104249"/>
        <n v="2174783"/>
        <n v="52692"/>
        <n v="2176371"/>
        <n v="6785645"/>
        <n v="196652404"/>
        <n v="184251"/>
        <n v="136077"/>
        <n v="136783"/>
        <n v="2176383"/>
        <n v="8493569"/>
        <n v="1939302"/>
        <n v="8398"/>
        <n v="6097031"/>
        <n v="197738044"/>
        <n v="2422057"/>
        <n v="72380"/>
        <n v="6817405"/>
        <n v="197701189"/>
        <n v="1939545"/>
        <n v="54867"/>
        <n v="1947998"/>
        <n v="7623324"/>
        <n v="198121"/>
        <n v="7606632"/>
        <n v="1960419"/>
        <n v="7635016"/>
        <n v="1948031"/>
        <n v="7640228"/>
        <n v="1957337"/>
        <n v="6843970"/>
        <n v="5423"/>
        <n v="6110081"/>
        <n v="7263196"/>
        <n v="1957352"/>
        <n v="1750862"/>
        <n v="1750864"/>
        <n v="55420"/>
        <n v="1959498"/>
        <n v="1959495"/>
        <n v="1959513"/>
        <n v="7677201"/>
        <n v="3169398"/>
        <n v="142276"/>
        <n v="1959536"/>
        <n v="11917"/>
        <n v="199907741"/>
        <n v="373777"/>
        <n v="170691"/>
        <n v="24330601"/>
        <n v="7696998"/>
        <n v="6896920"/>
        <n v="1987556"/>
        <n v="7698072"/>
        <n v="1764466"/>
        <n v="7348619"/>
        <n v="1766408"/>
        <n v="1990320"/>
        <n v="200642277"/>
        <n v="200666198"/>
        <n v="1991963"/>
        <n v="200661393"/>
        <n v="7356964"/>
        <n v="1991986"/>
        <n v="7354822"/>
        <n v="1771792"/>
        <n v="1990311"/>
        <n v="200889174"/>
        <n v="6951814"/>
        <n v="1992027"/>
        <n v="1992050"/>
        <n v="42282"/>
        <n v="690329"/>
        <n v="2013255"/>
        <n v="42318"/>
        <n v="156088"/>
        <s v="UW423676 "/>
        <s v="SL201276316 "/>
        <n v="2016056"/>
        <n v="51203"/>
        <n v="388461"/>
        <n v="2018722"/>
        <n v="74192215"/>
        <s v="SL201283169"/>
        <n v="24502281"/>
        <n v="2018806"/>
        <n v="51436"/>
        <n v="616479"/>
        <n v="627457"/>
        <n v="2018801"/>
        <n v="201572596"/>
        <n v="7430830"/>
        <n v="7407657"/>
        <n v="7438250"/>
        <n v="7792212"/>
        <n v="7447351"/>
        <n v="110849"/>
        <n v="202065444"/>
        <n v="163224"/>
        <n v="2844419"/>
        <n v="2846839"/>
        <n v="202544747"/>
        <n v="4567664"/>
        <n v="2044593"/>
        <n v="202611838"/>
        <n v="202432217"/>
        <n v="7022729"/>
        <n v="202401966"/>
        <n v="202881029"/>
        <n v="164614"/>
        <n v="379944"/>
        <n v="7028741"/>
        <n v="2049113"/>
        <n v="1073534"/>
        <s v="Matt5592374752"/>
        <n v="7039098"/>
        <n v="203130730"/>
        <s v="SL201309331"/>
        <n v="7847847"/>
        <n v="151846"/>
        <n v="203553768"/>
        <n v="203468205"/>
        <n v="59492"/>
        <n v="203701356"/>
        <s v="PB81925"/>
        <n v="695860"/>
        <n v="3063440"/>
        <n v="204009186"/>
        <n v="7884490"/>
        <n v="24749471"/>
        <n v="7889203"/>
        <n v="646114"/>
        <n v="204308204"/>
        <n v="3069621"/>
        <n v="155061"/>
        <n v="171559"/>
        <n v="171502"/>
        <n v="3543553"/>
        <n v="2085681"/>
        <n v="155073"/>
        <n v="204184471"/>
        <n v="3071532"/>
        <n v="166713"/>
        <s v="Y052798"/>
        <n v="7847284"/>
        <n v="23460"/>
        <n v="291214766930126"/>
        <n v="24813553"/>
        <n v="697806"/>
        <s v="Matt2"/>
        <n v="204750893"/>
        <n v="52854"/>
        <n v="69801"/>
        <n v="204878486"/>
        <s v="SL201348833"/>
        <n v="3083944"/>
        <n v="193948"/>
        <n v="565250"/>
        <s v="Matt"/>
        <s v="Tom Smiley"/>
        <n v="205023020"/>
        <n v="600763159"/>
        <n v="7157168"/>
        <n v="204845784"/>
        <s v="UW457646-5"/>
        <s v="UW4640281"/>
        <n v="7981595"/>
        <n v="188275"/>
        <n v="565442"/>
        <n v="7657499"/>
        <s v="GFS000453402"/>
        <n v="3083945"/>
        <n v="7993812"/>
        <n v="387643"/>
        <n v="387637"/>
        <n v="16165"/>
        <n v="3336239"/>
        <n v="75213587"/>
        <s v="BST00261021 "/>
        <n v="573792"/>
        <n v="7725559"/>
        <n v="244081"/>
        <n v="3327673"/>
        <s v="UW4640283"/>
        <n v="205923389"/>
        <n v="103807"/>
        <n v="3338667"/>
        <s v="UW472117"/>
        <n v="206576726"/>
        <n v="205279266"/>
        <n v="206420254"/>
        <s v="M-88577"/>
        <n v="206844779"/>
        <n v="206700850"/>
        <n v="206912895"/>
        <n v="389227"/>
        <n v="389577"/>
        <n v="206719278"/>
        <n v="7243180"/>
        <n v="207044924"/>
        <n v="7241143"/>
        <n v="8036821"/>
        <n v="8032378"/>
        <s v="Jackie"/>
        <n v="207121777"/>
        <n v="7250229"/>
        <n v="53930"/>
        <n v="8044849"/>
        <n v="207316618"/>
        <n v="45579"/>
        <n v="486212530"/>
        <n v="7801614"/>
        <n v="207287010"/>
        <n v="8057347"/>
        <s v="Matt3"/>
        <n v="7090257" u="1"/>
        <n v="386747" u="1"/>
        <n v="12147669301" u="1"/>
      </sharedItems>
    </cacheField>
    <cacheField name="Broker" numFmtId="0">
      <sharedItems containsMixedTypes="1" containsNumber="1" containsInteger="1" minValue="68010119" maxValue="68010119"/>
    </cacheField>
    <cacheField name="PaymentReceived" numFmtId="0">
      <sharedItems containsDate="1" containsBlank="1" containsMixedTypes="1" minDate="2015-01-05T00:00:00" maxDate="3026-05-07T00:00:00"/>
    </cacheField>
    <cacheField name="BrokerPaymentStatus" numFmtId="0">
      <sharedItems containsBlank="1" count="5">
        <s v="Received"/>
        <s v="NA"/>
        <s v="Pending"/>
        <m u="1"/>
        <s v="-" u="1"/>
      </sharedItems>
    </cacheField>
    <cacheField name="FINALCHARGEBROKER" numFmtId="44">
      <sharedItems containsMixedTypes="1" containsNumber="1" minValue="75" maxValue="2100"/>
    </cacheField>
    <cacheField name="UBReceivable" numFmtId="44">
      <sharedItems containsMixedTypes="1" containsNumber="1" minValue="73.5" maxValue="2058"/>
    </cacheField>
    <cacheField name="PayCarrier" numFmtId="44">
      <sharedItems containsSemiMixedTypes="0" containsString="0" containsNumber="1" minValue="50" maxValue="1953"/>
    </cacheField>
    <cacheField name="UBActualReceived" numFmtId="44">
      <sharedItems containsBlank="1" containsMixedTypes="1" containsNumber="1" minValue="40" maxValue="2058"/>
    </cacheField>
    <cacheField name="PayDriver" numFmtId="44">
      <sharedItems containsString="0" containsBlank="1" containsNumber="1" minValue="50" maxValue="1953"/>
    </cacheField>
    <cacheField name="Received" numFmtId="44">
      <sharedItems/>
    </cacheField>
    <cacheField name="ServiceCharges" numFmtId="44">
      <sharedItems containsSemiMixedTypes="0" containsString="0" containsNumber="1" minValue="-50" maxValue="550"/>
    </cacheField>
    <cacheField name="DriverPaid" numFmtId="0">
      <sharedItems containsBlank="1" count="32">
        <s v="Marco A Ponse"/>
        <s v="Karamjeet"/>
        <s v="Satnam"/>
        <s v="Albel"/>
        <s v="Christopher J."/>
        <s v="Wesley"/>
        <s v="Miguel Jaime"/>
        <s v="Manjit"/>
        <s v="Sukhpal"/>
        <s v="Arturo"/>
        <s v="Asim"/>
        <s v="Anthony"/>
        <s v="Aaron"/>
        <m u="1"/>
        <s v="UBTD5ARTUO" u="1"/>
        <s v="UBTD6SUKHPAL" u="1"/>
        <s v="Albel/Chris" u="1"/>
        <s v="Albel/Wesley" u="1"/>
        <s v="Asim " u="1"/>
        <s v="OOD3BTSATNAM" u="1"/>
        <s v="UBTD2CHRISOPHER" u="1"/>
        <s v="Wesley/Albel" u="1"/>
        <s v="UBTD4MIGUEL" u="1"/>
        <s v="OOD1PDLTMARCO" u="1"/>
        <s v="UBTD1ALBEL" u="1"/>
        <e v="#N/A" u="1"/>
        <s v="Wesley/Arturo" u="1"/>
        <s v="UBTD3WESLEY" u="1"/>
        <s v="UBTD7ASIM" u="1"/>
        <s v="Satnam(Binda)" u="1"/>
        <s v="OOD2AVTKARAMJEET" u="1"/>
        <s v="OOD4FTMANJIT" u="1"/>
      </sharedItems>
    </cacheField>
    <cacheField name="WeekEndingDate" numFmtId="14">
      <sharedItems containsSemiMixedTypes="0" containsNonDate="0" containsDate="1" containsString="0" minDate="2015-06-19T00:00:00" maxDate="2016-07-23T00:00:00" count="58">
        <d v="2015-06-19T00:00:00"/>
        <d v="2015-06-26T00:00:00"/>
        <d v="2015-07-03T00:00:00"/>
        <d v="2015-07-10T00:00:00"/>
        <d v="2015-07-17T00:00:00"/>
        <d v="2015-07-24T00:00:00"/>
        <d v="2015-07-31T00:00:00"/>
        <d v="2015-08-07T00:00:00"/>
        <d v="2015-08-14T00:00:00"/>
        <d v="2015-08-21T00:00:00"/>
        <d v="2015-08-28T00:00:00"/>
        <d v="2015-09-04T00:00:00"/>
        <d v="2015-09-11T00:00:00"/>
        <d v="2015-09-18T00:00:00"/>
        <d v="2015-09-25T00:00:00"/>
        <d v="2015-10-02T00:00:00"/>
        <d v="2015-10-09T00:00:00"/>
        <d v="2015-10-16T00:00:00"/>
        <d v="2015-10-23T00:00:00"/>
        <d v="2015-10-30T00:00:00"/>
        <d v="2015-11-06T00:00:00"/>
        <d v="2015-11-13T00:00:00"/>
        <d v="2015-11-20T00:00:00"/>
        <d v="2015-11-27T00:00:00"/>
        <d v="2015-12-04T00:00:00"/>
        <d v="2015-12-11T00:00:00"/>
        <d v="2015-12-18T00:00:00"/>
        <d v="2015-12-25T00:00:00"/>
        <d v="2016-01-01T00:00:00"/>
        <d v="2016-01-08T00:00:00"/>
        <d v="2016-01-15T00:00:00"/>
        <d v="2016-01-22T00:00:00"/>
        <d v="2016-01-29T00:00:00"/>
        <d v="2016-02-05T00:00:00"/>
        <d v="2016-02-12T00:00:00"/>
        <d v="2016-02-19T00:00:00"/>
        <d v="2016-02-26T00:00:00"/>
        <d v="2016-03-04T00:00:00"/>
        <d v="2016-03-11T00:00:00"/>
        <d v="2016-03-18T00:00:00"/>
        <d v="2016-03-25T00:00:00"/>
        <d v="2016-04-01T00:00:00"/>
        <d v="2016-04-08T00:00:00"/>
        <d v="2016-04-15T00:00:00"/>
        <d v="2016-04-22T00:00:00"/>
        <d v="2016-04-29T00:00:00"/>
        <d v="2016-05-06T00:00:00"/>
        <d v="2016-05-13T00:00:00"/>
        <d v="2016-05-20T00:00:00"/>
        <d v="2016-05-27T00:00:00"/>
        <d v="2016-06-03T00:00:00"/>
        <d v="2016-06-10T00:00:00"/>
        <d v="2016-06-17T00:00:00"/>
        <d v="2016-06-24T00:00:00"/>
        <d v="2016-07-01T00:00:00"/>
        <d v="2016-07-08T00:00:00"/>
        <d v="2016-07-15T00:00:00"/>
        <d v="2016-07-22T00:00:00"/>
      </sharedItems>
    </cacheField>
    <cacheField name="PayDay" numFmtId="14">
      <sharedItems containsSemiMixedTypes="0" containsNonDate="0" containsDate="1" containsString="0" minDate="2015-06-26T00:00:00" maxDate="2016-08-06T00:00:00" count="59">
        <d v="2015-06-26T00:00:00"/>
        <d v="2015-07-03T00:00:00"/>
        <d v="2015-07-10T00:00:00"/>
        <d v="2015-07-17T00:00:00"/>
        <d v="2015-07-24T00:00:00"/>
        <d v="2015-07-31T00:00:00"/>
        <d v="2015-08-07T00:00:00"/>
        <d v="2015-08-14T00:00:00"/>
        <d v="2015-08-21T00:00:00"/>
        <d v="2015-08-28T00:00:00"/>
        <d v="2015-09-04T00:00:00"/>
        <d v="2015-09-11T00:00:00"/>
        <d v="2015-09-18T00:00:00"/>
        <d v="2015-09-25T00:00:00"/>
        <d v="2015-10-02T00:00:00"/>
        <d v="2015-10-09T00:00:00"/>
        <d v="2015-10-16T00:00:00"/>
        <d v="2015-10-23T00:00:00"/>
        <d v="2015-10-30T00:00:00"/>
        <d v="2015-11-06T00:00:00"/>
        <d v="2015-11-13T00:00:00"/>
        <d v="2015-11-20T00:00:00"/>
        <d v="2015-11-27T00:00:00"/>
        <d v="2015-12-04T00:00:00"/>
        <d v="2015-12-11T00:00:00"/>
        <d v="2015-12-18T00:00:00"/>
        <d v="2015-12-25T00:00:00"/>
        <d v="2016-01-01T00:00:00"/>
        <d v="2016-01-08T00:00:00"/>
        <d v="2016-01-15T00:00:00"/>
        <d v="2016-01-22T00:00:00"/>
        <d v="2016-01-29T00:00:00"/>
        <d v="2016-02-05T00:00:00"/>
        <d v="2016-02-12T00:00:00"/>
        <d v="2016-02-19T00:00:00"/>
        <d v="2016-02-26T00:00:00"/>
        <d v="2016-03-04T00:00:00"/>
        <d v="2016-03-11T00:00:00"/>
        <d v="2016-03-18T00:00:00"/>
        <d v="2016-03-25T00:00:00"/>
        <d v="2016-04-01T00:00:00"/>
        <d v="2016-04-08T00:00:00"/>
        <d v="2016-04-22T00:00:00"/>
        <d v="2016-04-15T00:00:00"/>
        <d v="2016-04-29T00:00:00"/>
        <d v="2016-05-06T00:00:00"/>
        <d v="2016-05-13T00:00:00"/>
        <d v="2016-05-20T00:00:00"/>
        <d v="2016-05-27T00:00:00"/>
        <d v="2016-06-03T00:00:00"/>
        <d v="2016-06-10T00:00:00"/>
        <d v="2016-06-17T00:00:00"/>
        <d v="2016-06-24T00:00:00"/>
        <d v="2016-07-01T00:00:00"/>
        <d v="2016-07-08T00:00:00"/>
        <d v="2016-07-15T00:00:00"/>
        <d v="2016-07-22T00:00:00"/>
        <d v="2016-07-29T00:00:00"/>
        <d v="2016-08-05T00:00:00"/>
      </sharedItems>
    </cacheField>
    <cacheField name="LoadPickDate" numFmtId="14">
      <sharedItems containsSemiMixedTypes="0" containsNonDate="0" containsDate="1" containsString="0" minDate="2015-06-17T00:00:00" maxDate="2016-07-23T00:00:00" count="264">
        <d v="2015-06-17T00:00:00"/>
        <d v="2015-06-22T00:00:00"/>
        <d v="2015-06-23T00:00:00"/>
        <d v="2015-06-24T00:00:00"/>
        <d v="2015-06-25T00:00:00"/>
        <d v="2015-06-26T00:00:00"/>
        <d v="2015-06-29T00:00:00"/>
        <d v="2015-06-30T00:00:00"/>
        <d v="2015-07-01T00:00:00"/>
        <d v="2015-07-02T00:00:00"/>
        <d v="2015-07-06T00:00:00"/>
        <d v="2015-07-07T00:00:00"/>
        <d v="2015-07-08T00:00:00"/>
        <d v="2015-07-09T00:00:00"/>
        <d v="2015-07-10T00:00:00"/>
        <d v="2015-07-13T00:00:00"/>
        <d v="2015-07-14T00:00:00"/>
        <d v="2015-07-15T00:00:00"/>
        <d v="2015-07-20T00:00:00"/>
        <d v="2015-07-21T00:00:00"/>
        <d v="2015-07-22T00:00:00"/>
        <d v="2015-07-23T00:00:00"/>
        <d v="2015-07-24T00:00:00"/>
        <d v="2015-07-27T00:00:00"/>
        <d v="2015-07-29T00:00:00"/>
        <d v="2015-07-30T00:00:00"/>
        <d v="2015-07-31T00:00:00"/>
        <d v="2015-08-03T00:00:00"/>
        <d v="2015-08-04T00:00:00"/>
        <d v="2015-08-05T00:00:00"/>
        <d v="2015-08-06T00:00:00"/>
        <d v="2015-08-07T00:00:00"/>
        <d v="2015-08-10T00:00:00"/>
        <d v="2015-08-11T00:00:00"/>
        <d v="2015-08-12T00:00:00"/>
        <d v="2015-08-14T00:00:00"/>
        <d v="2015-08-17T00:00:00"/>
        <d v="2015-08-18T00:00:00"/>
        <d v="2015-08-19T00:00:00"/>
        <d v="2015-08-20T00:00:00"/>
        <d v="2015-08-21T00:00:00"/>
        <d v="2015-08-23T00:00:00"/>
        <d v="2015-08-24T00:00:00"/>
        <d v="2015-08-25T00:00:00"/>
        <d v="2015-08-26T00:00:00"/>
        <d v="2015-08-28T00:00:00"/>
        <d v="2015-08-31T00:00:00"/>
        <d v="2015-09-01T00:00:00"/>
        <d v="2015-09-02T00:00:00"/>
        <d v="2015-09-03T00:00:00"/>
        <d v="2015-09-04T00:00:00"/>
        <d v="2015-09-08T00:00:00"/>
        <d v="2015-09-09T00:00:00"/>
        <d v="2015-09-10T00:00:00"/>
        <d v="2015-09-12T00:00:00"/>
        <d v="2015-09-14T00:00:00"/>
        <d v="2015-09-15T00:00:00"/>
        <d v="2015-09-16T00:00:00"/>
        <d v="2015-09-17T00:00:00"/>
        <d v="2015-09-18T00:00:00"/>
        <d v="2015-09-21T00:00:00"/>
        <d v="2015-09-22T00:00:00"/>
        <d v="2015-09-23T00:00:00"/>
        <d v="2015-09-24T00:00:00"/>
        <d v="2015-09-28T00:00:00"/>
        <d v="2015-09-29T00:00:00"/>
        <d v="2015-09-30T00:00:00"/>
        <d v="2015-10-01T00:00:00"/>
        <d v="2015-10-05T00:00:00"/>
        <d v="2015-10-06T00:00:00"/>
        <d v="2015-10-07T00:00:00"/>
        <d v="2015-10-08T00:00:00"/>
        <d v="2015-10-09T00:00:00"/>
        <d v="2015-10-12T00:00:00"/>
        <d v="2015-10-13T00:00:00"/>
        <d v="2015-10-14T00:00:00"/>
        <d v="2015-10-15T00:00:00"/>
        <d v="2015-10-16T00:00:00"/>
        <d v="2015-10-19T00:00:00"/>
        <d v="2015-10-20T00:00:00"/>
        <d v="2015-10-21T00:00:00"/>
        <d v="2015-10-22T00:00:00"/>
        <d v="2015-10-23T00:00:00"/>
        <d v="2015-10-26T00:00:00"/>
        <d v="2015-10-27T00:00:00"/>
        <d v="2015-10-28T00:00:00"/>
        <d v="2015-10-29T00:00:00"/>
        <d v="2015-10-30T00:00:00"/>
        <d v="2015-11-02T00:00:00"/>
        <d v="2015-11-03T00:00:00"/>
        <d v="2015-11-04T00:00:00"/>
        <d v="2015-11-05T00:00:00"/>
        <d v="2015-11-06T00:00:00"/>
        <d v="2015-11-09T00:00:00"/>
        <d v="2015-11-10T00:00:00"/>
        <d v="2015-11-11T00:00:00"/>
        <d v="2015-11-12T00:00:00"/>
        <d v="2015-11-13T00:00:00"/>
        <d v="2015-11-16T00:00:00"/>
        <d v="2015-11-17T00:00:00"/>
        <d v="2015-11-18T00:00:00"/>
        <d v="2015-11-19T00:00:00"/>
        <d v="2015-11-23T00:00:00"/>
        <d v="2015-11-24T00:00:00"/>
        <d v="2015-11-30T00:00:00"/>
        <d v="2015-12-01T00:00:00"/>
        <d v="2015-12-02T00:00:00"/>
        <d v="2015-12-03T00:00:00"/>
        <d v="2015-12-04T00:00:00"/>
        <d v="2015-12-07T00:00:00"/>
        <d v="2015-12-08T00:00:00"/>
        <d v="2015-12-09T00:00:00"/>
        <d v="2015-12-10T00:00:00"/>
        <d v="2015-12-11T00:00:00"/>
        <d v="2015-12-14T00:00:00"/>
        <d v="2015-12-16T00:00:00"/>
        <d v="2015-12-17T00:00:00"/>
        <d v="2015-12-21T00:00:00"/>
        <d v="2015-12-22T00:00:00"/>
        <d v="2015-12-23T00:00:00"/>
        <d v="2015-12-28T00:00:00"/>
        <d v="2015-12-29T00:00:00"/>
        <d v="2015-12-30T00:00:00"/>
        <d v="2016-01-04T00:00:00"/>
        <d v="2016-01-05T00:00:00"/>
        <d v="2016-01-06T00:00:00"/>
        <d v="2016-01-07T00:00:00"/>
        <d v="2016-01-08T00:00:00"/>
        <d v="2016-01-11T00:00:00"/>
        <d v="2016-01-12T00:00:00"/>
        <d v="2016-01-13T00:00:00"/>
        <d v="2016-01-14T00:00:00"/>
        <d v="2016-01-15T00:00:00"/>
        <d v="2016-01-18T00:00:00"/>
        <d v="2016-01-19T00:00:00"/>
        <d v="2016-01-20T00:00:00"/>
        <d v="2016-01-21T00:00:00"/>
        <d v="2016-01-22T00:00:00"/>
        <d v="2016-01-25T00:00:00"/>
        <d v="2016-01-26T00:00:00"/>
        <d v="2016-01-28T00:00:00"/>
        <d v="2016-01-29T00:00:00"/>
        <d v="2016-02-01T00:00:00"/>
        <d v="2016-02-02T00:00:00"/>
        <d v="2016-02-03T00:00:00"/>
        <d v="2016-02-04T00:00:00"/>
        <d v="2016-02-05T00:00:00"/>
        <d v="2016-02-06T00:00:00"/>
        <d v="2016-02-08T00:00:00"/>
        <d v="2016-02-09T00:00:00"/>
        <d v="2016-02-10T00:00:00"/>
        <d v="2016-02-11T00:00:00"/>
        <d v="2016-02-12T00:00:00"/>
        <d v="2016-02-15T00:00:00"/>
        <d v="2016-02-16T00:00:00"/>
        <d v="2016-02-17T00:00:00"/>
        <d v="2016-02-18T00:00:00"/>
        <d v="2016-02-19T00:00:00"/>
        <d v="2016-02-22T00:00:00"/>
        <d v="2016-02-23T00:00:00"/>
        <d v="2016-02-24T00:00:00"/>
        <d v="2016-02-25T00:00:00"/>
        <d v="2016-02-26T00:00:00"/>
        <d v="2016-02-29T00:00:00"/>
        <d v="2016-03-01T00:00:00"/>
        <d v="2016-03-02T00:00:00"/>
        <d v="2016-03-03T00:00:00"/>
        <d v="2016-03-04T00:00:00"/>
        <d v="2016-03-07T00:00:00"/>
        <d v="2016-03-08T00:00:00"/>
        <d v="2016-03-09T00:00:00"/>
        <d v="2016-03-10T00:00:00"/>
        <d v="2016-03-14T00:00:00"/>
        <d v="2016-03-15T00:00:00"/>
        <d v="2016-03-17T00:00:00"/>
        <d v="2016-03-18T00:00:00"/>
        <d v="2016-03-21T00:00:00"/>
        <d v="2016-03-22T00:00:00"/>
        <d v="2016-03-23T00:00:00"/>
        <d v="2016-03-24T00:00:00"/>
        <d v="2016-03-28T00:00:00"/>
        <d v="2016-03-29T00:00:00"/>
        <d v="2016-03-30T00:00:00"/>
        <d v="2016-03-31T00:00:00"/>
        <d v="2016-04-01T00:00:00"/>
        <d v="2016-04-04T00:00:00"/>
        <d v="2016-04-05T00:00:00"/>
        <d v="2016-04-06T00:00:00"/>
        <d v="2016-04-07T00:00:00"/>
        <d v="2016-04-08T00:00:00"/>
        <d v="2016-04-11T00:00:00"/>
        <d v="2016-04-12T00:00:00"/>
        <d v="2016-04-13T00:00:00"/>
        <d v="2016-04-14T00:00:00"/>
        <d v="2016-04-15T00:00:00"/>
        <d v="2016-04-18T00:00:00"/>
        <d v="2016-04-19T00:00:00"/>
        <d v="2016-04-20T00:00:00"/>
        <d v="2016-04-21T00:00:00"/>
        <d v="2016-04-25T00:00:00"/>
        <d v="2016-04-26T00:00:00"/>
        <d v="2016-04-27T00:00:00"/>
        <d v="2016-04-28T00:00:00"/>
        <d v="2016-04-29T00:00:00"/>
        <d v="2016-05-02T00:00:00"/>
        <d v="2016-05-03T00:00:00"/>
        <d v="2016-05-04T00:00:00"/>
        <d v="2016-05-05T00:00:00"/>
        <d v="2016-05-06T00:00:00"/>
        <d v="2016-05-09T00:00:00"/>
        <d v="2016-05-10T00:00:00"/>
        <d v="2016-05-11T00:00:00"/>
        <d v="2016-05-12T00:00:00"/>
        <d v="2016-05-13T00:00:00"/>
        <d v="2016-05-16T00:00:00"/>
        <d v="2016-05-17T00:00:00"/>
        <d v="2016-05-18T00:00:00"/>
        <d v="2016-05-19T00:00:00"/>
        <d v="2016-05-20T00:00:00"/>
        <d v="2016-05-23T00:00:00"/>
        <d v="2016-05-24T00:00:00"/>
        <d v="2016-05-25T00:00:00"/>
        <d v="2016-05-26T00:00:00"/>
        <d v="2016-05-27T00:00:00"/>
        <d v="2016-05-29T00:00:00"/>
        <d v="2016-05-31T00:00:00"/>
        <d v="2016-06-01T00:00:00"/>
        <d v="2016-06-02T00:00:00"/>
        <d v="2016-06-03T00:00:00"/>
        <d v="2016-06-06T00:00:00"/>
        <d v="2016-06-08T00:00:00"/>
        <d v="2016-06-07T00:00:00"/>
        <d v="2016-06-09T00:00:00"/>
        <d v="2016-06-10T00:00:00"/>
        <d v="2016-06-13T00:00:00"/>
        <d v="2016-06-14T00:00:00"/>
        <d v="2016-06-15T00:00:00"/>
        <d v="2016-06-16T00:00:00"/>
        <d v="2016-06-17T00:00:00"/>
        <d v="2016-06-20T00:00:00"/>
        <d v="2016-06-21T00:00:00"/>
        <d v="2016-06-22T00:00:00"/>
        <d v="2016-06-23T00:00:00"/>
        <d v="2016-06-25T00:00:00"/>
        <d v="2016-06-24T00:00:00"/>
        <d v="2016-06-27T00:00:00"/>
        <d v="2016-06-29T00:00:00"/>
        <d v="2016-06-28T00:00:00"/>
        <d v="2016-06-30T00:00:00"/>
        <d v="2016-07-01T00:00:00"/>
        <d v="2016-07-05T00:00:00"/>
        <d v="2016-07-06T00:00:00"/>
        <d v="2016-07-08T00:00:00"/>
        <d v="2016-07-11T00:00:00"/>
        <d v="2016-07-12T00:00:00"/>
        <d v="2016-07-07T00:00:00"/>
        <d v="2016-07-13T00:00:00"/>
        <d v="2016-07-14T00:00:00"/>
        <d v="2016-07-15T00:00:00"/>
        <d v="2016-07-18T00:00:00"/>
        <d v="2016-07-19T00:00:00"/>
        <d v="2016-07-20T00:00:00"/>
        <d v="2016-07-21T00:00:00"/>
        <d v="2016-07-22T00:00:00"/>
      </sharedItems>
    </cacheField>
    <cacheField name="FromCity" numFmtId="0">
      <sharedItems containsBlank="1" count="156">
        <s v="Hallettsville"/>
        <s v="Hanford"/>
        <s v="Bakersfield"/>
        <s v="Weed"/>
        <s v="Fresno"/>
        <s v="Stockton"/>
        <s v="Hillsboro"/>
        <s v="Hayward"/>
        <s v="Sparks"/>
        <s v="Madera"/>
        <s v="Meridian"/>
        <s v="Bay Point"/>
        <s v="Oakland"/>
        <s v="Benicia"/>
        <s v="Napa"/>
        <s v="Los Banos"/>
        <s v="Fairfield"/>
        <s v="Banecia"/>
        <s v="Woodland"/>
        <s v="Modesto"/>
        <s v="Watsonville"/>
        <s v="Santa Clara"/>
        <s v="South San Francisco"/>
        <s v="Martell"/>
        <s v="Tracy"/>
        <s v="Elk Grove"/>
        <s v="Visalia"/>
        <s v="Gilroy"/>
        <s v="Roseville"/>
        <s v="San Leandro"/>
        <s v="Escalon"/>
        <s v="Antioch"/>
        <s v="Paso Robles"/>
        <s v="San Jose"/>
        <s v="Redding"/>
        <s v="Calistoga"/>
        <s v="Fowler"/>
        <s v="Salinas"/>
        <s v="Sonoma"/>
        <s v="West Sacramento"/>
        <s v="Oxnard"/>
        <s v="Reno"/>
        <s v="Newark"/>
        <s v="Richmond"/>
        <s v="Greenfield"/>
        <s v=" Stockton"/>
        <s v="Myton"/>
        <s v="Firebaugh"/>
        <s v="Milpitas"/>
        <s v="Lathrop"/>
        <s v="Santa Fe Springs"/>
        <s v="Merced"/>
        <s v="Santa Maria"/>
        <s v="Mcclellan"/>
        <s v="American Canyoca"/>
        <s v="Pittsburg"/>
        <s v="American Canyon"/>
        <s v="Commerce"/>
        <s v="Hollister"/>
        <s v="Lucerne Valley"/>
        <s v="Rancho Cucamonga"/>
        <s v="Vernon"/>
        <s v="Castroville"/>
        <s v="Redlands"/>
        <s v="Compton"/>
        <s v="Ontario"/>
        <s v="Sacramento"/>
        <s v="Sanjose"/>
        <s v="Rialto"/>
        <s v="Cotati"/>
        <s v="Van Nuys"/>
        <s v="Union City"/>
        <s v="Cabazon"/>
        <s v="Sebastopol,_x000a_Larkfield"/>
        <s v="Kingsburg"/>
        <s v="Minden"/>
        <s v="Chino"/>
        <s v="Hopland"/>
        <s v="Fernley"/>
        <s v="Lemoore"/>
        <s v="Jamestown"/>
        <s v="San Bernardino"/>
        <s v="San Lorenzo"/>
        <s v="North Las Vegas"/>
        <s v="Fontana"/>
        <s v="Mound House"/>
        <s v="Petaluma"/>
        <s v="Gabbs"/>
        <s v="Brisbane"/>
        <s v="Blue Diamond"/>
        <s v="Tulare"/>
        <s v="Chico"/>
        <s v="Santa Barbara"/>
        <s v="Foster City"/>
        <s v="Gridley"/>
        <s v="Apache Junction"/>
        <s v="Moundhouse"/>
        <s v="Rancho Cordov"/>
        <s v="Carson"/>
        <s v="Mccarran"/>
        <s v="Galt"/>
        <s v="Livermore"/>
        <s v="San Diego"/>
        <s v="Tecate"/>
        <s v="Rodeo"/>
        <s v="Patterson"/>
        <s v="Atwater"/>
        <s v="Wasco"/>
        <s v="Turner"/>
        <s v="JURUPA VALLEY,CORONA,RANCHO CUCAMONGA"/>
        <s v="Arbuckle : Arbuckle"/>
        <s v="VISALIA : HANFORD : BIOLA"/>
        <s v="Fremont"/>
        <s v="Santa Rosa"/>
        <s v="OAKVILLE"/>
        <s v="Toledo"/>
        <s v="Carson City"/>
        <s v="ROCKLIN"/>
        <s v="Ripon"/>
        <s v="COQUILLE"/>
        <s v="Taft"/>
        <s v="Eugene "/>
        <s v="Irvine"/>
        <s v="CORONA"/>
        <s v="Winnemucca"/>
        <s v="Yard"/>
        <s v="GOLD RIVER"/>
        <s v="San Luis Obispo"/>
        <s v="SPARKS (WASHOE)"/>
        <s v="VINA"/>
        <s v="Carson City,"/>
        <s v="Orland"/>
        <s v="FRESNO / STOCKTON"/>
        <s v="Clovis "/>
        <s v="RICHMOND / SAN LEANDRO"/>
        <s v="Corcoran "/>
        <s v="TURLOCK"/>
        <s v="OLANCHA"/>
        <s v="S. SAN FRANCISCO"/>
        <s v="Chowchilla"/>
        <s v="Vacaville"/>
        <s v="LODI"/>
        <s v="Sandy Valley"/>
        <s v="NEWMAN"/>
        <s v="SUTTER CREEK"/>
        <s v="Corning"/>
        <s v="RICHVALE"/>
        <s v="SAN JOSE "/>
        <s v="Crockett"/>
        <s v="Chico,"/>
        <s v="ROHNERT PARK"/>
        <s v="FALLON / SPARKS"/>
        <s v="BIGGS"/>
        <s v="Pomona"/>
        <m u="1"/>
        <e v="#N/A" u="1"/>
      </sharedItems>
    </cacheField>
    <cacheField name="ToCity" numFmtId="0">
      <sharedItems containsBlank="1" count="202">
        <s v="Conroe"/>
        <s v="Yuba City  / Red Bluff"/>
        <s v="Fairfield"/>
        <s v="Tacoma"/>
        <s v="Lodi"/>
        <s v="Berkely"/>
        <s v="Sacramento"/>
        <s v="Auburn"/>
        <s v="Sacramento / Framington / Kikngsburg"/>
        <s v="Visalia"/>
        <s v="Sonoma"/>
        <s v="Fresno"/>
        <s v="Stockton"/>
        <s v="Union City"/>
        <s v="Napa"/>
        <s v="Bakersfield"/>
        <s v="Tracy"/>
        <s v="Redding"/>
        <s v="Royal Oaks"/>
        <s v="Gilroy"/>
        <s v="Paso Robles"/>
        <s v="Rocklin"/>
        <s v="Goshen"/>
        <s v="Patterson"/>
        <s v="Salinas"/>
        <s v="Biola"/>
        <s v="Stocton"/>
        <s v="Woodland / Placerville"/>
        <s v="San Martin"/>
        <s v="Emeryville"/>
        <s v="Orland"/>
        <s v="Petaluma"/>
        <s v="San Miguel"/>
        <s v="Eureka"/>
        <s v="Lathrop"/>
        <s v="Santa Maria"/>
        <s v="Paso Robles / Santa Maria"/>
        <s v="Hanford"/>
        <s v="Sutter Creek"/>
        <s v="Buellton"/>
        <s v="Morgan Holl"/>
        <s v="Sparks"/>
        <s v="Oakland"/>
        <s v="Yerington"/>
        <s v="Cottonwood"/>
        <s v="Fremont"/>
        <s v="San Luis Obispo"/>
        <s v="Woodland"/>
        <s v="Springville"/>
        <s v="Live Oak"/>
        <s v="Selma"/>
        <s v="Tulare"/>
        <s v="Santa Rosa, Watsonville"/>
        <s v="Hayward,"/>
        <s v="South Sanfrancisco"/>
        <s v="Firebaugh"/>
        <s v="San Juan Capistrano"/>
        <s v="Oakdale"/>
        <s v="Hopland"/>
        <s v="Buelton"/>
        <s v="City Of Industry"/>
        <s v="Vandenberg Afb"/>
        <s v="Adelanto"/>
        <s v="American Canyon"/>
        <s v="Hayward"/>
        <s v="Mira Loma"/>
        <s v="Morgan Hill"/>
        <s v="Oxnard"/>
        <s v="Gilroy, Santa Clara, San Jose"/>
        <s v="Santa Fe Springs / El Monte"/>
        <s v="Fremont, San Jose,Sunnyvale"/>
        <s v="Newark"/>
        <s v="Ontario"/>
        <s v="Watsonville"/>
        <s v="Santa Fe Springs"/>
        <s v="Santa Barbara"/>
        <s v="San Pablo / Santa Rosa"/>
        <s v="Santa Cruz"/>
        <s v="Torrance / Hawthorne / Marina Del Rey"/>
        <s v="Fountain Valley"/>
        <s v="Grass Valley"/>
        <s v="King City"/>
        <s v="Vacaville "/>
        <s v="Irvine"/>
        <s v="Brentwood"/>
        <s v="San Simeon"/>
        <s v="Benicia"/>
        <s v="Riverside"/>
        <s v="Red Bluff"/>
        <s v="San Jose"/>
        <s v="Los Banos"/>
        <s v="Las Vegas_x000a_Reno"/>
        <s v="Los Angeles_x000a_San Clemente"/>
        <s v="Brisbane"/>
        <s v="Reno"/>
        <s v="West Sacramento"/>
        <s v="San Jose,_x000a_San Simeon"/>
        <s v="Anaheim"/>
        <s v="Ripon,_x000a_Minden"/>
        <s v="Richmond"/>
        <s v="Sanjose"/>
        <s v="South San Francisco"/>
        <s v="Napa_x000a_Calistoga"/>
        <s v="Reno_x000a_Reno"/>
        <s v="Las Vegas"/>
        <s v="French Camp"/>
        <s v="Pacheco_x000a_San Carlos_x000a_San Jose"/>
        <s v="Norwalk"/>
        <s v="Rancho Santa Margarita"/>
        <s v="Richmond_x000a_Santa Maria"/>
        <s v="Holister_x000a_Santa Maria"/>
        <s v="Pescadero"/>
        <s v="Vallejo_x000a_Richmond_x000a_San Leandro"/>
        <s v="Ripon"/>
        <s v="Manteca"/>
        <s v="Hollister"/>
        <s v="Morgan"/>
        <s v="Chico"/>
        <s v="Santa Maria, San Luis Obispo"/>
        <s v="Cloverdale"/>
        <s v="South San Francisco,"/>
        <s v="Colton"/>
        <s v="Mcclellan"/>
        <s v="Tolleson"/>
        <s v="Modesto"/>
        <s v="Sonora,Ripon,Minden"/>
        <s v="Compton"/>
        <s v="Campbell"/>
        <s v="Dayton"/>
        <s v="Berkeley"/>
        <s v="National City"/>
        <s v="San Diego"/>
        <s v="Williams"/>
        <s v="Dinuba"/>
        <s v="West Sacramento, San Jose"/>
        <s v="Fallon"/>
        <s v="Fernley"/>
        <s v="Mccarran"/>
        <s v="Redwood City"/>
        <s v="Ivanhoe"/>
        <s v="Clackamas"/>
        <s v="Minden"/>
        <s v="Gardnerville"/>
        <s v="Sonora; Placerville; Minden"/>
        <s v="Crows Landing"/>
        <s v="WILLITS"/>
        <s v="SANGER"/>
        <s v="Eugene"/>
        <s v="Wilsonville"/>
        <s v="Pleasanton"/>
        <s v="FERNLEY / WINNEMUCCA"/>
        <s v="Chula Vista"/>
        <s v="APPLE VALLEY"/>
        <s v="WINNEMUCCA"/>
        <s v="SUSANVILLE"/>
        <s v="GONZALEZ"/>
        <s v="San Francisco"/>
        <s v="Yard"/>
        <s v="Rohnert Park"/>
        <s v="HAYWARD / FREMONT / SAN JOSE"/>
        <s v="CARSON CITY"/>
        <s v="Watsonville/ Salinas/ Fresno"/>
        <s v="Milpitas"/>
        <s v="San Leandro"/>
        <s v="Fowler"/>
        <s v="ANTIOCH"/>
        <s v="Herlong"/>
        <s v="Sparks / Reno"/>
        <s v="West Sacramento / San Rafael / Santa Rosa"/>
        <s v="RENO / SPARKS"/>
        <s v="SANTA FE SPRING / COMMERCE"/>
        <s v="WINDSOR"/>
        <s v="Corning"/>
        <s v="SOUTH SAN FRANCISC"/>
        <s v="Dublin"/>
        <s v="MARTELL"/>
        <s v="Woodland / AUBURN / Placerville"/>
        <s v="Fresno "/>
        <s v="Henderson"/>
        <s v="McCarren"/>
        <s v="LONG BEACH"/>
        <s v="Salinas "/>
        <s v="Turlock"/>
        <s v="DEER PARK "/>
        <s v="Santa Clara / Saratoga"/>
        <s v="CROCKETT"/>
        <s v="Merced"/>
        <s v="SANTA CLARA"/>
        <s v="KINGSBURG"/>
        <s v="Vallejo"/>
        <s v="Placerville/Redding/Yreka"/>
        <s v="Santa Rosa"/>
        <s v="FULLERTON"/>
        <m u="1"/>
        <s v="Torrance_x000a_Hawthorne_x000a_Marina Del Rey" u="1"/>
        <s v="Torrance,Hawthorne,Marina Del Rey" u="1"/>
        <e v="#N/A" u="1"/>
        <s v="San Pablo_x000a_Santa Rosa" u="1"/>
        <s v="San Pablo,Santa Rosa" u="1"/>
        <s v="SANTA FE SPRINGS_x000a_El Monte" u="1"/>
        <s v="Fresno " u="1"/>
        <s v="Santa Fe Springs,El Monte" u="1"/>
      </sharedItems>
    </cacheField>
    <cacheField name="DispatchAgent" numFmtId="0">
      <sharedItems count="4">
        <s v="Sunny"/>
        <s v="Harman"/>
        <e v="#REF!" u="1"/>
        <e v="#N/A" u="1"/>
      </sharedItems>
    </cacheField>
    <cacheField name="DispatchPay" numFmtId="44">
      <sharedItems containsString="0" containsBlank="1" containsNumber="1" minValue="-214.5" maxValue="229"/>
    </cacheField>
    <cacheField name="DispatachPayDay" numFmtId="14">
      <sharedItems containsSemiMixedTypes="0" containsNonDate="0" containsDate="1" containsString="0" minDate="2015-06-26T00:00:00" maxDate="2016-07-30T00:00:00" count="58">
        <d v="2015-06-26T00:00:00"/>
        <d v="2015-07-03T00:00:00"/>
        <d v="2015-07-10T00:00:00"/>
        <d v="2015-07-17T00:00:00"/>
        <d v="2015-07-24T00:00:00"/>
        <d v="2015-07-31T00:00:00"/>
        <d v="2015-08-07T00:00:00"/>
        <d v="2015-08-14T00:00:00"/>
        <d v="2015-08-21T00:00:00"/>
        <d v="2015-08-28T00:00:00"/>
        <d v="2015-09-04T00:00:00"/>
        <d v="2015-09-11T00:00:00"/>
        <d v="2015-09-18T00:00:00"/>
        <d v="2015-09-25T00:00:00"/>
        <d v="2015-10-02T00:00:00"/>
        <d v="2015-10-09T00:00:00"/>
        <d v="2015-10-16T00:00:00"/>
        <d v="2015-10-23T00:00:00"/>
        <d v="2015-10-30T00:00:00"/>
        <d v="2015-11-06T00:00:00"/>
        <d v="2015-11-13T00:00:00"/>
        <d v="2015-11-20T00:00:00"/>
        <d v="2015-11-27T00:00:00"/>
        <d v="2015-12-04T00:00:00"/>
        <d v="2015-12-11T00:00:00"/>
        <d v="2015-12-18T00:00:00"/>
        <d v="2015-12-25T00:00:00"/>
        <d v="2016-01-01T00:00:00"/>
        <d v="2016-01-08T00:00:00"/>
        <d v="2016-01-15T00:00:00"/>
        <d v="2016-01-22T00:00:00"/>
        <d v="2016-01-29T00:00:00"/>
        <d v="2016-02-05T00:00:00"/>
        <d v="2016-02-12T00:00:00"/>
        <d v="2016-02-19T00:00:00"/>
        <d v="2016-02-26T00:00:00"/>
        <d v="2016-03-04T00:00:00"/>
        <d v="2016-03-11T00:00:00"/>
        <d v="2016-03-18T00:00:00"/>
        <d v="2016-03-25T00:00:00"/>
        <d v="2016-04-01T00:00:00"/>
        <d v="2016-04-08T00:00:00"/>
        <d v="2016-04-15T00:00:00"/>
        <d v="2016-04-22T00:00:00"/>
        <d v="2016-04-29T00:00:00"/>
        <d v="2016-05-06T00:00:00"/>
        <d v="2016-05-13T00:00:00"/>
        <d v="2016-05-20T00:00:00"/>
        <d v="2016-05-27T00:00:00"/>
        <d v="2016-06-03T00:00:00"/>
        <d v="2016-06-10T00:00:00"/>
        <d v="2016-06-17T00:00:00"/>
        <d v="2016-06-24T00:00:00"/>
        <d v="2016-07-01T00:00:00"/>
        <d v="2016-07-08T00:00:00"/>
        <d v="2016-07-15T00:00:00"/>
        <d v="2016-07-22T00:00:00"/>
        <d v="2016-07-29T00:00:00"/>
      </sharedItems>
    </cacheField>
    <cacheField name="Month" numFmtId="0">
      <sharedItems containsSemiMixedTypes="0" containsString="0" containsNumber="1" containsInteger="1" minValue="1" maxValue="12" count="12">
        <n v="6"/>
        <n v="7"/>
        <n v="8"/>
        <n v="9"/>
        <n v="10"/>
        <n v="11"/>
        <n v="12"/>
        <n v="1"/>
        <n v="2"/>
        <n v="3"/>
        <n v="4"/>
        <n v="5"/>
      </sharedItems>
    </cacheField>
    <cacheField name="ActionYear" numFmtId="0">
      <sharedItems containsSemiMixedTypes="0" containsString="0" containsNumber="1" containsInteger="1" minValue="2015" maxValue="2016" count="2">
        <n v="2015"/>
        <n v="2016"/>
      </sharedItems>
    </cacheField>
    <cacheField name="Field1" numFmtId="0" formula="PayCarrier" databaseField="0"/>
  </cacheFields>
  <extLst>
    <ext xmlns:x14="http://schemas.microsoft.com/office/spreadsheetml/2009/9/main" uri="{725AE2AE-9491-48be-B2B4-4EB974FC3084}">
      <x14:pivotCacheDefinition pivotCacheId="3"/>
    </ext>
  </extLst>
</pivotCacheDefinition>
</file>

<file path=xl/pivotCache/pivotCacheDefinition2.xml><?xml version="1.0" encoding="utf-8"?>
<pivotCacheDefinition xmlns="http://schemas.openxmlformats.org/spreadsheetml/2006/main" xmlns:r="http://schemas.openxmlformats.org/officeDocument/2006/relationships" r:id="rId1" refreshedBy="Tejinder Singh" refreshedDate="42576.441037384262" createdVersion="4" refreshedVersion="4" minRefreshableVersion="3" recordCount="155">
  <cacheSource type="worksheet">
    <worksheetSource name="Table3"/>
  </cacheSource>
  <cacheFields count="16">
    <cacheField name="Date" numFmtId="14">
      <sharedItems containsSemiMixedTypes="0" containsNonDate="0" containsDate="1" containsString="0" minDate="2015-08-18T00:00:00" maxDate="2016-07-22T00:00:00" count="127">
        <d v="2015-08-20T00:00:00"/>
        <d v="2015-08-21T00:00:00"/>
        <d v="2015-08-24T00:00:00"/>
        <d v="2015-08-26T00:00:00"/>
        <d v="2015-08-28T00:00:00"/>
        <d v="2015-08-31T00:00:00"/>
        <d v="2015-09-01T00:00:00"/>
        <d v="2015-09-02T00:00:00"/>
        <d v="2015-09-04T00:00:00"/>
        <d v="2015-09-05T00:00:00"/>
        <d v="2015-09-06T00:00:00"/>
        <d v="2015-09-13T00:00:00"/>
        <d v="2015-09-29T00:00:00"/>
        <d v="2015-10-01T00:00:00"/>
        <d v="2015-10-06T00:00:00"/>
        <d v="2015-10-08T00:00:00"/>
        <d v="2015-10-12T00:00:00"/>
        <d v="2015-10-15T00:00:00"/>
        <d v="2015-10-20T00:00:00"/>
        <d v="2015-10-22T00:00:00"/>
        <d v="2015-10-29T00:00:00"/>
        <d v="2015-11-03T00:00:00"/>
        <d v="2015-11-09T00:00:00"/>
        <d v="2015-11-12T00:00:00"/>
        <d v="2015-11-17T00:00:00"/>
        <d v="2015-11-20T00:00:00"/>
        <d v="2015-12-01T00:00:00"/>
        <d v="2015-12-02T00:00:00"/>
        <d v="2015-12-03T00:00:00"/>
        <d v="2015-12-07T00:00:00"/>
        <d v="2015-12-08T00:00:00"/>
        <d v="2015-12-09T00:00:00"/>
        <d v="2015-12-10T00:00:00"/>
        <d v="2015-12-11T00:00:00"/>
        <d v="2015-12-14T00:00:00"/>
        <d v="2015-12-16T00:00:00"/>
        <d v="2015-12-17T00:00:00"/>
        <d v="2015-12-18T00:00:00"/>
        <d v="2015-12-22T00:00:00"/>
        <d v="2015-12-23T00:00:00"/>
        <d v="2015-12-28T00:00:00"/>
        <d v="2015-12-29T00:00:00"/>
        <d v="2016-01-04T00:00:00"/>
        <d v="2016-01-06T00:00:00"/>
        <d v="2016-01-07T00:00:00"/>
        <d v="2016-01-11T00:00:00"/>
        <d v="2016-01-12T00:00:00"/>
        <d v="2016-01-13T00:00:00"/>
        <d v="2016-01-15T00:00:00"/>
        <d v="2016-01-19T00:00:00"/>
        <d v="2016-01-20T00:00:00"/>
        <d v="2016-01-22T00:00:00"/>
        <d v="2016-01-25T00:00:00"/>
        <d v="2016-02-01T00:00:00"/>
        <d v="2016-02-03T00:00:00"/>
        <d v="2016-02-09T00:00:00"/>
        <d v="2016-02-11T00:00:00"/>
        <d v="2016-02-16T00:00:00"/>
        <d v="2016-02-17T00:00:00"/>
        <d v="2016-02-18T00:00:00"/>
        <d v="2016-02-19T00:00:00"/>
        <d v="2016-02-22T00:00:00"/>
        <d v="2016-02-25T00:00:00"/>
        <d v="2016-02-29T00:00:00"/>
        <d v="2016-03-06T00:00:00"/>
        <d v="2016-03-07T00:00:00"/>
        <d v="2016-03-09T00:00:00"/>
        <d v="2016-03-14T00:00:00"/>
        <d v="2016-03-17T00:00:00"/>
        <d v="2016-03-20T00:00:00"/>
        <d v="2016-03-22T00:00:00"/>
        <d v="2016-03-23T00:00:00"/>
        <d v="2016-03-24T00:00:00"/>
        <d v="2016-03-25T00:00:00"/>
        <d v="2016-03-28T00:00:00"/>
        <d v="2016-03-29T00:00:00"/>
        <d v="2016-03-30T00:00:00"/>
        <d v="2016-04-03T00:00:00"/>
        <d v="2016-04-06T00:00:00"/>
        <d v="2016-04-11T00:00:00"/>
        <d v="2016-04-12T00:00:00"/>
        <d v="2016-04-14T00:00:00"/>
        <d v="2016-04-18T00:00:00"/>
        <d v="2016-04-19T00:00:00"/>
        <d v="2016-04-25T00:00:00"/>
        <d v="2016-04-27T00:00:00"/>
        <d v="2016-04-29T00:00:00"/>
        <d v="2016-05-02T00:00:00"/>
        <d v="2016-05-04T00:00:00"/>
        <d v="2016-05-05T00:00:00"/>
        <d v="2016-05-09T00:00:00"/>
        <d v="2016-05-12T00:00:00"/>
        <d v="2016-05-15T00:00:00"/>
        <d v="2016-05-16T00:00:00"/>
        <d v="2016-05-18T00:00:00"/>
        <d v="2016-05-19T00:00:00"/>
        <d v="2016-05-22T00:00:00"/>
        <d v="2016-05-23T00:00:00"/>
        <d v="2016-05-24T00:00:00"/>
        <d v="2016-05-29T00:00:00"/>
        <d v="2016-05-31T00:00:00"/>
        <d v="2016-06-02T00:00:00"/>
        <d v="2016-06-06T00:00:00"/>
        <d v="2016-06-08T00:00:00"/>
        <d v="2016-06-10T00:00:00"/>
        <d v="2016-06-14T00:00:00"/>
        <d v="2016-06-15T00:00:00"/>
        <d v="2016-06-17T00:00:00"/>
        <d v="2016-06-20T00:00:00"/>
        <d v="2016-06-21T00:00:00"/>
        <d v="2016-06-23T00:00:00"/>
        <d v="2016-06-26T00:00:00"/>
        <d v="2016-06-28T00:00:00"/>
        <d v="2016-06-30T00:00:00"/>
        <d v="2016-07-05T00:00:00"/>
        <d v="2016-07-06T00:00:00"/>
        <d v="2016-07-08T00:00:00"/>
        <d v="2016-07-10T00:00:00"/>
        <d v="2016-07-11T00:00:00"/>
        <d v="2016-07-12T00:00:00"/>
        <d v="2016-07-13T00:00:00"/>
        <d v="2016-07-14T00:00:00"/>
        <d v="2016-07-17T00:00:00"/>
        <d v="2016-07-18T00:00:00"/>
        <d v="2016-07-20T00:00:00"/>
        <d v="2016-07-21T00:00:00"/>
        <d v="2015-08-18T00:00:00" u="1"/>
      </sharedItems>
    </cacheField>
    <cacheField name="InvoiceNumber" numFmtId="0">
      <sharedItems containsMixedTypes="1" containsNumber="1" containsInteger="1" minValue="6163050009" maxValue="6163050248"/>
    </cacheField>
    <cacheField name="Card" numFmtId="0">
      <sharedItems containsSemiMixedTypes="0" containsString="0" containsNumber="1" containsInteger="1" minValue="1" maxValue="5" count="5">
        <n v="2"/>
        <n v="1"/>
        <n v="3"/>
        <n v="4"/>
        <n v="5"/>
      </sharedItems>
    </cacheField>
    <cacheField name="Unit#" numFmtId="0">
      <sharedItems containsMixedTypes="1" containsNumber="1" containsInteger="1" minValue="10860" maxValue="10860" count="6">
        <s v="UT2"/>
        <n v="10860"/>
        <s v="UT3"/>
        <s v="UT4"/>
        <s v="UT5"/>
        <s v="UP2"/>
      </sharedItems>
    </cacheField>
    <cacheField name="Payee" numFmtId="0">
      <sharedItems containsBlank="1" count="12">
        <s v="Christopher"/>
        <s v="Albel"/>
        <s v="UBTrucking"/>
        <s v="Wesley"/>
        <s v="Miguel"/>
        <s v="Sukhpaul"/>
        <s v="Arturo"/>
        <s v="Asim"/>
        <s v="Anthony Fonseca"/>
        <m/>
        <s v="A" u="1"/>
        <s v="Asin" u="1"/>
      </sharedItems>
    </cacheField>
    <cacheField name="Shop" numFmtId="0">
      <sharedItems containsBlank="1" count="79">
        <s v="Flying J Lodi"/>
        <s v="3B's Truck Lodi"/>
        <s v="Vanco Truck Stockton"/>
        <s v="LostHills Trav"/>
        <s v="PetroStoping Spark NV"/>
        <s v="3 B's Truck A Lodi"/>
        <s v="SanPasoTruck"/>
        <s v="Loves Santa N CA"/>
        <s v="Loves Wells NV"/>
        <s v="Loves Salt La,UT"/>
        <s v="Loves Fernley NV"/>
        <s v="Loves Ripon"/>
        <s v="Pacific Pride Arroyo CA"/>
        <s v="Flying Fraizer CA"/>
        <s v="Pilot Oil Caastaic"/>
        <s v="Ta Santa Nella"/>
        <s v="Flying J Lodi CA"/>
        <s v="Pilot Oil Salinas CA"/>
        <s v="Carson Mini Tru Gardena, CA "/>
        <s v="Pilot Oil Lost Hills"/>
        <s v="Ta Santa Nella CA"/>
        <s v="Ta Ontario CA"/>
        <s v="TA Las Vegas, NV"/>
        <s v="TA Sparks Reno NV"/>
        <s v="Flying J Lodi, CA"/>
        <s v="Loves Lost Hill CA"/>
        <s v="Flying J Ripon"/>
        <s v="Pilot Oil Sacramento CA"/>
        <s v="Vanco Truck Stockton CA"/>
        <s v="PetroStoping Las Vegas NV"/>
        <s v="Vanco Truck &amp; A Stockton CA"/>
        <s v="Pilot Castaic CA"/>
        <s v="Flying J Ripon CA"/>
        <s v="Vanco Truck A Stockton CA"/>
        <s v="Rotten Robbie 5 Gustine CA"/>
        <s v="Loves Travel S Barslow"/>
        <s v="Pacific Pride F Stockton CA"/>
        <s v=" Vanco Truck &amp; A Stockton CA"/>
        <s v="Pilot Oil Castica CA"/>
        <s v="Love's Travel Buckeye AZ"/>
        <s v="Ta Snata Nella "/>
        <s v="Flying j #618"/>
        <s v="Ta Livingston"/>
        <s v="Ta Redding Redding CA"/>
        <s v="Loves Travel St"/>
        <s v="Ez Trip Golden"/>
        <s v="76 Truck Stop"/>
        <s v="Modesto Truck P"/>
        <s v="Ta Buttonwillow"/>
        <s v="Pilot Oil#168"/>
        <s v="Sac Valley Truc"/>
        <s v="Pilot Oil Central, OR"/>
        <s v="Flying J Aurora OR"/>
        <s v="Pilot Travel Lost Hill CA"/>
        <s v="Pilot Travel NV"/>
        <s v="Modesto Truck"/>
        <s v="Modesto Truck Plaza"/>
        <s v="Loves Travel Ripon CA"/>
        <s v="Ez Trip Golden Foresno"/>
        <s v="Beacon Kettlem"/>
        <s v="Ez Trip Golden Fresno"/>
        <s v="Flying J 618"/>
        <s v="Ez Trip Golden "/>
        <s v="Loves Travel St "/>
        <s v="TA Sparks"/>
        <s v="Flying J 616"/>
        <s v="Vanco Truck &amp; A"/>
        <s v="Pilot Travel Ce"/>
        <s v="Flying J 618 "/>
        <s v="Pilot Dealer 87"/>
        <s v="Ez Trip Fresno"/>
        <s v="Petro Santa Nel"/>
        <s v="Vanco Truck"/>
        <s v="Flying J 617"/>
        <s v="Tracy Truck &amp; A"/>
        <s v="Loves Travel S"/>
        <s v="TA Las Vegas / Flying J 613 "/>
        <m u="1"/>
        <s v="Arturo" u="1"/>
      </sharedItems>
    </cacheField>
    <cacheField name="State" numFmtId="0">
      <sharedItems count="6">
        <s v="CA"/>
        <s v="NV"/>
        <s v="UT"/>
        <s v="AZ"/>
        <s v="OR"/>
        <s v="NV /CA"/>
      </sharedItems>
    </cacheField>
    <cacheField name="QTY" numFmtId="0">
      <sharedItems containsString="0" containsBlank="1" containsNumber="1" minValue="25.117999999999999" maxValue="361.21"/>
    </cacheField>
    <cacheField name="PerGallon" numFmtId="44">
      <sharedItems containsBlank="1" containsMixedTypes="1" containsNumber="1" minValue="1.669" maxValue="2.9590000000000001"/>
    </cacheField>
    <cacheField name="PricePlusTax" numFmtId="44">
      <sharedItems containsSemiMixedTypes="0" containsString="0" containsNumber="1" minValue="47.46" maxValue="612.58000000000004"/>
    </cacheField>
    <cacheField name="PaymentStatus" numFmtId="44">
      <sharedItems/>
    </cacheField>
    <cacheField name="ChargeDate" numFmtId="14">
      <sharedItems containsSemiMixedTypes="0" containsNonDate="0" containsDate="1" containsString="0" minDate="2015-08-28T00:00:00" maxDate="2016-07-30T00:00:00"/>
    </cacheField>
    <cacheField name="Weekending" numFmtId="14">
      <sharedItems containsSemiMixedTypes="0" containsNonDate="0" containsDate="1" containsString="0" minDate="2015-08-21T00:00:00" maxDate="2016-07-23T00:00:00" count="46">
        <d v="2015-08-21T00:00:00"/>
        <d v="2015-08-28T00:00:00"/>
        <d v="2015-09-04T00:00:00"/>
        <d v="2015-09-11T00:00:00"/>
        <d v="2015-10-02T00:00:00"/>
        <d v="2015-10-09T00:00:00"/>
        <d v="2015-10-16T00:00:00"/>
        <d v="2015-10-23T00:00:00"/>
        <d v="2015-10-30T00:00:00"/>
        <d v="2015-11-06T00:00:00"/>
        <d v="2015-11-13T00:00:00"/>
        <d v="2015-11-20T00:00:00"/>
        <d v="2015-12-04T00:00:00"/>
        <d v="2015-12-11T00:00:00"/>
        <d v="2015-12-18T00:00:00"/>
        <d v="2015-12-25T00:00:00"/>
        <d v="2016-01-01T00:00:00"/>
        <d v="2016-01-08T00:00:00"/>
        <d v="2016-01-15T00:00:00"/>
        <d v="2016-01-22T00:00:00"/>
        <d v="2016-01-29T00:00:00"/>
        <d v="2016-02-05T00:00:00"/>
        <d v="2016-02-12T00:00:00"/>
        <d v="2016-02-19T00:00:00"/>
        <d v="2016-02-26T00:00:00"/>
        <d v="2016-03-04T00:00:00"/>
        <d v="2016-03-11T00:00:00"/>
        <d v="2016-03-18T00:00:00"/>
        <d v="2016-03-25T00:00:00"/>
        <d v="2016-04-01T00:00:00"/>
        <d v="2016-04-08T00:00:00"/>
        <d v="2016-04-15T00:00:00"/>
        <d v="2016-04-22T00:00:00"/>
        <d v="2016-04-29T00:00:00"/>
        <d v="2016-05-06T00:00:00"/>
        <d v="2016-05-13T00:00:00"/>
        <d v="2016-05-20T00:00:00"/>
        <d v="2016-05-27T00:00:00"/>
        <d v="2016-06-03T00:00:00"/>
        <d v="2016-06-10T00:00:00"/>
        <d v="2016-06-17T00:00:00"/>
        <d v="2016-06-24T00:00:00"/>
        <d v="2016-07-01T00:00:00"/>
        <d v="2016-07-08T00:00:00"/>
        <d v="2016-07-15T00:00:00"/>
        <d v="2016-07-22T00:00:00"/>
      </sharedItems>
    </cacheField>
    <cacheField name="ActionMonth" numFmtId="0">
      <sharedItems containsSemiMixedTypes="0" containsString="0" containsNumber="1" containsInteger="1" minValue="1" maxValue="12" count="12">
        <n v="8"/>
        <n v="9"/>
        <n v="10"/>
        <n v="11"/>
        <n v="12"/>
        <n v="1"/>
        <n v="2"/>
        <n v="3"/>
        <n v="4"/>
        <n v="5"/>
        <n v="6"/>
        <n v="7"/>
      </sharedItems>
    </cacheField>
    <cacheField name="Action Year" numFmtId="0">
      <sharedItems containsSemiMixedTypes="0" containsString="0" containsNumber="1" containsInteger="1" minValue="2015" maxValue="2016" count="2">
        <n v="2015"/>
        <n v="2016"/>
      </sharedItems>
    </cacheField>
    <cacheField name="Field1" numFmtId="0" formula="PricePlusTax" databaseField="0"/>
  </cacheFields>
  <extLst>
    <ext xmlns:x14="http://schemas.microsoft.com/office/spreadsheetml/2009/9/main" uri="{725AE2AE-9491-48be-B2B4-4EB974FC3084}">
      <x14:pivotCacheDefinition pivotCacheId="5"/>
    </ext>
  </extLst>
</pivotCacheDefinition>
</file>

<file path=xl/pivotCache/pivotCacheDefinition3.xml><?xml version="1.0" encoding="utf-8"?>
<pivotCacheDefinition xmlns="http://schemas.openxmlformats.org/spreadsheetml/2006/main" xmlns:r="http://schemas.openxmlformats.org/officeDocument/2006/relationships" r:id="rId1" refreshedBy="Tejinder Singh" refreshedDate="42576.441037615739" createdVersion="4" refreshedVersion="4" minRefreshableVersion="3" recordCount="13">
  <cacheSource type="worksheet">
    <worksheetSource name="Table10"/>
  </cacheSource>
  <cacheFields count="43">
    <cacheField name="DriverID" numFmtId="0">
      <sharedItems/>
    </cacheField>
    <cacheField name="CarrierCompay" numFmtId="0">
      <sharedItems/>
    </cacheField>
    <cacheField name="DriverFirstName" numFmtId="0">
      <sharedItems count="13">
        <s v="Marco A Ponse"/>
        <s v="Karamjeet"/>
        <s v="Satnam"/>
        <s v="Albel"/>
        <s v="Christopher J."/>
        <s v="Wesley"/>
        <s v="Miguel Jaime"/>
        <s v="Manjit"/>
        <s v="Sukhpal"/>
        <s v="Arturo"/>
        <s v="Asim"/>
        <s v="Anthony"/>
        <s v="Aaron"/>
      </sharedItems>
    </cacheField>
    <cacheField name="DriverLastName" numFmtId="0">
      <sharedItems/>
    </cacheField>
    <cacheField name="DriverDOB" numFmtId="14">
      <sharedItems containsDate="1" containsMixedTypes="1" minDate="1958-01-13T00:00:00" maxDate="1988-08-17T00:00:00"/>
    </cacheField>
    <cacheField name="DriverAge" numFmtId="164">
      <sharedItems containsMixedTypes="1" containsNumber="1" minValue="27.958904109589042" maxValue="58.56986301369863"/>
    </cacheField>
    <cacheField name="Truck#" numFmtId="0">
      <sharedItems containsMixedTypes="1" containsNumber="1" containsInteger="1" minValue="1" maxValue="738"/>
    </cacheField>
    <cacheField name="Trailer #" numFmtId="0">
      <sharedItems containsMixedTypes="1" containsNumber="1" containsInteger="1" minValue="533" maxValue="47213"/>
    </cacheField>
    <cacheField name="FuelCard" numFmtId="0">
      <sharedItems containsMixedTypes="1" containsNumber="1" containsInteger="1" minValue="1" maxValue="5"/>
    </cacheField>
    <cacheField name="EquipToDriverStat" numFmtId="0">
      <sharedItems/>
    </cacheField>
    <cacheField name="DriverPhoneNumber" numFmtId="0">
      <sharedItems/>
    </cacheField>
    <cacheField name="DriverInsurance Premium" numFmtId="44">
      <sharedItems containsMixedTypes="1" containsNumber="1" containsInteger="1" minValue="189" maxValue="250"/>
    </cacheField>
    <cacheField name="DriverAddress" numFmtId="0">
      <sharedItems/>
    </cacheField>
    <cacheField name="DriverCity" numFmtId="0">
      <sharedItems/>
    </cacheField>
    <cacheField name="DriverState" numFmtId="0">
      <sharedItems/>
    </cacheField>
    <cacheField name="DriverZip" numFmtId="0">
      <sharedItems containsSemiMixedTypes="0" containsString="0" containsNumber="1" containsInteger="1" minValue="76012" maxValue="95953"/>
    </cacheField>
    <cacheField name="DriverCountry" numFmtId="0">
      <sharedItems/>
    </cacheField>
    <cacheField name="DriverEmail" numFmtId="0">
      <sharedItems/>
    </cacheField>
    <cacheField name="DriverTaxID" numFmtId="0">
      <sharedItems containsMixedTypes="1" containsNumber="1" containsInteger="1" minValue="300045837" maxValue="710941698"/>
    </cacheField>
    <cacheField name="DriverBank" numFmtId="0">
      <sharedItems/>
    </cacheField>
    <cacheField name="DriverRoutingNumber" numFmtId="0">
      <sharedItems containsMixedTypes="1" containsNumber="1" containsInteger="1" minValue="121000358" maxValue="322271627"/>
    </cacheField>
    <cacheField name="DriverAccountNumber" numFmtId="0">
      <sharedItems containsMixedTypes="1" containsNumber="1" containsInteger="1" minValue="2329859" maxValue="1084840337"/>
    </cacheField>
    <cacheField name="DriverAccountType" numFmtId="0">
      <sharedItems/>
    </cacheField>
    <cacheField name="DriverLicense#" numFmtId="0">
      <sharedItems containsMixedTypes="1" containsNumber="1" containsInteger="1" minValue="29063559" maxValue="29063559"/>
    </cacheField>
    <cacheField name="DriverLicExpiration" numFmtId="14">
      <sharedItems containsSemiMixedTypes="0" containsNonDate="0" containsDate="1" containsString="0" minDate="2015-08-16T00:00:00" maxDate="2021-09-03T00:00:00"/>
    </cacheField>
    <cacheField name="DriverLicenseStatus" numFmtId="0">
      <sharedItems/>
    </cacheField>
    <cacheField name="DriverSpecialEndorsemet" numFmtId="0">
      <sharedItems/>
    </cacheField>
    <cacheField name="DriverDrugtestDate" numFmtId="14">
      <sharedItems containsDate="1" containsMixedTypes="1" minDate="2015-06-12T00:00:00" maxDate="2016-07-12T00:00:00"/>
    </cacheField>
    <cacheField name="DriverMedicalExpireDate" numFmtId="14">
      <sharedItems containsDate="1" containsMixedTypes="1" minDate="2018-06-13T00:00:00" maxDate="2018-06-14T00:00:00"/>
    </cacheField>
    <cacheField name="DriverMedicalStatus" numFmtId="0">
      <sharedItems/>
    </cacheField>
    <cacheField name="CarrierMC" numFmtId="0">
      <sharedItems containsSemiMixedTypes="0" containsString="0" containsNumber="1" containsInteger="1" minValue="692221" maxValue="913971"/>
    </cacheField>
    <cacheField name="CarrierDOT" numFmtId="0">
      <sharedItems containsSemiMixedTypes="0" containsString="0" containsNumber="1" containsInteger="1" minValue="1943696" maxValue="2627544"/>
    </cacheField>
    <cacheField name="CarrierCA#" numFmtId="0">
      <sharedItems containsMixedTypes="1" containsNumber="1" containsInteger="1" minValue="466133" maxValue="466133"/>
    </cacheField>
    <cacheField name="InsuranceProvider" numFmtId="0">
      <sharedItems count="6">
        <s v="Western Truck Insurance Srvcs"/>
        <s v="Wilshire insurance company"/>
        <s v="Sentry Insurance"/>
        <s v="GM Lawrence Ins"/>
        <s v="Northland Insurance Company"/>
        <s v="GM Lawrence Ins Brokerage" u="1"/>
      </sharedItems>
    </cacheField>
    <cacheField name="InsurancePolicyNumber" numFmtId="0">
      <sharedItems/>
    </cacheField>
    <cacheField name="InsuranceExpireDate" numFmtId="14">
      <sharedItems containsDate="1" containsMixedTypes="1" minDate="2015-10-02T00:00:00" maxDate="2017-02-13T00:00:00"/>
    </cacheField>
    <cacheField name="InsuranceDaysToExpiration" numFmtId="0">
      <sharedItems containsMixedTypes="1" containsNumber="1" containsInteger="1" minValue="-297" maxValue="202"/>
    </cacheField>
    <cacheField name="OriginalContractorStrartDate" numFmtId="14">
      <sharedItems containsSemiMixedTypes="0" containsNonDate="0" containsDate="1" containsString="0" minDate="2015-06-12T00:00:00" maxDate="2016-07-19T00:00:00"/>
    </cacheField>
    <cacheField name="ContractSignDate" numFmtId="14">
      <sharedItems containsSemiMixedTypes="0" containsNonDate="0" containsDate="1" containsString="0" minDate="2015-06-12T00:00:00" maxDate="2016-07-19T00:00:00"/>
    </cacheField>
    <cacheField name="ContractorToBeRenewedOn" numFmtId="14">
      <sharedItems containsSemiMixedTypes="0" containsNonDate="0" containsDate="1" containsString="0" minDate="2015-09-10T00:00:00" maxDate="2016-10-17T00:00:00"/>
    </cacheField>
    <cacheField name="Contractor" numFmtId="14">
      <sharedItems/>
    </cacheField>
    <cacheField name="ContractDaysToExpire" numFmtId="0">
      <sharedItems containsMixedTypes="1" containsNumber="1" containsInteger="1" minValue="-319" maxValue="83"/>
    </cacheField>
    <cacheField name="ContarctorDaysToRenewal"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Tejinder Singh" refreshedDate="42576.664918518516" createdVersion="4" refreshedVersion="4" minRefreshableVersion="3" recordCount="314">
  <cacheSource type="worksheet">
    <worksheetSource name="Table5"/>
  </cacheSource>
  <cacheFields count="21">
    <cacheField name="Date" numFmtId="14">
      <sharedItems containsSemiMixedTypes="0" containsNonDate="0" containsDate="1" containsString="0" minDate="2015-01-01T00:00:00" maxDate="2016-07-24T00:00:00" count="164">
        <d v="2015-01-01T00:00:00"/>
        <d v="2015-01-09T00:00:00"/>
        <d v="2015-08-01T00:00:00"/>
        <d v="2015-08-06T00:00:00"/>
        <d v="2015-08-15T00:00:00"/>
        <d v="2015-08-17T00:00:00"/>
        <d v="2015-08-18T00:00:00"/>
        <d v="2015-08-25T00:00:00"/>
        <d v="2015-08-28T00:00:00"/>
        <d v="2015-09-01T00:00:00"/>
        <d v="2015-09-02T00:00:00"/>
        <d v="2015-09-03T00:00:00"/>
        <d v="2015-09-08T00:00:00"/>
        <d v="2015-09-09T00:00:00"/>
        <d v="2015-09-13T00:00:00"/>
        <d v="2015-09-15T00:00:00"/>
        <d v="2015-09-16T00:00:00"/>
        <d v="2015-09-19T00:00:00"/>
        <d v="2015-09-21T00:00:00"/>
        <d v="2015-09-22T00:00:00"/>
        <d v="2015-09-28T00:00:00"/>
        <d v="2015-09-30T00:00:00"/>
        <d v="2015-10-01T00:00:00"/>
        <d v="2015-10-16T00:00:00"/>
        <d v="2015-10-26T00:00:00"/>
        <d v="2015-10-28T00:00:00"/>
        <d v="2015-10-30T00:00:00"/>
        <d v="2015-11-01T00:00:00"/>
        <d v="2015-11-02T00:00:00"/>
        <d v="2015-11-03T00:00:00"/>
        <d v="2015-11-04T00:00:00"/>
        <d v="2015-11-07T00:00:00"/>
        <d v="2015-11-09T00:00:00"/>
        <d v="2015-11-12T00:00:00"/>
        <d v="2015-11-13T00:00:00"/>
        <d v="2015-11-14T00:00:00"/>
        <d v="2015-11-15T00:00:00"/>
        <d v="2015-11-16T00:00:00"/>
        <d v="2015-11-17T00:00:00"/>
        <d v="2015-11-18T00:00:00"/>
        <d v="2015-11-19T00:00:00"/>
        <d v="2015-11-20T00:00:00"/>
        <d v="2015-11-27T00:00:00"/>
        <d v="2015-11-30T00:00:00"/>
        <d v="2015-12-01T00:00:00"/>
        <d v="2015-12-03T00:00:00"/>
        <d v="2015-12-07T00:00:00"/>
        <d v="2015-12-08T00:00:00"/>
        <d v="2015-12-09T00:00:00"/>
        <d v="2015-12-10T00:00:00"/>
        <d v="2015-12-11T00:00:00"/>
        <d v="2015-12-12T00:00:00"/>
        <d v="2015-12-14T00:00:00"/>
        <d v="2015-12-15T00:00:00"/>
        <d v="2015-12-18T00:00:00"/>
        <d v="2015-12-19T00:00:00"/>
        <d v="2015-12-20T00:00:00"/>
        <d v="2015-12-21T00:00:00"/>
        <d v="2015-12-22T00:00:00"/>
        <d v="2015-12-23T00:00:00"/>
        <d v="2015-12-28T00:00:00"/>
        <d v="2015-12-31T00:00:00"/>
        <d v="2016-01-01T00:00:00"/>
        <d v="2016-01-08T00:00:00"/>
        <d v="2016-01-10T00:00:00"/>
        <d v="2016-01-11T00:00:00"/>
        <d v="2016-01-13T00:00:00"/>
        <d v="2016-01-14T00:00:00"/>
        <d v="2016-01-15T00:00:00"/>
        <d v="2016-01-16T00:00:00"/>
        <d v="2016-01-17T00:00:00"/>
        <d v="2016-01-18T00:00:00"/>
        <d v="2016-01-19T00:00:00"/>
        <d v="2016-01-22T00:00:00"/>
        <d v="2016-01-25T00:00:00"/>
        <d v="2016-01-26T00:00:00"/>
        <d v="2016-02-01T00:00:00"/>
        <d v="2016-02-04T00:00:00"/>
        <d v="2016-02-08T00:00:00"/>
        <d v="2016-02-09T00:00:00"/>
        <d v="2016-02-10T00:00:00"/>
        <d v="2016-02-13T00:00:00"/>
        <d v="2016-02-14T00:00:00"/>
        <d v="2016-02-15T00:00:00"/>
        <d v="2016-02-16T00:00:00"/>
        <d v="2016-02-18T00:00:00"/>
        <d v="2016-02-19T00:00:00"/>
        <d v="2016-02-21T00:00:00"/>
        <d v="2016-02-22T00:00:00"/>
        <d v="2016-02-23T00:00:00"/>
        <d v="2016-02-25T00:00:00"/>
        <d v="2016-03-01T00:00:00"/>
        <d v="2016-03-03T00:00:00"/>
        <d v="2016-03-05T00:00:00"/>
        <d v="2016-03-07T00:00:00"/>
        <d v="2016-03-08T00:00:00"/>
        <d v="2016-03-10T00:00:00"/>
        <d v="2016-03-14T00:00:00"/>
        <d v="2016-03-15T00:00:00"/>
        <d v="2016-03-17T00:00:00"/>
        <d v="2016-03-22T00:00:00"/>
        <d v="2016-03-26T00:00:00"/>
        <d v="2016-03-29T00:00:00"/>
        <d v="2016-04-01T00:00:00"/>
        <d v="2016-04-05T00:00:00"/>
        <d v="2016-04-06T00:00:00"/>
        <d v="2016-04-09T00:00:00"/>
        <d v="2016-04-10T00:00:00"/>
        <d v="2016-04-11T00:00:00"/>
        <d v="2016-04-13T00:00:00"/>
        <d v="2016-04-14T00:00:00"/>
        <d v="2016-04-15T00:00:00"/>
        <d v="2016-04-17T00:00:00"/>
        <d v="2016-04-22T00:00:00"/>
        <d v="2016-04-23T00:00:00"/>
        <d v="2016-04-28T00:00:00"/>
        <d v="2016-04-29T00:00:00"/>
        <d v="2016-04-30T00:00:00"/>
        <d v="2016-05-01T00:00:00"/>
        <d v="2016-05-02T00:00:00"/>
        <d v="2016-05-03T00:00:00"/>
        <d v="2016-05-04T00:00:00"/>
        <d v="2016-05-05T00:00:00"/>
        <d v="2016-05-07T00:00:00"/>
        <d v="2016-05-09T00:00:00"/>
        <d v="2016-05-11T00:00:00"/>
        <d v="2016-05-12T00:00:00"/>
        <d v="2016-05-13T00:00:00"/>
        <d v="2016-05-14T00:00:00"/>
        <d v="2016-05-15T00:00:00"/>
        <d v="2016-05-21T00:00:00"/>
        <d v="2016-05-22T00:00:00"/>
        <d v="2016-05-23T00:00:00"/>
        <d v="2016-05-24T00:00:00"/>
        <d v="2016-05-26T00:00:00"/>
        <d v="2016-05-30T00:00:00"/>
        <d v="2016-06-01T00:00:00"/>
        <d v="2016-06-04T00:00:00"/>
        <d v="2016-06-06T00:00:00"/>
        <d v="2016-06-07T00:00:00"/>
        <d v="2016-06-10T00:00:00"/>
        <d v="2016-06-13T00:00:00"/>
        <d v="2016-06-14T00:00:00"/>
        <d v="2016-06-21T00:00:00"/>
        <d v="2016-06-22T00:00:00"/>
        <d v="2016-06-23T00:00:00"/>
        <d v="2016-06-24T00:00:00"/>
        <d v="2016-06-27T00:00:00"/>
        <d v="2016-06-28T00:00:00"/>
        <d v="2016-06-30T00:00:00"/>
        <d v="2016-07-01T00:00:00"/>
        <d v="2016-07-05T00:00:00"/>
        <d v="2016-07-06T00:00:00"/>
        <d v="2016-07-10T00:00:00"/>
        <d v="2016-07-13T00:00:00"/>
        <d v="2016-07-14T00:00:00"/>
        <d v="2016-07-15T00:00:00"/>
        <d v="2016-07-16T00:00:00"/>
        <d v="2016-07-17T00:00:00"/>
        <d v="2016-07-19T00:00:00"/>
        <d v="2016-07-20T00:00:00"/>
        <d v="2016-07-21T00:00:00"/>
        <d v="2016-07-22T00:00:00"/>
        <d v="2016-07-23T00:00:00"/>
      </sharedItems>
    </cacheField>
    <cacheField name="Unit#" numFmtId="14">
      <sharedItems count="16">
        <s v="Business"/>
        <s v="UT2"/>
        <s v="V2"/>
        <s v="UT2/V2"/>
        <s v="V3"/>
        <s v="UT3"/>
        <s v="V1"/>
        <s v=" V3"/>
        <s v="UT3/V3"/>
        <s v="UT1"/>
        <s v="UT4"/>
        <s v="UT5"/>
        <s v="UT3/V1"/>
        <s v="V6"/>
        <s v="V5"/>
        <s v="UT4/V4"/>
      </sharedItems>
    </cacheField>
    <cacheField name="Category" numFmtId="0">
      <sharedItems count="5">
        <s v="Fees"/>
        <s v="BusinessExpense"/>
        <s v="Rent"/>
        <s v="Maintenance/Repair"/>
        <s v="Paid Out"/>
      </sharedItems>
    </cacheField>
    <cacheField name="InvoiceNumber" numFmtId="0">
      <sharedItems containsBlank="1" containsMixedTypes="1" containsNumber="1" containsInteger="1" minValue="172" maxValue="3.7106079711072E+16"/>
    </cacheField>
    <cacheField name="RepairType" numFmtId="0">
      <sharedItems count="6">
        <s v="Non Repair"/>
        <s v="Interval Service"/>
        <s v="Brake Job"/>
        <s v="Break Fix"/>
        <s v="Tires"/>
        <s v="Initial Tuneup"/>
      </sharedItems>
    </cacheField>
    <cacheField name="Part" numFmtId="0">
      <sharedItems count="205">
        <s v="Insurance Deposit 2015"/>
        <s v="Loan Processing Fee"/>
        <s v="Burritos"/>
        <s v="DrugTest Chris"/>
        <s v="Truck Trailer Reg"/>
        <s v="Yard Deposit"/>
        <s v="Yard Rent"/>
        <s v="Scale &amp; Kit"/>
        <s v="Engine Oil, Hub Oil Level, Water Filter, Fuel Filter, Fuel Filter Cummins, Oil Filter"/>
        <s v="TrailerLube"/>
        <s v="Truck Wash"/>
        <s v="1-1/2 28 Spline 5.5 Arm - Brake Assembly"/>
        <s v="Gladhand Seal"/>
        <s v="Labor, BrakeShoes, Brake Kit"/>
        <s v="RoadTax UT2"/>
        <s v="Cat Scale"/>
        <s v="Diesel Kleen"/>
        <s v="Final Coolant"/>
        <s v="Alignment"/>
        <s v="Torque Arm Labor"/>
        <s v="Bit Inspection"/>
        <s v="PIZZA Chris"/>
        <s v="Supplies"/>
        <s v="Lumper"/>
        <s v="New Tires"/>
        <s v="NSF CHARGE"/>
        <s v="Equipment Trail Wash"/>
        <s v="RTV,DieselKleen, InflatorKit"/>
        <s v="AUG EXCESS WITHDRAWAL FEE"/>
        <s v="Wheel Replacement"/>
        <s v="Load Board"/>
        <s v="GPS Instal"/>
        <s v="H2O GPS Charge"/>
        <s v="US Equipment AND TRACHECKCARD"/>
        <s v="DrugTest wesley"/>
        <s v="Tire Valve"/>
        <s v="Fuel Card Activation"/>
        <s v="ActivateCardFee"/>
        <s v="Tire Inflate Kit"/>
        <s v="Registration"/>
        <s v="Guage only chrome"/>
        <s v="Fast Track"/>
        <s v="DMV Reg"/>
        <s v="eReg"/>
        <s v="Waterpum, Belts, Coolantflush, Oil, OilFilter, FuelFilter, Grease"/>
        <s v="Goof Off"/>
        <s v="Stickers"/>
        <s v="Glue Degreaser"/>
        <s v="DMV"/>
        <s v="Oregon"/>
        <s v="Mattress"/>
        <s v="Guage Fuel Tank Repair"/>
        <s v="Diagnostics/Sensor Fuel Tank"/>
        <s v="Fitting Hose"/>
        <s v="Seat Bracket"/>
        <s v="Excess withdraw fee Fine"/>
        <s v="Misc"/>
        <s v="OCT Excess Charge"/>
        <s v="GPs Tracker"/>
        <s v="Best Buy"/>
        <s v="Nuts Bolts"/>
        <s v="Drugtest Driver Applicant1"/>
        <s v="Tittle Transfer UT3"/>
        <s v="Tittle Transfer V3"/>
        <s v="Diese Kleen, Keys, Diesel Can"/>
        <s v="Snow Chains"/>
        <s v="Diesel Fill Up UT3"/>
        <s v="MiscRepairs"/>
        <s v="Hood Mirror"/>
        <s v="New Tires - 2AB"/>
        <s v="Starter Fluid"/>
        <s v="Mailbox"/>
        <s v="bolts"/>
        <s v="Oil Filter, Fuel Filter, Primary Fuel Filter, Oil"/>
        <s v="Door Fix"/>
        <s v="Rubber Trap Tie"/>
        <s v="Replaced oil filter and gasket"/>
        <s v="Horn"/>
        <s v="WiperBlades"/>
        <s v="NameCheap"/>
        <s v="NOV Excess Withdrawl Fee"/>
        <s v="Wash"/>
        <s v="Isolator- Thermal, Gasket, Injector"/>
        <s v="Brake Rear Axle Drums Pads"/>
        <s v="Driver Leather Repair"/>
        <s v="Misc Tools, Screws, Builder Hardware"/>
        <s v="Trailer Light Cord V2"/>
        <s v="Tire Plug Kit"/>
        <s v="WD40, Tire Guage"/>
        <s v="Plug 7-Way"/>
        <s v="Jummper Cable"/>
        <s v="Wesley LA Drive Hustle(400-150tnu)"/>
        <s v="Winder Bug, RX Booster, UT3 Delo 15w40"/>
        <s v="Seat Belt Assm"/>
        <s v="CLICKSAFETY"/>
        <s v="Dec Excess Withdrawl Fee"/>
        <s v="NameCheap ubgo"/>
        <s v="Drug Test Arturo"/>
        <s v="NM DEPT OF REV EGT DIST"/>
        <s v="Close university bridge &amp; Open Union Brigde"/>
        <s v="PrePass"/>
        <s v="TNU Manjit"/>
        <s v="StarBucks Driver Meet"/>
        <s v="Sensor, Bulb"/>
        <s v="Ifta Payment "/>
        <s v="Mud Flap"/>
        <s v="Brake Shoes , Bit Inspection, Tire Pitch"/>
        <s v="Shock Absorber"/>
        <s v="Insurance Deposit 2016"/>
        <s v="Driver Add"/>
        <s v="Waterpump Labor"/>
        <s v="WaterPump, Seal-O Ring, O Ring, Coolant TRP, O Rring"/>
        <s v="DAT Load Board"/>
        <s v="Sensor"/>
        <s v="Jan Excess Withdrawl Fee"/>
        <s v="Tax Return Prep UB Trucking"/>
        <s v="Coolant"/>
        <s v="HAT for Wesley"/>
        <s v="Walmart Truck Supply"/>
        <s v="Taxes, 1year RA Union Bridge, StateFee"/>
        <s v="EGR"/>
        <s v="EGR Labor"/>
        <s v="Compressor Air"/>
        <s v="Compressor Labor"/>
        <s v="Tcheck CREng &amp; Magellan"/>
        <s v="Relay"/>
        <s v="Trailer Lights"/>
        <s v="ENGINE OIL"/>
        <s v="Feb Excess Branch Deposit Fee"/>
        <s v="Feb Excess Withdrawl Fee"/>
        <s v="Printer Ink"/>
        <s v="OIL "/>
        <s v="OIL"/>
        <s v="Truck &amp; Trailer Wash"/>
        <s v="New Tires - 3ABCD"/>
        <s v="Sensor AC, DPF Filter Clean, Doser Valve Clean"/>
        <s v="Turbo Charger, Stud, Nut, Connector, Terminal, Seal, ELT Diagnostics"/>
        <s v="Oregon Motor Carrier Fee"/>
        <s v="Cartridge Ait Dryer Ad Sp"/>
        <s v="Coolant, Cap-Radiator Surge Tank Scre"/>
        <s v="Filter, Switch"/>
        <s v="Cartridge kit Dryer"/>
        <s v="DPF FILTER BAKE, GASKETS, SENSEOR, CLEAN DORES VALVE, Turbo Actuator"/>
        <s v="Oil Change, Filters"/>
        <s v="MAR EXCESS WITHDRAWAL FEE"/>
        <s v="Split Load #8398"/>
        <s v="Cabin AIR FILTER"/>
        <s v="Driving truck to mechanic shops"/>
        <s v="motorkote hyber"/>
        <s v="TAX for Invoice# W3135"/>
        <s v="Turbo oil suply hose"/>
        <s v="DPF Filler"/>
        <s v="Installed new batteries"/>
        <s v="AC Pressure switch, AC Gas vacume and Recharge"/>
        <s v="Kit-Retro Internal Check Valve"/>
        <s v="Insurance"/>
        <s v="Over Lay, Split Loads 2"/>
        <s v="Brake Clean, SnapRingPliers"/>
        <s v="Funnel, Gloves"/>
        <s v="Supplies(Gloves, Tools)"/>
        <s v="Miguel Ticket"/>
        <s v="New Tires - 1AB"/>
        <s v="Oregon 1st Q 2016"/>
        <s v="Adapter, Cap-Radiator Surge Tan Scre"/>
        <s v="AC Compresser, O-Ring, Belt AC."/>
        <s v="Labor -  AC Compressor, Fix Exhaust Leak, Replace Coolant Hose Clamp"/>
        <s v="New Tires - 1ABCD"/>
        <s v="1 Valvoline Premium BL"/>
        <s v="Envelopes/Stamps"/>
        <s v="DOT Stickers"/>
        <s v="New Tires - 1CD"/>
        <s v="TurnSignal"/>
        <s v="6 Pack Coolan Box"/>
        <s v="Right Hood Mirror Head"/>
        <s v="Wheel seal, Labor, Nuts Bolt - For Invice 7728"/>
        <s v="Used Tire - 3D"/>
        <s v="Brake Shoes"/>
        <s v="Drums Front"/>
        <s v="Brake Shoes Front"/>
        <s v="A/C Hose"/>
        <s v="Brake chamber Front"/>
        <s v="S Cam"/>
        <s v="2012 PeterBilt"/>
        <s v="FBN Statement"/>
        <s v="Wood Floor Repair"/>
        <s v="Recaped Tires - 2ABCD"/>
        <s v="DMV Fees Advance by RRs UT4"/>
        <s v="Jump Start"/>
        <s v="Replaced starter Motor"/>
        <s v="Surface Pen"/>
        <s v="Shell RotellaT"/>
        <s v="Scale Install"/>
        <s v="Tire Patch"/>
        <s v="Keys"/>
        <s v="Engien Oil"/>
        <s v="Egr Cooler"/>
        <s v="Thermostat"/>
        <s v="EGR Cooler, Thermostate Labor"/>
        <s v="TrailerMarker Light Fix"/>
        <s v="Radiator Cap, Coolant"/>
        <s v="SS Clamp and Nut Driver"/>
        <s v="Thermostat Gasaket"/>
        <s v="Equipment Wash V4 V2"/>
        <s v="Air Hose For Cabin"/>
        <s v="Add 2015 wabash"/>
      </sharedItems>
    </cacheField>
    <cacheField name="Shop" numFmtId="0">
      <sharedItems count="116">
        <s v="Glen A Schuberg Inc"/>
        <s v="Bank Of The West"/>
        <s v="Tacobel"/>
        <s v="QuestDiagnostics"/>
        <s v="Relaible Reg"/>
        <s v="West Coast Truck Equipment Repair"/>
        <s v="Delta Equipment Center"/>
        <s v="ProFleet"/>
        <s v="RonEquipmentWash"/>
        <s v="Utility Trailer "/>
        <s v="Fleet Pride"/>
        <s v="US Truck And Trailer Repair"/>
        <s v="RoadTax"/>
        <s v="Chowchilla Scale"/>
        <s v="Walmart"/>
        <s v="PIZZA GREEK DELI MANTECA "/>
        <s v="Costco"/>
        <s v="Grocers"/>
        <s v="Joes Plaza Westley"/>
        <s v="BBVA Tracy"/>
        <s v="Loves Ripon CA"/>
        <s v="GILL EXPRESS RIPON RIPON "/>
        <s v="DAT SOLUTIONS"/>
        <s v="Craigslist"/>
        <s v="H2O"/>
        <s v="Ardass"/>
        <s v="Navarro Truck Tire Service"/>
        <s v="FleetOne"/>
        <s v="FeetOne"/>
        <s v="Vanco Truck Auto Plaza Stockton"/>
        <s v="Reliable Reg"/>
        <s v="Delta Truck Center"/>
        <s v="Fast Track"/>
        <s v="Board Of Equalization CA"/>
        <s v="T&amp;S Truck Repair"/>
        <s v="Orchard Supply Hardware"/>
        <s v="DMV"/>
        <s v="truckingonline"/>
        <s v="LKQ"/>
        <s v="Interstate Truck Center"/>
        <s v="PAPE Kenworth"/>
        <s v="HomeDepot"/>
        <s v="J.MILANOco.Inc"/>
        <s v="Amazon"/>
        <s v="Best Buy"/>
        <s v="Ace Hardware"/>
        <s v="Loves Tulare CA"/>
        <s v="Utility Trailer Sales"/>
        <s v="Napa Auto Parts"/>
        <s v="J &amp; S Truck Repair"/>
        <s v="United Collision Center"/>
        <s v="Utility Trailer Lathrop"/>
        <s v="ALOHA MOBILE REPAIR"/>
        <s v="Domain Renewal ubgo.net"/>
        <s v="Ron Truck Wash"/>
        <s v="Albel"/>
        <s v="AutoZone"/>
        <s v="Monument Car Parts"/>
        <s v="RTS"/>
        <s v="Wesley"/>
        <s v="Golden State Truck Wash"/>
        <s v="K&amp;R"/>
        <s v="CLICKSAFETY"/>
        <s v="ublgo.com"/>
        <s v="unionbridge.net"/>
        <s v="Flying J Pilot"/>
        <s v="Sacramento 49er Auto Truck Plaza"/>
        <s v="Prepass"/>
        <s v="First Transportion"/>
        <s v="StarBucks Coffee Stockton"/>
        <s v="Tec of California Inc"/>
        <s v="Ca.Gov"/>
        <s v="GM Lawrance"/>
        <s v="Yard"/>
        <s v="Jessey Stockton"/>
        <s v="TA Truck Services Aurora OR"/>
        <s v="Lids Tracy"/>
        <s v="76 Truck Stop Albany"/>
        <s v="FLYER Shell Foresno"/>
        <s v="Petro Lube Westlake Ohio"/>
        <s v="Online"/>
        <s v="Peterbilt Stockton"/>
        <s v="Lovers Ripon Ca"/>
        <s v="J.P. Roadside"/>
        <s v="reilly auto parts"/>
        <s v="Target"/>
        <s v="Far-Go Distribution Company"/>
        <s v="Rig Master Truck Repair"/>
        <s v="Tire &amp; Wheel Outlet "/>
        <s v="Miguel"/>
        <s v="AUTO PARTS"/>
        <s v="Arturo"/>
        <s v="Monument Auto Parts"/>
        <s v="MONUMENT CAR PARTS #4 TRACY"/>
        <s v="CNTYOFMERCED*E-PAY"/>
        <s v="TA Truck Center of America"/>
        <s v="TA Sparks"/>
        <s v="Flying J"/>
        <s v="Tec Equipment, Inc."/>
        <s v="Fresno Truck tanker Wash"/>
        <s v="San Joquin County Recorders"/>
        <s v="Modesto Truck Plaza"/>
        <s v="Sac Valley Truck Stop"/>
        <s v="Central Valley Trailer Repair"/>
        <s v="Reliable Reg Svcs Inc"/>
        <s v="Reliable Truck Repair Inc"/>
        <s v="Microsoft"/>
        <s v="Joes Plaza Lathrop"/>
        <s v="Good Year"/>
        <s v="Big Valley Truck Wash"/>
        <s v="Auto Zone"/>
        <s v="Cruz Tire Truck Repair and Parts"/>
        <s v="Coast County Truck and Equipment CO"/>
        <s v="Silver State International"/>
        <s v="Auburn Hardware Store"/>
        <s v="Truck wash"/>
      </sharedItems>
    </cacheField>
    <cacheField name="TruckODOMeter" numFmtId="0">
      <sharedItems containsString="0" containsBlank="1" containsNumber="1" containsInteger="1" minValue="774800" maxValue="774800"/>
    </cacheField>
    <cacheField name="QTY" numFmtId="0">
      <sharedItems containsMixedTypes="1" containsNumber="1" containsInteger="1" minValue="1" maxValue="6"/>
    </cacheField>
    <cacheField name="Price" numFmtId="44">
      <sharedItems containsSemiMixedTypes="0" containsString="0" containsNumber="1" minValue="0" maxValue="4378"/>
    </cacheField>
    <cacheField name="ActionStatus" numFmtId="44">
      <sharedItems/>
    </cacheField>
    <cacheField name="Payee" numFmtId="0">
      <sharedItems/>
    </cacheField>
    <cacheField name="Settlement" numFmtId="0">
      <sharedItems/>
    </cacheField>
    <cacheField name="VinNumber" numFmtId="0">
      <sharedItems containsMixedTypes="1" containsNumber="1" containsInteger="1" minValue="0" maxValue="0"/>
    </cacheField>
    <cacheField name="Make" numFmtId="0">
      <sharedItems containsMixedTypes="1" containsNumber="1" containsInteger="1" minValue="0" maxValue="0"/>
    </cacheField>
    <cacheField name="Year" numFmtId="0">
      <sharedItems containsMixedTypes="1" containsNumber="1" containsInteger="1" minValue="0" maxValue="2011"/>
    </cacheField>
    <cacheField name="Model" numFmtId="0">
      <sharedItems containsMixedTypes="1" containsNumber="1" containsInteger="1" minValue="0" maxValue="1086"/>
    </cacheField>
    <cacheField name="WeekEnding" numFmtId="14">
      <sharedItems containsSemiMixedTypes="0" containsNonDate="0" containsDate="1" containsString="0" minDate="2015-01-02T00:00:00" maxDate="2016-07-23T00:00:00"/>
    </cacheField>
    <cacheField name="ChargeDate" numFmtId="14">
      <sharedItems containsSemiMixedTypes="0" containsNonDate="0" containsDate="1" containsString="0" minDate="2015-01-09T00:00:00" maxDate="2016-07-30T00:00:00"/>
    </cacheField>
    <cacheField name="ActionMonth" numFmtId="0">
      <sharedItems containsSemiMixedTypes="0" containsString="0" containsNumber="1" containsInteger="1" minValue="1" maxValue="12" count="12">
        <n v="1"/>
        <n v="8"/>
        <n v="9"/>
        <n v="10"/>
        <n v="11"/>
        <n v="12"/>
        <n v="2"/>
        <n v="3"/>
        <n v="4"/>
        <n v="5"/>
        <n v="6"/>
        <n v="7"/>
      </sharedItems>
    </cacheField>
    <cacheField name="ActionYear" numFmtId="0">
      <sharedItems containsSemiMixedTypes="0" containsString="0" containsNumber="1" containsInteger="1" minValue="2015" maxValue="2016" count="2">
        <n v="2015"/>
        <n v="2016"/>
      </sharedItems>
    </cacheField>
  </cacheFields>
  <extLst>
    <ext xmlns:x14="http://schemas.microsoft.com/office/spreadsheetml/2009/9/main" uri="{725AE2AE-9491-48be-B2B4-4EB974FC3084}">
      <x14:pivotCacheDefinition pivotCacheId="6"/>
    </ext>
  </extLst>
</pivotCacheDefinition>
</file>

<file path=xl/pivotCache/pivotCacheRecords1.xml><?xml version="1.0" encoding="utf-8"?>
<pivotCacheRecords xmlns="http://schemas.openxmlformats.org/spreadsheetml/2006/main" xmlns:r="http://schemas.openxmlformats.org/officeDocument/2006/relationships" count="573">
  <r>
    <x v="0"/>
    <x v="0"/>
    <s v="Ch Robinson"/>
    <d v="2015-06-26T00:00:00"/>
    <x v="0"/>
    <n v="600"/>
    <n v="588"/>
    <n v="558"/>
    <n v="588"/>
    <n v="558"/>
    <s v="Full"/>
    <n v="0"/>
    <x v="0"/>
    <x v="0"/>
    <x v="0"/>
    <x v="0"/>
    <x v="0"/>
    <x v="0"/>
    <x v="0"/>
    <n v="30"/>
    <x v="0"/>
    <x v="0"/>
    <x v="0"/>
  </r>
  <r>
    <x v="1"/>
    <x v="1"/>
    <s v="Ch Robinson"/>
    <d v="2015-07-02T00:00:00"/>
    <x v="0"/>
    <n v="662.5"/>
    <n v="649.25"/>
    <n v="570"/>
    <n v="649.25"/>
    <n v="570"/>
    <s v="Full"/>
    <n v="12.5"/>
    <x v="1"/>
    <x v="1"/>
    <x v="1"/>
    <x v="1"/>
    <x v="1"/>
    <x v="1"/>
    <x v="0"/>
    <n v="79.25"/>
    <x v="1"/>
    <x v="0"/>
    <x v="0"/>
  </r>
  <r>
    <x v="2"/>
    <x v="2"/>
    <s v="Ch Robinson"/>
    <d v="2015-06-29T00:00:00"/>
    <x v="0"/>
    <n v="750"/>
    <n v="735"/>
    <n v="700"/>
    <n v="735"/>
    <n v="700"/>
    <s v="Full"/>
    <n v="25"/>
    <x v="2"/>
    <x v="1"/>
    <x v="1"/>
    <x v="1"/>
    <x v="2"/>
    <x v="2"/>
    <x v="0"/>
    <n v="35"/>
    <x v="1"/>
    <x v="0"/>
    <x v="0"/>
  </r>
  <r>
    <x v="3"/>
    <x v="3"/>
    <s v="Icci"/>
    <d v="2015-07-07T00:00:00"/>
    <x v="0"/>
    <n v="1250"/>
    <n v="1220"/>
    <n v="1166"/>
    <n v="1220"/>
    <n v="1166"/>
    <s v="Full"/>
    <n v="50"/>
    <x v="1"/>
    <x v="1"/>
    <x v="1"/>
    <x v="2"/>
    <x v="3"/>
    <x v="3"/>
    <x v="0"/>
    <n v="54"/>
    <x v="1"/>
    <x v="0"/>
    <x v="0"/>
  </r>
  <r>
    <x v="4"/>
    <x v="4"/>
    <s v="Ch Robinson"/>
    <d v="2015-06-29T00:00:00"/>
    <x v="0"/>
    <n v="525"/>
    <n v="514.5"/>
    <n v="500"/>
    <n v="514"/>
    <n v="500"/>
    <s v="Less"/>
    <n v="50"/>
    <x v="3"/>
    <x v="1"/>
    <x v="2"/>
    <x v="3"/>
    <x v="4"/>
    <x v="4"/>
    <x v="0"/>
    <n v="14.5"/>
    <x v="1"/>
    <x v="0"/>
    <x v="0"/>
  </r>
  <r>
    <x v="5"/>
    <x v="5"/>
    <s v="Ch Robinson"/>
    <d v="2015-06-29T00:00:00"/>
    <x v="0"/>
    <n v="700"/>
    <n v="686"/>
    <n v="650"/>
    <n v="686"/>
    <n v="650"/>
    <s v="Full"/>
    <n v="100"/>
    <x v="3"/>
    <x v="1"/>
    <x v="2"/>
    <x v="3"/>
    <x v="5"/>
    <x v="5"/>
    <x v="0"/>
    <n v="36"/>
    <x v="1"/>
    <x v="0"/>
    <x v="0"/>
  </r>
  <r>
    <x v="6"/>
    <x v="6"/>
    <s v="Uti"/>
    <d v="2015-07-07T00:00:00"/>
    <x v="0"/>
    <n v="725"/>
    <n v="710.5"/>
    <n v="925"/>
    <n v="710.5"/>
    <n v="925"/>
    <s v="Full"/>
    <n v="0"/>
    <x v="1"/>
    <x v="1"/>
    <x v="1"/>
    <x v="3"/>
    <x v="6"/>
    <x v="6"/>
    <x v="0"/>
    <n v="-214.5"/>
    <x v="1"/>
    <x v="0"/>
    <x v="0"/>
  </r>
  <r>
    <x v="7"/>
    <x v="7"/>
    <s v="Ch Robinson"/>
    <d v="2015-07-02T00:00:00"/>
    <x v="0"/>
    <n v="450"/>
    <n v="441"/>
    <n v="400"/>
    <n v="441"/>
    <n v="400"/>
    <s v="Full"/>
    <n v="50"/>
    <x v="3"/>
    <x v="1"/>
    <x v="2"/>
    <x v="4"/>
    <x v="7"/>
    <x v="4"/>
    <x v="0"/>
    <n v="41"/>
    <x v="1"/>
    <x v="0"/>
    <x v="0"/>
  </r>
  <r>
    <x v="8"/>
    <x v="8"/>
    <s v="Ch Robinson"/>
    <d v="2015-07-06T00:00:00"/>
    <x v="0"/>
    <n v="675"/>
    <n v="661.5"/>
    <n v="650"/>
    <n v="661.5"/>
    <n v="650"/>
    <s v="Full"/>
    <n v="0"/>
    <x v="3"/>
    <x v="1"/>
    <x v="2"/>
    <x v="5"/>
    <x v="1"/>
    <x v="7"/>
    <x v="0"/>
    <n v="11.5"/>
    <x v="1"/>
    <x v="0"/>
    <x v="0"/>
  </r>
  <r>
    <x v="9"/>
    <x v="9"/>
    <s v="Ch Robinson"/>
    <d v="2015-07-09T00:00:00"/>
    <x v="0"/>
    <n v="1150"/>
    <n v="1127"/>
    <n v="1050"/>
    <n v="1127"/>
    <n v="1050"/>
    <s v="Full"/>
    <n v="100"/>
    <x v="2"/>
    <x v="2"/>
    <x v="2"/>
    <x v="6"/>
    <x v="8"/>
    <x v="8"/>
    <x v="0"/>
    <n v="77"/>
    <x v="2"/>
    <x v="0"/>
    <x v="0"/>
  </r>
  <r>
    <x v="10"/>
    <x v="10"/>
    <s v="Ch Robinson"/>
    <d v="2015-07-07T00:00:00"/>
    <x v="0"/>
    <n v="525"/>
    <n v="514.5"/>
    <n v="475"/>
    <n v="514.5"/>
    <n v="475"/>
    <s v="Full"/>
    <n v="0"/>
    <x v="3"/>
    <x v="2"/>
    <x v="3"/>
    <x v="6"/>
    <x v="9"/>
    <x v="2"/>
    <x v="0"/>
    <n v="39.5"/>
    <x v="2"/>
    <x v="0"/>
    <x v="0"/>
  </r>
  <r>
    <x v="11"/>
    <x v="11"/>
    <s v="Ch Robinson"/>
    <d v="2015-07-06T00:00:00"/>
    <x v="0"/>
    <n v="475"/>
    <n v="465.5"/>
    <n v="450"/>
    <n v="465.5"/>
    <n v="450"/>
    <s v="Full"/>
    <n v="0"/>
    <x v="3"/>
    <x v="2"/>
    <x v="3"/>
    <x v="6"/>
    <x v="10"/>
    <x v="9"/>
    <x v="0"/>
    <n v="15.5"/>
    <x v="2"/>
    <x v="0"/>
    <x v="0"/>
  </r>
  <r>
    <x v="12"/>
    <x v="12"/>
    <s v="Pinnacle Transportation Logistics"/>
    <d v="2015-07-07T00:00:00"/>
    <x v="0"/>
    <n v="325"/>
    <n v="308.75"/>
    <n v="308.75"/>
    <n v="308.75"/>
    <n v="308.75"/>
    <s v="Full"/>
    <n v="0"/>
    <x v="3"/>
    <x v="2"/>
    <x v="3"/>
    <x v="6"/>
    <x v="11"/>
    <x v="2"/>
    <x v="0"/>
    <n v="0"/>
    <x v="2"/>
    <x v="0"/>
    <x v="0"/>
  </r>
  <r>
    <x v="13"/>
    <x v="13"/>
    <s v="Ch Robinson"/>
    <d v="2015-07-08T00:00:00"/>
    <x v="0"/>
    <n v="600"/>
    <n v="588"/>
    <n v="550"/>
    <n v="588"/>
    <n v="550"/>
    <s v="Full"/>
    <n v="0"/>
    <x v="2"/>
    <x v="2"/>
    <x v="2"/>
    <x v="7"/>
    <x v="9"/>
    <x v="10"/>
    <x v="0"/>
    <n v="38"/>
    <x v="2"/>
    <x v="0"/>
    <x v="0"/>
  </r>
  <r>
    <x v="14"/>
    <x v="14"/>
    <s v="Summit Expedited Logistics "/>
    <d v="2015-07-13T00:00:00"/>
    <x v="0"/>
    <n v="625"/>
    <n v="606.25"/>
    <n v="575"/>
    <n v="606.25"/>
    <n v="575"/>
    <s v="Full"/>
    <n v="0"/>
    <x v="3"/>
    <x v="2"/>
    <x v="3"/>
    <x v="7"/>
    <x v="12"/>
    <x v="11"/>
    <x v="0"/>
    <n v="31.25"/>
    <x v="2"/>
    <x v="0"/>
    <x v="0"/>
  </r>
  <r>
    <x v="15"/>
    <x v="15"/>
    <s v="Ch Robinson"/>
    <d v="2015-07-08T00:00:00"/>
    <x v="0"/>
    <n v="450"/>
    <n v="441"/>
    <n v="400"/>
    <n v="441"/>
    <n v="400"/>
    <s v="Full"/>
    <n v="0"/>
    <x v="2"/>
    <x v="2"/>
    <x v="2"/>
    <x v="8"/>
    <x v="13"/>
    <x v="12"/>
    <x v="0"/>
    <n v="41"/>
    <x v="2"/>
    <x v="1"/>
    <x v="0"/>
  </r>
  <r>
    <x v="16"/>
    <x v="16"/>
    <s v="Ch Robinson"/>
    <d v="2015-07-10T00:00:00"/>
    <x v="0"/>
    <n v="150"/>
    <n v="147"/>
    <n v="125"/>
    <n v="147"/>
    <n v="125"/>
    <s v="Full"/>
    <n v="0"/>
    <x v="3"/>
    <x v="2"/>
    <x v="3"/>
    <x v="8"/>
    <x v="9"/>
    <x v="13"/>
    <x v="0"/>
    <n v="22"/>
    <x v="2"/>
    <x v="1"/>
    <x v="0"/>
  </r>
  <r>
    <x v="17"/>
    <x v="17"/>
    <s v="Ch Robinson"/>
    <d v="2015-07-08T00:00:00"/>
    <x v="0"/>
    <n v="600"/>
    <n v="588"/>
    <n v="550"/>
    <n v="588"/>
    <n v="550"/>
    <s v="Full"/>
    <n v="0"/>
    <x v="3"/>
    <x v="2"/>
    <x v="3"/>
    <x v="8"/>
    <x v="9"/>
    <x v="10"/>
    <x v="0"/>
    <n v="38"/>
    <x v="2"/>
    <x v="1"/>
    <x v="0"/>
  </r>
  <r>
    <x v="18"/>
    <x v="18"/>
    <s v="Ch Robinson"/>
    <d v="2015-07-13T00:00:00"/>
    <x v="0"/>
    <n v="365"/>
    <n v="357.7"/>
    <n v="325"/>
    <n v="357.7"/>
    <n v="325"/>
    <s v="Full"/>
    <n v="0"/>
    <x v="3"/>
    <x v="2"/>
    <x v="3"/>
    <x v="9"/>
    <x v="14"/>
    <x v="13"/>
    <x v="0"/>
    <n v="32.700000000000003"/>
    <x v="2"/>
    <x v="1"/>
    <x v="0"/>
  </r>
  <r>
    <x v="19"/>
    <x v="19"/>
    <s v="Ch Robinson"/>
    <d v="2015-07-14T00:00:00"/>
    <x v="0"/>
    <n v="550"/>
    <n v="539"/>
    <n v="500"/>
    <n v="539"/>
    <n v="500"/>
    <s v="Full"/>
    <n v="0"/>
    <x v="2"/>
    <x v="3"/>
    <x v="3"/>
    <x v="10"/>
    <x v="15"/>
    <x v="14"/>
    <x v="0"/>
    <n v="39"/>
    <x v="3"/>
    <x v="1"/>
    <x v="0"/>
  </r>
  <r>
    <x v="20"/>
    <x v="20"/>
    <s v="Ch Robinson"/>
    <d v="2015-07-13T00:00:00"/>
    <x v="0"/>
    <n v="750"/>
    <n v="735"/>
    <n v="700"/>
    <n v="735"/>
    <n v="700"/>
    <s v="Full"/>
    <n v="0"/>
    <x v="3"/>
    <x v="3"/>
    <x v="4"/>
    <x v="10"/>
    <x v="16"/>
    <x v="15"/>
    <x v="0"/>
    <n v="35"/>
    <x v="3"/>
    <x v="1"/>
    <x v="0"/>
  </r>
  <r>
    <x v="21"/>
    <x v="21"/>
    <s v="Ch Robinson"/>
    <d v="2015-07-15T00:00:00"/>
    <x v="0"/>
    <n v="525"/>
    <n v="514.5"/>
    <n v="500"/>
    <n v="514.5"/>
    <n v="500"/>
    <s v="Full"/>
    <n v="0"/>
    <x v="3"/>
    <x v="3"/>
    <x v="4"/>
    <x v="10"/>
    <x v="9"/>
    <x v="14"/>
    <x v="0"/>
    <n v="14.5"/>
    <x v="3"/>
    <x v="1"/>
    <x v="0"/>
  </r>
  <r>
    <x v="22"/>
    <x v="22"/>
    <s v="Ch Robinson"/>
    <d v="2015-07-16T00:00:00"/>
    <x v="0"/>
    <n v="547"/>
    <n v="536.05999999999995"/>
    <n v="547"/>
    <n v="504"/>
    <n v="547"/>
    <s v="Less"/>
    <n v="147"/>
    <x v="2"/>
    <x v="3"/>
    <x v="3"/>
    <x v="11"/>
    <x v="17"/>
    <x v="16"/>
    <x v="0"/>
    <n v="-10.94"/>
    <x v="3"/>
    <x v="1"/>
    <x v="0"/>
  </r>
  <r>
    <x v="23"/>
    <x v="23"/>
    <s v="Ch Robinson"/>
    <d v="2015-07-15T00:00:00"/>
    <x v="0"/>
    <n v="350"/>
    <n v="343"/>
    <n v="340"/>
    <n v="343"/>
    <n v="340"/>
    <s v="Full"/>
    <n v="0"/>
    <x v="3"/>
    <x v="3"/>
    <x v="4"/>
    <x v="11"/>
    <x v="18"/>
    <x v="12"/>
    <x v="0"/>
    <n v="3"/>
    <x v="3"/>
    <x v="1"/>
    <x v="0"/>
  </r>
  <r>
    <x v="24"/>
    <x v="24"/>
    <s v="Interstate Distributor Co"/>
    <d v="2015-07-15T00:00:00"/>
    <x v="0"/>
    <n v="675"/>
    <n v="666.22500000000002"/>
    <n v="625"/>
    <n v="666.37"/>
    <n v="625"/>
    <s v="Full"/>
    <n v="150"/>
    <x v="2"/>
    <x v="3"/>
    <x v="3"/>
    <x v="11"/>
    <x v="5"/>
    <x v="15"/>
    <x v="0"/>
    <n v="41.225000000000001"/>
    <x v="3"/>
    <x v="1"/>
    <x v="0"/>
  </r>
  <r>
    <x v="25"/>
    <x v="25"/>
    <s v="Ch Robinson"/>
    <d v="2015-07-15T00:00:00"/>
    <x v="0"/>
    <n v="1000"/>
    <n v="980"/>
    <n v="950"/>
    <n v="980"/>
    <n v="950"/>
    <s v="Full"/>
    <n v="0"/>
    <x v="3"/>
    <x v="3"/>
    <x v="4"/>
    <x v="12"/>
    <x v="19"/>
    <x v="17"/>
    <x v="0"/>
    <n v="30"/>
    <x v="3"/>
    <x v="1"/>
    <x v="0"/>
  </r>
  <r>
    <x v="26"/>
    <x v="26"/>
    <s v="Ch Robinson"/>
    <d v="2015-07-15T00:00:00"/>
    <x v="0"/>
    <n v="200"/>
    <n v="196"/>
    <n v="175"/>
    <n v="196"/>
    <n v="175"/>
    <s v="Full"/>
    <n v="0"/>
    <x v="3"/>
    <x v="3"/>
    <x v="4"/>
    <x v="13"/>
    <x v="20"/>
    <x v="18"/>
    <x v="0"/>
    <n v="21"/>
    <x v="3"/>
    <x v="1"/>
    <x v="0"/>
  </r>
  <r>
    <x v="27"/>
    <x v="27"/>
    <s v="Interstate Distributor Co"/>
    <d v="2015-07-15T00:00:00"/>
    <x v="0"/>
    <n v="550"/>
    <n v="541.75"/>
    <n v="500"/>
    <n v="556.52"/>
    <n v="500"/>
    <s v="Full"/>
    <n v="25"/>
    <x v="3"/>
    <x v="3"/>
    <x v="4"/>
    <x v="13"/>
    <x v="5"/>
    <x v="19"/>
    <x v="0"/>
    <n v="41.75"/>
    <x v="3"/>
    <x v="1"/>
    <x v="0"/>
  </r>
  <r>
    <x v="28"/>
    <x v="28"/>
    <s v="Ch Robinson"/>
    <d v="2015-07-20T00:00:00"/>
    <x v="0"/>
    <n v="825"/>
    <n v="808.5"/>
    <n v="775"/>
    <n v="808.5"/>
    <n v="775"/>
    <s v="Full"/>
    <n v="0"/>
    <x v="3"/>
    <x v="3"/>
    <x v="4"/>
    <x v="14"/>
    <x v="16"/>
    <x v="20"/>
    <x v="0"/>
    <n v="33.5"/>
    <x v="3"/>
    <x v="1"/>
    <x v="0"/>
  </r>
  <r>
    <x v="29"/>
    <x v="29"/>
    <s v="Ch Robinson"/>
    <d v="2015-08-19T00:00:00"/>
    <x v="0"/>
    <n v="250"/>
    <n v="245"/>
    <n v="200"/>
    <n v="245"/>
    <n v="200"/>
    <s v="Full"/>
    <n v="0"/>
    <x v="3"/>
    <x v="3"/>
    <x v="4"/>
    <x v="14"/>
    <x v="16"/>
    <x v="14"/>
    <x v="0"/>
    <n v="45"/>
    <x v="3"/>
    <x v="1"/>
    <x v="0"/>
  </r>
  <r>
    <x v="30"/>
    <x v="30"/>
    <s v="Coyote"/>
    <d v="2015-08-26T00:00:00"/>
    <x v="0"/>
    <n v="150"/>
    <n v="145.5"/>
    <n v="125"/>
    <n v="145.5"/>
    <n v="125"/>
    <s v="Full"/>
    <n v="0"/>
    <x v="3"/>
    <x v="4"/>
    <x v="5"/>
    <x v="15"/>
    <x v="21"/>
    <x v="12"/>
    <x v="0"/>
    <n v="20.5"/>
    <x v="4"/>
    <x v="1"/>
    <x v="0"/>
  </r>
  <r>
    <x v="31"/>
    <x v="31"/>
    <s v="Global Freight Management"/>
    <d v="2015-07-25T00:00:00"/>
    <x v="0"/>
    <n v="450"/>
    <n v="436.5"/>
    <n v="400"/>
    <n v="436.5"/>
    <n v="400"/>
    <s v="Full"/>
    <n v="0"/>
    <x v="3"/>
    <x v="4"/>
    <x v="5"/>
    <x v="15"/>
    <x v="22"/>
    <x v="21"/>
    <x v="0"/>
    <n v="36.5"/>
    <x v="4"/>
    <x v="1"/>
    <x v="0"/>
  </r>
  <r>
    <x v="32"/>
    <x v="32"/>
    <s v="Pepsi Logistics Company Inc"/>
    <d v="2015-07-23T00:00:00"/>
    <x v="0"/>
    <n v="525"/>
    <n v="525"/>
    <n v="475"/>
    <n v="525"/>
    <n v="475"/>
    <s v="Full"/>
    <n v="0"/>
    <x v="3"/>
    <x v="4"/>
    <x v="5"/>
    <x v="16"/>
    <x v="23"/>
    <x v="22"/>
    <x v="0"/>
    <n v="50"/>
    <x v="4"/>
    <x v="1"/>
    <x v="0"/>
  </r>
  <r>
    <x v="33"/>
    <x v="33"/>
    <s v="Ch Robinson"/>
    <d v="2015-07-12T00:00:00"/>
    <x v="0"/>
    <n v="150"/>
    <n v="147"/>
    <n v="125"/>
    <n v="147"/>
    <n v="125"/>
    <s v="Full"/>
    <n v="0"/>
    <x v="3"/>
    <x v="4"/>
    <x v="5"/>
    <x v="17"/>
    <x v="24"/>
    <x v="23"/>
    <x v="0"/>
    <n v="22"/>
    <x v="4"/>
    <x v="1"/>
    <x v="0"/>
  </r>
  <r>
    <x v="34"/>
    <x v="34"/>
    <s v="Coyote"/>
    <d v="2015-08-10T00:00:00"/>
    <x v="0"/>
    <n v="550"/>
    <n v="533.5"/>
    <n v="500"/>
    <n v="550"/>
    <n v="500"/>
    <s v="Full"/>
    <n v="0"/>
    <x v="3"/>
    <x v="4"/>
    <x v="5"/>
    <x v="17"/>
    <x v="25"/>
    <x v="24"/>
    <x v="0"/>
    <n v="33.5"/>
    <x v="4"/>
    <x v="1"/>
    <x v="0"/>
  </r>
  <r>
    <x v="35"/>
    <x v="35"/>
    <s v="Coyote"/>
    <d v="2015-08-26T00:00:00"/>
    <x v="0"/>
    <n v="600"/>
    <n v="582"/>
    <n v="550"/>
    <n v="582"/>
    <n v="550"/>
    <s v="Full"/>
    <n v="0"/>
    <x v="3"/>
    <x v="5"/>
    <x v="6"/>
    <x v="18"/>
    <x v="16"/>
    <x v="11"/>
    <x v="0"/>
    <n v="32"/>
    <x v="5"/>
    <x v="1"/>
    <x v="0"/>
  </r>
  <r>
    <x v="36"/>
    <x v="36"/>
    <s v="Landstar"/>
    <d v="2015-08-17T00:00:00"/>
    <x v="0"/>
    <n v="450"/>
    <n v="441"/>
    <n v="400"/>
    <n v="441"/>
    <n v="400"/>
    <s v="Full"/>
    <n v="0"/>
    <x v="3"/>
    <x v="5"/>
    <x v="6"/>
    <x v="19"/>
    <x v="26"/>
    <x v="25"/>
    <x v="0"/>
    <n v="41"/>
    <x v="5"/>
    <x v="1"/>
    <x v="0"/>
  </r>
  <r>
    <x v="37"/>
    <x v="37"/>
    <s v="Ch Robinson"/>
    <d v="2015-07-31T00:00:00"/>
    <x v="0"/>
    <n v="75"/>
    <n v="73.5"/>
    <n v="50"/>
    <n v="73.5"/>
    <n v="50"/>
    <s v="Full"/>
    <n v="0"/>
    <x v="3"/>
    <x v="5"/>
    <x v="6"/>
    <x v="20"/>
    <x v="27"/>
    <x v="26"/>
    <x v="0"/>
    <n v="23.5"/>
    <x v="5"/>
    <x v="1"/>
    <x v="0"/>
  </r>
  <r>
    <x v="38"/>
    <x v="38"/>
    <s v="Kam-Way "/>
    <d v="2015-08-07T00:00:00"/>
    <x v="0"/>
    <n v="700"/>
    <n v="679"/>
    <n v="650"/>
    <n v="679"/>
    <n v="650"/>
    <s v="Full"/>
    <n v="0"/>
    <x v="3"/>
    <x v="5"/>
    <x v="6"/>
    <x v="20"/>
    <x v="16"/>
    <x v="11"/>
    <x v="0"/>
    <n v="29"/>
    <x v="5"/>
    <x v="1"/>
    <x v="0"/>
  </r>
  <r>
    <x v="39"/>
    <x v="39"/>
    <s v="Ch Robinson"/>
    <d v="2015-07-31T00:00:00"/>
    <x v="0"/>
    <n v="650"/>
    <n v="637"/>
    <n v="600"/>
    <n v="637"/>
    <n v="600"/>
    <s v="Full"/>
    <n v="0"/>
    <x v="3"/>
    <x v="5"/>
    <x v="6"/>
    <x v="21"/>
    <x v="1"/>
    <x v="27"/>
    <x v="0"/>
    <n v="37"/>
    <x v="5"/>
    <x v="1"/>
    <x v="0"/>
  </r>
  <r>
    <x v="40"/>
    <x v="40"/>
    <s v="Ch Robinson"/>
    <d v="2015-08-03T00:00:00"/>
    <x v="0"/>
    <n v="824.99950000000001"/>
    <n v="808.49950999999999"/>
    <n v="750"/>
    <n v="808.5"/>
    <n v="750"/>
    <s v="Full"/>
    <n v="224.99949999999998"/>
    <x v="3"/>
    <x v="5"/>
    <x v="6"/>
    <x v="22"/>
    <x v="28"/>
    <x v="28"/>
    <x v="0"/>
    <n v="58.499510000000015"/>
    <x v="5"/>
    <x v="1"/>
    <x v="0"/>
  </r>
  <r>
    <x v="41"/>
    <x v="41"/>
    <s v="Ch Robinson"/>
    <d v="2015-07-31T00:00:00"/>
    <x v="0"/>
    <n v="400"/>
    <n v="392"/>
    <n v="350"/>
    <n v="392"/>
    <n v="350"/>
    <s v="Full"/>
    <n v="0"/>
    <x v="3"/>
    <x v="6"/>
    <x v="7"/>
    <x v="23"/>
    <x v="20"/>
    <x v="29"/>
    <x v="0"/>
    <n v="42"/>
    <x v="6"/>
    <x v="1"/>
    <x v="0"/>
  </r>
  <r>
    <x v="42"/>
    <x v="42"/>
    <s v="Uti"/>
    <d v="2015-08-07T00:00:00"/>
    <x v="0"/>
    <n v="650"/>
    <n v="637"/>
    <n v="600"/>
    <n v="637"/>
    <n v="600"/>
    <s v="Full"/>
    <n v="0"/>
    <x v="3"/>
    <x v="6"/>
    <x v="7"/>
    <x v="23"/>
    <x v="29"/>
    <x v="30"/>
    <x v="0"/>
    <n v="37"/>
    <x v="6"/>
    <x v="1"/>
    <x v="0"/>
  </r>
  <r>
    <x v="43"/>
    <x v="43"/>
    <s v="Transcorr"/>
    <d v="2015-08-13T00:00:00"/>
    <x v="0"/>
    <n v="500"/>
    <n v="492.5"/>
    <n v="450"/>
    <n v="492.5"/>
    <n v="450"/>
    <s v="Full"/>
    <n v="0"/>
    <x v="3"/>
    <x v="6"/>
    <x v="7"/>
    <x v="24"/>
    <x v="5"/>
    <x v="24"/>
    <x v="0"/>
    <n v="42.5"/>
    <x v="6"/>
    <x v="1"/>
    <x v="0"/>
  </r>
  <r>
    <x v="44"/>
    <x v="44"/>
    <s v="Tql"/>
    <d v="2015-08-10T00:00:00"/>
    <x v="0"/>
    <n v="450"/>
    <n v="436.5"/>
    <n v="400"/>
    <n v="436.5"/>
    <n v="400"/>
    <s v="Full"/>
    <n v="0"/>
    <x v="3"/>
    <x v="6"/>
    <x v="7"/>
    <x v="25"/>
    <x v="30"/>
    <x v="19"/>
    <x v="0"/>
    <n v="36.5"/>
    <x v="6"/>
    <x v="1"/>
    <x v="0"/>
  </r>
  <r>
    <x v="45"/>
    <x v="45"/>
    <s v="Ch Robinson"/>
    <d v="2015-08-07T00:00:00"/>
    <x v="0"/>
    <n v="425"/>
    <n v="416.5"/>
    <n v="375"/>
    <n v="416.5"/>
    <n v="375"/>
    <s v="Full"/>
    <n v="0"/>
    <x v="3"/>
    <x v="6"/>
    <x v="7"/>
    <x v="26"/>
    <x v="31"/>
    <x v="31"/>
    <x v="0"/>
    <n v="41.5"/>
    <x v="6"/>
    <x v="1"/>
    <x v="0"/>
  </r>
  <r>
    <x v="46"/>
    <x v="46"/>
    <s v="Coyote"/>
    <d v="2015-08-26T00:00:00"/>
    <x v="0"/>
    <n v="700"/>
    <n v="679"/>
    <n v="650"/>
    <n v="679"/>
    <n v="650"/>
    <s v="Full"/>
    <n v="0"/>
    <x v="3"/>
    <x v="6"/>
    <x v="7"/>
    <x v="26"/>
    <x v="16"/>
    <x v="32"/>
    <x v="0"/>
    <n v="29"/>
    <x v="6"/>
    <x v="1"/>
    <x v="0"/>
  </r>
  <r>
    <x v="47"/>
    <x v="47"/>
    <s v="Ch Robinson"/>
    <d v="2015-08-12T00:00:00"/>
    <x v="0"/>
    <n v="550"/>
    <n v="539"/>
    <n v="500"/>
    <n v="539"/>
    <n v="500"/>
    <s v="Full"/>
    <n v="0"/>
    <x v="3"/>
    <x v="7"/>
    <x v="8"/>
    <x v="27"/>
    <x v="9"/>
    <x v="2"/>
    <x v="0"/>
    <n v="39"/>
    <x v="7"/>
    <x v="2"/>
    <x v="0"/>
  </r>
  <r>
    <x v="48"/>
    <x v="48"/>
    <s v="Coyote"/>
    <d v="2015-08-31T00:00:00"/>
    <x v="0"/>
    <n v="750"/>
    <n v="727.5"/>
    <n v="700"/>
    <n v="727.5"/>
    <n v="700"/>
    <s v="Full"/>
    <n v="0"/>
    <x v="3"/>
    <x v="7"/>
    <x v="8"/>
    <x v="28"/>
    <x v="13"/>
    <x v="20"/>
    <x v="0"/>
    <n v="27.5"/>
    <x v="7"/>
    <x v="2"/>
    <x v="0"/>
  </r>
  <r>
    <x v="49"/>
    <x v="49"/>
    <s v="Interstate Distributor Co"/>
    <d v="2015-08-17T00:00:00"/>
    <x v="0"/>
    <n v="750"/>
    <n v="738.75"/>
    <n v="700"/>
    <n v="738.75"/>
    <n v="700"/>
    <s v="Full"/>
    <n v="0"/>
    <x v="3"/>
    <x v="7"/>
    <x v="8"/>
    <x v="29"/>
    <x v="32"/>
    <x v="13"/>
    <x v="0"/>
    <n v="38.75"/>
    <x v="7"/>
    <x v="2"/>
    <x v="0"/>
  </r>
  <r>
    <x v="50"/>
    <x v="50"/>
    <s v="Coyote"/>
    <d v="2015-08-26T00:00:00"/>
    <x v="0"/>
    <n v="900"/>
    <n v="873"/>
    <n v="850"/>
    <n v="873"/>
    <n v="850"/>
    <s v="Full"/>
    <n v="0"/>
    <x v="3"/>
    <x v="7"/>
    <x v="8"/>
    <x v="30"/>
    <x v="33"/>
    <x v="33"/>
    <x v="0"/>
    <n v="23"/>
    <x v="7"/>
    <x v="2"/>
    <x v="0"/>
  </r>
  <r>
    <x v="51"/>
    <x v="51"/>
    <s v="Ch Robinson"/>
    <d v="2015-08-17T00:00:00"/>
    <x v="0"/>
    <n v="600"/>
    <n v="588"/>
    <n v="550"/>
    <n v="588"/>
    <n v="550"/>
    <s v="Full"/>
    <n v="0"/>
    <x v="3"/>
    <x v="7"/>
    <x v="8"/>
    <x v="31"/>
    <x v="34"/>
    <x v="34"/>
    <x v="0"/>
    <n v="38"/>
    <x v="7"/>
    <x v="2"/>
    <x v="0"/>
  </r>
  <r>
    <x v="52"/>
    <x v="52"/>
    <s v="Ch Robinson"/>
    <d v="2015-08-17T00:00:00"/>
    <x v="0"/>
    <n v="400"/>
    <n v="392"/>
    <n v="350"/>
    <n v="392"/>
    <n v="350"/>
    <s v="Full"/>
    <n v="0"/>
    <x v="3"/>
    <x v="8"/>
    <x v="9"/>
    <x v="32"/>
    <x v="35"/>
    <x v="34"/>
    <x v="0"/>
    <n v="42"/>
    <x v="8"/>
    <x v="2"/>
    <x v="0"/>
  </r>
  <r>
    <x v="53"/>
    <x v="53"/>
    <s v="Coyote"/>
    <d v="2015-08-26T00:00:00"/>
    <x v="0"/>
    <n v="350"/>
    <n v="339.5"/>
    <n v="300"/>
    <n v="339.5"/>
    <n v="300"/>
    <s v="Full"/>
    <n v="0"/>
    <x v="3"/>
    <x v="8"/>
    <x v="9"/>
    <x v="32"/>
    <x v="24"/>
    <x v="2"/>
    <x v="0"/>
    <n v="39.5"/>
    <x v="8"/>
    <x v="2"/>
    <x v="0"/>
  </r>
  <r>
    <x v="54"/>
    <x v="54"/>
    <s v="Magna Transport Solutions"/>
    <d v="2015-08-18T00:00:00"/>
    <x v="0"/>
    <n v="525"/>
    <n v="509.25"/>
    <n v="475"/>
    <n v="525"/>
    <n v="475"/>
    <s v="Full"/>
    <n v="0"/>
    <x v="3"/>
    <x v="8"/>
    <x v="9"/>
    <x v="33"/>
    <x v="9"/>
    <x v="2"/>
    <x v="0"/>
    <n v="34.25"/>
    <x v="8"/>
    <x v="2"/>
    <x v="0"/>
  </r>
  <r>
    <x v="55"/>
    <x v="55"/>
    <s v="Pepsi Logistics Company Inc"/>
    <d v="2015-08-20T00:00:00"/>
    <x v="0"/>
    <n v="525"/>
    <n v="525"/>
    <n v="475"/>
    <n v="525"/>
    <n v="475"/>
    <s v="Full"/>
    <n v="0"/>
    <x v="3"/>
    <x v="8"/>
    <x v="9"/>
    <x v="33"/>
    <x v="23"/>
    <x v="22"/>
    <x v="0"/>
    <n v="50"/>
    <x v="8"/>
    <x v="2"/>
    <x v="0"/>
  </r>
  <r>
    <x v="56"/>
    <x v="56"/>
    <s v="Ch Robinson"/>
    <d v="2015-08-19T00:00:00"/>
    <x v="0"/>
    <n v="900"/>
    <n v="882"/>
    <n v="875"/>
    <n v="882"/>
    <n v="875"/>
    <s v="Full"/>
    <n v="0"/>
    <x v="3"/>
    <x v="8"/>
    <x v="9"/>
    <x v="34"/>
    <x v="18"/>
    <x v="35"/>
    <x v="0"/>
    <n v="7"/>
    <x v="8"/>
    <x v="2"/>
    <x v="0"/>
  </r>
  <r>
    <x v="57"/>
    <x v="57"/>
    <s v="Magna Transport Solutions"/>
    <d v="2015-08-26T00:00:00"/>
    <x v="0"/>
    <n v="525"/>
    <n v="509.25"/>
    <n v="475"/>
    <n v="525"/>
    <n v="475"/>
    <s v="Full"/>
    <n v="0"/>
    <x v="3"/>
    <x v="8"/>
    <x v="9"/>
    <x v="35"/>
    <x v="9"/>
    <x v="2"/>
    <x v="0"/>
    <n v="34.25"/>
    <x v="8"/>
    <x v="2"/>
    <x v="0"/>
  </r>
  <r>
    <x v="58"/>
    <x v="58"/>
    <s v="Pepsi Logistics Company Inc"/>
    <d v="2015-08-20T00:00:00"/>
    <x v="0"/>
    <n v="525"/>
    <n v="525"/>
    <n v="500"/>
    <n v="525"/>
    <n v="500"/>
    <s v="Full"/>
    <n v="0"/>
    <x v="3"/>
    <x v="8"/>
    <x v="9"/>
    <x v="35"/>
    <x v="23"/>
    <x v="22"/>
    <x v="0"/>
    <n v="25"/>
    <x v="8"/>
    <x v="2"/>
    <x v="0"/>
  </r>
  <r>
    <x v="59"/>
    <x v="59"/>
    <s v="Coyote"/>
    <d v="2015-08-26T00:00:00"/>
    <x v="0"/>
    <n v="800"/>
    <n v="776"/>
    <n v="740"/>
    <n v="776"/>
    <n v="740"/>
    <s v="Full"/>
    <n v="0"/>
    <x v="3"/>
    <x v="9"/>
    <x v="10"/>
    <x v="36"/>
    <x v="16"/>
    <x v="36"/>
    <x v="0"/>
    <n v="36"/>
    <x v="9"/>
    <x v="2"/>
    <x v="0"/>
  </r>
  <r>
    <x v="60"/>
    <x v="60"/>
    <s v="Ch Robinson"/>
    <d v="2015-08-26T00:00:00"/>
    <x v="0"/>
    <n v="550"/>
    <n v="539"/>
    <n v="550"/>
    <n v="539"/>
    <n v="550"/>
    <s v="Full"/>
    <n v="0"/>
    <x v="3"/>
    <x v="9"/>
    <x v="10"/>
    <x v="37"/>
    <x v="9"/>
    <x v="10"/>
    <x v="0"/>
    <n v="-11"/>
    <x v="9"/>
    <x v="2"/>
    <x v="0"/>
  </r>
  <r>
    <x v="61"/>
    <x v="61"/>
    <s v="Ch Robinson"/>
    <d v="2015-08-26T00:00:00"/>
    <x v="0"/>
    <n v="200"/>
    <n v="196"/>
    <n v="180"/>
    <n v="196"/>
    <n v="180"/>
    <s v="Full"/>
    <n v="0"/>
    <x v="4"/>
    <x v="9"/>
    <x v="9"/>
    <x v="37"/>
    <x v="36"/>
    <x v="37"/>
    <x v="0"/>
    <n v="16"/>
    <x v="9"/>
    <x v="2"/>
    <x v="0"/>
  </r>
  <r>
    <x v="62"/>
    <x v="62"/>
    <s v="Biro Transport"/>
    <d v="2015-08-31T00:00:00"/>
    <x v="0"/>
    <n v="550"/>
    <n v="550"/>
    <n v="550"/>
    <n v="550"/>
    <n v="550"/>
    <s v="Full"/>
    <n v="0"/>
    <x v="3"/>
    <x v="9"/>
    <x v="10"/>
    <x v="38"/>
    <x v="25"/>
    <x v="24"/>
    <x v="0"/>
    <n v="0"/>
    <x v="9"/>
    <x v="2"/>
    <x v="0"/>
  </r>
  <r>
    <x v="63"/>
    <x v="63"/>
    <s v="Ch Robinson"/>
    <d v="2015-08-26T00:00:00"/>
    <x v="0"/>
    <n v="550"/>
    <n v="539"/>
    <n v="495"/>
    <n v="539"/>
    <n v="495"/>
    <s v="Full"/>
    <n v="0"/>
    <x v="4"/>
    <x v="9"/>
    <x v="9"/>
    <x v="38"/>
    <x v="9"/>
    <x v="10"/>
    <x v="0"/>
    <n v="44"/>
    <x v="9"/>
    <x v="2"/>
    <x v="0"/>
  </r>
  <r>
    <x v="64"/>
    <x v="64"/>
    <s v="Ch Robinson"/>
    <d v="2015-08-27T00:00:00"/>
    <x v="0"/>
    <n v="475"/>
    <n v="465.5"/>
    <n v="425"/>
    <n v="465.5"/>
    <n v="425"/>
    <s v="Full"/>
    <n v="0"/>
    <x v="3"/>
    <x v="9"/>
    <x v="10"/>
    <x v="39"/>
    <x v="37"/>
    <x v="12"/>
    <x v="0"/>
    <n v="40.5"/>
    <x v="9"/>
    <x v="2"/>
    <x v="0"/>
  </r>
  <r>
    <x v="65"/>
    <x v="65"/>
    <s v="Coyote"/>
    <d v="2015-08-26T00:00:00"/>
    <x v="0"/>
    <n v="425"/>
    <n v="412.25"/>
    <n v="382.5"/>
    <n v="412.25"/>
    <n v="382.5"/>
    <s v="Full"/>
    <n v="0"/>
    <x v="4"/>
    <x v="9"/>
    <x v="9"/>
    <x v="39"/>
    <x v="38"/>
    <x v="38"/>
    <x v="0"/>
    <n v="29.75"/>
    <x v="9"/>
    <x v="2"/>
    <x v="0"/>
  </r>
  <r>
    <x v="66"/>
    <x v="66"/>
    <s v="Ch Robinson"/>
    <d v="2015-09-01T00:00:00"/>
    <x v="0"/>
    <n v="550"/>
    <n v="539"/>
    <n v="500"/>
    <n v="539"/>
    <n v="500"/>
    <s v="Full"/>
    <n v="0"/>
    <x v="3"/>
    <x v="9"/>
    <x v="10"/>
    <x v="40"/>
    <x v="39"/>
    <x v="24"/>
    <x v="0"/>
    <n v="39"/>
    <x v="9"/>
    <x v="2"/>
    <x v="0"/>
  </r>
  <r>
    <x v="67"/>
    <x v="67"/>
    <s v="Ch Robinson"/>
    <d v="2015-09-01T00:00:00"/>
    <x v="0"/>
    <n v="550"/>
    <n v="539"/>
    <n v="500"/>
    <n v="539"/>
    <n v="500"/>
    <s v="Full"/>
    <n v="0"/>
    <x v="3"/>
    <x v="9"/>
    <x v="10"/>
    <x v="40"/>
    <x v="9"/>
    <x v="10"/>
    <x v="0"/>
    <n v="39"/>
    <x v="9"/>
    <x v="2"/>
    <x v="0"/>
  </r>
  <r>
    <x v="68"/>
    <x v="68"/>
    <s v="Coyote"/>
    <d v="2015-08-26T00:00:00"/>
    <x v="0"/>
    <n v="700"/>
    <n v="679"/>
    <n v="630"/>
    <n v="679"/>
    <n v="630"/>
    <s v="Full"/>
    <n v="0"/>
    <x v="4"/>
    <x v="9"/>
    <x v="9"/>
    <x v="40"/>
    <x v="16"/>
    <x v="39"/>
    <x v="0"/>
    <n v="49"/>
    <x v="9"/>
    <x v="2"/>
    <x v="0"/>
  </r>
  <r>
    <x v="69"/>
    <x v="69"/>
    <s v="Ch Robinson"/>
    <d v="2015-09-01T00:00:00"/>
    <x v="0"/>
    <n v="835"/>
    <n v="818.3"/>
    <n v="720"/>
    <n v="818.3"/>
    <n v="720"/>
    <s v="Full"/>
    <n v="35"/>
    <x v="4"/>
    <x v="9"/>
    <x v="9"/>
    <x v="41"/>
    <x v="40"/>
    <x v="16"/>
    <x v="0"/>
    <n v="98.3"/>
    <x v="9"/>
    <x v="2"/>
    <x v="0"/>
  </r>
  <r>
    <x v="70"/>
    <x v="70"/>
    <s v="Coyote"/>
    <d v="2015-08-28T00:00:00"/>
    <x v="0"/>
    <n v="450"/>
    <n v="436.5"/>
    <n v="400"/>
    <n v="436.5"/>
    <n v="400"/>
    <s v="Full"/>
    <n v="0"/>
    <x v="3"/>
    <x v="10"/>
    <x v="11"/>
    <x v="42"/>
    <x v="16"/>
    <x v="40"/>
    <x v="0"/>
    <n v="36.5"/>
    <x v="10"/>
    <x v="2"/>
    <x v="0"/>
  </r>
  <r>
    <x v="71"/>
    <x v="71"/>
    <s v="Ch Robinson"/>
    <d v="2015-09-01T00:00:00"/>
    <x v="0"/>
    <n v="700"/>
    <n v="686"/>
    <n v="650"/>
    <n v="686"/>
    <n v="650"/>
    <s v="Full"/>
    <n v="0"/>
    <x v="3"/>
    <x v="10"/>
    <x v="11"/>
    <x v="43"/>
    <x v="22"/>
    <x v="41"/>
    <x v="0"/>
    <n v="36"/>
    <x v="10"/>
    <x v="2"/>
    <x v="0"/>
  </r>
  <r>
    <x v="72"/>
    <x v="72"/>
    <s v="Pepsi Logistics Company Inc"/>
    <d v="2015-10-01T00:00:00"/>
    <x v="0"/>
    <n v="769"/>
    <n v="769"/>
    <n v="540"/>
    <n v="769"/>
    <n v="540"/>
    <s v="Full"/>
    <n v="169"/>
    <x v="4"/>
    <x v="10"/>
    <x v="10"/>
    <x v="44"/>
    <x v="8"/>
    <x v="16"/>
    <x v="0"/>
    <n v="229"/>
    <x v="10"/>
    <x v="2"/>
    <x v="0"/>
  </r>
  <r>
    <x v="73"/>
    <x v="73"/>
    <s v="Pepsi Logistics Company Inc"/>
    <d v="2015-10-02T00:00:00"/>
    <x v="0"/>
    <n v="650"/>
    <n v="650"/>
    <n v="600"/>
    <n v="650"/>
    <n v="600"/>
    <s v="Full"/>
    <n v="0"/>
    <x v="3"/>
    <x v="10"/>
    <x v="11"/>
    <x v="44"/>
    <x v="23"/>
    <x v="22"/>
    <x v="0"/>
    <n v="50"/>
    <x v="10"/>
    <x v="2"/>
    <x v="0"/>
  </r>
  <r>
    <x v="74"/>
    <x v="74"/>
    <s v="Ch Robinson"/>
    <d v="2015-09-18T00:00:00"/>
    <x v="0"/>
    <n v="800"/>
    <n v="784"/>
    <n v="750"/>
    <n v="784"/>
    <n v="750"/>
    <s v="Full"/>
    <n v="0"/>
    <x v="3"/>
    <x v="10"/>
    <x v="11"/>
    <x v="45"/>
    <x v="5"/>
    <x v="15"/>
    <x v="0"/>
    <n v="34"/>
    <x v="10"/>
    <x v="2"/>
    <x v="0"/>
  </r>
  <r>
    <x v="75"/>
    <x v="75"/>
    <s v="Ch Robinson"/>
    <d v="2015-09-03T00:00:00"/>
    <x v="0"/>
    <n v="500"/>
    <n v="490"/>
    <n v="450"/>
    <n v="490"/>
    <n v="450"/>
    <s v="Full"/>
    <n v="0"/>
    <x v="4"/>
    <x v="10"/>
    <x v="10"/>
    <x v="45"/>
    <x v="41"/>
    <x v="42"/>
    <x v="0"/>
    <n v="40"/>
    <x v="10"/>
    <x v="2"/>
    <x v="0"/>
  </r>
  <r>
    <x v="76"/>
    <x v="76"/>
    <s v="Tql"/>
    <d v="2015-09-09T00:00:00"/>
    <x v="0"/>
    <n v="700"/>
    <n v="679"/>
    <n v="630"/>
    <n v="700"/>
    <n v="630"/>
    <s v="Full"/>
    <n v="0"/>
    <x v="4"/>
    <x v="10"/>
    <x v="10"/>
    <x v="45"/>
    <x v="5"/>
    <x v="43"/>
    <x v="0"/>
    <n v="49"/>
    <x v="10"/>
    <x v="2"/>
    <x v="0"/>
  </r>
  <r>
    <x v="77"/>
    <x v="77"/>
    <s v="Tql"/>
    <d v="2015-09-09T00:00:00"/>
    <x v="0"/>
    <n v="650"/>
    <n v="630.5"/>
    <n v="600"/>
    <n v="630.5"/>
    <n v="600"/>
    <s v="Full"/>
    <n v="0"/>
    <x v="3"/>
    <x v="10"/>
    <x v="11"/>
    <x v="45"/>
    <x v="4"/>
    <x v="44"/>
    <x v="0"/>
    <n v="30.5"/>
    <x v="10"/>
    <x v="2"/>
    <x v="0"/>
  </r>
  <r>
    <x v="78"/>
    <x v="78"/>
    <s v="Ch Robinson"/>
    <d v="2015-09-09T00:00:00"/>
    <x v="0"/>
    <n v="631.25"/>
    <n v="618.625"/>
    <n v="581.25"/>
    <n v="618.63"/>
    <n v="581.25"/>
    <s v="Full"/>
    <n v="31.25"/>
    <x v="3"/>
    <x v="11"/>
    <x v="12"/>
    <x v="46"/>
    <x v="34"/>
    <x v="45"/>
    <x v="0"/>
    <n v="37.375"/>
    <x v="11"/>
    <x v="2"/>
    <x v="0"/>
  </r>
  <r>
    <x v="79"/>
    <x v="79"/>
    <s v="Ch Robinson"/>
    <d v="2015-09-09T00:00:00"/>
    <x v="0"/>
    <n v="600"/>
    <n v="588"/>
    <n v="540"/>
    <n v="588"/>
    <n v="540"/>
    <s v="Full"/>
    <n v="0"/>
    <x v="4"/>
    <x v="11"/>
    <x v="11"/>
    <x v="46"/>
    <x v="42"/>
    <x v="46"/>
    <x v="0"/>
    <n v="48"/>
    <x v="11"/>
    <x v="2"/>
    <x v="0"/>
  </r>
  <r>
    <x v="80"/>
    <x v="80"/>
    <s v="Ch Robinson"/>
    <d v="2015-09-09T00:00:00"/>
    <x v="0"/>
    <n v="675"/>
    <n v="661.5"/>
    <n v="625"/>
    <n v="661.5"/>
    <n v="625"/>
    <s v="Full"/>
    <n v="25"/>
    <x v="3"/>
    <x v="11"/>
    <x v="12"/>
    <x v="47"/>
    <x v="43"/>
    <x v="47"/>
    <x v="0"/>
    <n v="36.5"/>
    <x v="11"/>
    <x v="3"/>
    <x v="0"/>
  </r>
  <r>
    <x v="81"/>
    <x v="81"/>
    <s v="Ch Robinson"/>
    <d v="2015-09-09T00:00:00"/>
    <x v="0"/>
    <n v="600"/>
    <n v="588"/>
    <n v="540"/>
    <n v="588"/>
    <n v="540"/>
    <s v="Full"/>
    <n v="0"/>
    <x v="4"/>
    <x v="11"/>
    <x v="11"/>
    <x v="47"/>
    <x v="44"/>
    <x v="12"/>
    <x v="0"/>
    <n v="48"/>
    <x v="11"/>
    <x v="3"/>
    <x v="0"/>
  </r>
  <r>
    <x v="82"/>
    <x v="82"/>
    <s v="Ch Robinson"/>
    <d v="2015-09-15T00:00:00"/>
    <x v="0"/>
    <n v="1850"/>
    <n v="1813"/>
    <n v="1665"/>
    <n v="1813"/>
    <n v="1665"/>
    <s v="Full"/>
    <n v="0"/>
    <x v="4"/>
    <x v="11"/>
    <x v="11"/>
    <x v="48"/>
    <x v="15"/>
    <x v="48"/>
    <x v="0"/>
    <n v="148"/>
    <x v="11"/>
    <x v="3"/>
    <x v="0"/>
  </r>
  <r>
    <x v="83"/>
    <x v="83"/>
    <s v="Tql"/>
    <d v="2015-09-14T00:00:00"/>
    <x v="0"/>
    <n v="650"/>
    <n v="630.5"/>
    <n v="600"/>
    <n v="630.5"/>
    <n v="600"/>
    <s v="Full"/>
    <n v="0"/>
    <x v="3"/>
    <x v="11"/>
    <x v="12"/>
    <x v="48"/>
    <x v="39"/>
    <x v="15"/>
    <x v="0"/>
    <n v="30.5"/>
    <x v="11"/>
    <x v="3"/>
    <x v="0"/>
  </r>
  <r>
    <x v="84"/>
    <x v="84"/>
    <s v="Golden State Brokers Inc"/>
    <d v="2015-10-09T00:00:00"/>
    <x v="0"/>
    <n v="950"/>
    <n v="950"/>
    <n v="900"/>
    <n v="950"/>
    <n v="900"/>
    <s v="Full"/>
    <n v="50"/>
    <x v="3"/>
    <x v="11"/>
    <x v="12"/>
    <x v="49"/>
    <x v="2"/>
    <x v="49"/>
    <x v="0"/>
    <n v="50"/>
    <x v="11"/>
    <x v="3"/>
    <x v="0"/>
  </r>
  <r>
    <x v="85"/>
    <x v="85"/>
    <s v="Ch Robinson"/>
    <d v="2015-09-15T00:00:00"/>
    <x v="0"/>
    <n v="580"/>
    <n v="568.4"/>
    <n v="530"/>
    <n v="568.4"/>
    <n v="530"/>
    <s v="Full"/>
    <n v="30"/>
    <x v="3"/>
    <x v="11"/>
    <x v="12"/>
    <x v="50"/>
    <x v="45"/>
    <x v="50"/>
    <x v="0"/>
    <n v="38.4"/>
    <x v="11"/>
    <x v="3"/>
    <x v="0"/>
  </r>
  <r>
    <x v="86"/>
    <x v="86"/>
    <s v="Tql"/>
    <d v="2015-09-16T00:00:00"/>
    <x v="0"/>
    <n v="950"/>
    <n v="921.5"/>
    <n v="860"/>
    <n v="921.5"/>
    <n v="860"/>
    <s v="Full"/>
    <n v="50"/>
    <x v="4"/>
    <x v="11"/>
    <x v="11"/>
    <x v="50"/>
    <x v="46"/>
    <x v="51"/>
    <x v="0"/>
    <n v="61.5"/>
    <x v="11"/>
    <x v="3"/>
    <x v="0"/>
  </r>
  <r>
    <x v="87"/>
    <x v="87"/>
    <s v="Tql"/>
    <d v="2015-09-16T00:00:00"/>
    <x v="0"/>
    <n v="700"/>
    <n v="679"/>
    <n v="650"/>
    <n v="679"/>
    <n v="650"/>
    <s v="Full"/>
    <n v="0"/>
    <x v="3"/>
    <x v="12"/>
    <x v="13"/>
    <x v="51"/>
    <x v="39"/>
    <x v="52"/>
    <x v="0"/>
    <n v="29"/>
    <x v="12"/>
    <x v="3"/>
    <x v="0"/>
  </r>
  <r>
    <x v="88"/>
    <x v="88"/>
    <s v="Ch Robinson"/>
    <d v="2015-09-17T00:00:00"/>
    <x v="0"/>
    <n v="600"/>
    <n v="588"/>
    <n v="550"/>
    <n v="588"/>
    <n v="550"/>
    <s v="Full"/>
    <n v="0"/>
    <x v="3"/>
    <x v="12"/>
    <x v="13"/>
    <x v="52"/>
    <x v="47"/>
    <x v="53"/>
    <x v="0"/>
    <n v="38"/>
    <x v="12"/>
    <x v="3"/>
    <x v="0"/>
  </r>
  <r>
    <x v="89"/>
    <x v="89"/>
    <s v="Ch Robinson"/>
    <d v="2015-09-18T00:00:00"/>
    <x v="0"/>
    <n v="400"/>
    <n v="392"/>
    <n v="350"/>
    <n v="392"/>
    <n v="350"/>
    <s v="Full"/>
    <n v="0"/>
    <x v="3"/>
    <x v="12"/>
    <x v="13"/>
    <x v="53"/>
    <x v="48"/>
    <x v="54"/>
    <x v="0"/>
    <n v="42"/>
    <x v="12"/>
    <x v="3"/>
    <x v="0"/>
  </r>
  <r>
    <x v="90"/>
    <x v="90"/>
    <s v="Ch Robinson"/>
    <d v="2015-09-17T00:00:00"/>
    <x v="0"/>
    <n v="500"/>
    <n v="490"/>
    <n v="450"/>
    <n v="490"/>
    <n v="450"/>
    <s v="Full"/>
    <n v="0"/>
    <x v="3"/>
    <x v="12"/>
    <x v="13"/>
    <x v="53"/>
    <x v="42"/>
    <x v="55"/>
    <x v="0"/>
    <n v="40"/>
    <x v="12"/>
    <x v="3"/>
    <x v="0"/>
  </r>
  <r>
    <x v="91"/>
    <x v="91"/>
    <s v="Ch Robinson"/>
    <d v="2015-09-17T00:00:00"/>
    <x v="0"/>
    <n v="850"/>
    <n v="833"/>
    <n v="765"/>
    <n v="833"/>
    <n v="765"/>
    <s v="Full"/>
    <n v="0"/>
    <x v="4"/>
    <x v="12"/>
    <x v="12"/>
    <x v="53"/>
    <x v="49"/>
    <x v="56"/>
    <x v="0"/>
    <n v="68"/>
    <x v="12"/>
    <x v="3"/>
    <x v="0"/>
  </r>
  <r>
    <x v="92"/>
    <x v="92"/>
    <s v="Tql"/>
    <d v="2015-09-22T00:00:00"/>
    <x v="0"/>
    <n v="775"/>
    <n v="751.75"/>
    <n v="697.5"/>
    <n v="751.75"/>
    <n v="697.5"/>
    <s v="Full"/>
    <n v="0"/>
    <x v="4"/>
    <x v="12"/>
    <x v="12"/>
    <x v="54"/>
    <x v="50"/>
    <x v="57"/>
    <x v="0"/>
    <n v="54.25"/>
    <x v="12"/>
    <x v="3"/>
    <x v="0"/>
  </r>
  <r>
    <x v="93"/>
    <x v="93"/>
    <s v="Pepsi Logistics Company Inc"/>
    <d v="2015-09-29T00:00:00"/>
    <x v="0"/>
    <n v="550"/>
    <n v="536.25"/>
    <n v="500"/>
    <n v="536.25"/>
    <n v="500"/>
    <s v="Full"/>
    <n v="0"/>
    <x v="3"/>
    <x v="13"/>
    <x v="14"/>
    <x v="55"/>
    <x v="23"/>
    <x v="22"/>
    <x v="0"/>
    <n v="36.25"/>
    <x v="13"/>
    <x v="3"/>
    <x v="0"/>
  </r>
  <r>
    <x v="94"/>
    <x v="94"/>
    <s v="Ch Robinson"/>
    <d v="2015-09-23T00:00:00"/>
    <x v="0"/>
    <n v="675"/>
    <n v="661.5"/>
    <n v="625"/>
    <n v="661.5"/>
    <n v="625"/>
    <s v="Full"/>
    <n v="0"/>
    <x v="3"/>
    <x v="13"/>
    <x v="14"/>
    <x v="56"/>
    <x v="51"/>
    <x v="58"/>
    <x v="0"/>
    <n v="36.5"/>
    <x v="13"/>
    <x v="3"/>
    <x v="0"/>
  </r>
  <r>
    <x v="95"/>
    <x v="95"/>
    <s v="Coyote"/>
    <d v="2015-09-24T00:00:00"/>
    <x v="0"/>
    <n v="840"/>
    <n v="814.8"/>
    <n v="790"/>
    <n v="814.8"/>
    <n v="790"/>
    <s v="Full"/>
    <n v="140"/>
    <x v="3"/>
    <x v="13"/>
    <x v="14"/>
    <x v="57"/>
    <x v="16"/>
    <x v="59"/>
    <x v="0"/>
    <n v="24.8"/>
    <x v="13"/>
    <x v="3"/>
    <x v="0"/>
  </r>
  <r>
    <x v="96"/>
    <x v="96"/>
    <s v="Coyote"/>
    <d v="2015-09-24T00:00:00"/>
    <x v="0"/>
    <n v="500"/>
    <n v="485"/>
    <n v="450"/>
    <n v="485"/>
    <n v="450"/>
    <s v="Full"/>
    <n v="0"/>
    <x v="3"/>
    <x v="13"/>
    <x v="14"/>
    <x v="58"/>
    <x v="52"/>
    <x v="60"/>
    <x v="0"/>
    <n v="35"/>
    <x v="13"/>
    <x v="3"/>
    <x v="0"/>
  </r>
  <r>
    <x v="97"/>
    <x v="97"/>
    <s v="Tql"/>
    <d v="2015-09-28T00:00:00"/>
    <x v="0"/>
    <n v="700"/>
    <n v="679"/>
    <n v="650"/>
    <n v="679"/>
    <n v="650"/>
    <s v="Full"/>
    <n v="0"/>
    <x v="3"/>
    <x v="13"/>
    <x v="14"/>
    <x v="59"/>
    <x v="50"/>
    <x v="57"/>
    <x v="0"/>
    <n v="29"/>
    <x v="13"/>
    <x v="3"/>
    <x v="0"/>
  </r>
  <r>
    <x v="98"/>
    <x v="98"/>
    <s v="Ch Robinson"/>
    <d v="2015-10-02T00:00:00"/>
    <x v="0"/>
    <n v="775"/>
    <n v="759.5"/>
    <n v="725"/>
    <n v="759.5"/>
    <n v="725"/>
    <s v="Full"/>
    <n v="0"/>
    <x v="3"/>
    <x v="14"/>
    <x v="15"/>
    <x v="60"/>
    <x v="16"/>
    <x v="20"/>
    <x v="0"/>
    <n v="34.5"/>
    <x v="14"/>
    <x v="3"/>
    <x v="0"/>
  </r>
  <r>
    <x v="99"/>
    <x v="99"/>
    <s v="Ch Robinson"/>
    <d v="2015-10-02T00:00:00"/>
    <x v="0"/>
    <n v="800"/>
    <n v="784"/>
    <n v="750"/>
    <n v="800"/>
    <n v="750"/>
    <s v="Full"/>
    <n v="0"/>
    <x v="3"/>
    <x v="14"/>
    <x v="15"/>
    <x v="61"/>
    <x v="4"/>
    <x v="17"/>
    <x v="0"/>
    <n v="34"/>
    <x v="14"/>
    <x v="3"/>
    <x v="0"/>
  </r>
  <r>
    <x v="100"/>
    <x v="100"/>
    <s v="Ch Robinson"/>
    <d v="2015-10-02T00:00:00"/>
    <x v="0"/>
    <n v="700"/>
    <n v="686"/>
    <n v="650"/>
    <n v="686"/>
    <n v="650"/>
    <s v="Full"/>
    <n v="0"/>
    <x v="3"/>
    <x v="14"/>
    <x v="15"/>
    <x v="62"/>
    <x v="3"/>
    <x v="16"/>
    <x v="0"/>
    <n v="36"/>
    <x v="14"/>
    <x v="3"/>
    <x v="0"/>
  </r>
  <r>
    <x v="101"/>
    <x v="101"/>
    <s v="Scott Logistics Corp"/>
    <d v="2015-10-08T00:00:00"/>
    <x v="0"/>
    <n v="1300"/>
    <n v="1274"/>
    <n v="1250"/>
    <n v="1300"/>
    <n v="1250"/>
    <s v="Full"/>
    <n v="550"/>
    <x v="3"/>
    <x v="14"/>
    <x v="15"/>
    <x v="63"/>
    <x v="21"/>
    <x v="22"/>
    <x v="0"/>
    <n v="24"/>
    <x v="14"/>
    <x v="3"/>
    <x v="0"/>
  </r>
  <r>
    <x v="102"/>
    <x v="102"/>
    <s v="Ch Robinson"/>
    <d v="2015-10-06T00:00:00"/>
    <x v="0"/>
    <n v="1010"/>
    <n v="989.8"/>
    <n v="947"/>
    <n v="992"/>
    <n v="947"/>
    <s v="Full"/>
    <n v="110"/>
    <x v="5"/>
    <x v="15"/>
    <x v="15"/>
    <x v="64"/>
    <x v="18"/>
    <x v="61"/>
    <x v="0"/>
    <n v="42.8"/>
    <x v="15"/>
    <x v="3"/>
    <x v="0"/>
  </r>
  <r>
    <x v="103"/>
    <x v="103"/>
    <s v="Ch Robinson"/>
    <d v="2015-10-08T00:00:00"/>
    <x v="0"/>
    <n v="1000"/>
    <n v="980"/>
    <n v="944"/>
    <n v="980"/>
    <n v="944"/>
    <s v="Full"/>
    <n v="0"/>
    <x v="5"/>
    <x v="15"/>
    <x v="15"/>
    <x v="65"/>
    <x v="53"/>
    <x v="62"/>
    <x v="0"/>
    <n v="36"/>
    <x v="15"/>
    <x v="3"/>
    <x v="0"/>
  </r>
  <r>
    <x v="104"/>
    <x v="104"/>
    <s v="Ch Robinson"/>
    <d v="2015-10-08T00:00:00"/>
    <x v="0"/>
    <n v="150"/>
    <n v="147"/>
    <n v="125"/>
    <n v="147"/>
    <n v="125"/>
    <s v="Full"/>
    <n v="0"/>
    <x v="3"/>
    <x v="15"/>
    <x v="16"/>
    <x v="65"/>
    <x v="18"/>
    <x v="61"/>
    <x v="0"/>
    <n v="22"/>
    <x v="15"/>
    <x v="3"/>
    <x v="0"/>
  </r>
  <r>
    <x v="105"/>
    <x v="105"/>
    <s v="Hub Group Inc"/>
    <d v="2015-10-06T00:00:00"/>
    <x v="0"/>
    <n v="500"/>
    <n v="490"/>
    <n v="465"/>
    <n v="500"/>
    <n v="465"/>
    <s v="Full"/>
    <n v="0"/>
    <x v="5"/>
    <x v="15"/>
    <x v="15"/>
    <x v="65"/>
    <x v="52"/>
    <x v="11"/>
    <x v="0"/>
    <n v="25"/>
    <x v="15"/>
    <x v="3"/>
    <x v="0"/>
  </r>
  <r>
    <x v="106"/>
    <x v="106"/>
    <s v="Ch Robinson"/>
    <d v="2015-10-13T00:00:00"/>
    <x v="0"/>
    <n v="150"/>
    <n v="147"/>
    <n v="125"/>
    <n v="147"/>
    <n v="125"/>
    <s v="Full"/>
    <n v="0"/>
    <x v="3"/>
    <x v="15"/>
    <x v="16"/>
    <x v="66"/>
    <x v="32"/>
    <x v="63"/>
    <x v="0"/>
    <n v="22"/>
    <x v="15"/>
    <x v="3"/>
    <x v="0"/>
  </r>
  <r>
    <x v="107"/>
    <x v="107"/>
    <s v="Tql"/>
    <d v="2015-10-08T00:00:00"/>
    <x v="0"/>
    <n v="650"/>
    <n v="630.5"/>
    <n v="600"/>
    <n v="632"/>
    <n v="600"/>
    <s v="Full"/>
    <n v="50"/>
    <x v="3"/>
    <x v="15"/>
    <x v="16"/>
    <x v="66"/>
    <x v="7"/>
    <x v="20"/>
    <x v="0"/>
    <n v="30.5"/>
    <x v="15"/>
    <x v="3"/>
    <x v="0"/>
  </r>
  <r>
    <x v="108"/>
    <x v="108"/>
    <s v="Ch Robinson"/>
    <d v="2015-10-08T00:00:00"/>
    <x v="0"/>
    <n v="1100"/>
    <n v="1078"/>
    <n v="1023"/>
    <n v="1078"/>
    <n v="1023"/>
    <s v="Full"/>
    <n v="0"/>
    <x v="5"/>
    <x v="15"/>
    <x v="15"/>
    <x v="67"/>
    <x v="40"/>
    <x v="64"/>
    <x v="0"/>
    <n v="55"/>
    <x v="15"/>
    <x v="4"/>
    <x v="0"/>
  </r>
  <r>
    <x v="109"/>
    <x v="109"/>
    <s v="Ch Robinson"/>
    <d v="2015-10-09T00:00:00"/>
    <x v="0"/>
    <n v="550"/>
    <n v="539"/>
    <n v="500"/>
    <n v="539"/>
    <n v="500"/>
    <s v="Full"/>
    <n v="0"/>
    <x v="3"/>
    <x v="15"/>
    <x v="16"/>
    <x v="67"/>
    <x v="32"/>
    <x v="63"/>
    <x v="0"/>
    <n v="39"/>
    <x v="15"/>
    <x v="4"/>
    <x v="0"/>
  </r>
  <r>
    <x v="110"/>
    <x v="110"/>
    <s v="England Logistics, Inc."/>
    <d v="2015-10-07T00:00:00"/>
    <x v="0"/>
    <n v="315"/>
    <n v="302.39999999999998"/>
    <n v="275"/>
    <n v="315"/>
    <n v="275"/>
    <s v="Full"/>
    <n v="0"/>
    <x v="3"/>
    <x v="15"/>
    <x v="16"/>
    <x v="67"/>
    <x v="54"/>
    <x v="12"/>
    <x v="0"/>
    <n v="27.4"/>
    <x v="15"/>
    <x v="4"/>
    <x v="0"/>
  </r>
  <r>
    <x v="111"/>
    <x v="111"/>
    <s v="Pepsi Logistics Company Inc"/>
    <d v="2015-10-20T00:00:00"/>
    <x v="0"/>
    <n v="500"/>
    <n v="487.5"/>
    <n v="450"/>
    <n v="490"/>
    <n v="450"/>
    <s v="Full"/>
    <n v="0"/>
    <x v="3"/>
    <x v="15"/>
    <x v="16"/>
    <x v="67"/>
    <x v="16"/>
    <x v="16"/>
    <x v="0"/>
    <n v="37.5"/>
    <x v="15"/>
    <x v="4"/>
    <x v="0"/>
  </r>
  <r>
    <x v="112"/>
    <x v="112"/>
    <s v="Ch Robinson"/>
    <d v="2015-10-16T00:00:00"/>
    <x v="0"/>
    <n v="600"/>
    <n v="588"/>
    <n v="558"/>
    <n v="588"/>
    <n v="558"/>
    <s v="Full"/>
    <n v="0"/>
    <x v="5"/>
    <x v="16"/>
    <x v="16"/>
    <x v="68"/>
    <x v="55"/>
    <x v="65"/>
    <x v="0"/>
    <n v="30"/>
    <x v="16"/>
    <x v="4"/>
    <x v="0"/>
  </r>
  <r>
    <x v="113"/>
    <x v="113"/>
    <s v="Coyote"/>
    <d v="2015-10-14T00:00:00"/>
    <x v="0"/>
    <n v="750"/>
    <n v="727.5"/>
    <n v="700"/>
    <n v="727.5"/>
    <n v="700"/>
    <s v="Full"/>
    <n v="0"/>
    <x v="3"/>
    <x v="16"/>
    <x v="17"/>
    <x v="68"/>
    <x v="56"/>
    <x v="66"/>
    <x v="0"/>
    <n v="27.5"/>
    <x v="16"/>
    <x v="4"/>
    <x v="0"/>
  </r>
  <r>
    <x v="114"/>
    <x v="114"/>
    <s v="Ch Robinson"/>
    <d v="2015-10-14T00:00:00"/>
    <x v="0"/>
    <n v="850"/>
    <n v="833"/>
    <n v="790.5"/>
    <n v="818.3"/>
    <n v="790.5"/>
    <s v="Less"/>
    <n v="0"/>
    <x v="5"/>
    <x v="16"/>
    <x v="16"/>
    <x v="69"/>
    <x v="57"/>
    <x v="6"/>
    <x v="0"/>
    <n v="42.5"/>
    <x v="16"/>
    <x v="4"/>
    <x v="0"/>
  </r>
  <r>
    <x v="115"/>
    <x v="115"/>
    <s v="Ch Robinson"/>
    <d v="2015-10-16T00:00:00"/>
    <x v="0"/>
    <n v="750"/>
    <n v="735"/>
    <n v="700"/>
    <n v="735"/>
    <n v="700"/>
    <s v="Full"/>
    <n v="0"/>
    <x v="3"/>
    <x v="16"/>
    <x v="17"/>
    <x v="69"/>
    <x v="58"/>
    <x v="67"/>
    <x v="0"/>
    <n v="35"/>
    <x v="16"/>
    <x v="4"/>
    <x v="0"/>
  </r>
  <r>
    <x v="116"/>
    <x v="116"/>
    <s v="Ch Robinson"/>
    <d v="2015-10-16T00:00:00"/>
    <x v="0"/>
    <n v="700"/>
    <n v="686"/>
    <n v="650"/>
    <n v="686"/>
    <n v="650"/>
    <s v="Full"/>
    <n v="0"/>
    <x v="3"/>
    <x v="16"/>
    <x v="17"/>
    <x v="70"/>
    <x v="50"/>
    <x v="16"/>
    <x v="0"/>
    <n v="36"/>
    <x v="16"/>
    <x v="4"/>
    <x v="0"/>
  </r>
  <r>
    <x v="117"/>
    <x v="117"/>
    <s v="Ch Robinson"/>
    <d v="2015-12-07T00:00:00"/>
    <x v="0"/>
    <n v="800"/>
    <n v="784"/>
    <n v="744"/>
    <n v="784"/>
    <n v="744"/>
    <s v="Full"/>
    <n v="0"/>
    <x v="5"/>
    <x v="16"/>
    <x v="16"/>
    <x v="71"/>
    <x v="14"/>
    <x v="46"/>
    <x v="0"/>
    <n v="40"/>
    <x v="16"/>
    <x v="4"/>
    <x v="0"/>
  </r>
  <r>
    <x v="118"/>
    <x v="118"/>
    <s v="Ch Robinson"/>
    <d v="2015-10-16T00:00:00"/>
    <x v="0"/>
    <n v="1000"/>
    <n v="980"/>
    <n v="930"/>
    <n v="980"/>
    <n v="930"/>
    <s v="Full"/>
    <n v="0"/>
    <x v="5"/>
    <x v="16"/>
    <x v="16"/>
    <x v="72"/>
    <x v="40"/>
    <x v="68"/>
    <x v="0"/>
    <n v="50"/>
    <x v="16"/>
    <x v="4"/>
    <x v="0"/>
  </r>
  <r>
    <x v="119"/>
    <x v="119"/>
    <s v="Hub Group Inc"/>
    <d v="2015-10-30T00:00:00"/>
    <x v="0"/>
    <n v="372.12"/>
    <n v="364.67759999999998"/>
    <n v="350"/>
    <n v="364.68"/>
    <n v="350"/>
    <s v="Full"/>
    <n v="0"/>
    <x v="3"/>
    <x v="16"/>
    <x v="17"/>
    <x v="72"/>
    <x v="43"/>
    <x v="12"/>
    <x v="0"/>
    <n v="14.677600000000005"/>
    <x v="16"/>
    <x v="4"/>
    <x v="0"/>
  </r>
  <r>
    <x v="120"/>
    <x v="120"/>
    <s v="Ch Robinson"/>
    <d v="2015-10-22T00:00:00"/>
    <x v="0"/>
    <n v="700"/>
    <n v="686"/>
    <n v="650"/>
    <n v="686"/>
    <n v="650"/>
    <s v="Full"/>
    <n v="0"/>
    <x v="3"/>
    <x v="17"/>
    <x v="18"/>
    <x v="73"/>
    <x v="18"/>
    <x v="35"/>
    <x v="0"/>
    <n v="36"/>
    <x v="17"/>
    <x v="4"/>
    <x v="0"/>
  </r>
  <r>
    <x v="121"/>
    <x v="121"/>
    <s v="Ch Robinson"/>
    <d v="2015-12-21T00:00:00"/>
    <x v="0"/>
    <n v="1160"/>
    <n v="1136.8"/>
    <n v="1053"/>
    <n v="1078"/>
    <n v="1053"/>
    <s v="Less"/>
    <n v="60"/>
    <x v="5"/>
    <x v="17"/>
    <x v="17"/>
    <x v="73"/>
    <x v="18"/>
    <x v="69"/>
    <x v="0"/>
    <n v="83.8"/>
    <x v="17"/>
    <x v="4"/>
    <x v="0"/>
  </r>
  <r>
    <x v="122"/>
    <x v="122"/>
    <s v="Ch Robinson"/>
    <d v="2015-11-09T00:00:00"/>
    <x v="0"/>
    <n v="875"/>
    <n v="857.5"/>
    <n v="825"/>
    <n v="857.5"/>
    <n v="825"/>
    <s v="Full"/>
    <n v="0"/>
    <x v="3"/>
    <x v="17"/>
    <x v="18"/>
    <x v="74"/>
    <x v="40"/>
    <x v="70"/>
    <x v="0"/>
    <n v="32.5"/>
    <x v="17"/>
    <x v="4"/>
    <x v="0"/>
  </r>
  <r>
    <x v="123"/>
    <x v="123"/>
    <s v="Ch Robinson"/>
    <d v="2015-10-22T00:00:00"/>
    <x v="0"/>
    <n v="890"/>
    <n v="872.19999999999993"/>
    <n v="827.7"/>
    <n v="872.2"/>
    <n v="827.7"/>
    <s v="Full"/>
    <n v="0"/>
    <x v="5"/>
    <x v="17"/>
    <x v="17"/>
    <x v="74"/>
    <x v="59"/>
    <x v="71"/>
    <x v="0"/>
    <n v="44.499999999999957"/>
    <x v="17"/>
    <x v="4"/>
    <x v="0"/>
  </r>
  <r>
    <x v="124"/>
    <x v="124"/>
    <s v="Ch Robinson"/>
    <d v="2015-10-22T00:00:00"/>
    <x v="0"/>
    <n v="540"/>
    <n v="529.20000000000005"/>
    <n v="490"/>
    <n v="529.20000000000005"/>
    <n v="490"/>
    <s v="Full"/>
    <n v="40"/>
    <x v="3"/>
    <x v="17"/>
    <x v="18"/>
    <x v="75"/>
    <x v="12"/>
    <x v="11"/>
    <x v="0"/>
    <n v="39.200000000000003"/>
    <x v="17"/>
    <x v="4"/>
    <x v="0"/>
  </r>
  <r>
    <x v="125"/>
    <x v="125"/>
    <s v="Ch Robinson"/>
    <d v="2015-10-23T00:00:00"/>
    <x v="0"/>
    <n v="700"/>
    <n v="686"/>
    <n v="651"/>
    <n v="686"/>
    <n v="651"/>
    <s v="Full"/>
    <n v="0"/>
    <x v="5"/>
    <x v="17"/>
    <x v="17"/>
    <x v="76"/>
    <x v="58"/>
    <x v="67"/>
    <x v="0"/>
    <n v="35"/>
    <x v="17"/>
    <x v="4"/>
    <x v="0"/>
  </r>
  <r>
    <x v="126"/>
    <x v="126"/>
    <s v="Pepsi Logistics Company Inc"/>
    <d v="2015-10-27T00:00:00"/>
    <x v="0"/>
    <n v="450"/>
    <n v="438.75"/>
    <n v="400"/>
    <n v="438.75"/>
    <n v="400"/>
    <s v="Full"/>
    <n v="0"/>
    <x v="3"/>
    <x v="17"/>
    <x v="18"/>
    <x v="76"/>
    <x v="4"/>
    <x v="64"/>
    <x v="0"/>
    <n v="38.75"/>
    <x v="17"/>
    <x v="4"/>
    <x v="0"/>
  </r>
  <r>
    <x v="127"/>
    <x v="127"/>
    <s v="Ch Robinson"/>
    <d v="2015-10-26T00:00:00"/>
    <x v="0"/>
    <n v="775"/>
    <n v="759.5"/>
    <n v="720.75"/>
    <n v="775"/>
    <n v="720.75"/>
    <s v="Full"/>
    <n v="0"/>
    <x v="5"/>
    <x v="17"/>
    <x v="17"/>
    <x v="77"/>
    <x v="60"/>
    <x v="12"/>
    <x v="0"/>
    <n v="38.75"/>
    <x v="17"/>
    <x v="4"/>
    <x v="0"/>
  </r>
  <r>
    <x v="128"/>
    <x v="128"/>
    <s v="Ch Robinson"/>
    <d v="2015-10-23T00:00:00"/>
    <x v="0"/>
    <n v="225"/>
    <n v="220.5"/>
    <n v="209.25"/>
    <n v="220.5"/>
    <n v="209.25"/>
    <s v="Full"/>
    <n v="0"/>
    <x v="5"/>
    <x v="17"/>
    <x v="17"/>
    <x v="77"/>
    <x v="61"/>
    <x v="72"/>
    <x v="0"/>
    <n v="11.25"/>
    <x v="17"/>
    <x v="4"/>
    <x v="0"/>
  </r>
  <r>
    <x v="129"/>
    <x v="129"/>
    <s v="Ch Robinson"/>
    <d v="2015-10-29T00:00:00"/>
    <x v="0"/>
    <n v="525"/>
    <n v="514.5"/>
    <n v="475"/>
    <n v="514.5"/>
    <n v="475"/>
    <s v="Full"/>
    <n v="0"/>
    <x v="3"/>
    <x v="18"/>
    <x v="19"/>
    <x v="78"/>
    <x v="18"/>
    <x v="73"/>
    <x v="0"/>
    <n v="39.5"/>
    <x v="18"/>
    <x v="4"/>
    <x v="0"/>
  </r>
  <r>
    <x v="130"/>
    <x v="130"/>
    <s v="Ch Robinson"/>
    <d v="2015-10-30T00:00:00"/>
    <x v="0"/>
    <n v="580"/>
    <n v="568.4"/>
    <n v="530"/>
    <n v="568.4"/>
    <n v="530"/>
    <s v="Full"/>
    <n v="30"/>
    <x v="3"/>
    <x v="18"/>
    <x v="19"/>
    <x v="78"/>
    <x v="62"/>
    <x v="72"/>
    <x v="0"/>
    <n v="38.4"/>
    <x v="18"/>
    <x v="4"/>
    <x v="0"/>
  </r>
  <r>
    <x v="131"/>
    <x v="131"/>
    <s v="Ch Robinson"/>
    <d v="2015-10-26T00:00:00"/>
    <x v="0"/>
    <n v="750"/>
    <n v="735"/>
    <n v="697.5"/>
    <n v="735"/>
    <n v="697.5"/>
    <s v="Full"/>
    <n v="0"/>
    <x v="5"/>
    <x v="18"/>
    <x v="18"/>
    <x v="78"/>
    <x v="18"/>
    <x v="35"/>
    <x v="0"/>
    <n v="37.5"/>
    <x v="18"/>
    <x v="4"/>
    <x v="0"/>
  </r>
  <r>
    <x v="132"/>
    <x v="132"/>
    <s v="Ch Robinson"/>
    <d v="2015-10-29T00:00:00"/>
    <x v="0"/>
    <n v="900"/>
    <n v="882"/>
    <n v="850"/>
    <n v="882"/>
    <n v="850"/>
    <s v="Full"/>
    <n v="0"/>
    <x v="3"/>
    <x v="18"/>
    <x v="19"/>
    <x v="79"/>
    <x v="63"/>
    <x v="6"/>
    <x v="0"/>
    <n v="32"/>
    <x v="18"/>
    <x v="4"/>
    <x v="0"/>
  </r>
  <r>
    <x v="133"/>
    <x v="133"/>
    <s v="Ch Robinson"/>
    <d v="2015-10-29T00:00:00"/>
    <x v="0"/>
    <n v="900"/>
    <n v="882"/>
    <n v="837"/>
    <n v="882"/>
    <n v="837"/>
    <s v="Full"/>
    <n v="0"/>
    <x v="5"/>
    <x v="18"/>
    <x v="18"/>
    <x v="79"/>
    <x v="64"/>
    <x v="34"/>
    <x v="0"/>
    <n v="45"/>
    <x v="18"/>
    <x v="4"/>
    <x v="0"/>
  </r>
  <r>
    <x v="134"/>
    <x v="134"/>
    <s v="Ch Robinson"/>
    <d v="2015-10-30T00:00:00"/>
    <x v="0"/>
    <n v="950"/>
    <n v="931"/>
    <n v="900"/>
    <n v="931"/>
    <n v="900"/>
    <s v="Full"/>
    <n v="0"/>
    <x v="3"/>
    <x v="18"/>
    <x v="19"/>
    <x v="80"/>
    <x v="18"/>
    <x v="74"/>
    <x v="0"/>
    <n v="31"/>
    <x v="18"/>
    <x v="4"/>
    <x v="0"/>
  </r>
  <r>
    <x v="135"/>
    <x v="135"/>
    <s v="Tql"/>
    <d v="2015-10-30T00:00:00"/>
    <x v="0"/>
    <n v="675"/>
    <n v="654.75"/>
    <n v="581.25"/>
    <n v="654.75"/>
    <n v="581.25"/>
    <s v="Full"/>
    <n v="0"/>
    <x v="5"/>
    <x v="18"/>
    <x v="18"/>
    <x v="80"/>
    <x v="7"/>
    <x v="75"/>
    <x v="0"/>
    <n v="73.5"/>
    <x v="18"/>
    <x v="4"/>
    <x v="0"/>
  </r>
  <r>
    <x v="136"/>
    <x v="136"/>
    <s v="Ch Robinson"/>
    <d v="2015-11-05T00:00:00"/>
    <x v="0"/>
    <n v="900"/>
    <n v="882"/>
    <n v="837"/>
    <n v="882"/>
    <n v="837"/>
    <s v="Full"/>
    <n v="0"/>
    <x v="5"/>
    <x v="18"/>
    <x v="18"/>
    <x v="81"/>
    <x v="60"/>
    <x v="76"/>
    <x v="0"/>
    <n v="45"/>
    <x v="18"/>
    <x v="4"/>
    <x v="0"/>
  </r>
  <r>
    <x v="137"/>
    <x v="137"/>
    <s v="Ch Robinson"/>
    <d v="2015-10-30T00:00:00"/>
    <x v="0"/>
    <n v="700"/>
    <n v="686"/>
    <n v="650"/>
    <n v="686"/>
    <n v="650"/>
    <s v="Full"/>
    <n v="0"/>
    <x v="3"/>
    <x v="18"/>
    <x v="19"/>
    <x v="81"/>
    <x v="65"/>
    <x v="16"/>
    <x v="0"/>
    <n v="36"/>
    <x v="18"/>
    <x v="4"/>
    <x v="0"/>
  </r>
  <r>
    <x v="138"/>
    <x v="138"/>
    <s v="Tql"/>
    <d v="2015-10-30T00:00:00"/>
    <x v="0"/>
    <n v="500"/>
    <n v="485"/>
    <n v="450"/>
    <n v="485"/>
    <n v="450"/>
    <s v="Full"/>
    <n v="0"/>
    <x v="5"/>
    <x v="18"/>
    <x v="18"/>
    <x v="82"/>
    <x v="7"/>
    <x v="20"/>
    <x v="0"/>
    <n v="35"/>
    <x v="18"/>
    <x v="4"/>
    <x v="0"/>
  </r>
  <r>
    <x v="139"/>
    <x v="139"/>
    <s v="Ch Robinson"/>
    <d v="2015-11-06T00:00:00"/>
    <x v="0"/>
    <n v="1150.0000000002001"/>
    <n v="1127.000000000196"/>
    <n v="1100.0000000002001"/>
    <n v="1127.0999999999999"/>
    <n v="1100.0000000002001"/>
    <s v="Full"/>
    <n v="250.00000000020003"/>
    <x v="3"/>
    <x v="19"/>
    <x v="20"/>
    <x v="83"/>
    <x v="66"/>
    <x v="77"/>
    <x v="0"/>
    <n v="26.999999999995996"/>
    <x v="19"/>
    <x v="4"/>
    <x v="0"/>
  </r>
  <r>
    <x v="140"/>
    <x v="140"/>
    <s v="Ch Robinson"/>
    <d v="2015-11-17T00:00:00"/>
    <x v="0"/>
    <n v="400"/>
    <n v="392"/>
    <n v="372"/>
    <n v="392"/>
    <n v="372"/>
    <s v="Full"/>
    <n v="0"/>
    <x v="5"/>
    <x v="19"/>
    <x v="19"/>
    <x v="83"/>
    <x v="40"/>
    <x v="78"/>
    <x v="0"/>
    <n v="20"/>
    <x v="19"/>
    <x v="4"/>
    <x v="0"/>
  </r>
  <r>
    <x v="141"/>
    <x v="141"/>
    <s v="Ch Robinson"/>
    <d v="2015-11-11T00:00:00"/>
    <x v="0"/>
    <n v="700"/>
    <n v="686"/>
    <n v="651"/>
    <n v="686"/>
    <n v="651"/>
    <s v="Full"/>
    <n v="0"/>
    <x v="5"/>
    <x v="19"/>
    <x v="19"/>
    <x v="84"/>
    <x v="40"/>
    <x v="16"/>
    <x v="0"/>
    <n v="35"/>
    <x v="19"/>
    <x v="4"/>
    <x v="0"/>
  </r>
  <r>
    <x v="142"/>
    <x v="142"/>
    <s v="Tql"/>
    <d v="2015-11-11T00:00:00"/>
    <x v="0"/>
    <n v="750"/>
    <n v="727.5"/>
    <n v="700"/>
    <n v="727.5"/>
    <n v="700"/>
    <s v="Full"/>
    <n v="0"/>
    <x v="3"/>
    <x v="19"/>
    <x v="20"/>
    <x v="85"/>
    <x v="39"/>
    <x v="59"/>
    <x v="0"/>
    <n v="27.5"/>
    <x v="19"/>
    <x v="4"/>
    <x v="0"/>
  </r>
  <r>
    <x v="143"/>
    <x v="143"/>
    <s v="Ch Robinson"/>
    <d v="2015-11-16T00:00:00"/>
    <x v="0"/>
    <n v="800"/>
    <n v="784"/>
    <n v="750"/>
    <n v="784"/>
    <n v="750"/>
    <s v="Full"/>
    <n v="0"/>
    <x v="3"/>
    <x v="19"/>
    <x v="20"/>
    <x v="86"/>
    <x v="40"/>
    <x v="34"/>
    <x v="0"/>
    <n v="34"/>
    <x v="19"/>
    <x v="4"/>
    <x v="0"/>
  </r>
  <r>
    <x v="144"/>
    <x v="144"/>
    <s v="Tql"/>
    <d v="2015-11-08T00:00:00"/>
    <x v="0"/>
    <n v="850"/>
    <n v="824.5"/>
    <n v="790.5"/>
    <n v="824.5"/>
    <n v="790.5"/>
    <s v="Full"/>
    <n v="0"/>
    <x v="5"/>
    <x v="19"/>
    <x v="19"/>
    <x v="86"/>
    <x v="67"/>
    <x v="79"/>
    <x v="0"/>
    <n v="34"/>
    <x v="19"/>
    <x v="4"/>
    <x v="0"/>
  </r>
  <r>
    <x v="145"/>
    <x v="145"/>
    <s v="Ch Robinson"/>
    <d v="2015-11-10T00:00:00"/>
    <x v="0"/>
    <n v="750"/>
    <n v="735"/>
    <n v="697.5"/>
    <n v="735"/>
    <n v="697.5"/>
    <s v="Full"/>
    <n v="0"/>
    <x v="5"/>
    <x v="19"/>
    <x v="19"/>
    <x v="87"/>
    <x v="68"/>
    <x v="12"/>
    <x v="0"/>
    <n v="37.5"/>
    <x v="19"/>
    <x v="4"/>
    <x v="0"/>
  </r>
  <r>
    <x v="146"/>
    <x v="146"/>
    <s v="Ch Robinson"/>
    <d v="2015-11-09T00:00:00"/>
    <x v="0"/>
    <n v="700"/>
    <n v="686"/>
    <n v="650"/>
    <n v="686"/>
    <n v="650"/>
    <s v="Full"/>
    <n v="0"/>
    <x v="3"/>
    <x v="20"/>
    <x v="21"/>
    <x v="88"/>
    <x v="18"/>
    <x v="20"/>
    <x v="0"/>
    <n v="36"/>
    <x v="20"/>
    <x v="5"/>
    <x v="0"/>
  </r>
  <r>
    <x v="147"/>
    <x v="147"/>
    <s v="Ch Robinson"/>
    <d v="2015-11-09T00:00:00"/>
    <x v="0"/>
    <n v="450"/>
    <n v="441"/>
    <n v="400"/>
    <n v="441"/>
    <n v="400"/>
    <s v="Full"/>
    <n v="25"/>
    <x v="3"/>
    <x v="20"/>
    <x v="21"/>
    <x v="88"/>
    <x v="18"/>
    <x v="80"/>
    <x v="0"/>
    <n v="41"/>
    <x v="20"/>
    <x v="5"/>
    <x v="0"/>
  </r>
  <r>
    <x v="148"/>
    <x v="148"/>
    <s v="Ch Robinson"/>
    <d v="2015-11-11T00:00:00"/>
    <x v="0"/>
    <n v="700"/>
    <n v="686"/>
    <n v="651"/>
    <n v="686"/>
    <n v="651"/>
    <s v="Full"/>
    <n v="0"/>
    <x v="5"/>
    <x v="20"/>
    <x v="20"/>
    <x v="88"/>
    <x v="18"/>
    <x v="35"/>
    <x v="0"/>
    <n v="35"/>
    <x v="20"/>
    <x v="5"/>
    <x v="0"/>
  </r>
  <r>
    <x v="149"/>
    <x v="149"/>
    <s v="Ch Robinson"/>
    <d v="2015-11-16T00:00:00"/>
    <x v="0"/>
    <n v="825"/>
    <n v="808.5"/>
    <n v="767.25"/>
    <n v="808.5"/>
    <n v="767.25"/>
    <s v="Full"/>
    <n v="0"/>
    <x v="5"/>
    <x v="20"/>
    <x v="20"/>
    <x v="89"/>
    <x v="65"/>
    <x v="64"/>
    <x v="0"/>
    <n v="41.25"/>
    <x v="20"/>
    <x v="5"/>
    <x v="0"/>
  </r>
  <r>
    <x v="150"/>
    <x v="150"/>
    <s v="Interstate Distributor Co"/>
    <d v="2015-11-07T00:00:00"/>
    <x v="0"/>
    <n v="600"/>
    <n v="591"/>
    <n v="550"/>
    <n v="591"/>
    <n v="550"/>
    <s v="Full"/>
    <n v="0"/>
    <x v="3"/>
    <x v="20"/>
    <x v="21"/>
    <x v="89"/>
    <x v="32"/>
    <x v="13"/>
    <x v="0"/>
    <n v="41"/>
    <x v="20"/>
    <x v="5"/>
    <x v="0"/>
  </r>
  <r>
    <x v="151"/>
    <x v="151"/>
    <s v="Ch Robinson"/>
    <d v="2015-11-18T00:00:00"/>
    <x v="0"/>
    <n v="400"/>
    <n v="392"/>
    <n v="350"/>
    <n v="392"/>
    <n v="350"/>
    <s v="Full"/>
    <n v="0"/>
    <x v="3"/>
    <x v="20"/>
    <x v="21"/>
    <x v="90"/>
    <x v="27"/>
    <x v="47"/>
    <x v="0"/>
    <n v="42"/>
    <x v="20"/>
    <x v="5"/>
    <x v="0"/>
  </r>
  <r>
    <x v="152"/>
    <x v="152"/>
    <s v="Tql"/>
    <d v="2015-11-11T00:00:00"/>
    <x v="0"/>
    <n v="450"/>
    <n v="436.5"/>
    <n v="418.5"/>
    <n v="436.5"/>
    <n v="418.5"/>
    <s v="Full"/>
    <n v="0"/>
    <x v="5"/>
    <x v="20"/>
    <x v="20"/>
    <x v="90"/>
    <x v="69"/>
    <x v="16"/>
    <x v="0"/>
    <n v="18"/>
    <x v="20"/>
    <x v="5"/>
    <x v="0"/>
  </r>
  <r>
    <x v="153"/>
    <x v="153"/>
    <s v="Ch Robinson"/>
    <d v="2015-11-16T00:00:00"/>
    <x v="0"/>
    <n v="450"/>
    <n v="441"/>
    <n v="418.5"/>
    <n v="441"/>
    <n v="418.5"/>
    <s v="Full"/>
    <n v="0"/>
    <x v="5"/>
    <x v="20"/>
    <x v="20"/>
    <x v="91"/>
    <x v="19"/>
    <x v="81"/>
    <x v="0"/>
    <n v="22.5"/>
    <x v="20"/>
    <x v="5"/>
    <x v="0"/>
  </r>
  <r>
    <x v="154"/>
    <x v="154"/>
    <s v="Ch Robinson"/>
    <d v="2015-11-16T00:00:00"/>
    <x v="0"/>
    <n v="450"/>
    <n v="441"/>
    <n v="400"/>
    <n v="441"/>
    <n v="400"/>
    <s v="Full"/>
    <n v="0"/>
    <x v="3"/>
    <x v="20"/>
    <x v="21"/>
    <x v="92"/>
    <x v="19"/>
    <x v="81"/>
    <x v="0"/>
    <n v="41"/>
    <x v="20"/>
    <x v="5"/>
    <x v="0"/>
  </r>
  <r>
    <x v="155"/>
    <x v="155"/>
    <s v="Ch Robinson"/>
    <d v="2015-11-16T00:00:00"/>
    <x v="0"/>
    <n v="375"/>
    <n v="367.5"/>
    <n v="348.75"/>
    <n v="367.5"/>
    <n v="348.75"/>
    <s v="Full"/>
    <n v="0"/>
    <x v="5"/>
    <x v="20"/>
    <x v="20"/>
    <x v="92"/>
    <x v="22"/>
    <x v="82"/>
    <x v="0"/>
    <n v="18.75"/>
    <x v="20"/>
    <x v="5"/>
    <x v="0"/>
  </r>
  <r>
    <x v="156"/>
    <x v="156"/>
    <s v="Ch Robinson"/>
    <d v="2015-11-16T00:00:00"/>
    <x v="0"/>
    <n v="795"/>
    <n v="779.1"/>
    <n v="745"/>
    <n v="779.1"/>
    <n v="745"/>
    <s v="Full"/>
    <n v="70"/>
    <x v="3"/>
    <x v="21"/>
    <x v="22"/>
    <x v="93"/>
    <x v="18"/>
    <x v="20"/>
    <x v="1"/>
    <n v="34.1"/>
    <x v="21"/>
    <x v="5"/>
    <x v="0"/>
  </r>
  <r>
    <x v="157"/>
    <x v="157"/>
    <s v="Ch Robinson"/>
    <d v="2015-11-19T00:00:00"/>
    <x v="0"/>
    <n v="795"/>
    <n v="779.1"/>
    <n v="744.25"/>
    <n v="779.1"/>
    <n v="744.25"/>
    <s v="Full"/>
    <n v="70"/>
    <x v="5"/>
    <x v="21"/>
    <x v="21"/>
    <x v="93"/>
    <x v="18"/>
    <x v="20"/>
    <x v="1"/>
    <n v="34.85"/>
    <x v="21"/>
    <x v="5"/>
    <x v="0"/>
  </r>
  <r>
    <x v="158"/>
    <x v="158"/>
    <s v="Ch Robinson"/>
    <d v="2015-11-19T00:00:00"/>
    <x v="0"/>
    <n v="710"/>
    <n v="695.8"/>
    <n v="660"/>
    <n v="695.8"/>
    <n v="660"/>
    <s v="Full"/>
    <n v="35"/>
    <x v="3"/>
    <x v="21"/>
    <x v="22"/>
    <x v="94"/>
    <x v="32"/>
    <x v="12"/>
    <x v="1"/>
    <n v="35.799999999999997"/>
    <x v="21"/>
    <x v="5"/>
    <x v="0"/>
  </r>
  <r>
    <x v="159"/>
    <x v="159"/>
    <s v="Ch Robinson"/>
    <d v="2015-11-19T00:00:00"/>
    <x v="0"/>
    <n v="350"/>
    <n v="343"/>
    <n v="325.5"/>
    <n v="343"/>
    <n v="325.5"/>
    <s v="Full"/>
    <n v="0"/>
    <x v="5"/>
    <x v="21"/>
    <x v="21"/>
    <x v="94"/>
    <x v="52"/>
    <x v="83"/>
    <x v="1"/>
    <n v="17.5"/>
    <x v="21"/>
    <x v="5"/>
    <x v="0"/>
  </r>
  <r>
    <x v="160"/>
    <x v="160"/>
    <s v="Ch Robinson"/>
    <d v="2015-11-25T00:00:00"/>
    <x v="0"/>
    <n v="750"/>
    <n v="735"/>
    <n v="697.5"/>
    <n v="735"/>
    <n v="697.5"/>
    <s v="Full"/>
    <n v="0"/>
    <x v="5"/>
    <x v="21"/>
    <x v="21"/>
    <x v="95"/>
    <x v="70"/>
    <x v="84"/>
    <x v="1"/>
    <n v="37.5"/>
    <x v="21"/>
    <x v="5"/>
    <x v="0"/>
  </r>
  <r>
    <x v="161"/>
    <x v="161"/>
    <s v="Ch Robinson"/>
    <d v="2015-11-20T00:00:00"/>
    <x v="0"/>
    <n v="450"/>
    <n v="441"/>
    <n v="400"/>
    <n v="441"/>
    <n v="400"/>
    <s v="Full"/>
    <n v="0"/>
    <x v="3"/>
    <x v="21"/>
    <x v="22"/>
    <x v="96"/>
    <x v="19"/>
    <x v="81"/>
    <x v="1"/>
    <n v="41"/>
    <x v="21"/>
    <x v="5"/>
    <x v="0"/>
  </r>
  <r>
    <x v="162"/>
    <x v="162"/>
    <s v="Ch Robinson"/>
    <d v="2015-11-25T00:00:00"/>
    <x v="0"/>
    <n v="875"/>
    <n v="857.5"/>
    <n v="822.5"/>
    <n v="859"/>
    <n v="822.5"/>
    <s v="Full"/>
    <n v="125"/>
    <x v="5"/>
    <x v="21"/>
    <x v="21"/>
    <x v="96"/>
    <x v="18"/>
    <x v="85"/>
    <x v="1"/>
    <n v="35"/>
    <x v="21"/>
    <x v="5"/>
    <x v="0"/>
  </r>
  <r>
    <x v="163"/>
    <x v="163"/>
    <s v="Interstate Distributor Co"/>
    <d v="2015-11-18T00:00:00"/>
    <x v="0"/>
    <n v="625"/>
    <n v="615.625"/>
    <n v="575"/>
    <n v="615.63"/>
    <n v="575"/>
    <s v="Full"/>
    <n v="0"/>
    <x v="3"/>
    <x v="21"/>
    <x v="22"/>
    <x v="96"/>
    <x v="32"/>
    <x v="13"/>
    <x v="1"/>
    <n v="40.625"/>
    <x v="21"/>
    <x v="5"/>
    <x v="0"/>
  </r>
  <r>
    <x v="164"/>
    <x v="164"/>
    <s v="Ch Robinson"/>
    <d v="2015-11-25T00:00:00"/>
    <x v="0"/>
    <n v="450"/>
    <n v="441"/>
    <n v="400"/>
    <n v="441"/>
    <n v="400"/>
    <s v="Full"/>
    <n v="0"/>
    <x v="3"/>
    <x v="21"/>
    <x v="22"/>
    <x v="97"/>
    <x v="71"/>
    <x v="86"/>
    <x v="1"/>
    <n v="41"/>
    <x v="21"/>
    <x v="5"/>
    <x v="0"/>
  </r>
  <r>
    <x v="165"/>
    <x v="165"/>
    <s v="Ch Robinson"/>
    <d v="2015-11-25T00:00:00"/>
    <x v="0"/>
    <n v="1100"/>
    <n v="1078"/>
    <n v="1023"/>
    <n v="1078"/>
    <n v="1023"/>
    <s v="Full"/>
    <n v="0"/>
    <x v="5"/>
    <x v="21"/>
    <x v="21"/>
    <x v="97"/>
    <x v="72"/>
    <x v="16"/>
    <x v="1"/>
    <n v="55"/>
    <x v="21"/>
    <x v="5"/>
    <x v="0"/>
  </r>
  <r>
    <x v="166"/>
    <x v="166"/>
    <s v="Ch Robinson"/>
    <d v="2015-12-11T00:00:00"/>
    <x v="0"/>
    <n v="150"/>
    <n v="147"/>
    <n v="125"/>
    <n v="147"/>
    <n v="125"/>
    <s v="Full"/>
    <n v="0"/>
    <x v="5"/>
    <x v="21"/>
    <x v="21"/>
    <x v="97"/>
    <x v="52"/>
    <x v="87"/>
    <x v="1"/>
    <n v="22"/>
    <x v="21"/>
    <x v="5"/>
    <x v="0"/>
  </r>
  <r>
    <x v="167"/>
    <x v="167"/>
    <s v="Ch Robinson"/>
    <d v="2015-11-24T00:00:00"/>
    <x v="0"/>
    <n v="750"/>
    <n v="735"/>
    <n v="700"/>
    <n v="735"/>
    <n v="700"/>
    <s v="Full"/>
    <n v="0"/>
    <x v="3"/>
    <x v="22"/>
    <x v="23"/>
    <x v="98"/>
    <x v="20"/>
    <x v="88"/>
    <x v="1"/>
    <n v="35"/>
    <x v="22"/>
    <x v="5"/>
    <x v="0"/>
  </r>
  <r>
    <x v="168"/>
    <x v="168"/>
    <s v="Ch Robinson"/>
    <d v="2015-11-30T00:00:00"/>
    <x v="0"/>
    <n v="575"/>
    <n v="563.5"/>
    <n v="534.75"/>
    <n v="563.5"/>
    <n v="534.75"/>
    <s v="Full"/>
    <n v="0"/>
    <x v="5"/>
    <x v="22"/>
    <x v="22"/>
    <x v="99"/>
    <x v="18"/>
    <x v="89"/>
    <x v="1"/>
    <n v="28.75"/>
    <x v="22"/>
    <x v="5"/>
    <x v="0"/>
  </r>
  <r>
    <x v="169"/>
    <x v="169"/>
    <s v="Ch Robinson"/>
    <d v="2015-11-30T00:00:00"/>
    <x v="0"/>
    <n v="400"/>
    <n v="392"/>
    <n v="350"/>
    <n v="392"/>
    <n v="350"/>
    <s v="Full"/>
    <n v="0"/>
    <x v="3"/>
    <x v="22"/>
    <x v="23"/>
    <x v="99"/>
    <x v="18"/>
    <x v="31"/>
    <x v="1"/>
    <n v="42"/>
    <x v="22"/>
    <x v="5"/>
    <x v="0"/>
  </r>
  <r>
    <x v="170"/>
    <x v="170"/>
    <s v="Ch Robinson"/>
    <d v="2015-12-16T00:00:00"/>
    <x v="0"/>
    <n v="500"/>
    <n v="490"/>
    <n v="450"/>
    <n v="490"/>
    <n v="450"/>
    <s v="Full"/>
    <n v="0"/>
    <x v="3"/>
    <x v="22"/>
    <x v="23"/>
    <x v="100"/>
    <x v="73"/>
    <x v="16"/>
    <x v="1"/>
    <n v="40"/>
    <x v="22"/>
    <x v="5"/>
    <x v="0"/>
  </r>
  <r>
    <x v="171"/>
    <x v="171"/>
    <s v="Ch Robinson"/>
    <d v="2015-12-02T00:00:00"/>
    <x v="0"/>
    <n v="500"/>
    <n v="490"/>
    <n v="450"/>
    <n v="490"/>
    <n v="450"/>
    <s v="Full"/>
    <n v="0"/>
    <x v="3"/>
    <x v="22"/>
    <x v="23"/>
    <x v="101"/>
    <x v="18"/>
    <x v="90"/>
    <x v="1"/>
    <n v="40"/>
    <x v="22"/>
    <x v="5"/>
    <x v="0"/>
  </r>
  <r>
    <x v="172"/>
    <x v="172"/>
    <s v="Ch Robinson"/>
    <d v="2015-12-04T00:00:00"/>
    <x v="0"/>
    <n v="2100"/>
    <n v="2058"/>
    <n v="1953"/>
    <n v="2058"/>
    <n v="1953"/>
    <s v="Full"/>
    <n v="0"/>
    <x v="5"/>
    <x v="22"/>
    <x v="22"/>
    <x v="101"/>
    <x v="74"/>
    <x v="91"/>
    <x v="1"/>
    <n v="105"/>
    <x v="22"/>
    <x v="5"/>
    <x v="0"/>
  </r>
  <r>
    <x v="173"/>
    <x v="173"/>
    <s v="Ch Robinson"/>
    <d v="2015-12-04T00:00:00"/>
    <x v="0"/>
    <n v="800"/>
    <n v="784"/>
    <n v="750"/>
    <n v="785"/>
    <n v="750"/>
    <s v="Full"/>
    <n v="50"/>
    <x v="3"/>
    <x v="23"/>
    <x v="24"/>
    <x v="102"/>
    <x v="18"/>
    <x v="92"/>
    <x v="1"/>
    <n v="34"/>
    <x v="23"/>
    <x v="5"/>
    <x v="0"/>
  </r>
  <r>
    <x v="174"/>
    <x v="174"/>
    <s v="Ch Robinson"/>
    <d v="2015-12-07T00:00:00"/>
    <x v="0"/>
    <n v="580"/>
    <n v="568.4"/>
    <n v="539.4"/>
    <n v="568.4"/>
    <n v="539.4"/>
    <s v="Full"/>
    <n v="80"/>
    <x v="5"/>
    <x v="23"/>
    <x v="23"/>
    <x v="102"/>
    <x v="75"/>
    <x v="12"/>
    <x v="1"/>
    <n v="29.000000000000021"/>
    <x v="23"/>
    <x v="5"/>
    <x v="0"/>
  </r>
  <r>
    <x v="175"/>
    <x v="175"/>
    <s v="Ch Robinson"/>
    <d v="2015-12-07T00:00:00"/>
    <x v="0"/>
    <n v="1030"/>
    <n v="1009.4"/>
    <n v="980"/>
    <n v="1009.4"/>
    <n v="980"/>
    <s v="Full"/>
    <n v="180"/>
    <x v="3"/>
    <x v="23"/>
    <x v="24"/>
    <x v="103"/>
    <x v="76"/>
    <x v="93"/>
    <x v="1"/>
    <n v="29.4"/>
    <x v="23"/>
    <x v="5"/>
    <x v="0"/>
  </r>
  <r>
    <x v="176"/>
    <x v="176"/>
    <s v="Ch Robinson"/>
    <d v="2015-12-11T00:00:00"/>
    <x v="0"/>
    <n v="775"/>
    <n v="759.5"/>
    <n v="720.75"/>
    <n v="759.5"/>
    <n v="720.75"/>
    <s v="Full"/>
    <n v="0"/>
    <x v="6"/>
    <x v="24"/>
    <x v="24"/>
    <x v="104"/>
    <x v="16"/>
    <x v="94"/>
    <x v="1"/>
    <n v="38.75"/>
    <x v="24"/>
    <x v="5"/>
    <x v="0"/>
  </r>
  <r>
    <x v="177"/>
    <x v="177"/>
    <s v="Ch Robinson"/>
    <d v="2015-12-11T00:00:00"/>
    <x v="0"/>
    <n v="600"/>
    <n v="588"/>
    <n v="558"/>
    <n v="588"/>
    <n v="558"/>
    <s v="Full"/>
    <n v="0"/>
    <x v="5"/>
    <x v="24"/>
    <x v="24"/>
    <x v="104"/>
    <x v="18"/>
    <x v="41"/>
    <x v="1"/>
    <n v="30"/>
    <x v="24"/>
    <x v="5"/>
    <x v="0"/>
  </r>
  <r>
    <x v="178"/>
    <x v="178"/>
    <s v="Ch Robinson"/>
    <d v="2015-12-09T00:00:00"/>
    <x v="0"/>
    <n v="661"/>
    <n v="647.78"/>
    <n v="611"/>
    <n v="647.78"/>
    <n v="611"/>
    <s v="Full"/>
    <n v="61"/>
    <x v="3"/>
    <x v="24"/>
    <x v="25"/>
    <x v="104"/>
    <x v="77"/>
    <x v="16"/>
    <x v="1"/>
    <n v="36.78"/>
    <x v="24"/>
    <x v="5"/>
    <x v="0"/>
  </r>
  <r>
    <x v="179"/>
    <x v="179"/>
    <s v="Ch Robinson"/>
    <d v="2015-12-11T00:00:00"/>
    <x v="0"/>
    <n v="485"/>
    <n v="475.3"/>
    <n v="451.05"/>
    <n v="475.3"/>
    <n v="451.05"/>
    <s v="Full"/>
    <n v="-15"/>
    <x v="5"/>
    <x v="24"/>
    <x v="24"/>
    <x v="105"/>
    <x v="8"/>
    <x v="16"/>
    <x v="1"/>
    <n v="24.249999999999986"/>
    <x v="24"/>
    <x v="6"/>
    <x v="0"/>
  </r>
  <r>
    <x v="180"/>
    <x v="180"/>
    <s v="Ch Robinson"/>
    <d v="2015-12-11T00:00:00"/>
    <x v="0"/>
    <n v="575"/>
    <n v="563.5"/>
    <n v="534.75"/>
    <n v="563.5"/>
    <n v="534.75"/>
    <s v="Full"/>
    <n v="0"/>
    <x v="6"/>
    <x v="24"/>
    <x v="24"/>
    <x v="105"/>
    <x v="78"/>
    <x v="95"/>
    <x v="1"/>
    <n v="28.75"/>
    <x v="24"/>
    <x v="6"/>
    <x v="0"/>
  </r>
  <r>
    <x v="181"/>
    <x v="181"/>
    <s v="Ch Robinson"/>
    <d v="2015-12-07T00:00:00"/>
    <x v="0"/>
    <n v="850"/>
    <n v="833"/>
    <n v="800"/>
    <n v="833"/>
    <n v="800"/>
    <s v="Full"/>
    <n v="100"/>
    <x v="3"/>
    <x v="24"/>
    <x v="25"/>
    <x v="105"/>
    <x v="18"/>
    <x v="96"/>
    <x v="1"/>
    <n v="33"/>
    <x v="24"/>
    <x v="6"/>
    <x v="0"/>
  </r>
  <r>
    <x v="182"/>
    <x v="182"/>
    <s v="Ch Robinson"/>
    <d v="2015-12-22T00:00:00"/>
    <x v="0"/>
    <n v="600"/>
    <n v="588"/>
    <n v="558"/>
    <n v="588"/>
    <n v="558"/>
    <s v="Full"/>
    <n v="0"/>
    <x v="6"/>
    <x v="24"/>
    <x v="24"/>
    <x v="106"/>
    <x v="18"/>
    <x v="97"/>
    <x v="1"/>
    <n v="30"/>
    <x v="24"/>
    <x v="6"/>
    <x v="0"/>
  </r>
  <r>
    <x v="183"/>
    <x v="183"/>
    <s v="Ch Robinson"/>
    <d v="2015-12-07T00:00:00"/>
    <x v="0"/>
    <n v="500"/>
    <n v="490"/>
    <n v="465"/>
    <n v="490"/>
    <n v="465"/>
    <s v="Full"/>
    <n v="0"/>
    <x v="3"/>
    <x v="24"/>
    <x v="25"/>
    <x v="106"/>
    <x v="79"/>
    <x v="47"/>
    <x v="1"/>
    <n v="25"/>
    <x v="24"/>
    <x v="6"/>
    <x v="0"/>
  </r>
  <r>
    <x v="184"/>
    <x v="184"/>
    <s v="Ch Robinson"/>
    <d v="2015-12-22T00:00:00"/>
    <x v="0"/>
    <n v="600"/>
    <n v="588"/>
    <n v="558"/>
    <n v="588"/>
    <n v="558"/>
    <s v="Full"/>
    <n v="0"/>
    <x v="5"/>
    <x v="24"/>
    <x v="24"/>
    <x v="106"/>
    <x v="80"/>
    <x v="98"/>
    <x v="1"/>
    <n v="30"/>
    <x v="24"/>
    <x v="6"/>
    <x v="0"/>
  </r>
  <r>
    <x v="185"/>
    <x v="185"/>
    <s v="Ch Robinson"/>
    <d v="2015-12-16T00:00:00"/>
    <x v="0"/>
    <n v="885"/>
    <n v="867.3"/>
    <n v="837"/>
    <n v="867.3"/>
    <n v="837"/>
    <s v="Full"/>
    <n v="0"/>
    <x v="6"/>
    <x v="24"/>
    <x v="24"/>
    <x v="107"/>
    <x v="81"/>
    <x v="45"/>
    <x v="1"/>
    <n v="30.3"/>
    <x v="24"/>
    <x v="6"/>
    <x v="0"/>
  </r>
  <r>
    <x v="186"/>
    <x v="186"/>
    <s v="Ch Robinson"/>
    <d v="2015-12-11T00:00:00"/>
    <x v="0"/>
    <n v="540"/>
    <n v="529.20000000000005"/>
    <n v="502.2"/>
    <n v="490"/>
    <n v="502.2"/>
    <s v="Less"/>
    <n v="40"/>
    <x v="5"/>
    <x v="24"/>
    <x v="24"/>
    <x v="107"/>
    <x v="41"/>
    <x v="42"/>
    <x v="1"/>
    <n v="27.000000000000011"/>
    <x v="24"/>
    <x v="6"/>
    <x v="0"/>
  </r>
  <r>
    <x v="187"/>
    <x v="187"/>
    <s v="Ch Robinson"/>
    <d v="2015-12-11T00:00:00"/>
    <x v="0"/>
    <n v="450"/>
    <n v="441"/>
    <n v="400"/>
    <n v="441"/>
    <n v="400"/>
    <s v="Full"/>
    <n v="0"/>
    <x v="3"/>
    <x v="24"/>
    <x v="25"/>
    <x v="108"/>
    <x v="5"/>
    <x v="24"/>
    <x v="1"/>
    <n v="41"/>
    <x v="24"/>
    <x v="6"/>
    <x v="0"/>
  </r>
  <r>
    <x v="188"/>
    <x v="188"/>
    <s v="Ch Robinson"/>
    <d v="2015-12-15T00:00:00"/>
    <x v="0"/>
    <n v="350"/>
    <n v="343"/>
    <n v="400"/>
    <n v="343"/>
    <n v="400"/>
    <s v="Full"/>
    <n v="0"/>
    <x v="5"/>
    <x v="24"/>
    <x v="24"/>
    <x v="108"/>
    <x v="24"/>
    <x v="99"/>
    <x v="1"/>
    <n v="-57"/>
    <x v="24"/>
    <x v="6"/>
    <x v="0"/>
  </r>
  <r>
    <x v="189"/>
    <x v="189"/>
    <s v="Ch Robinson"/>
    <d v="2015-12-16T00:00:00"/>
    <x v="0"/>
    <n v="660"/>
    <n v="646.79999999999995"/>
    <n v="655.8"/>
    <n v="646.79999999999995"/>
    <n v="655.8"/>
    <s v="Full"/>
    <n v="60"/>
    <x v="5"/>
    <x v="25"/>
    <x v="25"/>
    <x v="109"/>
    <x v="18"/>
    <x v="75"/>
    <x v="1"/>
    <n v="-8.9999999999999556"/>
    <x v="25"/>
    <x v="6"/>
    <x v="0"/>
  </r>
  <r>
    <x v="190"/>
    <x v="190"/>
    <s v="Ch Robinson"/>
    <d v="2015-12-15T00:00:00"/>
    <x v="0"/>
    <n v="465"/>
    <n v="455.7"/>
    <n v="415"/>
    <n v="455.7"/>
    <n v="415"/>
    <s v="Full"/>
    <n v="65"/>
    <x v="3"/>
    <x v="25"/>
    <x v="26"/>
    <x v="109"/>
    <x v="18"/>
    <x v="100"/>
    <x v="1"/>
    <n v="40.700000000000003"/>
    <x v="25"/>
    <x v="6"/>
    <x v="0"/>
  </r>
  <r>
    <x v="191"/>
    <x v="191"/>
    <s v="Ch Robinson"/>
    <d v="2015-12-16T00:00:00"/>
    <x v="0"/>
    <n v="800"/>
    <n v="784"/>
    <n v="744"/>
    <n v="784"/>
    <n v="744"/>
    <s v="Full"/>
    <n v="0"/>
    <x v="5"/>
    <x v="25"/>
    <x v="25"/>
    <x v="110"/>
    <x v="70"/>
    <x v="6"/>
    <x v="1"/>
    <n v="40"/>
    <x v="25"/>
    <x v="6"/>
    <x v="0"/>
  </r>
  <r>
    <x v="192"/>
    <x v="192"/>
    <s v="Ch Robinson"/>
    <d v="2015-12-18T00:00:00"/>
    <x v="0"/>
    <n v="300"/>
    <n v="294"/>
    <n v="275"/>
    <n v="294"/>
    <n v="275"/>
    <s v="Full"/>
    <n v="0"/>
    <x v="3"/>
    <x v="25"/>
    <x v="26"/>
    <x v="110"/>
    <x v="21"/>
    <x v="101"/>
    <x v="1"/>
    <n v="19"/>
    <x v="25"/>
    <x v="6"/>
    <x v="0"/>
  </r>
  <r>
    <x v="193"/>
    <x v="193"/>
    <s v="Ch Robinson"/>
    <d v="2015-12-16T00:00:00"/>
    <x v="0"/>
    <n v="450"/>
    <n v="441"/>
    <n v="418.5"/>
    <n v="441"/>
    <n v="418.5"/>
    <s v="Full"/>
    <n v="0"/>
    <x v="6"/>
    <x v="25"/>
    <x v="25"/>
    <x v="110"/>
    <x v="5"/>
    <x v="24"/>
    <x v="1"/>
    <n v="22.5"/>
    <x v="25"/>
    <x v="6"/>
    <x v="0"/>
  </r>
  <r>
    <x v="194"/>
    <x v="194"/>
    <s v="Tql"/>
    <d v="2015-12-22T00:00:00"/>
    <x v="0"/>
    <n v="475"/>
    <n v="460.75"/>
    <n v="425"/>
    <n v="460.75"/>
    <n v="425"/>
    <s v="Full"/>
    <n v="0"/>
    <x v="3"/>
    <x v="25"/>
    <x v="26"/>
    <x v="110"/>
    <x v="22"/>
    <x v="102"/>
    <x v="1"/>
    <n v="35.75"/>
    <x v="25"/>
    <x v="6"/>
    <x v="0"/>
  </r>
  <r>
    <x v="195"/>
    <x v="195"/>
    <s v="Tql"/>
    <d v="2015-12-22T00:00:00"/>
    <x v="0"/>
    <n v="200"/>
    <n v="194"/>
    <n v="200"/>
    <n v="197"/>
    <n v="200"/>
    <s v="Full"/>
    <n v="200"/>
    <x v="3"/>
    <x v="25"/>
    <x v="26"/>
    <x v="110"/>
    <x v="22"/>
    <x v="102"/>
    <x v="1"/>
    <n v="-6"/>
    <x v="25"/>
    <x v="6"/>
    <x v="0"/>
  </r>
  <r>
    <x v="196"/>
    <x v="196"/>
    <s v="Ch Robinson"/>
    <d v="2015-12-22T00:00:00"/>
    <x v="0"/>
    <n v="750"/>
    <n v="735"/>
    <n v="697.5"/>
    <n v="735"/>
    <n v="697.5"/>
    <s v="Full"/>
    <n v="0"/>
    <x v="5"/>
    <x v="25"/>
    <x v="25"/>
    <x v="111"/>
    <x v="82"/>
    <x v="103"/>
    <x v="1"/>
    <n v="37.5"/>
    <x v="25"/>
    <x v="6"/>
    <x v="0"/>
  </r>
  <r>
    <x v="197"/>
    <x v="197"/>
    <s v="Ch Robinson"/>
    <d v="2015-12-21T00:00:00"/>
    <x v="0"/>
    <n v="700"/>
    <n v="686"/>
    <n v="651"/>
    <n v="686"/>
    <n v="651"/>
    <s v="Full"/>
    <n v="0"/>
    <x v="6"/>
    <x v="25"/>
    <x v="25"/>
    <x v="111"/>
    <x v="9"/>
    <x v="94"/>
    <x v="1"/>
    <n v="35"/>
    <x v="25"/>
    <x v="6"/>
    <x v="0"/>
  </r>
  <r>
    <x v="198"/>
    <x v="198"/>
    <s v="Ch Robinson"/>
    <d v="2015-12-21T00:00:00"/>
    <x v="0"/>
    <n v="600"/>
    <n v="588"/>
    <n v="558"/>
    <n v="588"/>
    <n v="558"/>
    <s v="Full"/>
    <n v="0"/>
    <x v="6"/>
    <x v="25"/>
    <x v="25"/>
    <x v="112"/>
    <x v="41"/>
    <x v="88"/>
    <x v="1"/>
    <n v="30"/>
    <x v="25"/>
    <x v="6"/>
    <x v="0"/>
  </r>
  <r>
    <x v="199"/>
    <x v="199"/>
    <s v="Ch Robinson"/>
    <d v="2015-12-21T00:00:00"/>
    <x v="0"/>
    <n v="550"/>
    <n v="539"/>
    <n v="511.5"/>
    <n v="539"/>
    <n v="511.5"/>
    <s v="Full"/>
    <n v="0"/>
    <x v="5"/>
    <x v="25"/>
    <x v="25"/>
    <x v="112"/>
    <x v="8"/>
    <x v="54"/>
    <x v="1"/>
    <n v="27.5"/>
    <x v="25"/>
    <x v="6"/>
    <x v="0"/>
  </r>
  <r>
    <x v="200"/>
    <x v="200"/>
    <s v="Ch Robinson"/>
    <d v="2015-12-21T00:00:00"/>
    <x v="0"/>
    <n v="710"/>
    <n v="695.8"/>
    <n v="660.3"/>
    <n v="695.8"/>
    <n v="660.3"/>
    <s v="Full"/>
    <n v="160"/>
    <x v="6"/>
    <x v="25"/>
    <x v="25"/>
    <x v="113"/>
    <x v="34"/>
    <x v="45"/>
    <x v="1"/>
    <n v="35.500000000000043"/>
    <x v="25"/>
    <x v="6"/>
    <x v="0"/>
  </r>
  <r>
    <x v="201"/>
    <x v="201"/>
    <s v="Ch Robinson"/>
    <d v="2015-12-21T00:00:00"/>
    <x v="0"/>
    <n v="600"/>
    <n v="588"/>
    <n v="550"/>
    <n v="588"/>
    <n v="550"/>
    <s v="Full"/>
    <n v="0"/>
    <x v="3"/>
    <x v="25"/>
    <x v="26"/>
    <x v="113"/>
    <x v="56"/>
    <x v="35"/>
    <x v="1"/>
    <n v="38"/>
    <x v="25"/>
    <x v="6"/>
    <x v="0"/>
  </r>
  <r>
    <x v="202"/>
    <x v="202"/>
    <s v="Ch Robinson"/>
    <d v="2015-12-29T00:00:00"/>
    <x v="0"/>
    <n v="1100"/>
    <n v="1078"/>
    <n v="1023"/>
    <n v="1078"/>
    <n v="1023"/>
    <s v="Full"/>
    <n v="0"/>
    <x v="6"/>
    <x v="26"/>
    <x v="26"/>
    <x v="114"/>
    <x v="16"/>
    <x v="104"/>
    <x v="1"/>
    <n v="55"/>
    <x v="26"/>
    <x v="6"/>
    <x v="0"/>
  </r>
  <r>
    <x v="203"/>
    <x v="203"/>
    <s v="Ch Robinson"/>
    <d v="2015-12-21T00:00:00"/>
    <x v="0"/>
    <n v="700"/>
    <n v="686"/>
    <n v="650"/>
    <n v="686"/>
    <n v="650"/>
    <s v="Full"/>
    <n v="0"/>
    <x v="3"/>
    <x v="26"/>
    <x v="27"/>
    <x v="114"/>
    <x v="40"/>
    <x v="105"/>
    <x v="1"/>
    <n v="36"/>
    <x v="26"/>
    <x v="6"/>
    <x v="0"/>
  </r>
  <r>
    <x v="204"/>
    <x v="204"/>
    <s v="Ch Robinson"/>
    <d v="2015-12-21T00:00:00"/>
    <x v="0"/>
    <n v="550"/>
    <n v="539"/>
    <n v="511.5"/>
    <n v="539"/>
    <n v="511.5"/>
    <s v="Full"/>
    <n v="0"/>
    <x v="5"/>
    <x v="26"/>
    <x v="26"/>
    <x v="114"/>
    <x v="18"/>
    <x v="106"/>
    <x v="1"/>
    <n v="27.5"/>
    <x v="26"/>
    <x v="6"/>
    <x v="0"/>
  </r>
  <r>
    <x v="205"/>
    <x v="205"/>
    <s v="Ch Robinson"/>
    <d v="2015-12-29T00:00:00"/>
    <x v="0"/>
    <n v="400"/>
    <n v="392"/>
    <n v="350"/>
    <n v="392"/>
    <n v="350"/>
    <s v="Full"/>
    <n v="0"/>
    <x v="3"/>
    <x v="26"/>
    <x v="27"/>
    <x v="115"/>
    <x v="18"/>
    <x v="89"/>
    <x v="1"/>
    <n v="42"/>
    <x v="26"/>
    <x v="6"/>
    <x v="0"/>
  </r>
  <r>
    <x v="206"/>
    <x v="206"/>
    <s v="Ch Robinson"/>
    <d v="2015-12-29T00:00:00"/>
    <x v="0"/>
    <n v="350"/>
    <n v="343"/>
    <n v="325.5"/>
    <n v="343"/>
    <n v="325.5"/>
    <s v="Full"/>
    <n v="0"/>
    <x v="6"/>
    <x v="26"/>
    <x v="26"/>
    <x v="115"/>
    <x v="83"/>
    <x v="107"/>
    <x v="1"/>
    <n v="17.5"/>
    <x v="26"/>
    <x v="6"/>
    <x v="0"/>
  </r>
  <r>
    <x v="207"/>
    <x v="207"/>
    <s v="Ch Robinson"/>
    <d v="2015-12-29T00:00:00"/>
    <x v="0"/>
    <n v="650"/>
    <n v="637"/>
    <n v="604.5"/>
    <n v="637"/>
    <n v="604.5"/>
    <s v="Full"/>
    <n v="0"/>
    <x v="5"/>
    <x v="26"/>
    <x v="26"/>
    <x v="115"/>
    <x v="82"/>
    <x v="94"/>
    <x v="1"/>
    <n v="32.5"/>
    <x v="26"/>
    <x v="6"/>
    <x v="0"/>
  </r>
  <r>
    <x v="208"/>
    <x v="208"/>
    <s v="Ch Robinson"/>
    <d v="2015-12-29T00:00:00"/>
    <x v="0"/>
    <n v="800"/>
    <n v="784"/>
    <n v="744"/>
    <n v="784"/>
    <n v="744"/>
    <s v="Full"/>
    <n v="0"/>
    <x v="6"/>
    <x v="26"/>
    <x v="26"/>
    <x v="116"/>
    <x v="84"/>
    <x v="6"/>
    <x v="1"/>
    <n v="40"/>
    <x v="26"/>
    <x v="6"/>
    <x v="0"/>
  </r>
  <r>
    <x v="209"/>
    <x v="209"/>
    <s v="Ch Robinson"/>
    <d v="2015-12-29T00:00:00"/>
    <x v="0"/>
    <n v="250"/>
    <n v="245"/>
    <n v="225"/>
    <n v="245"/>
    <n v="225"/>
    <s v="Full"/>
    <n v="0"/>
    <x v="3"/>
    <x v="26"/>
    <x v="27"/>
    <x v="116"/>
    <x v="29"/>
    <x v="99"/>
    <x v="1"/>
    <n v="20"/>
    <x v="26"/>
    <x v="6"/>
    <x v="0"/>
  </r>
  <r>
    <x v="210"/>
    <x v="210"/>
    <s v="Ch Robinson"/>
    <d v="2015-12-30T00:00:00"/>
    <x v="0"/>
    <n v="450"/>
    <n v="441"/>
    <n v="418.5"/>
    <n v="441"/>
    <n v="418.5"/>
    <s v="Full"/>
    <n v="0"/>
    <x v="5"/>
    <x v="26"/>
    <x v="26"/>
    <x v="116"/>
    <x v="41"/>
    <x v="16"/>
    <x v="1"/>
    <n v="22.5"/>
    <x v="26"/>
    <x v="6"/>
    <x v="0"/>
  </r>
  <r>
    <x v="211"/>
    <x v="211"/>
    <s v="Pepsi Logistics Company Inc"/>
    <d v="2016-01-04T00:00:00"/>
    <x v="0"/>
    <n v="373"/>
    <n v="363.67500000000001"/>
    <n v="323"/>
    <n v="363.68"/>
    <n v="323"/>
    <s v="Full"/>
    <n v="0"/>
    <x v="3"/>
    <x v="26"/>
    <x v="27"/>
    <x v="116"/>
    <x v="31"/>
    <x v="64"/>
    <x v="1"/>
    <n v="40.674999999999997"/>
    <x v="26"/>
    <x v="6"/>
    <x v="0"/>
  </r>
  <r>
    <x v="212"/>
    <x v="212"/>
    <s v="Ch Robinson"/>
    <d v="2016-01-05T00:00:00"/>
    <x v="0"/>
    <n v="550"/>
    <n v="539"/>
    <n v="511.5"/>
    <n v="539"/>
    <n v="511.5"/>
    <s v="Full"/>
    <n v="0"/>
    <x v="5"/>
    <x v="27"/>
    <x v="27"/>
    <x v="117"/>
    <x v="18"/>
    <x v="108"/>
    <x v="1"/>
    <n v="27.5"/>
    <x v="27"/>
    <x v="6"/>
    <x v="0"/>
  </r>
  <r>
    <x v="213"/>
    <x v="213"/>
    <s v="Tql"/>
    <d v="2015-12-31T00:00:00"/>
    <x v="0"/>
    <n v="725"/>
    <n v="703.25"/>
    <n v="675"/>
    <n v="703.25"/>
    <n v="675"/>
    <s v="Full"/>
    <n v="0"/>
    <x v="3"/>
    <x v="27"/>
    <x v="28"/>
    <x v="117"/>
    <x v="39"/>
    <x v="109"/>
    <x v="1"/>
    <n v="28.25"/>
    <x v="27"/>
    <x v="6"/>
    <x v="0"/>
  </r>
  <r>
    <x v="214"/>
    <x v="214"/>
    <s v="Ch Robinson"/>
    <d v="2015-01-05T00:00:00"/>
    <x v="0"/>
    <n v="850"/>
    <n v="833"/>
    <n v="800"/>
    <n v="833"/>
    <n v="800"/>
    <s v="Full"/>
    <n v="150"/>
    <x v="3"/>
    <x v="27"/>
    <x v="28"/>
    <x v="118"/>
    <x v="40"/>
    <x v="12"/>
    <x v="1"/>
    <n v="33"/>
    <x v="27"/>
    <x v="6"/>
    <x v="0"/>
  </r>
  <r>
    <x v="215"/>
    <x v="215"/>
    <s v="Ch Robinson"/>
    <d v="2016-01-04T00:00:00"/>
    <x v="0"/>
    <n v="900"/>
    <n v="882"/>
    <n v="837"/>
    <n v="882"/>
    <n v="837"/>
    <s v="Full"/>
    <n v="0"/>
    <x v="6"/>
    <x v="27"/>
    <x v="27"/>
    <x v="118"/>
    <x v="49"/>
    <x v="41"/>
    <x v="1"/>
    <n v="45"/>
    <x v="27"/>
    <x v="6"/>
    <x v="0"/>
  </r>
  <r>
    <x v="216"/>
    <x v="216"/>
    <s v="Matson Logistics"/>
    <d v="2016-01-29T00:00:00"/>
    <x v="0"/>
    <n v="600"/>
    <n v="600"/>
    <n v="558"/>
    <n v="600"/>
    <n v="558"/>
    <s v="Full"/>
    <n v="0"/>
    <x v="6"/>
    <x v="27"/>
    <x v="27"/>
    <x v="119"/>
    <x v="85"/>
    <x v="37"/>
    <x v="1"/>
    <n v="42"/>
    <x v="27"/>
    <x v="6"/>
    <x v="0"/>
  </r>
  <r>
    <x v="217"/>
    <x v="217"/>
    <s v="Ch Robinson"/>
    <d v="2015-01-05T00:00:00"/>
    <x v="0"/>
    <n v="750"/>
    <n v="735"/>
    <n v="700"/>
    <n v="735"/>
    <n v="700"/>
    <s v="Full"/>
    <n v="50"/>
    <x v="3"/>
    <x v="28"/>
    <x v="29"/>
    <x v="120"/>
    <x v="18"/>
    <x v="110"/>
    <x v="1"/>
    <n v="35"/>
    <x v="28"/>
    <x v="6"/>
    <x v="0"/>
  </r>
  <r>
    <x v="218"/>
    <x v="218"/>
    <s v="Ch Robinson"/>
    <d v="2015-01-05T00:00:00"/>
    <x v="0"/>
    <n v="850"/>
    <n v="833"/>
    <n v="790.5"/>
    <n v="833"/>
    <n v="790.5"/>
    <s v="Full"/>
    <n v="0"/>
    <x v="5"/>
    <x v="28"/>
    <x v="28"/>
    <x v="120"/>
    <x v="84"/>
    <x v="16"/>
    <x v="1"/>
    <n v="42.5"/>
    <x v="28"/>
    <x v="6"/>
    <x v="0"/>
  </r>
  <r>
    <x v="219"/>
    <x v="219"/>
    <s v="Ch Robinson"/>
    <d v="2015-01-05T00:00:00"/>
    <x v="0"/>
    <n v="700"/>
    <n v="686"/>
    <n v="651"/>
    <n v="686"/>
    <n v="651"/>
    <s v="Full"/>
    <n v="0"/>
    <x v="6"/>
    <x v="28"/>
    <x v="28"/>
    <x v="120"/>
    <x v="9"/>
    <x v="94"/>
    <x v="1"/>
    <n v="35"/>
    <x v="28"/>
    <x v="6"/>
    <x v="0"/>
  </r>
  <r>
    <x v="220"/>
    <x v="220"/>
    <s v="Ch Robinson"/>
    <d v="2016-01-15T00:00:00"/>
    <x v="0"/>
    <n v="600"/>
    <n v="588"/>
    <n v="558"/>
    <n v="588"/>
    <n v="558"/>
    <s v="Full"/>
    <n v="0"/>
    <x v="5"/>
    <x v="28"/>
    <x v="28"/>
    <x v="121"/>
    <x v="86"/>
    <x v="41"/>
    <x v="1"/>
    <n v="30"/>
    <x v="28"/>
    <x v="6"/>
    <x v="0"/>
  </r>
  <r>
    <x v="221"/>
    <x v="221"/>
    <s v="Ch Robinson"/>
    <d v="2016-01-13T00:00:00"/>
    <x v="0"/>
    <n v="650"/>
    <n v="637"/>
    <n v="604.5"/>
    <n v="637"/>
    <n v="604.5"/>
    <s v="Full"/>
    <n v="0"/>
    <x v="6"/>
    <x v="28"/>
    <x v="28"/>
    <x v="121"/>
    <x v="8"/>
    <x v="111"/>
    <x v="1"/>
    <n v="32.5"/>
    <x v="28"/>
    <x v="6"/>
    <x v="0"/>
  </r>
  <r>
    <x v="222"/>
    <x v="222"/>
    <s v="Ch Robinson"/>
    <d v="2016-01-12T00:00:00"/>
    <x v="0"/>
    <n v="1000"/>
    <n v="980"/>
    <n v="950"/>
    <n v="980"/>
    <n v="950"/>
    <s v="Full"/>
    <n v="0"/>
    <x v="3"/>
    <x v="28"/>
    <x v="29"/>
    <x v="122"/>
    <x v="40"/>
    <x v="112"/>
    <x v="1"/>
    <n v="30"/>
    <x v="28"/>
    <x v="6"/>
    <x v="0"/>
  </r>
  <r>
    <x v="223"/>
    <x v="223"/>
    <s v="Ch Robinson"/>
    <d v="2016-01-18T00:00:00"/>
    <x v="0"/>
    <n v="1050"/>
    <n v="1029"/>
    <n v="976.5"/>
    <n v="1029"/>
    <n v="976.5"/>
    <s v="Full"/>
    <n v="350"/>
    <x v="5"/>
    <x v="28"/>
    <x v="28"/>
    <x v="122"/>
    <x v="75"/>
    <x v="11"/>
    <x v="1"/>
    <n v="52.5"/>
    <x v="28"/>
    <x v="6"/>
    <x v="0"/>
  </r>
  <r>
    <x v="224"/>
    <x v="224"/>
    <s v="Ch Robinson"/>
    <d v="2016-01-13T00:00:00"/>
    <x v="0"/>
    <n v="600"/>
    <n v="588"/>
    <n v="558"/>
    <n v="588"/>
    <n v="558"/>
    <s v="Full"/>
    <n v="0"/>
    <x v="6"/>
    <x v="29"/>
    <x v="29"/>
    <x v="123"/>
    <x v="19"/>
    <x v="41"/>
    <x v="0"/>
    <n v="30"/>
    <x v="29"/>
    <x v="7"/>
    <x v="1"/>
  </r>
  <r>
    <x v="225"/>
    <x v="225"/>
    <s v="Ch Robinson"/>
    <d v="2016-01-15T00:00:00"/>
    <x v="0"/>
    <n v="650"/>
    <n v="637"/>
    <n v="604.5"/>
    <n v="637"/>
    <n v="604.5"/>
    <s v="Full"/>
    <n v="0"/>
    <x v="5"/>
    <x v="29"/>
    <x v="29"/>
    <x v="123"/>
    <x v="18"/>
    <x v="94"/>
    <x v="1"/>
    <n v="32.5"/>
    <x v="29"/>
    <x v="7"/>
    <x v="1"/>
  </r>
  <r>
    <x v="226"/>
    <x v="226"/>
    <s v="Ch Robinson"/>
    <d v="2016-01-13T00:00:00"/>
    <x v="0"/>
    <n v="650"/>
    <n v="637"/>
    <n v="604.5"/>
    <n v="637"/>
    <n v="604.5"/>
    <s v="Full"/>
    <n v="0"/>
    <x v="6"/>
    <x v="29"/>
    <x v="29"/>
    <x v="123"/>
    <x v="87"/>
    <x v="113"/>
    <x v="0"/>
    <n v="32.5"/>
    <x v="29"/>
    <x v="7"/>
    <x v="1"/>
  </r>
  <r>
    <x v="227"/>
    <x v="227"/>
    <s v="Ch Robinson"/>
    <d v="2016-01-15T00:00:00"/>
    <x v="0"/>
    <n v="500"/>
    <n v="490"/>
    <n v="465"/>
    <n v="490"/>
    <n v="465"/>
    <s v="Full"/>
    <n v="0"/>
    <x v="5"/>
    <x v="29"/>
    <x v="29"/>
    <x v="124"/>
    <x v="8"/>
    <x v="114"/>
    <x v="1"/>
    <n v="25"/>
    <x v="29"/>
    <x v="7"/>
    <x v="1"/>
  </r>
  <r>
    <x v="228"/>
    <x v="228"/>
    <s v="Ch Robinson"/>
    <d v="2016-01-21T00:00:00"/>
    <x v="0"/>
    <n v="525"/>
    <n v="514.5"/>
    <n v="488.25"/>
    <n v="514.5"/>
    <n v="488.25"/>
    <s v="Full"/>
    <n v="0"/>
    <x v="5"/>
    <x v="29"/>
    <x v="29"/>
    <x v="125"/>
    <x v="18"/>
    <x v="41"/>
    <x v="1"/>
    <n v="26.25"/>
    <x v="29"/>
    <x v="7"/>
    <x v="1"/>
  </r>
  <r>
    <x v="229"/>
    <x v="229"/>
    <s v="Ch Robinson"/>
    <d v="2016-01-15T00:00:00"/>
    <x v="0"/>
    <n v="600"/>
    <n v="588"/>
    <n v="558"/>
    <n v="588"/>
    <n v="558"/>
    <s v="Full"/>
    <n v="0"/>
    <x v="6"/>
    <x v="29"/>
    <x v="29"/>
    <x v="125"/>
    <x v="19"/>
    <x v="41"/>
    <x v="0"/>
    <n v="30"/>
    <x v="29"/>
    <x v="7"/>
    <x v="1"/>
  </r>
  <r>
    <x v="230"/>
    <x v="230"/>
    <s v="Ch Robinson"/>
    <d v="2016-01-21T00:00:00"/>
    <x v="0"/>
    <n v="526"/>
    <n v="515.48"/>
    <n v="489.18"/>
    <n v="515.48"/>
    <n v="489.18"/>
    <s v="Full"/>
    <n v="0"/>
    <x v="5"/>
    <x v="29"/>
    <x v="29"/>
    <x v="126"/>
    <x v="41"/>
    <x v="88"/>
    <x v="1"/>
    <n v="26.299999999999994"/>
    <x v="29"/>
    <x v="7"/>
    <x v="1"/>
  </r>
  <r>
    <x v="231"/>
    <x v="231"/>
    <s v="Ch Robinson"/>
    <d v="2016-01-15T00:00:00"/>
    <x v="0"/>
    <n v="600"/>
    <n v="588"/>
    <n v="558"/>
    <n v="588"/>
    <n v="558"/>
    <s v="Full"/>
    <n v="0"/>
    <x v="6"/>
    <x v="29"/>
    <x v="29"/>
    <x v="126"/>
    <x v="41"/>
    <x v="115"/>
    <x v="0"/>
    <n v="30"/>
    <x v="29"/>
    <x v="7"/>
    <x v="1"/>
  </r>
  <r>
    <x v="232"/>
    <x v="232"/>
    <s v="Tql"/>
    <d v="2016-01-13T00:00:00"/>
    <x v="0"/>
    <n v="525"/>
    <n v="509.25"/>
    <n v="488.25"/>
    <n v="509.25"/>
    <n v="488.25"/>
    <s v="Full"/>
    <n v="0"/>
    <x v="6"/>
    <x v="29"/>
    <x v="29"/>
    <x v="127"/>
    <x v="88"/>
    <x v="11"/>
    <x v="0"/>
    <n v="21"/>
    <x v="29"/>
    <x v="7"/>
    <x v="1"/>
  </r>
  <r>
    <x v="233"/>
    <x v="233"/>
    <s v="Ch Robinson"/>
    <s v="1/21/201"/>
    <x v="0"/>
    <n v="700"/>
    <n v="686"/>
    <n v="651"/>
    <n v="686"/>
    <n v="651"/>
    <s v="Full"/>
    <n v="0"/>
    <x v="6"/>
    <x v="30"/>
    <x v="30"/>
    <x v="128"/>
    <x v="74"/>
    <x v="104"/>
    <x v="0"/>
    <n v="35"/>
    <x v="30"/>
    <x v="7"/>
    <x v="1"/>
  </r>
  <r>
    <x v="234"/>
    <x v="234"/>
    <s v="Ch Robinson"/>
    <d v="2016-01-20T00:00:00"/>
    <x v="0"/>
    <n v="545"/>
    <n v="534.1"/>
    <n v="495"/>
    <n v="534.1"/>
    <n v="495"/>
    <s v="Full"/>
    <n v="70"/>
    <x v="3"/>
    <x v="30"/>
    <x v="31"/>
    <x v="128"/>
    <x v="20"/>
    <x v="47"/>
    <x v="0"/>
    <n v="39.1"/>
    <x v="30"/>
    <x v="7"/>
    <x v="1"/>
  </r>
  <r>
    <x v="235"/>
    <x v="235"/>
    <s v="Ch Robinson"/>
    <d v="2016-01-21T00:00:00"/>
    <x v="0"/>
    <n v="525"/>
    <n v="514.5"/>
    <n v="488.25"/>
    <n v="514.5"/>
    <n v="488.25"/>
    <s v="Full"/>
    <n v="0"/>
    <x v="5"/>
    <x v="30"/>
    <x v="30"/>
    <x v="128"/>
    <x v="12"/>
    <x v="74"/>
    <x v="1"/>
    <n v="26.25"/>
    <x v="30"/>
    <x v="7"/>
    <x v="1"/>
  </r>
  <r>
    <x v="236"/>
    <x v="236"/>
    <s v="Ch Robinson"/>
    <d v="2016-01-21T00:00:00"/>
    <x v="0"/>
    <n v="785"/>
    <n v="769.3"/>
    <n v="730.05000000000007"/>
    <n v="769.3"/>
    <n v="730.05000000000007"/>
    <s v="Full"/>
    <n v="0"/>
    <x v="5"/>
    <x v="30"/>
    <x v="30"/>
    <x v="129"/>
    <x v="72"/>
    <x v="64"/>
    <x v="1"/>
    <n v="39.249999999999929"/>
    <x v="30"/>
    <x v="7"/>
    <x v="1"/>
  </r>
  <r>
    <x v="237"/>
    <x v="237"/>
    <s v="Coyote"/>
    <d v="2016-01-14T00:00:00"/>
    <x v="0"/>
    <n v="350"/>
    <n v="339.5"/>
    <n v="315"/>
    <n v="339.5"/>
    <n v="315"/>
    <s v="Full"/>
    <n v="0"/>
    <x v="7"/>
    <x v="30"/>
    <x v="30"/>
    <x v="129"/>
    <x v="56"/>
    <x v="116"/>
    <x v="0"/>
    <n v="24.5"/>
    <x v="30"/>
    <x v="7"/>
    <x v="1"/>
  </r>
  <r>
    <x v="238"/>
    <x v="238"/>
    <s v="Tql"/>
    <d v="2016-01-22T00:00:00"/>
    <x v="0"/>
    <n v="651.20000000000005"/>
    <n v="631.66399999999999"/>
    <n v="605.6160000000001"/>
    <n v="631.66999999999996"/>
    <n v="605.6160000000001"/>
    <s v="Full"/>
    <n v="0"/>
    <x v="6"/>
    <x v="30"/>
    <x v="30"/>
    <x v="129"/>
    <x v="89"/>
    <x v="9"/>
    <x v="0"/>
    <n v="26.047999999999945"/>
    <x v="30"/>
    <x v="7"/>
    <x v="1"/>
  </r>
  <r>
    <x v="239"/>
    <x v="239"/>
    <s v="Ch Robinson"/>
    <d v="2016-01-21T00:00:00"/>
    <x v="0"/>
    <n v="375"/>
    <n v="367.5"/>
    <n v="348.75"/>
    <n v="367.5"/>
    <n v="348.75"/>
    <s v="Full"/>
    <n v="0"/>
    <x v="6"/>
    <x v="30"/>
    <x v="30"/>
    <x v="130"/>
    <x v="90"/>
    <x v="12"/>
    <x v="0"/>
    <n v="18.75"/>
    <x v="30"/>
    <x v="7"/>
    <x v="1"/>
  </r>
  <r>
    <x v="240"/>
    <x v="240"/>
    <s v="Ch Robinson"/>
    <d v="2016-01-20T00:00:00"/>
    <x v="0"/>
    <n v="375"/>
    <n v="367.5"/>
    <n v="325"/>
    <n v="367.5"/>
    <n v="325"/>
    <s v="Full"/>
    <n v="0"/>
    <x v="3"/>
    <x v="30"/>
    <x v="31"/>
    <x v="130"/>
    <x v="7"/>
    <x v="34"/>
    <x v="0"/>
    <n v="42.5"/>
    <x v="30"/>
    <x v="7"/>
    <x v="1"/>
  </r>
  <r>
    <x v="241"/>
    <x v="241"/>
    <s v="Ch Robinson"/>
    <d v="2016-01-21T00:00:00"/>
    <x v="0"/>
    <n v="500"/>
    <n v="490"/>
    <n v="465"/>
    <n v="490"/>
    <n v="465"/>
    <s v="Full"/>
    <n v="0"/>
    <x v="5"/>
    <x v="30"/>
    <x v="30"/>
    <x v="130"/>
    <x v="21"/>
    <x v="117"/>
    <x v="1"/>
    <n v="25"/>
    <x v="30"/>
    <x v="7"/>
    <x v="1"/>
  </r>
  <r>
    <x v="242"/>
    <x v="242"/>
    <s v="Ch Robinson"/>
    <d v="2016-01-25T00:00:00"/>
    <x v="0"/>
    <n v="600"/>
    <n v="588"/>
    <n v="561.5"/>
    <n v="588"/>
    <n v="561.5"/>
    <s v="Full"/>
    <n v="50"/>
    <x v="3"/>
    <x v="30"/>
    <x v="31"/>
    <x v="130"/>
    <x v="18"/>
    <x v="118"/>
    <x v="0"/>
    <n v="26.5"/>
    <x v="30"/>
    <x v="7"/>
    <x v="1"/>
  </r>
  <r>
    <x v="243"/>
    <x v="243"/>
    <s v="Ch Robinson"/>
    <d v="2016-01-21T00:00:00"/>
    <x v="0"/>
    <n v="375"/>
    <n v="367.5"/>
    <n v="348.75"/>
    <n v="367.5"/>
    <n v="348.75"/>
    <s v="Full"/>
    <n v="25"/>
    <x v="6"/>
    <x v="30"/>
    <x v="30"/>
    <x v="131"/>
    <x v="18"/>
    <x v="89"/>
    <x v="0"/>
    <n v="18.75"/>
    <x v="30"/>
    <x v="7"/>
    <x v="1"/>
  </r>
  <r>
    <x v="244"/>
    <x v="244"/>
    <s v="Ch Robinson"/>
    <d v="2016-01-21T00:00:00"/>
    <x v="0"/>
    <n v="480"/>
    <n v="470.4"/>
    <n v="446.4"/>
    <n v="470.4"/>
    <n v="446.4"/>
    <s v="Full"/>
    <n v="30"/>
    <x v="5"/>
    <x v="30"/>
    <x v="30"/>
    <x v="131"/>
    <x v="91"/>
    <x v="119"/>
    <x v="1"/>
    <n v="24.000000000000021"/>
    <x v="30"/>
    <x v="7"/>
    <x v="1"/>
  </r>
  <r>
    <x v="245"/>
    <x v="245"/>
    <s v="Ch Robinson"/>
    <d v="2016-01-25T00:00:00"/>
    <x v="0"/>
    <n v="225"/>
    <n v="220.5"/>
    <n v="209.25"/>
    <n v="220.5"/>
    <n v="209.25"/>
    <s v="Full"/>
    <n v="0"/>
    <x v="6"/>
    <x v="30"/>
    <x v="30"/>
    <x v="131"/>
    <x v="24"/>
    <x v="114"/>
    <x v="0"/>
    <n v="11.25"/>
    <x v="30"/>
    <x v="7"/>
    <x v="1"/>
  </r>
  <r>
    <x v="246"/>
    <x v="246"/>
    <s v="Ch Robinson"/>
    <d v="2016-02-01T00:00:00"/>
    <x v="0"/>
    <n v="775"/>
    <n v="759.5"/>
    <n v="705"/>
    <n v="759.5"/>
    <n v="705"/>
    <s v="Full"/>
    <n v="0"/>
    <x v="3"/>
    <x v="30"/>
    <x v="31"/>
    <x v="131"/>
    <x v="70"/>
    <x v="120"/>
    <x v="0"/>
    <n v="54.5"/>
    <x v="30"/>
    <x v="7"/>
    <x v="1"/>
  </r>
  <r>
    <x v="247"/>
    <x v="247"/>
    <s v="Cargobarn Inc."/>
    <d v="2016-01-27T00:00:00"/>
    <x v="0"/>
    <n v="300"/>
    <n v="291"/>
    <n v="275"/>
    <n v="291"/>
    <n v="275"/>
    <s v="Full"/>
    <n v="0"/>
    <x v="6"/>
    <x v="30"/>
    <x v="30"/>
    <x v="132"/>
    <x v="5"/>
    <x v="99"/>
    <x v="0"/>
    <n v="16"/>
    <x v="30"/>
    <x v="7"/>
    <x v="1"/>
  </r>
  <r>
    <x v="248"/>
    <x v="248"/>
    <s v="Ch Robinson"/>
    <d v="2016-02-01T00:00:00"/>
    <x v="0"/>
    <n v="350"/>
    <n v="343"/>
    <n v="300"/>
    <n v="343"/>
    <n v="300"/>
    <s v="Full"/>
    <n v="0"/>
    <x v="3"/>
    <x v="30"/>
    <x v="31"/>
    <x v="132"/>
    <x v="92"/>
    <x v="121"/>
    <x v="0"/>
    <n v="43"/>
    <x v="30"/>
    <x v="7"/>
    <x v="1"/>
  </r>
  <r>
    <x v="249"/>
    <x v="249"/>
    <s v="Ch Robinson"/>
    <d v="2016-01-25T00:00:00"/>
    <x v="0"/>
    <n v="375"/>
    <n v="367.5"/>
    <n v="325"/>
    <n v="367.5"/>
    <n v="325"/>
    <s v="Full"/>
    <n v="25"/>
    <x v="3"/>
    <x v="30"/>
    <x v="31"/>
    <x v="132"/>
    <x v="24"/>
    <x v="31"/>
    <x v="0"/>
    <n v="42.5"/>
    <x v="30"/>
    <x v="7"/>
    <x v="1"/>
  </r>
  <r>
    <x v="250"/>
    <x v="250"/>
    <s v="Ntl Logistics"/>
    <d v="2016-01-28T00:00:00"/>
    <x v="0"/>
    <n v="375"/>
    <n v="360"/>
    <n v="348.75"/>
    <n v="375"/>
    <n v="348.75"/>
    <s v="Full"/>
    <n v="0"/>
    <x v="6"/>
    <x v="30"/>
    <x v="30"/>
    <x v="132"/>
    <x v="93"/>
    <x v="122"/>
    <x v="0"/>
    <n v="11.25"/>
    <x v="30"/>
    <x v="7"/>
    <x v="1"/>
  </r>
  <r>
    <x v="251"/>
    <x v="251"/>
    <s v="Ch Robinson"/>
    <d v="2016-02-01T00:00:00"/>
    <x v="0"/>
    <n v="1300"/>
    <n v="1274"/>
    <n v="1209"/>
    <n v="1274"/>
    <n v="1209"/>
    <s v="Full"/>
    <n v="0"/>
    <x v="5"/>
    <x v="31"/>
    <x v="31"/>
    <x v="133"/>
    <x v="12"/>
    <x v="123"/>
    <x v="1"/>
    <n v="65"/>
    <x v="31"/>
    <x v="7"/>
    <x v="1"/>
  </r>
  <r>
    <x v="252"/>
    <x v="252"/>
    <s v="Pepsi Logistics Company Inc"/>
    <d v="2016-02-03T00:00:00"/>
    <x v="0"/>
    <n v="350"/>
    <n v="341.25"/>
    <n v="300"/>
    <n v="341.25"/>
    <n v="300"/>
    <s v="Full"/>
    <n v="0"/>
    <x v="3"/>
    <x v="31"/>
    <x v="32"/>
    <x v="133"/>
    <x v="16"/>
    <x v="23"/>
    <x v="0"/>
    <n v="41.25"/>
    <x v="31"/>
    <x v="7"/>
    <x v="1"/>
  </r>
  <r>
    <x v="253"/>
    <x v="253"/>
    <s v="Tql"/>
    <d v="2016-01-29T00:00:00"/>
    <x v="0"/>
    <n v="425"/>
    <n v="412.25"/>
    <n v="395.25"/>
    <n v="412.25"/>
    <n v="395.25"/>
    <s v="Full"/>
    <n v="0"/>
    <x v="6"/>
    <x v="31"/>
    <x v="31"/>
    <x v="133"/>
    <x v="94"/>
    <x v="124"/>
    <x v="1"/>
    <n v="17"/>
    <x v="31"/>
    <x v="7"/>
    <x v="1"/>
  </r>
  <r>
    <x v="254"/>
    <x v="254"/>
    <s v="Ch Robinson"/>
    <d v="2016-02-17T00:00:00"/>
    <x v="0"/>
    <n v="700"/>
    <n v="686"/>
    <n v="651"/>
    <n v="686"/>
    <n v="651"/>
    <s v="Full"/>
    <n v="0"/>
    <x v="6"/>
    <x v="31"/>
    <x v="31"/>
    <x v="134"/>
    <x v="80"/>
    <x v="125"/>
    <x v="1"/>
    <n v="35"/>
    <x v="31"/>
    <x v="7"/>
    <x v="1"/>
  </r>
  <r>
    <x v="255"/>
    <x v="255"/>
    <s v="Ch Robinson"/>
    <d v="2016-02-01T00:00:00"/>
    <x v="0"/>
    <n v="400"/>
    <n v="392"/>
    <n v="372"/>
    <n v="392"/>
    <n v="372"/>
    <s v="Full"/>
    <n v="0"/>
    <x v="5"/>
    <x v="31"/>
    <x v="31"/>
    <x v="135"/>
    <x v="95"/>
    <x v="126"/>
    <x v="1"/>
    <n v="20"/>
    <x v="31"/>
    <x v="7"/>
    <x v="1"/>
  </r>
  <r>
    <x v="256"/>
    <x v="256"/>
    <s v="Ch Robinson"/>
    <d v="2016-01-29T00:00:00"/>
    <x v="0"/>
    <n v="600"/>
    <n v="588"/>
    <n v="558"/>
    <n v="588"/>
    <n v="558"/>
    <s v="Full"/>
    <n v="0"/>
    <x v="6"/>
    <x v="31"/>
    <x v="31"/>
    <x v="135"/>
    <x v="96"/>
    <x v="127"/>
    <x v="1"/>
    <n v="30"/>
    <x v="31"/>
    <x v="7"/>
    <x v="1"/>
  </r>
  <r>
    <x v="257"/>
    <x v="257"/>
    <s v="Cargobarn Inc."/>
    <d v="2016-01-27T00:00:00"/>
    <x v="0"/>
    <n v="550"/>
    <n v="533.5"/>
    <n v="500"/>
    <n v="533.5"/>
    <n v="500"/>
    <s v="Full"/>
    <n v="0"/>
    <x v="3"/>
    <x v="31"/>
    <x v="32"/>
    <x v="136"/>
    <x v="97"/>
    <x v="128"/>
    <x v="0"/>
    <n v="33.5"/>
    <x v="31"/>
    <x v="7"/>
    <x v="1"/>
  </r>
  <r>
    <x v="258"/>
    <x v="258"/>
    <s v="Ch Robinson"/>
    <d v="2016-01-28T00:00:00"/>
    <x v="0"/>
    <n v="800"/>
    <n v="784"/>
    <n v="744"/>
    <n v="784"/>
    <n v="744"/>
    <s v="Full"/>
    <n v="0"/>
    <x v="5"/>
    <x v="31"/>
    <x v="31"/>
    <x v="136"/>
    <x v="98"/>
    <x v="47"/>
    <x v="0"/>
    <n v="40"/>
    <x v="31"/>
    <x v="7"/>
    <x v="1"/>
  </r>
  <r>
    <x v="259"/>
    <x v="259"/>
    <s v="Knight Logistics Llc"/>
    <d v="2016-02-04T00:00:00"/>
    <x v="0"/>
    <n v="500"/>
    <n v="500"/>
    <n v="450"/>
    <n v="500"/>
    <n v="450"/>
    <s v="Full"/>
    <n v="0"/>
    <x v="3"/>
    <x v="31"/>
    <x v="32"/>
    <x v="136"/>
    <x v="99"/>
    <x v="124"/>
    <x v="0"/>
    <n v="50"/>
    <x v="31"/>
    <x v="7"/>
    <x v="1"/>
  </r>
  <r>
    <x v="260"/>
    <x v="260"/>
    <s v="Cargobarn Inc."/>
    <d v="2016-01-27T00:00:00"/>
    <x v="0"/>
    <n v="250"/>
    <n v="242.5"/>
    <n v="225"/>
    <n v="242.5"/>
    <n v="225"/>
    <s v="Full"/>
    <n v="0"/>
    <x v="6"/>
    <x v="31"/>
    <x v="31"/>
    <x v="137"/>
    <x v="5"/>
    <x v="16"/>
    <x v="0"/>
    <n v="17.5"/>
    <x v="31"/>
    <x v="7"/>
    <x v="1"/>
  </r>
  <r>
    <x v="261"/>
    <x v="261"/>
    <s v="Cargobarn Inc."/>
    <d v="2016-01-27T00:00:00"/>
    <x v="0"/>
    <n v="300"/>
    <n v="291"/>
    <n v="275"/>
    <n v="291"/>
    <n v="275"/>
    <s v="Full"/>
    <n v="0"/>
    <x v="6"/>
    <x v="32"/>
    <x v="32"/>
    <x v="138"/>
    <x v="5"/>
    <x v="99"/>
    <x v="0"/>
    <n v="16"/>
    <x v="32"/>
    <x v="7"/>
    <x v="1"/>
  </r>
  <r>
    <x v="262"/>
    <x v="262"/>
    <s v="Cargobarn Inc."/>
    <d v="2016-01-27T00:00:00"/>
    <x v="0"/>
    <n v="300"/>
    <n v="291"/>
    <n v="275"/>
    <n v="291"/>
    <n v="275"/>
    <s v="Full"/>
    <n v="0"/>
    <x v="3"/>
    <x v="32"/>
    <x v="33"/>
    <x v="138"/>
    <x v="5"/>
    <x v="99"/>
    <x v="0"/>
    <n v="16"/>
    <x v="32"/>
    <x v="7"/>
    <x v="1"/>
  </r>
  <r>
    <x v="263"/>
    <x v="263"/>
    <s v="Ch Robinson"/>
    <d v="2016-02-08T00:00:00"/>
    <x v="0"/>
    <n v="380"/>
    <n v="372.4"/>
    <n v="353.4"/>
    <n v="372.4"/>
    <n v="353.4"/>
    <s v="Full"/>
    <n v="30"/>
    <x v="5"/>
    <x v="32"/>
    <x v="32"/>
    <x v="138"/>
    <x v="31"/>
    <x v="11"/>
    <x v="0"/>
    <n v="19.000000000000021"/>
    <x v="32"/>
    <x v="7"/>
    <x v="1"/>
  </r>
  <r>
    <x v="264"/>
    <x v="264"/>
    <s v="Ch Robinson"/>
    <d v="2016-02-08T00:00:00"/>
    <x v="0"/>
    <n v="350"/>
    <n v="343"/>
    <n v="325.5"/>
    <n v="343"/>
    <n v="325.5"/>
    <s v="Full"/>
    <n v="0"/>
    <x v="6"/>
    <x v="32"/>
    <x v="32"/>
    <x v="139"/>
    <x v="100"/>
    <x v="129"/>
    <x v="0"/>
    <n v="17.5"/>
    <x v="32"/>
    <x v="7"/>
    <x v="1"/>
  </r>
  <r>
    <x v="265"/>
    <x v="265"/>
    <s v="Ch Robinson"/>
    <d v="2016-02-08T00:00:00"/>
    <x v="0"/>
    <n v="500"/>
    <n v="490"/>
    <n v="465"/>
    <n v="490"/>
    <n v="465"/>
    <s v="Full"/>
    <n v="0"/>
    <x v="5"/>
    <x v="32"/>
    <x v="32"/>
    <x v="139"/>
    <x v="4"/>
    <x v="117"/>
    <x v="0"/>
    <n v="25"/>
    <x v="32"/>
    <x v="7"/>
    <x v="1"/>
  </r>
  <r>
    <x v="266"/>
    <x v="266"/>
    <s v="Ch Robinson"/>
    <d v="2016-02-08T00:00:00"/>
    <x v="0"/>
    <n v="705"/>
    <n v="690.9"/>
    <n v="655.65"/>
    <n v="690.9"/>
    <n v="655.65"/>
    <s v="Full"/>
    <n v="105"/>
    <x v="5"/>
    <x v="32"/>
    <x v="32"/>
    <x v="140"/>
    <x v="34"/>
    <x v="45"/>
    <x v="0"/>
    <n v="35.250000000000021"/>
    <x v="32"/>
    <x v="7"/>
    <x v="1"/>
  </r>
  <r>
    <x v="267"/>
    <x v="267"/>
    <s v="Tql"/>
    <d v="2016-02-08T00:00:00"/>
    <x v="0"/>
    <n v="290"/>
    <n v="281.3"/>
    <n v="269.7"/>
    <n v="281.3"/>
    <n v="269.7"/>
    <s v="Full"/>
    <n v="40"/>
    <x v="5"/>
    <x v="32"/>
    <x v="32"/>
    <x v="141"/>
    <x v="101"/>
    <x v="47"/>
    <x v="0"/>
    <n v="11.600000000000012"/>
    <x v="32"/>
    <x v="7"/>
    <x v="1"/>
  </r>
  <r>
    <x v="268"/>
    <x v="268"/>
    <s v="Us Xpress Logistics"/>
    <d v="2016-03-03T00:00:00"/>
    <x v="0"/>
    <n v="600"/>
    <n v="591"/>
    <n v="558"/>
    <n v="591"/>
    <n v="558"/>
    <s v="Full"/>
    <n v="0"/>
    <x v="5"/>
    <x v="32"/>
    <x v="32"/>
    <x v="141"/>
    <x v="23"/>
    <x v="130"/>
    <x v="0"/>
    <n v="33"/>
    <x v="32"/>
    <x v="7"/>
    <x v="1"/>
  </r>
  <r>
    <x v="269"/>
    <x v="269"/>
    <s v="Cavalry Logistics"/>
    <d v="2016-02-16T00:00:00"/>
    <x v="0"/>
    <n v="674"/>
    <n v="660.52"/>
    <n v="626.82000000000005"/>
    <n v="660.52"/>
    <n v="626.82000000000005"/>
    <s v="Full"/>
    <n v="0"/>
    <x v="5"/>
    <x v="33"/>
    <x v="33"/>
    <x v="142"/>
    <x v="102"/>
    <x v="9"/>
    <x v="0"/>
    <n v="33.699999999999946"/>
    <x v="33"/>
    <x v="8"/>
    <x v="1"/>
  </r>
  <r>
    <x v="270"/>
    <x v="270"/>
    <s v="Ch Robinson"/>
    <d v="2016-02-11T00:00:00"/>
    <x v="0"/>
    <n v="790"/>
    <n v="774.19999999999993"/>
    <n v="734.7"/>
    <n v="774.2"/>
    <n v="734.7"/>
    <s v="Full"/>
    <n v="340"/>
    <x v="6"/>
    <x v="33"/>
    <x v="33"/>
    <x v="142"/>
    <x v="24"/>
    <x v="58"/>
    <x v="0"/>
    <n v="39.499999999999957"/>
    <x v="33"/>
    <x v="8"/>
    <x v="1"/>
  </r>
  <r>
    <x v="271"/>
    <x v="271"/>
    <s v="Ch Robinson"/>
    <d v="2016-02-11T00:00:00"/>
    <x v="0"/>
    <n v="325"/>
    <n v="318.5"/>
    <n v="300"/>
    <n v="318.5"/>
    <n v="300"/>
    <s v="Full"/>
    <n v="0"/>
    <x v="3"/>
    <x v="33"/>
    <x v="34"/>
    <x v="142"/>
    <x v="20"/>
    <x v="12"/>
    <x v="0"/>
    <n v="18.5"/>
    <x v="33"/>
    <x v="8"/>
    <x v="1"/>
  </r>
  <r>
    <x v="272"/>
    <x v="272"/>
    <s v="Pinnacle Transportation Logistics"/>
    <d v="2016-02-10T00:00:00"/>
    <x v="0"/>
    <n v="350"/>
    <n v="332.5"/>
    <n v="325"/>
    <n v="332.5"/>
    <n v="325"/>
    <s v="Full"/>
    <n v="0"/>
    <x v="3"/>
    <x v="33"/>
    <x v="34"/>
    <x v="142"/>
    <x v="55"/>
    <x v="24"/>
    <x v="0"/>
    <n v="7.5"/>
    <x v="33"/>
    <x v="8"/>
    <x v="1"/>
  </r>
  <r>
    <x v="273"/>
    <x v="273"/>
    <s v="Ch Robinson"/>
    <d v="2016-02-16T00:00:00"/>
    <x v="0"/>
    <n v="450"/>
    <n v="441"/>
    <n v="465"/>
    <n v="441"/>
    <n v="465"/>
    <s v="Full"/>
    <n v="50"/>
    <x v="5"/>
    <x v="33"/>
    <x v="33"/>
    <x v="143"/>
    <x v="4"/>
    <x v="84"/>
    <x v="0"/>
    <n v="-24"/>
    <x v="33"/>
    <x v="8"/>
    <x v="1"/>
  </r>
  <r>
    <x v="274"/>
    <x v="274"/>
    <s v="Covenant Transport Solutions"/>
    <d v="2016-03-18T00:00:00"/>
    <x v="0"/>
    <n v="200"/>
    <n v="200"/>
    <n v="175"/>
    <n v="200"/>
    <n v="175"/>
    <s v="Full"/>
    <n v="0"/>
    <x v="3"/>
    <x v="33"/>
    <x v="34"/>
    <x v="143"/>
    <x v="16"/>
    <x v="14"/>
    <x v="0"/>
    <n v="25"/>
    <x v="33"/>
    <x v="8"/>
    <x v="1"/>
  </r>
  <r>
    <x v="275"/>
    <x v="275"/>
    <s v="Coyote"/>
    <d v="2016-02-09T00:00:00"/>
    <x v="0"/>
    <n v="300"/>
    <n v="291"/>
    <n v="275"/>
    <n v="291"/>
    <n v="275"/>
    <s v="Full"/>
    <n v="0"/>
    <x v="3"/>
    <x v="33"/>
    <x v="34"/>
    <x v="143"/>
    <x v="19"/>
    <x v="2"/>
    <x v="0"/>
    <n v="16"/>
    <x v="33"/>
    <x v="8"/>
    <x v="1"/>
  </r>
  <r>
    <x v="276"/>
    <x v="276"/>
    <s v="Ch Robinson"/>
    <d v="2016-02-11T00:00:00"/>
    <x v="0"/>
    <n v="135"/>
    <n v="132.30000000000001"/>
    <n v="125"/>
    <n v="132.30000000000001"/>
    <n v="125"/>
    <s v="Full"/>
    <n v="0"/>
    <x v="3"/>
    <x v="33"/>
    <x v="34"/>
    <x v="144"/>
    <x v="24"/>
    <x v="16"/>
    <x v="0"/>
    <n v="7.3"/>
    <x v="33"/>
    <x v="8"/>
    <x v="1"/>
  </r>
  <r>
    <x v="277"/>
    <x v="277"/>
    <s v="Ch Robinson"/>
    <d v="2016-02-11T00:00:00"/>
    <x v="0"/>
    <n v="400"/>
    <n v="392"/>
    <n v="372"/>
    <n v="392"/>
    <n v="372"/>
    <s v="Full"/>
    <n v="0"/>
    <x v="6"/>
    <x v="33"/>
    <x v="33"/>
    <x v="144"/>
    <x v="26"/>
    <x v="16"/>
    <x v="0"/>
    <n v="20"/>
    <x v="33"/>
    <x v="8"/>
    <x v="1"/>
  </r>
  <r>
    <x v="278"/>
    <x v="278"/>
    <s v="Coyote"/>
    <d v="2016-02-17T00:00:00"/>
    <x v="0"/>
    <n v="600"/>
    <n v="582"/>
    <n v="558"/>
    <n v="582"/>
    <n v="558"/>
    <s v="Full"/>
    <n v="0"/>
    <x v="5"/>
    <x v="33"/>
    <x v="33"/>
    <x v="144"/>
    <x v="9"/>
    <x v="131"/>
    <x v="0"/>
    <n v="24"/>
    <x v="33"/>
    <x v="8"/>
    <x v="1"/>
  </r>
  <r>
    <x v="279"/>
    <x v="279"/>
    <s v="Its National "/>
    <d v="2016-03-02T00:00:00"/>
    <x v="0"/>
    <n v="800"/>
    <n v="800"/>
    <n v="744"/>
    <n v="800"/>
    <n v="744"/>
    <s v="Full"/>
    <n v="0"/>
    <x v="5"/>
    <x v="33"/>
    <x v="33"/>
    <x v="145"/>
    <x v="103"/>
    <x v="46"/>
    <x v="0"/>
    <n v="56"/>
    <x v="33"/>
    <x v="8"/>
    <x v="1"/>
  </r>
  <r>
    <x v="280"/>
    <x v="280"/>
    <s v="Tql"/>
    <d v="2016-02-14T00:00:00"/>
    <x v="0"/>
    <n v="450"/>
    <n v="436.5"/>
    <n v="400"/>
    <n v="436.5"/>
    <n v="400"/>
    <s v="Full"/>
    <n v="0"/>
    <x v="3"/>
    <x v="33"/>
    <x v="34"/>
    <x v="145"/>
    <x v="9"/>
    <x v="132"/>
    <x v="0"/>
    <n v="36.5"/>
    <x v="33"/>
    <x v="8"/>
    <x v="1"/>
  </r>
  <r>
    <x v="281"/>
    <x v="281"/>
    <s v="Cargobarn Inc."/>
    <d v="2016-02-12T00:00:00"/>
    <x v="0"/>
    <n v="300"/>
    <n v="291"/>
    <n v="279"/>
    <n v="291"/>
    <n v="279"/>
    <s v="Full"/>
    <n v="0"/>
    <x v="6"/>
    <x v="33"/>
    <x v="33"/>
    <x v="146"/>
    <x v="5"/>
    <x v="99"/>
    <x v="0"/>
    <n v="12"/>
    <x v="33"/>
    <x v="8"/>
    <x v="1"/>
  </r>
  <r>
    <x v="282"/>
    <x v="282"/>
    <s v="Ch Robinson"/>
    <d v="2016-02-16T00:00:00"/>
    <x v="0"/>
    <n v="425"/>
    <n v="416.5"/>
    <n v="395.25"/>
    <n v="416.5"/>
    <n v="395.25"/>
    <s v="Full"/>
    <n v="0"/>
    <x v="6"/>
    <x v="33"/>
    <x v="33"/>
    <x v="146"/>
    <x v="12"/>
    <x v="133"/>
    <x v="0"/>
    <n v="21.25"/>
    <x v="33"/>
    <x v="8"/>
    <x v="1"/>
  </r>
  <r>
    <x v="283"/>
    <x v="283"/>
    <s v="Ch Robinson"/>
    <d v="2016-02-12T00:00:00"/>
    <x v="0"/>
    <n v="300"/>
    <n v="294"/>
    <n v="275"/>
    <n v="294"/>
    <n v="275"/>
    <s v="Full"/>
    <n v="0"/>
    <x v="3"/>
    <x v="33"/>
    <x v="34"/>
    <x v="146"/>
    <x v="16"/>
    <x v="101"/>
    <x v="0"/>
    <n v="19"/>
    <x v="33"/>
    <x v="8"/>
    <x v="1"/>
  </r>
  <r>
    <x v="284"/>
    <x v="284"/>
    <s v="Cargobarn Inc."/>
    <d v="2016-02-19T00:00:00"/>
    <x v="0"/>
    <n v="200"/>
    <n v="194"/>
    <n v="175"/>
    <n v="194"/>
    <n v="175"/>
    <s v="Full"/>
    <n v="0"/>
    <x v="3"/>
    <x v="33"/>
    <x v="34"/>
    <x v="147"/>
    <x v="5"/>
    <x v="12"/>
    <x v="0"/>
    <n v="19"/>
    <x v="33"/>
    <x v="8"/>
    <x v="1"/>
  </r>
  <r>
    <x v="285"/>
    <x v="285"/>
    <s v="England Logistics, Inc."/>
    <d v="2016-02-17T00:00:00"/>
    <x v="0"/>
    <n v="600"/>
    <n v="576"/>
    <n v="550"/>
    <n v="566"/>
    <n v="550"/>
    <s v="Less"/>
    <n v="0"/>
    <x v="3"/>
    <x v="34"/>
    <x v="35"/>
    <x v="148"/>
    <x v="9"/>
    <x v="131"/>
    <x v="0"/>
    <n v="26"/>
    <x v="34"/>
    <x v="8"/>
    <x v="1"/>
  </r>
  <r>
    <x v="286"/>
    <x v="286"/>
    <s v="Cavalry Logistics"/>
    <d v="2016-02-18T00:00:00"/>
    <x v="0"/>
    <n v="311"/>
    <n v="304.77999999999997"/>
    <n v="289.23"/>
    <n v="304.77999999999997"/>
    <n v="289.23"/>
    <s v="Full"/>
    <n v="0"/>
    <x v="6"/>
    <x v="34"/>
    <x v="34"/>
    <x v="149"/>
    <x v="4"/>
    <x v="16"/>
    <x v="0"/>
    <n v="15.549999999999983"/>
    <x v="34"/>
    <x v="8"/>
    <x v="1"/>
  </r>
  <r>
    <x v="287"/>
    <x v="287"/>
    <s v="Tql"/>
    <d v="2016-02-15T00:00:00"/>
    <x v="0"/>
    <n v="917"/>
    <n v="889.49"/>
    <n v="867"/>
    <n v="889.49"/>
    <n v="867"/>
    <s v="Full"/>
    <n v="0"/>
    <x v="3"/>
    <x v="34"/>
    <x v="35"/>
    <x v="149"/>
    <x v="102"/>
    <x v="134"/>
    <x v="0"/>
    <n v="22.490000000000002"/>
    <x v="34"/>
    <x v="8"/>
    <x v="1"/>
  </r>
  <r>
    <x v="288"/>
    <x v="288"/>
    <s v="Bnsf Logistics"/>
    <d v="2016-03-10T00:00:00"/>
    <x v="0"/>
    <n v="300"/>
    <n v="294"/>
    <n v="275"/>
    <n v="300"/>
    <n v="275"/>
    <s v="Full"/>
    <n v="0"/>
    <x v="3"/>
    <x v="34"/>
    <x v="35"/>
    <x v="150"/>
    <x v="27"/>
    <x v="12"/>
    <x v="0"/>
    <n v="19"/>
    <x v="34"/>
    <x v="8"/>
    <x v="1"/>
  </r>
  <r>
    <x v="289"/>
    <x v="289"/>
    <s v="Somerset Logistics"/>
    <d v="2016-03-03T00:00:00"/>
    <x v="0"/>
    <n v="450"/>
    <n v="427.5"/>
    <n v="418.5"/>
    <n v="427.5"/>
    <n v="418.5"/>
    <s v="Full"/>
    <n v="0"/>
    <x v="6"/>
    <x v="34"/>
    <x v="34"/>
    <x v="150"/>
    <x v="15"/>
    <x v="63"/>
    <x v="0"/>
    <n v="9"/>
    <x v="34"/>
    <x v="8"/>
    <x v="1"/>
  </r>
  <r>
    <x v="290"/>
    <x v="290"/>
    <s v="Sunteck Transport Co. Inc"/>
    <d v="2016-02-17T00:00:00"/>
    <x v="0"/>
    <n v="600"/>
    <n v="585"/>
    <n v="558"/>
    <n v="585"/>
    <n v="558"/>
    <s v="Full"/>
    <n v="0"/>
    <x v="5"/>
    <x v="34"/>
    <x v="34"/>
    <x v="150"/>
    <x v="104"/>
    <x v="135"/>
    <x v="0"/>
    <n v="27"/>
    <x v="34"/>
    <x v="8"/>
    <x v="1"/>
  </r>
  <r>
    <x v="291"/>
    <x v="291"/>
    <s v="Cargobarn Inc."/>
    <d v="2016-02-19T00:00:00"/>
    <x v="0"/>
    <n v="300"/>
    <n v="291"/>
    <n v="275"/>
    <n v="291"/>
    <n v="275"/>
    <s v="Full"/>
    <n v="0"/>
    <x v="3"/>
    <x v="34"/>
    <x v="35"/>
    <x v="151"/>
    <x v="5"/>
    <x v="99"/>
    <x v="0"/>
    <n v="16"/>
    <x v="34"/>
    <x v="8"/>
    <x v="1"/>
  </r>
  <r>
    <x v="292"/>
    <x v="292"/>
    <s v="Pepsi Logistics Company Inc"/>
    <d v="2016-02-02T00:00:00"/>
    <x v="0"/>
    <n v="500"/>
    <n v="487.5"/>
    <n v="465"/>
    <n v="487.5"/>
    <n v="465"/>
    <s v="Full"/>
    <n v="0"/>
    <x v="5"/>
    <x v="34"/>
    <x v="34"/>
    <x v="151"/>
    <x v="8"/>
    <x v="64"/>
    <x v="0"/>
    <n v="22.5"/>
    <x v="34"/>
    <x v="8"/>
    <x v="1"/>
  </r>
  <r>
    <x v="293"/>
    <x v="293"/>
    <s v="Cargobarn Inc."/>
    <d v="2016-02-19T00:00:00"/>
    <x v="0"/>
    <n v="300"/>
    <n v="291"/>
    <n v="275"/>
    <n v="291"/>
    <n v="275"/>
    <s v="Full"/>
    <n v="0"/>
    <x v="3"/>
    <x v="34"/>
    <x v="35"/>
    <x v="152"/>
    <x v="5"/>
    <x v="99"/>
    <x v="0"/>
    <n v="16"/>
    <x v="34"/>
    <x v="8"/>
    <x v="1"/>
  </r>
  <r>
    <x v="294"/>
    <x v="294"/>
    <s v="Cargobarn Inc."/>
    <d v="2016-02-19T00:00:00"/>
    <x v="0"/>
    <n v="300"/>
    <n v="291"/>
    <n v="279"/>
    <n v="291"/>
    <n v="279"/>
    <s v="Full"/>
    <n v="0"/>
    <x v="6"/>
    <x v="34"/>
    <x v="34"/>
    <x v="152"/>
    <x v="5"/>
    <x v="99"/>
    <x v="0"/>
    <n v="12"/>
    <x v="34"/>
    <x v="8"/>
    <x v="1"/>
  </r>
  <r>
    <x v="295"/>
    <x v="295"/>
    <s v="Sunteck Transport Co. Inc"/>
    <d v="2016-02-17T00:00:00"/>
    <x v="0"/>
    <n v="600"/>
    <n v="585"/>
    <n v="550"/>
    <n v="585"/>
    <n v="550"/>
    <s v="Full"/>
    <n v="0"/>
    <x v="3"/>
    <x v="34"/>
    <x v="35"/>
    <x v="152"/>
    <x v="104"/>
    <x v="135"/>
    <x v="0"/>
    <n v="35"/>
    <x v="34"/>
    <x v="8"/>
    <x v="1"/>
  </r>
  <r>
    <x v="296"/>
    <x v="296"/>
    <s v="Cargobarn Inc."/>
    <d v="2016-02-19T00:00:00"/>
    <x v="0"/>
    <n v="300"/>
    <n v="291"/>
    <n v="279"/>
    <n v="291"/>
    <n v="279"/>
    <s v="Full"/>
    <n v="0"/>
    <x v="8"/>
    <x v="35"/>
    <x v="35"/>
    <x v="153"/>
    <x v="105"/>
    <x v="99"/>
    <x v="0"/>
    <n v="12"/>
    <x v="35"/>
    <x v="8"/>
    <x v="1"/>
  </r>
  <r>
    <x v="297"/>
    <x v="297"/>
    <s v="Coyote"/>
    <d v="2016-02-17T00:00:00"/>
    <x v="0"/>
    <n v="500"/>
    <n v="485"/>
    <n v="450"/>
    <n v="485"/>
    <n v="450"/>
    <s v="Full"/>
    <n v="0"/>
    <x v="3"/>
    <x v="35"/>
    <x v="36"/>
    <x v="153"/>
    <x v="85"/>
    <x v="12"/>
    <x v="0"/>
    <n v="35"/>
    <x v="35"/>
    <x v="8"/>
    <x v="1"/>
  </r>
  <r>
    <x v="298"/>
    <x v="298"/>
    <s v="Global Freight Management"/>
    <d v="2016-02-15T00:00:00"/>
    <x v="0"/>
    <n v="200"/>
    <n v="200"/>
    <n v="186"/>
    <n v="200"/>
    <n v="186"/>
    <s v="Full"/>
    <n v="0"/>
    <x v="8"/>
    <x v="35"/>
    <x v="35"/>
    <x v="153"/>
    <x v="31"/>
    <x v="95"/>
    <x v="0"/>
    <n v="14"/>
    <x v="35"/>
    <x v="8"/>
    <x v="1"/>
  </r>
  <r>
    <x v="299"/>
    <x v="299"/>
    <s v="Matson Logistics"/>
    <d v="2016-02-18T00:00:00"/>
    <x v="0"/>
    <n v="400"/>
    <n v="392"/>
    <n v="372"/>
    <n v="392"/>
    <n v="372"/>
    <s v="Full"/>
    <n v="0"/>
    <x v="5"/>
    <x v="35"/>
    <x v="35"/>
    <x v="153"/>
    <x v="106"/>
    <x v="42"/>
    <x v="0"/>
    <n v="20"/>
    <x v="35"/>
    <x v="8"/>
    <x v="1"/>
  </r>
  <r>
    <x v="300"/>
    <x v="300"/>
    <s v="Ch Robinson"/>
    <d v="2016-03-07T00:00:00"/>
    <x v="0"/>
    <n v="500"/>
    <n v="490"/>
    <n v="465"/>
    <n v="40"/>
    <n v="465"/>
    <s v="Less"/>
    <n v="0"/>
    <x v="8"/>
    <x v="35"/>
    <x v="35"/>
    <x v="154"/>
    <x v="16"/>
    <x v="136"/>
    <x v="0"/>
    <n v="25"/>
    <x v="35"/>
    <x v="8"/>
    <x v="1"/>
  </r>
  <r>
    <x v="301"/>
    <x v="301"/>
    <s v="Pinnacle Transportation Logistics"/>
    <d v="2016-03-04T00:00:00"/>
    <x v="0"/>
    <n v="275"/>
    <n v="261.25"/>
    <n v="255.75"/>
    <n v="261"/>
    <n v="255.75"/>
    <s v="Less"/>
    <n v="0"/>
    <x v="8"/>
    <x v="35"/>
    <x v="35"/>
    <x v="154"/>
    <x v="11"/>
    <x v="2"/>
    <x v="0"/>
    <n v="5.5"/>
    <x v="35"/>
    <x v="8"/>
    <x v="1"/>
  </r>
  <r>
    <x v="302"/>
    <x v="302"/>
    <s v="Ta Services Inc."/>
    <d v="2016-03-11T00:00:00"/>
    <x v="0"/>
    <n v="550"/>
    <n v="550"/>
    <n v="500"/>
    <n v="550"/>
    <n v="500"/>
    <s v="Full"/>
    <n v="0"/>
    <x v="3"/>
    <x v="35"/>
    <x v="36"/>
    <x v="154"/>
    <x v="12"/>
    <x v="137"/>
    <x v="0"/>
    <n v="50"/>
    <x v="35"/>
    <x v="8"/>
    <x v="1"/>
  </r>
  <r>
    <x v="303"/>
    <x v="303"/>
    <s v="Magellan Transport Logistics"/>
    <d v="2016-02-23T00:00:00"/>
    <x v="0"/>
    <n v="500"/>
    <n v="480"/>
    <n v="465"/>
    <n v="480"/>
    <n v="465"/>
    <s v="Full"/>
    <n v="0"/>
    <x v="5"/>
    <x v="35"/>
    <x v="35"/>
    <x v="155"/>
    <x v="43"/>
    <x v="138"/>
    <x v="0"/>
    <n v="15"/>
    <x v="35"/>
    <x v="8"/>
    <x v="1"/>
  </r>
  <r>
    <x v="304"/>
    <x v="304"/>
    <s v="Matson Logistics"/>
    <s v="2/19/2016 "/>
    <x v="0"/>
    <n v="600"/>
    <n v="588"/>
    <n v="550"/>
    <n v="588"/>
    <n v="550"/>
    <s v="Full"/>
    <n v="0"/>
    <x v="3"/>
    <x v="35"/>
    <x v="36"/>
    <x v="155"/>
    <x v="85"/>
    <x v="139"/>
    <x v="0"/>
    <n v="38"/>
    <x v="35"/>
    <x v="8"/>
    <x v="1"/>
  </r>
  <r>
    <x v="305"/>
    <x v="305"/>
    <s v="Pepsi Logistics Company Inc"/>
    <d v="2016-03-03T00:00:00"/>
    <x v="0"/>
    <n v="1190"/>
    <n v="1154.3"/>
    <n v="1106.7"/>
    <n v="1154.3"/>
    <n v="1106.7"/>
    <s v="Full"/>
    <n v="90"/>
    <x v="8"/>
    <x v="35"/>
    <x v="35"/>
    <x v="155"/>
    <x v="8"/>
    <x v="140"/>
    <x v="0"/>
    <n v="47.599999999999959"/>
    <x v="35"/>
    <x v="8"/>
    <x v="1"/>
  </r>
  <r>
    <x v="306"/>
    <x v="306"/>
    <s v="Cargobarn Inc."/>
    <d v="2016-03-28T00:00:00"/>
    <x v="0"/>
    <n v="450"/>
    <n v="436.5"/>
    <n v="418.5"/>
    <n v="363"/>
    <n v="418.5"/>
    <s v="Less"/>
    <n v="75"/>
    <x v="5"/>
    <x v="35"/>
    <x v="35"/>
    <x v="156"/>
    <x v="56"/>
    <x v="11"/>
    <x v="0"/>
    <n v="18"/>
    <x v="35"/>
    <x v="8"/>
    <x v="1"/>
  </r>
  <r>
    <x v="307"/>
    <x v="307"/>
    <s v="Globaltranz"/>
    <d v="2016-03-03T00:00:00"/>
    <x v="0"/>
    <n v="475"/>
    <n v="456"/>
    <n v="425"/>
    <n v="475"/>
    <n v="425"/>
    <s v="Full"/>
    <n v="0"/>
    <x v="3"/>
    <x v="35"/>
    <x v="36"/>
    <x v="156"/>
    <x v="107"/>
    <x v="24"/>
    <x v="0"/>
    <n v="31"/>
    <x v="35"/>
    <x v="8"/>
    <x v="1"/>
  </r>
  <r>
    <x v="308"/>
    <x v="308"/>
    <s v="Gardner Global Logistics, Inc."/>
    <d v="2016-04-25T00:00:00"/>
    <x v="0"/>
    <n v="700"/>
    <n v="700"/>
    <n v="651"/>
    <n v="700"/>
    <n v="651"/>
    <s v="Full"/>
    <n v="0"/>
    <x v="3"/>
    <x v="35"/>
    <x v="36"/>
    <x v="157"/>
    <x v="37"/>
    <x v="94"/>
    <x v="0"/>
    <n v="49"/>
    <x v="35"/>
    <x v="8"/>
    <x v="1"/>
  </r>
  <r>
    <x v="309"/>
    <x v="309"/>
    <s v="Interstate Distributor Co"/>
    <d v="2016-02-26T00:00:00"/>
    <x v="0"/>
    <n v="1080"/>
    <n v="1063.8"/>
    <n v="750"/>
    <n v="1063.8"/>
    <n v="750"/>
    <s v="Full"/>
    <n v="80"/>
    <x v="5"/>
    <x v="35"/>
    <x v="35"/>
    <x v="157"/>
    <x v="4"/>
    <x v="141"/>
    <x v="0"/>
    <n v="19.39999999999991"/>
    <x v="35"/>
    <x v="8"/>
    <x v="1"/>
  </r>
  <r>
    <x v="310"/>
    <x v="310"/>
    <s v="Tql"/>
    <d v="2016-03-01T00:00:00"/>
    <x v="0"/>
    <n v="700"/>
    <n v="679"/>
    <n v="651"/>
    <n v="679"/>
    <n v="651"/>
    <s v="Full"/>
    <n v="0"/>
    <x v="8"/>
    <x v="35"/>
    <x v="35"/>
    <x v="157"/>
    <x v="108"/>
    <x v="11"/>
    <x v="0"/>
    <n v="28"/>
    <x v="35"/>
    <x v="8"/>
    <x v="1"/>
  </r>
  <r>
    <x v="311"/>
    <x v="309"/>
    <s v="Interstate Distributor Co"/>
    <s v="NA"/>
    <x v="1"/>
    <s v="NA"/>
    <s v="NA"/>
    <n v="300"/>
    <s v="NA"/>
    <n v="300"/>
    <s v="Full"/>
    <n v="80"/>
    <x v="5"/>
    <x v="35"/>
    <x v="35"/>
    <x v="157"/>
    <x v="4"/>
    <x v="141"/>
    <x v="0"/>
    <n v="0"/>
    <x v="35"/>
    <x v="8"/>
    <x v="1"/>
  </r>
  <r>
    <x v="312"/>
    <x v="311"/>
    <s v="Cavalry Logistics"/>
    <d v="2016-03-07T00:00:00"/>
    <x v="0"/>
    <n v="529"/>
    <n v="518.41999999999996"/>
    <n v="491.97"/>
    <n v="518.41999999999996"/>
    <n v="491.97"/>
    <s v="Full"/>
    <n v="0"/>
    <x v="9"/>
    <x v="36"/>
    <x v="36"/>
    <x v="158"/>
    <x v="5"/>
    <x v="142"/>
    <x v="0"/>
    <n v="26.449999999999974"/>
    <x v="36"/>
    <x v="8"/>
    <x v="1"/>
  </r>
  <r>
    <x v="313"/>
    <x v="312"/>
    <s v="Ch Robinson"/>
    <d v="2016-03-02T00:00:00"/>
    <x v="0"/>
    <n v="675"/>
    <n v="661.5"/>
    <n v="627.75"/>
    <n v="661.5"/>
    <n v="627.75"/>
    <s v="Full"/>
    <n v="0"/>
    <x v="3"/>
    <x v="36"/>
    <x v="37"/>
    <x v="158"/>
    <x v="99"/>
    <x v="24"/>
    <x v="0"/>
    <n v="33.75"/>
    <x v="36"/>
    <x v="8"/>
    <x v="1"/>
  </r>
  <r>
    <x v="314"/>
    <x v="313"/>
    <s v="Coyote"/>
    <d v="2016-03-25T00:00:00"/>
    <x v="0"/>
    <n v="350"/>
    <n v="339.5"/>
    <n v="325.5"/>
    <n v="339.5"/>
    <n v="325.5"/>
    <s v="Full"/>
    <n v="0"/>
    <x v="8"/>
    <x v="36"/>
    <x v="36"/>
    <x v="158"/>
    <x v="4"/>
    <x v="65"/>
    <x v="0"/>
    <n v="14"/>
    <x v="36"/>
    <x v="8"/>
    <x v="1"/>
  </r>
  <r>
    <x v="315"/>
    <x v="314"/>
    <s v="Matson Logistics"/>
    <d v="2016-02-29T00:00:00"/>
    <x v="0"/>
    <n v="600"/>
    <n v="588"/>
    <n v="558"/>
    <n v="588"/>
    <n v="558"/>
    <s v="Full"/>
    <n v="0"/>
    <x v="9"/>
    <x v="36"/>
    <x v="36"/>
    <x v="159"/>
    <x v="85"/>
    <x v="139"/>
    <x v="0"/>
    <n v="30"/>
    <x v="36"/>
    <x v="8"/>
    <x v="1"/>
  </r>
  <r>
    <x v="316"/>
    <x v="315"/>
    <s v="TQL"/>
    <d v="2016-03-01T00:00:00"/>
    <x v="0"/>
    <n v="800"/>
    <n v="776"/>
    <n v="744"/>
    <n v="776"/>
    <n v="744"/>
    <s v="Full"/>
    <n v="0"/>
    <x v="8"/>
    <x v="36"/>
    <x v="36"/>
    <x v="159"/>
    <x v="109"/>
    <x v="23"/>
    <x v="0"/>
    <n v="32"/>
    <x v="36"/>
    <x v="8"/>
    <x v="1"/>
  </r>
  <r>
    <x v="317"/>
    <x v="316"/>
    <s v="Cargobarn Inc."/>
    <d v="2015-03-04T00:00:00"/>
    <x v="0"/>
    <n v="500"/>
    <n v="485"/>
    <n v="465"/>
    <n v="485"/>
    <n v="465"/>
    <s v="Full"/>
    <n v="0"/>
    <x v="3"/>
    <x v="36"/>
    <x v="37"/>
    <x v="160"/>
    <x v="97"/>
    <x v="128"/>
    <x v="0"/>
    <n v="20"/>
    <x v="36"/>
    <x v="8"/>
    <x v="1"/>
  </r>
  <r>
    <x v="318"/>
    <x v="317"/>
    <s v="Cavalry Logistics"/>
    <d v="2016-03-14T00:00:00"/>
    <x v="0"/>
    <n v="200"/>
    <n v="196"/>
    <n v="186"/>
    <n v="196"/>
    <n v="186"/>
    <s v="Full"/>
    <n v="0"/>
    <x v="8"/>
    <x v="36"/>
    <x v="36"/>
    <x v="160"/>
    <x v="49"/>
    <x v="16"/>
    <x v="0"/>
    <n v="10"/>
    <x v="36"/>
    <x v="8"/>
    <x v="1"/>
  </r>
  <r>
    <x v="319"/>
    <x v="318"/>
    <s v="Interstate Distributor Co"/>
    <d v="2016-03-02T00:00:00"/>
    <x v="0"/>
    <n v="650"/>
    <n v="640.25"/>
    <n v="604.5"/>
    <n v="640.25"/>
    <n v="604.5"/>
    <s v="Full"/>
    <n v="0"/>
    <x v="9"/>
    <x v="36"/>
    <x v="36"/>
    <x v="160"/>
    <x v="4"/>
    <x v="141"/>
    <x v="0"/>
    <n v="35.75"/>
    <x v="36"/>
    <x v="8"/>
    <x v="1"/>
  </r>
  <r>
    <x v="320"/>
    <x v="319"/>
    <s v="Matson Logistics"/>
    <d v="2016-03-02T00:00:00"/>
    <x v="0"/>
    <n v="600"/>
    <n v="588"/>
    <n v="558"/>
    <n v="588"/>
    <n v="558"/>
    <s v="Full"/>
    <n v="0"/>
    <x v="3"/>
    <x v="36"/>
    <x v="37"/>
    <x v="160"/>
    <x v="85"/>
    <x v="139"/>
    <x v="0"/>
    <n v="30"/>
    <x v="36"/>
    <x v="8"/>
    <x v="1"/>
  </r>
  <r>
    <x v="321"/>
    <x v="320"/>
    <s v="Ch Robinson"/>
    <d v="2016-03-03T00:00:00"/>
    <x v="0"/>
    <n v="450"/>
    <n v="441"/>
    <n v="418.5"/>
    <n v="441"/>
    <n v="418.5"/>
    <s v="Full"/>
    <n v="0"/>
    <x v="3"/>
    <x v="36"/>
    <x v="37"/>
    <x v="161"/>
    <x v="4"/>
    <x v="132"/>
    <x v="0"/>
    <n v="22.5"/>
    <x v="36"/>
    <x v="8"/>
    <x v="1"/>
  </r>
  <r>
    <x v="322"/>
    <x v="321"/>
    <s v="Matson Logistics"/>
    <d v="2016-03-03T00:00:00"/>
    <x v="0"/>
    <n v="600"/>
    <n v="588"/>
    <n v="558"/>
    <n v="588"/>
    <n v="558"/>
    <s v="Full"/>
    <n v="0"/>
    <x v="9"/>
    <x v="36"/>
    <x v="36"/>
    <x v="161"/>
    <x v="85"/>
    <x v="139"/>
    <x v="0"/>
    <n v="30"/>
    <x v="36"/>
    <x v="8"/>
    <x v="1"/>
  </r>
  <r>
    <x v="323"/>
    <x v="322"/>
    <s v="American Freightways"/>
    <d v="2016-03-22T00:00:00"/>
    <x v="0"/>
    <n v="300"/>
    <n v="300"/>
    <n v="279"/>
    <n v="300"/>
    <n v="279"/>
    <s v="Full"/>
    <n v="0"/>
    <x v="3"/>
    <x v="36"/>
    <x v="37"/>
    <x v="162"/>
    <x v="110"/>
    <x v="6"/>
    <x v="0"/>
    <n v="21"/>
    <x v="36"/>
    <x v="8"/>
    <x v="1"/>
  </r>
  <r>
    <x v="324"/>
    <x v="323"/>
    <s v="Ch Robinson"/>
    <d v="2016-03-08T00:00:00"/>
    <x v="0"/>
    <n v="450"/>
    <n v="441"/>
    <n v="418.5"/>
    <n v="441"/>
    <n v="418.5"/>
    <s v="Full"/>
    <n v="0"/>
    <x v="9"/>
    <x v="36"/>
    <x v="36"/>
    <x v="162"/>
    <x v="111"/>
    <x v="16"/>
    <x v="0"/>
    <n v="22.5"/>
    <x v="36"/>
    <x v="8"/>
    <x v="1"/>
  </r>
  <r>
    <x v="325"/>
    <x v="324"/>
    <s v="Ch Robinson"/>
    <d v="2016-03-31T00:00:00"/>
    <x v="0"/>
    <n v="800"/>
    <n v="784"/>
    <n v="744"/>
    <n v="784"/>
    <n v="744"/>
    <s v="Full"/>
    <n v="0"/>
    <x v="9"/>
    <x v="37"/>
    <x v="37"/>
    <x v="163"/>
    <x v="80"/>
    <x v="143"/>
    <x v="0"/>
    <n v="40"/>
    <x v="37"/>
    <x v="8"/>
    <x v="1"/>
  </r>
  <r>
    <x v="326"/>
    <x v="325"/>
    <s v="Coyote"/>
    <d v="2016-03-06T00:00:00"/>
    <x v="0"/>
    <n v="375"/>
    <n v="363.75"/>
    <n v="348.75"/>
    <n v="363.75"/>
    <n v="348.75"/>
    <s v="Full"/>
    <n v="0"/>
    <x v="3"/>
    <x v="37"/>
    <x v="38"/>
    <x v="163"/>
    <x v="112"/>
    <x v="144"/>
    <x v="0"/>
    <n v="15"/>
    <x v="37"/>
    <x v="8"/>
    <x v="1"/>
  </r>
  <r>
    <x v="327"/>
    <x v="326"/>
    <s v="Matson Logistics"/>
    <d v="2016-03-16T00:00:00"/>
    <x v="0"/>
    <n v="600"/>
    <n v="588"/>
    <n v="558"/>
    <n v="588"/>
    <n v="558"/>
    <s v="Full"/>
    <n v="0"/>
    <x v="9"/>
    <x v="37"/>
    <x v="37"/>
    <x v="164"/>
    <x v="85"/>
    <x v="139"/>
    <x v="0"/>
    <n v="30"/>
    <x v="37"/>
    <x v="9"/>
    <x v="1"/>
  </r>
  <r>
    <x v="328"/>
    <x v="327"/>
    <s v="Ch Robinson"/>
    <d v="2016-03-16T00:00:00"/>
    <x v="0"/>
    <n v="525"/>
    <n v="514.5"/>
    <n v="488.25"/>
    <n v="514.5"/>
    <n v="488.25"/>
    <s v="Full"/>
    <n v="0"/>
    <x v="9"/>
    <x v="37"/>
    <x v="37"/>
    <x v="165"/>
    <x v="2"/>
    <x v="2"/>
    <x v="1"/>
    <n v="26.25"/>
    <x v="37"/>
    <x v="9"/>
    <x v="1"/>
  </r>
  <r>
    <x v="329"/>
    <x v="328"/>
    <s v="Sunteck Transport Co. Inc"/>
    <d v="2016-03-14T00:00:00"/>
    <x v="0"/>
    <n v="600"/>
    <n v="585"/>
    <n v="558"/>
    <n v="600"/>
    <n v="558"/>
    <s v="Full"/>
    <n v="0"/>
    <x v="10"/>
    <x v="37"/>
    <x v="37"/>
    <x v="166"/>
    <x v="104"/>
    <x v="135"/>
    <x v="1"/>
    <n v="27"/>
    <x v="37"/>
    <x v="9"/>
    <x v="1"/>
  </r>
  <r>
    <x v="330"/>
    <x v="329"/>
    <s v="Ch Robinson"/>
    <d v="2016-03-16T00:00:00"/>
    <x v="0"/>
    <n v="400"/>
    <n v="392"/>
    <n v="372"/>
    <n v="392"/>
    <n v="372"/>
    <s v="Full"/>
    <n v="0"/>
    <x v="9"/>
    <x v="37"/>
    <x v="37"/>
    <x v="167"/>
    <x v="113"/>
    <x v="124"/>
    <x v="1"/>
    <n v="20"/>
    <x v="37"/>
    <x v="9"/>
    <x v="1"/>
  </r>
  <r>
    <x v="331"/>
    <x v="330"/>
    <s v="Cargobarn Inc."/>
    <d v="2016-03-22T00:00:00"/>
    <x v="0"/>
    <n v="800"/>
    <n v="776"/>
    <n v="744"/>
    <n v="776"/>
    <n v="744"/>
    <s v="Full"/>
    <n v="0"/>
    <x v="9"/>
    <x v="38"/>
    <x v="38"/>
    <x v="168"/>
    <x v="4"/>
    <x v="145"/>
    <x v="1"/>
    <n v="32"/>
    <x v="38"/>
    <x v="9"/>
    <x v="1"/>
  </r>
  <r>
    <x v="332"/>
    <x v="331"/>
    <s v="Matson Logistics"/>
    <d v="2016-04-06T00:00:00"/>
    <x v="0"/>
    <n v="600"/>
    <n v="588"/>
    <n v="558"/>
    <n v="588"/>
    <n v="558"/>
    <s v="Full"/>
    <n v="0"/>
    <x v="10"/>
    <x v="38"/>
    <x v="38"/>
    <x v="168"/>
    <x v="85"/>
    <x v="37"/>
    <x v="1"/>
    <n v="30"/>
    <x v="38"/>
    <x v="9"/>
    <x v="1"/>
  </r>
  <r>
    <x v="333"/>
    <x v="332"/>
    <s v="Cargobarn Inc."/>
    <d v="2016-03-22T00:00:00"/>
    <x v="0"/>
    <n v="500"/>
    <n v="485"/>
    <n v="465"/>
    <n v="485"/>
    <n v="465"/>
    <s v="Full"/>
    <n v="0"/>
    <x v="9"/>
    <x v="38"/>
    <x v="38"/>
    <x v="169"/>
    <x v="114"/>
    <x v="146"/>
    <x v="1"/>
    <n v="20"/>
    <x v="38"/>
    <x v="9"/>
    <x v="1"/>
  </r>
  <r>
    <x v="334"/>
    <x v="333"/>
    <s v="Tql"/>
    <d v="2016-03-21T00:00:00"/>
    <x v="0"/>
    <n v="1000"/>
    <n v="970"/>
    <n v="930"/>
    <n v="970"/>
    <n v="930"/>
    <s v="Full"/>
    <n v="0"/>
    <x v="10"/>
    <x v="38"/>
    <x v="38"/>
    <x v="169"/>
    <x v="5"/>
    <x v="147"/>
    <x v="1"/>
    <n v="40"/>
    <x v="38"/>
    <x v="9"/>
    <x v="1"/>
  </r>
  <r>
    <x v="335"/>
    <x v="334"/>
    <s v="Globaltranz"/>
    <d v="2016-03-28T00:00:00"/>
    <x v="0"/>
    <n v="700"/>
    <n v="672"/>
    <n v="651"/>
    <n v="672"/>
    <n v="651"/>
    <s v="Full"/>
    <n v="0"/>
    <x v="9"/>
    <x v="38"/>
    <x v="38"/>
    <x v="170"/>
    <x v="4"/>
    <x v="94"/>
    <x v="1"/>
    <n v="21"/>
    <x v="38"/>
    <x v="9"/>
    <x v="1"/>
  </r>
  <r>
    <x v="336"/>
    <x v="335"/>
    <s v="Knight Logistics Llc"/>
    <d v="2016-04-07T00:00:00"/>
    <x v="0"/>
    <n v="700"/>
    <n v="679"/>
    <n v="651"/>
    <n v="700"/>
    <n v="651"/>
    <s v="Full"/>
    <n v="0"/>
    <x v="10"/>
    <x v="38"/>
    <x v="38"/>
    <x v="170"/>
    <x v="115"/>
    <x v="12"/>
    <x v="1"/>
    <n v="28"/>
    <x v="38"/>
    <x v="9"/>
    <x v="1"/>
  </r>
  <r>
    <x v="337"/>
    <x v="336"/>
    <s v="Tql"/>
    <d v="2016-03-21T00:00:00"/>
    <x v="0"/>
    <n v="500"/>
    <n v="485"/>
    <n v="465"/>
    <n v="485"/>
    <n v="465"/>
    <s v="Full"/>
    <n v="0"/>
    <x v="9"/>
    <x v="38"/>
    <x v="38"/>
    <x v="171"/>
    <x v="8"/>
    <x v="42"/>
    <x v="1"/>
    <n v="20"/>
    <x v="38"/>
    <x v="9"/>
    <x v="1"/>
  </r>
  <r>
    <x v="338"/>
    <x v="337"/>
    <s v="Traffic Tech Inc "/>
    <d v="2016-05-11T00:00:00"/>
    <x v="0"/>
    <n v="600"/>
    <n v="600"/>
    <n v="558"/>
    <n v="600"/>
    <n v="558"/>
    <s v="Full"/>
    <n v="0"/>
    <x v="9"/>
    <x v="39"/>
    <x v="39"/>
    <x v="172"/>
    <x v="5"/>
    <x v="142"/>
    <x v="1"/>
    <n v="42"/>
    <x v="39"/>
    <x v="9"/>
    <x v="1"/>
  </r>
  <r>
    <x v="339"/>
    <x v="338"/>
    <s v="Ch Robinson"/>
    <d v="2016-03-31T00:00:00"/>
    <x v="0"/>
    <n v="500"/>
    <n v="490"/>
    <n v="465"/>
    <n v="490"/>
    <n v="465"/>
    <s v="Full"/>
    <n v="0"/>
    <x v="9"/>
    <x v="39"/>
    <x v="39"/>
    <x v="173"/>
    <x v="8"/>
    <x v="11"/>
    <x v="1"/>
    <n v="25"/>
    <x v="39"/>
    <x v="9"/>
    <x v="1"/>
  </r>
  <r>
    <x v="340"/>
    <x v="339"/>
    <s v="XPOLogistics"/>
    <d v="2016-06-08T00:00:00"/>
    <x v="0"/>
    <n v="600"/>
    <n v="582"/>
    <n v="558"/>
    <n v="582"/>
    <n v="558"/>
    <s v="Full"/>
    <n v="0"/>
    <x v="3"/>
    <x v="39"/>
    <x v="40"/>
    <x v="174"/>
    <x v="116"/>
    <x v="139"/>
    <x v="0"/>
    <n v="24"/>
    <x v="39"/>
    <x v="9"/>
    <x v="1"/>
  </r>
  <r>
    <x v="341"/>
    <x v="340"/>
    <s v="Ch Robinson"/>
    <d v="2016-04-07T00:00:00"/>
    <x v="0"/>
    <n v="500"/>
    <n v="490"/>
    <n v="465"/>
    <n v="490"/>
    <n v="465"/>
    <s v="Full"/>
    <n v="0"/>
    <x v="6"/>
    <x v="39"/>
    <x v="39"/>
    <x v="175"/>
    <x v="117"/>
    <x v="20"/>
    <x v="1"/>
    <n v="25"/>
    <x v="39"/>
    <x v="9"/>
    <x v="1"/>
  </r>
  <r>
    <x v="342"/>
    <x v="341"/>
    <s v="Tql"/>
    <d v="2016-03-29T00:00:00"/>
    <x v="0"/>
    <n v="1075"/>
    <n v="1042.75"/>
    <n v="999.75"/>
    <n v="1042.75"/>
    <n v="999.75"/>
    <s v="Full"/>
    <n v="0"/>
    <x v="9"/>
    <x v="39"/>
    <x v="39"/>
    <x v="175"/>
    <x v="118"/>
    <x v="140"/>
    <x v="1"/>
    <n v="43"/>
    <x v="39"/>
    <x v="9"/>
    <x v="1"/>
  </r>
  <r>
    <x v="343"/>
    <x v="342"/>
    <s v="Nolan Tranportation Group Inc."/>
    <d v="2016-04-01T00:00:00"/>
    <x v="0"/>
    <n v="700"/>
    <n v="672"/>
    <n v="651"/>
    <n v="647"/>
    <n v="651"/>
    <s v="Less"/>
    <n v="0"/>
    <x v="9"/>
    <x v="40"/>
    <x v="40"/>
    <x v="176"/>
    <x v="119"/>
    <x v="89"/>
    <x v="1"/>
    <n v="21"/>
    <x v="40"/>
    <x v="9"/>
    <x v="1"/>
  </r>
  <r>
    <x v="344"/>
    <x v="343"/>
    <s v="Crst Logistics "/>
    <d v="2016-04-12T00:00:00"/>
    <x v="0"/>
    <n v="1000"/>
    <n v="975"/>
    <n v="930"/>
    <n v="975"/>
    <n v="930"/>
    <s v="Full"/>
    <n v="0"/>
    <x v="6"/>
    <x v="40"/>
    <x v="40"/>
    <x v="177"/>
    <x v="120"/>
    <x v="137"/>
    <x v="1"/>
    <n v="45"/>
    <x v="40"/>
    <x v="9"/>
    <x v="1"/>
  </r>
  <r>
    <x v="345"/>
    <x v="344"/>
    <s v="Interstate Distributor Co"/>
    <d v="2016-03-31T00:00:00"/>
    <x v="0"/>
    <n v="700"/>
    <n v="689.5"/>
    <n v="651"/>
    <n v="689.5"/>
    <n v="651"/>
    <s v="Full"/>
    <n v="0"/>
    <x v="9"/>
    <x v="40"/>
    <x v="40"/>
    <x v="178"/>
    <x v="4"/>
    <x v="41"/>
    <x v="1"/>
    <n v="38.5"/>
    <x v="40"/>
    <x v="9"/>
    <x v="1"/>
  </r>
  <r>
    <x v="346"/>
    <x v="345"/>
    <s v="Pepsi Logistics Company Inc"/>
    <d v="2016-04-11T00:00:00"/>
    <x v="0"/>
    <n v="545"/>
    <n v="531.375"/>
    <n v="506.85"/>
    <n v="531"/>
    <n v="506.85"/>
    <s v="Less"/>
    <n v="70"/>
    <x v="6"/>
    <x v="40"/>
    <x v="40"/>
    <x v="178"/>
    <x v="75"/>
    <x v="6"/>
    <x v="1"/>
    <n v="24.524999999999977"/>
    <x v="40"/>
    <x v="9"/>
    <x v="1"/>
  </r>
  <r>
    <x v="347"/>
    <x v="346"/>
    <s v="Ch Robinson"/>
    <d v="2016-04-07T00:00:00"/>
    <x v="0"/>
    <n v="630"/>
    <n v="617.4"/>
    <n v="585.9"/>
    <n v="617.4"/>
    <n v="585.9"/>
    <s v="Full"/>
    <n v="0"/>
    <x v="9"/>
    <x v="40"/>
    <x v="40"/>
    <x v="179"/>
    <x v="96"/>
    <x v="139"/>
    <x v="1"/>
    <n v="31.500000000000021"/>
    <x v="40"/>
    <x v="9"/>
    <x v="1"/>
  </r>
  <r>
    <x v="348"/>
    <x v="347"/>
    <s v="Globaltranz"/>
    <d v="2016-04-14T00:00:00"/>
    <x v="0"/>
    <n v="1250"/>
    <n v="1200"/>
    <n v="1162.5"/>
    <n v="1200"/>
    <n v="1162.5"/>
    <s v="Full"/>
    <n v="0"/>
    <x v="6"/>
    <x v="40"/>
    <x v="40"/>
    <x v="179"/>
    <x v="56"/>
    <x v="148"/>
    <x v="1"/>
    <n v="37.5"/>
    <x v="40"/>
    <x v="9"/>
    <x v="1"/>
  </r>
  <r>
    <x v="349"/>
    <x v="348"/>
    <s v="England Logistics, Inc."/>
    <d v="2016-04-06T00:00:00"/>
    <x v="0"/>
    <n v="570"/>
    <n v="547.19999999999993"/>
    <n v="530.1"/>
    <n v="537"/>
    <n v="530.1"/>
    <s v="Less"/>
    <n v="0"/>
    <x v="9"/>
    <x v="41"/>
    <x v="41"/>
    <x v="180"/>
    <x v="19"/>
    <x v="94"/>
    <x v="1"/>
    <n v="17.099999999999977"/>
    <x v="41"/>
    <x v="9"/>
    <x v="1"/>
  </r>
  <r>
    <x v="350"/>
    <x v="349"/>
    <s v="Matson Logistics"/>
    <d v="2016-04-11T00:00:00"/>
    <x v="0"/>
    <n v="600"/>
    <n v="588"/>
    <n v="558"/>
    <n v="588"/>
    <n v="558"/>
    <s v="Full"/>
    <n v="0"/>
    <x v="9"/>
    <x v="41"/>
    <x v="41"/>
    <x v="181"/>
    <x v="85"/>
    <x v="139"/>
    <x v="1"/>
    <n v="30"/>
    <x v="41"/>
    <x v="9"/>
    <x v="1"/>
  </r>
  <r>
    <x v="351"/>
    <x v="350"/>
    <s v="Nationwide Logistics"/>
    <d v="2016-05-15T00:00:00"/>
    <x v="0"/>
    <n v="600"/>
    <n v="600"/>
    <n v="558"/>
    <n v="600"/>
    <n v="558"/>
    <s v="Full"/>
    <n v="0"/>
    <x v="6"/>
    <x v="41"/>
    <x v="41"/>
    <x v="181"/>
    <x v="121"/>
    <x v="149"/>
    <x v="1"/>
    <n v="42"/>
    <x v="41"/>
    <x v="9"/>
    <x v="1"/>
  </r>
  <r>
    <x v="352"/>
    <x v="351"/>
    <s v="Covenant Transport Solutions"/>
    <d v="2016-04-15T00:00:00"/>
    <x v="0"/>
    <n v="849"/>
    <n v="849"/>
    <n v="789.57"/>
    <n v="849"/>
    <n v="789.57"/>
    <s v="Full"/>
    <n v="0"/>
    <x v="6"/>
    <x v="41"/>
    <x v="41"/>
    <x v="182"/>
    <x v="25"/>
    <x v="150"/>
    <x v="1"/>
    <n v="59.42999999999995"/>
    <x v="41"/>
    <x v="9"/>
    <x v="1"/>
  </r>
  <r>
    <x v="353"/>
    <x v="352"/>
    <s v="JL Freight "/>
    <d v="2016-04-28T00:00:00"/>
    <x v="0"/>
    <n v="600"/>
    <n v="600"/>
    <n v="558"/>
    <n v="558"/>
    <n v="558"/>
    <s v="Less"/>
    <n v="0"/>
    <x v="9"/>
    <x v="41"/>
    <x v="41"/>
    <x v="182"/>
    <x v="47"/>
    <x v="151"/>
    <x v="1"/>
    <n v="42"/>
    <x v="41"/>
    <x v="9"/>
    <x v="1"/>
  </r>
  <r>
    <x v="354"/>
    <x v="353"/>
    <s v="Covenant Transport Solutions"/>
    <d v="2016-04-15T00:00:00"/>
    <x v="0"/>
    <n v="849"/>
    <n v="849"/>
    <n v="789.57"/>
    <n v="849"/>
    <n v="789.57"/>
    <s v="Full"/>
    <n v="0"/>
    <x v="9"/>
    <x v="41"/>
    <x v="41"/>
    <x v="183"/>
    <x v="25"/>
    <x v="150"/>
    <x v="1"/>
    <n v="59.42999999999995"/>
    <x v="41"/>
    <x v="9"/>
    <x v="1"/>
  </r>
  <r>
    <x v="355"/>
    <x v="354"/>
    <s v="TQL"/>
    <d v="2016-04-13T00:00:00"/>
    <x v="0"/>
    <n v="825"/>
    <n v="800.25"/>
    <n v="767.25"/>
    <n v="800.25"/>
    <n v="767.25"/>
    <s v="Full"/>
    <n v="0"/>
    <x v="9"/>
    <x v="41"/>
    <x v="41"/>
    <x v="183"/>
    <x v="122"/>
    <x v="71"/>
    <x v="1"/>
    <n v="33"/>
    <x v="41"/>
    <x v="9"/>
    <x v="1"/>
  </r>
  <r>
    <x v="356"/>
    <x v="355"/>
    <s v="Ch Robinson"/>
    <d v="2016-04-11T00:00:00"/>
    <x v="0"/>
    <n v="150"/>
    <n v="147"/>
    <n v="125"/>
    <n v="147"/>
    <n v="125"/>
    <s v="Full"/>
    <n v="0"/>
    <x v="6"/>
    <x v="41"/>
    <x v="41"/>
    <x v="184"/>
    <x v="96"/>
    <x v="139"/>
    <x v="1"/>
    <n v="22"/>
    <x v="41"/>
    <x v="10"/>
    <x v="1"/>
  </r>
  <r>
    <x v="357"/>
    <x v="356"/>
    <s v="Gulf Winds"/>
    <d v="2016-04-20T00:00:00"/>
    <x v="0"/>
    <n v="600"/>
    <n v="600"/>
    <n v="558"/>
    <n v="600"/>
    <n v="558"/>
    <s v="Full"/>
    <n v="0"/>
    <x v="3"/>
    <x v="42"/>
    <x v="42"/>
    <x v="185"/>
    <x v="12"/>
    <x v="41"/>
    <x v="1"/>
    <n v="42"/>
    <x v="42"/>
    <x v="10"/>
    <x v="1"/>
  </r>
  <r>
    <x v="358"/>
    <x v="357"/>
    <s v="Pepsi Logistics Company Inc"/>
    <d v="2016-04-13T00:00:00"/>
    <x v="0"/>
    <n v="700"/>
    <n v="682.5"/>
    <n v="651"/>
    <n v="682.5"/>
    <n v="651"/>
    <s v="Full"/>
    <n v="0"/>
    <x v="9"/>
    <x v="42"/>
    <x v="43"/>
    <x v="185"/>
    <x v="8"/>
    <x v="152"/>
    <x v="1"/>
    <n v="31.5"/>
    <x v="42"/>
    <x v="10"/>
    <x v="1"/>
  </r>
  <r>
    <x v="359"/>
    <x v="358"/>
    <s v="Pepsi Logistics Company Inc"/>
    <d v="2016-04-14T00:00:00"/>
    <x v="0"/>
    <n v="800"/>
    <n v="780"/>
    <n v="744"/>
    <n v="780"/>
    <n v="744"/>
    <s v="Full"/>
    <n v="0"/>
    <x v="9"/>
    <x v="42"/>
    <x v="43"/>
    <x v="186"/>
    <x v="123"/>
    <x v="95"/>
    <x v="1"/>
    <n v="36"/>
    <x v="42"/>
    <x v="10"/>
    <x v="1"/>
  </r>
  <r>
    <x v="360"/>
    <x v="359"/>
    <s v="Covenant Transport Solutions"/>
    <d v="2016-04-15T00:00:00"/>
    <x v="0"/>
    <n v="750"/>
    <n v="750"/>
    <n v="697.5"/>
    <n v="750"/>
    <n v="697.5"/>
    <s v="Full"/>
    <n v="0"/>
    <x v="9"/>
    <x v="42"/>
    <x v="43"/>
    <x v="187"/>
    <x v="25"/>
    <x v="153"/>
    <x v="1"/>
    <n v="52.5"/>
    <x v="42"/>
    <x v="10"/>
    <x v="1"/>
  </r>
  <r>
    <x v="361"/>
    <x v="360"/>
    <s v="Sunteck Transport Co. Inc"/>
    <d v="2016-04-12T00:00:00"/>
    <x v="0"/>
    <n v="600"/>
    <n v="585"/>
    <n v="558"/>
    <n v="585"/>
    <n v="558"/>
    <s v="Full"/>
    <n v="0"/>
    <x v="6"/>
    <x v="42"/>
    <x v="43"/>
    <x v="187"/>
    <x v="104"/>
    <x v="135"/>
    <x v="1"/>
    <n v="27"/>
    <x v="42"/>
    <x v="10"/>
    <x v="1"/>
  </r>
  <r>
    <x v="362"/>
    <x v="361"/>
    <s v="XPOLogistics"/>
    <d v="2016-04-14T00:00:00"/>
    <x v="0"/>
    <n v="1000"/>
    <n v="970"/>
    <n v="930"/>
    <n v="1000"/>
    <n v="930"/>
    <s v="Full"/>
    <n v="0"/>
    <x v="3"/>
    <x v="42"/>
    <x v="42"/>
    <x v="187"/>
    <x v="124"/>
    <x v="12"/>
    <x v="1"/>
    <n v="40"/>
    <x v="42"/>
    <x v="10"/>
    <x v="1"/>
  </r>
  <r>
    <x v="363"/>
    <x v="362"/>
    <s v="Transfix"/>
    <d v="2016-04-22T00:00:00"/>
    <x v="0"/>
    <n v="500"/>
    <n v="495"/>
    <n v="350"/>
    <n v="495"/>
    <n v="350"/>
    <s v="Full"/>
    <n v="0"/>
    <x v="6"/>
    <x v="42"/>
    <x v="43"/>
    <x v="188"/>
    <x v="24"/>
    <x v="24"/>
    <x v="1"/>
    <n v="30"/>
    <x v="42"/>
    <x v="10"/>
    <x v="1"/>
  </r>
  <r>
    <x v="364"/>
    <x v="363"/>
    <s v="JBS Logistics"/>
    <d v="3026-05-06T00:00:00"/>
    <x v="0"/>
    <n v="700"/>
    <n v="700"/>
    <n v="651"/>
    <n v="700"/>
    <n v="651"/>
    <s v="Full"/>
    <n v="0"/>
    <x v="3"/>
    <x v="42"/>
    <x v="42"/>
    <x v="188"/>
    <x v="12"/>
    <x v="41"/>
    <x v="1"/>
    <n v="49"/>
    <x v="42"/>
    <x v="10"/>
    <x v="1"/>
  </r>
  <r>
    <x v="365"/>
    <x v="362"/>
    <s v="Transfix"/>
    <s v="NA"/>
    <x v="1"/>
    <s v="NA"/>
    <s v="NA"/>
    <n v="300"/>
    <s v="NA"/>
    <n v="300"/>
    <s v="Full"/>
    <n v="0"/>
    <x v="9"/>
    <x v="42"/>
    <x v="43"/>
    <x v="188"/>
    <x v="8"/>
    <x v="16"/>
    <x v="1"/>
    <n v="0"/>
    <x v="42"/>
    <x v="10"/>
    <x v="1"/>
  </r>
  <r>
    <x v="366"/>
    <x v="364"/>
    <s v="Ch Robinson"/>
    <d v="2016-04-25T00:00:00"/>
    <x v="0"/>
    <n v="500"/>
    <n v="490"/>
    <n v="465"/>
    <n v="490"/>
    <n v="465"/>
    <s v="Full"/>
    <n v="0"/>
    <x v="9"/>
    <x v="42"/>
    <x v="43"/>
    <x v="189"/>
    <x v="51"/>
    <x v="58"/>
    <x v="1"/>
    <n v="25"/>
    <x v="42"/>
    <x v="10"/>
    <x v="1"/>
  </r>
  <r>
    <x v="367"/>
    <x v="365"/>
    <s v="Matson Logistics"/>
    <d v="2016-04-21T00:00:00"/>
    <x v="0"/>
    <n v="600"/>
    <n v="588"/>
    <n v="558"/>
    <n v="588"/>
    <n v="558"/>
    <s v="Full"/>
    <n v="0"/>
    <x v="3"/>
    <x v="42"/>
    <x v="42"/>
    <x v="189"/>
    <x v="85"/>
    <x v="139"/>
    <x v="1"/>
    <n v="30"/>
    <x v="42"/>
    <x v="10"/>
    <x v="1"/>
  </r>
  <r>
    <x v="368"/>
    <x v="366"/>
    <s v="Ta Services Inc."/>
    <d v="2016-04-29T00:00:00"/>
    <x v="0"/>
    <n v="625"/>
    <n v="600"/>
    <n v="581.25"/>
    <n v="625"/>
    <n v="581.25"/>
    <s v="Full"/>
    <n v="0"/>
    <x v="9"/>
    <x v="43"/>
    <x v="42"/>
    <x v="190"/>
    <x v="12"/>
    <x v="137"/>
    <x v="1"/>
    <n v="18.75"/>
    <x v="43"/>
    <x v="10"/>
    <x v="1"/>
  </r>
  <r>
    <x v="369"/>
    <x v="367"/>
    <s v="Tql"/>
    <d v="2016-04-20T00:00:00"/>
    <x v="0"/>
    <n v="600"/>
    <n v="570"/>
    <n v="558"/>
    <n v="570"/>
    <n v="558"/>
    <s v="Full"/>
    <n v="0"/>
    <x v="3"/>
    <x v="43"/>
    <x v="44"/>
    <x v="190"/>
    <x v="105"/>
    <x v="154"/>
    <x v="1"/>
    <n v="12"/>
    <x v="43"/>
    <x v="10"/>
    <x v="1"/>
  </r>
  <r>
    <x v="370"/>
    <x v="368"/>
    <s v="Ch Robinson"/>
    <d v="2016-04-25T00:00:00"/>
    <x v="0"/>
    <n v="385"/>
    <n v="377.3"/>
    <n v="372"/>
    <n v="377.3"/>
    <n v="372"/>
    <s v="Full"/>
    <n v="0"/>
    <x v="6"/>
    <x v="43"/>
    <x v="42"/>
    <x v="191"/>
    <x v="88"/>
    <x v="16"/>
    <x v="1"/>
    <n v="5.3"/>
    <x v="43"/>
    <x v="10"/>
    <x v="1"/>
  </r>
  <r>
    <x v="371"/>
    <x v="369"/>
    <s v="XPOLogistics"/>
    <d v="2016-04-21T00:00:00"/>
    <x v="0"/>
    <n v="600"/>
    <n v="582"/>
    <n v="558"/>
    <n v="582"/>
    <n v="558"/>
    <s v="Full"/>
    <n v="0"/>
    <x v="3"/>
    <x v="43"/>
    <x v="44"/>
    <x v="191"/>
    <x v="116"/>
    <x v="139"/>
    <x v="1"/>
    <n v="24"/>
    <x v="43"/>
    <x v="10"/>
    <x v="1"/>
  </r>
  <r>
    <x v="372"/>
    <x v="370"/>
    <s v="Its National "/>
    <d v="2016-05-16T00:00:00"/>
    <x v="0"/>
    <n v="450"/>
    <n v="436.5"/>
    <n v="418.5"/>
    <n v="450"/>
    <n v="418.5"/>
    <s v="Full"/>
    <n v="0"/>
    <x v="3"/>
    <x v="43"/>
    <x v="44"/>
    <x v="192"/>
    <x v="36"/>
    <x v="155"/>
    <x v="1"/>
    <n v="18"/>
    <x v="43"/>
    <x v="10"/>
    <x v="1"/>
  </r>
  <r>
    <x v="373"/>
    <x v="371"/>
    <s v="XPOLogistics"/>
    <d v="2016-04-20T00:00:00"/>
    <x v="0"/>
    <n v="600"/>
    <n v="582"/>
    <n v="558"/>
    <n v="582"/>
    <n v="558"/>
    <s v="Full"/>
    <n v="0"/>
    <x v="9"/>
    <x v="43"/>
    <x v="42"/>
    <x v="192"/>
    <x v="116"/>
    <x v="139"/>
    <x v="1"/>
    <n v="24"/>
    <x v="43"/>
    <x v="10"/>
    <x v="1"/>
  </r>
  <r>
    <x v="374"/>
    <x v="372"/>
    <s v="Globaltranz"/>
    <d v="2016-04-27T00:00:00"/>
    <x v="0"/>
    <n v="650"/>
    <n v="624"/>
    <n v="604.5"/>
    <n v="624"/>
    <n v="604.5"/>
    <s v="Full"/>
    <n v="0"/>
    <x v="9"/>
    <x v="43"/>
    <x v="42"/>
    <x v="193"/>
    <x v="4"/>
    <x v="94"/>
    <x v="1"/>
    <n v="19.5"/>
    <x v="43"/>
    <x v="10"/>
    <x v="1"/>
  </r>
  <r>
    <x v="375"/>
    <x v="373"/>
    <s v="KTL"/>
    <d v="2016-04-27T00:00:00"/>
    <x v="0"/>
    <n v="650"/>
    <n v="637"/>
    <n v="604.5"/>
    <n v="637"/>
    <n v="604.5"/>
    <s v="Full"/>
    <n v="0"/>
    <x v="3"/>
    <x v="43"/>
    <x v="44"/>
    <x v="193"/>
    <x v="33"/>
    <x v="94"/>
    <x v="1"/>
    <n v="32.5"/>
    <x v="43"/>
    <x v="10"/>
    <x v="1"/>
  </r>
  <r>
    <x v="376"/>
    <x v="374"/>
    <s v="Globaltranz"/>
    <d v="2016-04-27T00:00:00"/>
    <x v="0"/>
    <n v="330"/>
    <n v="316.8"/>
    <n v="306.90000000000003"/>
    <n v="316.8"/>
    <n v="306.90000000000003"/>
    <s v="Full"/>
    <n v="0"/>
    <x v="3"/>
    <x v="43"/>
    <x v="44"/>
    <x v="194"/>
    <x v="24"/>
    <x v="156"/>
    <x v="1"/>
    <n v="9.8999999999999648"/>
    <x v="43"/>
    <x v="10"/>
    <x v="1"/>
  </r>
  <r>
    <x v="377"/>
    <x v="375"/>
    <s v="XPOLogistics"/>
    <d v="2016-04-22T00:00:00"/>
    <x v="0"/>
    <n v="400"/>
    <n v="388"/>
    <n v="372"/>
    <n v="388"/>
    <n v="372"/>
    <s v="Full"/>
    <n v="0"/>
    <x v="9"/>
    <x v="43"/>
    <x v="42"/>
    <x v="194"/>
    <x v="39"/>
    <x v="11"/>
    <x v="1"/>
    <n v="16"/>
    <x v="43"/>
    <x v="10"/>
    <x v="1"/>
  </r>
  <r>
    <x v="378"/>
    <x v="376"/>
    <s v="Globaltranz"/>
    <d v="2016-05-06T00:00:00"/>
    <x v="0"/>
    <n v="650"/>
    <n v="624"/>
    <n v="604.5"/>
    <n v="624"/>
    <n v="604.5"/>
    <s v="Full"/>
    <n v="0"/>
    <x v="9"/>
    <x v="44"/>
    <x v="44"/>
    <x v="195"/>
    <x v="4"/>
    <x v="94"/>
    <x v="1"/>
    <n v="19.5"/>
    <x v="44"/>
    <x v="10"/>
    <x v="1"/>
  </r>
  <r>
    <x v="379"/>
    <x v="377"/>
    <s v="XPOLogistics"/>
    <d v="2016-04-22T00:00:00"/>
    <x v="0"/>
    <n v="600"/>
    <n v="582"/>
    <n v="558"/>
    <n v="582"/>
    <n v="558"/>
    <s v="Full"/>
    <n v="0"/>
    <x v="3"/>
    <x v="44"/>
    <x v="45"/>
    <x v="195"/>
    <x v="116"/>
    <x v="139"/>
    <x v="1"/>
    <n v="24"/>
    <x v="44"/>
    <x v="10"/>
    <x v="1"/>
  </r>
  <r>
    <x v="380"/>
    <x v="378"/>
    <s v="Globaltranz"/>
    <d v="2016-05-06T00:00:00"/>
    <x v="0"/>
    <n v="650"/>
    <n v="624"/>
    <n v="604.5"/>
    <n v="624"/>
    <n v="604.5"/>
    <s v="Full"/>
    <n v="0"/>
    <x v="3"/>
    <x v="44"/>
    <x v="45"/>
    <x v="196"/>
    <x v="4"/>
    <x v="94"/>
    <x v="1"/>
    <n v="19.5"/>
    <x v="44"/>
    <x v="10"/>
    <x v="1"/>
  </r>
  <r>
    <x v="381"/>
    <x v="379"/>
    <s v="XPOLogistics"/>
    <d v="2016-05-10T00:00:00"/>
    <x v="0"/>
    <n v="600"/>
    <n v="582"/>
    <n v="279"/>
    <n v="600"/>
    <n v="279"/>
    <s v="Full"/>
    <n v="0"/>
    <x v="9"/>
    <x v="44"/>
    <x v="44"/>
    <x v="196"/>
    <x v="116"/>
    <x v="157"/>
    <x v="1"/>
    <n v="24"/>
    <x v="44"/>
    <x v="10"/>
    <x v="1"/>
  </r>
  <r>
    <x v="382"/>
    <x v="380"/>
    <s v="Tql"/>
    <s v="NA"/>
    <x v="1"/>
    <s v="NA"/>
    <s v="NA"/>
    <n v="300"/>
    <s v="NA"/>
    <n v="300"/>
    <s v="Full"/>
    <n v="0"/>
    <x v="9"/>
    <x v="44"/>
    <x v="44"/>
    <x v="196"/>
    <x v="5"/>
    <x v="157"/>
    <x v="1"/>
    <n v="15"/>
    <x v="44"/>
    <x v="10"/>
    <x v="1"/>
  </r>
  <r>
    <x v="383"/>
    <x v="379"/>
    <s v="XPOLogistics"/>
    <s v="NA"/>
    <x v="1"/>
    <s v="NA"/>
    <s v="NA"/>
    <n v="279"/>
    <s v="NA"/>
    <n v="279"/>
    <s v="Full"/>
    <n v="0"/>
    <x v="6"/>
    <x v="44"/>
    <x v="44"/>
    <x v="196"/>
    <x v="125"/>
    <x v="139"/>
    <x v="1"/>
    <m/>
    <x v="44"/>
    <x v="10"/>
    <x v="1"/>
  </r>
  <r>
    <x v="384"/>
    <x v="380"/>
    <s v="Tql"/>
    <d v="2016-04-29T00:00:00"/>
    <x v="0"/>
    <n v="375"/>
    <n v="363.75"/>
    <n v="200"/>
    <n v="363.75"/>
    <n v="200"/>
    <s v="Full"/>
    <n v="0"/>
    <x v="6"/>
    <x v="44"/>
    <x v="44"/>
    <x v="197"/>
    <x v="125"/>
    <x v="158"/>
    <x v="1"/>
    <m/>
    <x v="44"/>
    <x v="10"/>
    <x v="1"/>
  </r>
  <r>
    <x v="385"/>
    <x v="381"/>
    <s v="Fast Brokerage Inc."/>
    <m/>
    <x v="2"/>
    <n v="650"/>
    <n v="650"/>
    <n v="604.5"/>
    <m/>
    <n v="604.5"/>
    <s v="Less"/>
    <n v="0"/>
    <x v="3"/>
    <x v="44"/>
    <x v="45"/>
    <x v="197"/>
    <x v="78"/>
    <x v="159"/>
    <x v="1"/>
    <n v="45.5"/>
    <x v="44"/>
    <x v="10"/>
    <x v="1"/>
  </r>
  <r>
    <x v="386"/>
    <x v="382"/>
    <s v="JBS Logistics"/>
    <d v="2016-05-08T00:00:00"/>
    <x v="0"/>
    <n v="600"/>
    <n v="600"/>
    <n v="558"/>
    <n v="600"/>
    <n v="558"/>
    <s v="Full"/>
    <n v="0"/>
    <x v="9"/>
    <x v="44"/>
    <x v="44"/>
    <x v="197"/>
    <x v="7"/>
    <x v="160"/>
    <x v="1"/>
    <n v="42"/>
    <x v="44"/>
    <x v="10"/>
    <x v="1"/>
  </r>
  <r>
    <x v="387"/>
    <x v="383"/>
    <s v="Coyote"/>
    <d v="2016-06-07T00:00:00"/>
    <x v="0"/>
    <n v="650"/>
    <n v="630.5"/>
    <n v="604.5"/>
    <n v="630.5"/>
    <n v="604.5"/>
    <s v="Full"/>
    <n v="0"/>
    <x v="3"/>
    <x v="44"/>
    <x v="45"/>
    <x v="198"/>
    <x v="19"/>
    <x v="135"/>
    <x v="1"/>
    <n v="26"/>
    <x v="44"/>
    <x v="10"/>
    <x v="1"/>
  </r>
  <r>
    <x v="388"/>
    <x v="384"/>
    <s v="XPOLogistics"/>
    <d v="2016-05-10T00:00:00"/>
    <x v="0"/>
    <n v="600"/>
    <n v="582"/>
    <n v="558"/>
    <n v="600"/>
    <n v="558"/>
    <s v="Full"/>
    <n v="0"/>
    <x v="9"/>
    <x v="44"/>
    <x v="44"/>
    <x v="198"/>
    <x v="116"/>
    <x v="139"/>
    <x v="1"/>
    <n v="24"/>
    <x v="44"/>
    <x v="10"/>
    <x v="1"/>
  </r>
  <r>
    <x v="389"/>
    <x v="385"/>
    <s v="Interstate Distributor Co"/>
    <d v="2016-05-06T00:00:00"/>
    <x v="0"/>
    <n v="725"/>
    <n v="714.125"/>
    <n v="674.25"/>
    <n v="714.125"/>
    <n v="674.25"/>
    <s v="Full"/>
    <n v="0"/>
    <x v="9"/>
    <x v="45"/>
    <x v="45"/>
    <x v="199"/>
    <x v="4"/>
    <x v="141"/>
    <x v="1"/>
    <n v="39.875"/>
    <x v="45"/>
    <x v="10"/>
    <x v="1"/>
  </r>
  <r>
    <x v="390"/>
    <x v="386"/>
    <s v="Interstate Distributor Co"/>
    <d v="2016-05-06T00:00:00"/>
    <x v="0"/>
    <n v="725"/>
    <n v="714.125"/>
    <n v="674.25"/>
    <n v="714.125"/>
    <n v="674.25"/>
    <s v="Full"/>
    <n v="0"/>
    <x v="6"/>
    <x v="45"/>
    <x v="45"/>
    <x v="199"/>
    <x v="4"/>
    <x v="141"/>
    <x v="1"/>
    <n v="39.875"/>
    <x v="45"/>
    <x v="10"/>
    <x v="1"/>
  </r>
  <r>
    <x v="391"/>
    <x v="387"/>
    <s v="Its National "/>
    <d v="2016-05-10T00:00:00"/>
    <x v="0"/>
    <n v="600"/>
    <n v="582"/>
    <n v="558"/>
    <n v="582"/>
    <n v="558"/>
    <s v="Full"/>
    <n v="0"/>
    <x v="3"/>
    <x v="45"/>
    <x v="46"/>
    <x v="199"/>
    <x v="71"/>
    <x v="94"/>
    <x v="1"/>
    <n v="24"/>
    <x v="45"/>
    <x v="10"/>
    <x v="1"/>
  </r>
  <r>
    <x v="392"/>
    <x v="388"/>
    <s v="XPOLogistics"/>
    <d v="2016-05-10T00:00:00"/>
    <x v="0"/>
    <n v="600"/>
    <n v="582"/>
    <n v="558"/>
    <n v="600"/>
    <n v="558"/>
    <s v="Full"/>
    <n v="0"/>
    <x v="9"/>
    <x v="45"/>
    <x v="45"/>
    <x v="200"/>
    <x v="116"/>
    <x v="139"/>
    <x v="1"/>
    <n v="24"/>
    <x v="45"/>
    <x v="10"/>
    <x v="1"/>
  </r>
  <r>
    <x v="393"/>
    <x v="389"/>
    <s v="XPOLogistics"/>
    <d v="2016-05-10T00:00:00"/>
    <x v="0"/>
    <n v="600"/>
    <n v="582"/>
    <n v="558"/>
    <n v="600"/>
    <n v="558"/>
    <s v="Full"/>
    <n v="0"/>
    <x v="6"/>
    <x v="45"/>
    <x v="45"/>
    <x v="200"/>
    <x v="116"/>
    <x v="139"/>
    <x v="1"/>
    <n v="24"/>
    <x v="45"/>
    <x v="10"/>
    <x v="1"/>
  </r>
  <r>
    <x v="394"/>
    <x v="390"/>
    <s v="XPOLogistics"/>
    <d v="2016-05-10T00:00:00"/>
    <x v="0"/>
    <n v="600"/>
    <n v="582"/>
    <n v="558"/>
    <n v="600"/>
    <n v="558"/>
    <s v="Full"/>
    <n v="0"/>
    <x v="3"/>
    <x v="45"/>
    <x v="46"/>
    <x v="200"/>
    <x v="116"/>
    <x v="139"/>
    <x v="1"/>
    <n v="24"/>
    <x v="45"/>
    <x v="10"/>
    <x v="1"/>
  </r>
  <r>
    <x v="395"/>
    <x v="391"/>
    <s v="Globaltranz"/>
    <d v="2016-05-13T00:00:00"/>
    <x v="0"/>
    <n v="650"/>
    <n v="624"/>
    <n v="604.5"/>
    <n v="624"/>
    <n v="604.5"/>
    <s v="Full"/>
    <n v="0"/>
    <x v="9"/>
    <x v="45"/>
    <x v="45"/>
    <x v="201"/>
    <x v="4"/>
    <x v="94"/>
    <x v="1"/>
    <n v="19.5"/>
    <x v="45"/>
    <x v="10"/>
    <x v="1"/>
  </r>
  <r>
    <x v="396"/>
    <x v="392"/>
    <s v="Ryder Integrated Logistics, Inc "/>
    <d v="2016-07-15T00:00:00"/>
    <x v="0"/>
    <n v="500"/>
    <n v="500"/>
    <n v="465"/>
    <n v="500"/>
    <n v="465"/>
    <s v="Full"/>
    <n v="0"/>
    <x v="6"/>
    <x v="45"/>
    <x v="45"/>
    <x v="201"/>
    <x v="26"/>
    <x v="95"/>
    <x v="1"/>
    <n v="35"/>
    <x v="45"/>
    <x v="10"/>
    <x v="1"/>
  </r>
  <r>
    <x v="397"/>
    <x v="393"/>
    <s v="Pepsi Logistics Company Inc"/>
    <d v="2016-05-09T00:00:00"/>
    <x v="0"/>
    <n v="395.95"/>
    <n v="384.07149999999996"/>
    <n v="368.23349999999999"/>
    <n v="384.47"/>
    <n v="368.23349999999999"/>
    <s v="Full"/>
    <n v="0"/>
    <x v="6"/>
    <x v="45"/>
    <x v="45"/>
    <x v="202"/>
    <x v="126"/>
    <x v="41"/>
    <x v="1"/>
    <n v="15.837999999999997"/>
    <x v="45"/>
    <x v="10"/>
    <x v="1"/>
  </r>
  <r>
    <x v="398"/>
    <x v="394"/>
    <s v="XPOLogistics"/>
    <d v="2016-05-10T00:00:00"/>
    <x v="0"/>
    <n v="600"/>
    <n v="582"/>
    <n v="558"/>
    <n v="600"/>
    <n v="558"/>
    <s v="Full"/>
    <n v="0"/>
    <x v="9"/>
    <x v="45"/>
    <x v="45"/>
    <x v="202"/>
    <x v="116"/>
    <x v="139"/>
    <x v="0"/>
    <n v="24"/>
    <x v="45"/>
    <x v="10"/>
    <x v="1"/>
  </r>
  <r>
    <x v="399"/>
    <x v="395"/>
    <s v="A1 Transport &amp; Freight Inc"/>
    <d v="2016-07-06T00:00:00"/>
    <x v="0"/>
    <n v="600"/>
    <n v="600"/>
    <n v="558"/>
    <n v="600"/>
    <n v="558"/>
    <s v="Full"/>
    <n v="0"/>
    <x v="3"/>
    <x v="45"/>
    <x v="46"/>
    <x v="202"/>
    <x v="4"/>
    <x v="88"/>
    <x v="0"/>
    <n v="42"/>
    <x v="45"/>
    <x v="10"/>
    <x v="1"/>
  </r>
  <r>
    <x v="400"/>
    <x v="396"/>
    <s v="Ch Robinson"/>
    <d v="2016-05-16T00:00:00"/>
    <x v="0"/>
    <n v="1050"/>
    <n v="1029"/>
    <n v="976.5"/>
    <n v="1029"/>
    <n v="976.5"/>
    <s v="Full"/>
    <n v="0"/>
    <x v="9"/>
    <x v="45"/>
    <x v="45"/>
    <x v="203"/>
    <x v="127"/>
    <x v="94"/>
    <x v="0"/>
    <n v="52.5"/>
    <x v="45"/>
    <x v="10"/>
    <x v="1"/>
  </r>
  <r>
    <x v="401"/>
    <x v="397"/>
    <s v="R2 Logistics"/>
    <d v="2016-05-10T00:00:00"/>
    <x v="0"/>
    <n v="875"/>
    <n v="840"/>
    <n v="813.75"/>
    <n v="840"/>
    <n v="813.75"/>
    <s v="Full"/>
    <n v="0"/>
    <x v="6"/>
    <x v="45"/>
    <x v="45"/>
    <x v="203"/>
    <x v="128"/>
    <x v="161"/>
    <x v="0"/>
    <n v="26.25"/>
    <x v="45"/>
    <x v="10"/>
    <x v="1"/>
  </r>
  <r>
    <x v="402"/>
    <x v="398"/>
    <s v="ADM Logistics, Inc."/>
    <d v="2016-06-23T00:00:00"/>
    <x v="0"/>
    <n v="575"/>
    <n v="575"/>
    <n v="534.75"/>
    <n v="575"/>
    <n v="534.75"/>
    <s v="Full"/>
    <n v="0"/>
    <x v="3"/>
    <x v="45"/>
    <x v="46"/>
    <x v="203"/>
    <x v="129"/>
    <x v="4"/>
    <x v="0"/>
    <n v="40.25"/>
    <x v="45"/>
    <x v="10"/>
    <x v="1"/>
  </r>
  <r>
    <x v="403"/>
    <x v="399"/>
    <s v="Echo Global Logistics Inc."/>
    <d v="2016-06-07T00:00:00"/>
    <x v="0"/>
    <n v="575"/>
    <n v="563.5"/>
    <n v="108"/>
    <n v="575"/>
    <n v="108"/>
    <s v="Full"/>
    <n v="0"/>
    <x v="3"/>
    <x v="46"/>
    <x v="46"/>
    <x v="204"/>
    <x v="42"/>
    <x v="157"/>
    <x v="0"/>
    <n v="-11.5"/>
    <x v="46"/>
    <x v="11"/>
    <x v="1"/>
  </r>
  <r>
    <x v="404"/>
    <x v="400"/>
    <s v="Globaltranz"/>
    <d v="2016-05-13T00:00:00"/>
    <x v="0"/>
    <n v="650"/>
    <n v="624"/>
    <n v="604.5"/>
    <n v="624"/>
    <n v="604.5"/>
    <s v="Full"/>
    <n v="0"/>
    <x v="6"/>
    <x v="46"/>
    <x v="46"/>
    <x v="204"/>
    <x v="4"/>
    <x v="94"/>
    <x v="0"/>
    <n v="19.5"/>
    <x v="46"/>
    <x v="11"/>
    <x v="1"/>
  </r>
  <r>
    <x v="405"/>
    <x v="401"/>
    <s v="TQL"/>
    <d v="2016-05-10T00:00:00"/>
    <x v="0"/>
    <n v="350"/>
    <n v="339.5"/>
    <n v="325.5"/>
    <n v="339.5"/>
    <n v="325.5"/>
    <s v="Full"/>
    <n v="0"/>
    <x v="3"/>
    <x v="46"/>
    <x v="47"/>
    <x v="204"/>
    <x v="19"/>
    <x v="162"/>
    <x v="0"/>
    <n v="14"/>
    <x v="46"/>
    <x v="11"/>
    <x v="1"/>
  </r>
  <r>
    <x v="406"/>
    <x v="399"/>
    <s v="Echo Global Logistics Inc."/>
    <s v="NA"/>
    <x v="1"/>
    <s v="NA"/>
    <s v="NA"/>
    <n v="460"/>
    <s v="NA"/>
    <n v="460"/>
    <s v="Full"/>
    <n v="0"/>
    <x v="6"/>
    <x v="46"/>
    <x v="46"/>
    <x v="204"/>
    <x v="125"/>
    <x v="94"/>
    <x v="0"/>
    <n v="0"/>
    <x v="46"/>
    <x v="11"/>
    <x v="1"/>
  </r>
  <r>
    <x v="407"/>
    <x v="402"/>
    <s v="XPOLogistics"/>
    <d v="2016-05-16T00:00:00"/>
    <x v="0"/>
    <n v="600"/>
    <n v="582"/>
    <n v="558"/>
    <n v="582"/>
    <n v="558"/>
    <s v="Full"/>
    <n v="0"/>
    <x v="9"/>
    <x v="46"/>
    <x v="46"/>
    <x v="205"/>
    <x v="116"/>
    <x v="139"/>
    <x v="0"/>
    <n v="24"/>
    <x v="46"/>
    <x v="11"/>
    <x v="1"/>
  </r>
  <r>
    <x v="408"/>
    <x v="403"/>
    <s v="Globaltranz"/>
    <d v="2016-05-28T00:00:00"/>
    <x v="0"/>
    <n v="500"/>
    <n v="480"/>
    <n v="100"/>
    <n v="480"/>
    <n v="100"/>
    <s v="Full"/>
    <n v="0"/>
    <x v="3"/>
    <x v="46"/>
    <x v="47"/>
    <x v="205"/>
    <x v="125"/>
    <x v="163"/>
    <x v="0"/>
    <n v="-20"/>
    <x v="46"/>
    <x v="11"/>
    <x v="1"/>
  </r>
  <r>
    <x v="409"/>
    <x v="403"/>
    <s v="Globaltranz"/>
    <s v="NA"/>
    <x v="1"/>
    <s v="NA"/>
    <s v="NA"/>
    <n v="400"/>
    <s v="NA"/>
    <n v="400"/>
    <s v="Full"/>
    <n v="0"/>
    <x v="6"/>
    <x v="46"/>
    <x v="47"/>
    <x v="205"/>
    <x v="41"/>
    <x v="157"/>
    <x v="0"/>
    <n v="0"/>
    <x v="46"/>
    <x v="11"/>
    <x v="1"/>
  </r>
  <r>
    <x v="410"/>
    <x v="404"/>
    <s v="Interstate Distributor Co"/>
    <d v="2016-05-13T00:00:00"/>
    <x v="0"/>
    <n v="725"/>
    <n v="714.125"/>
    <n v="674.25"/>
    <n v="714.13"/>
    <n v="674.25"/>
    <s v="Full"/>
    <n v="0"/>
    <x v="9"/>
    <x v="46"/>
    <x v="46"/>
    <x v="206"/>
    <x v="4"/>
    <x v="41"/>
    <x v="0"/>
    <n v="39.875"/>
    <x v="46"/>
    <x v="11"/>
    <x v="1"/>
  </r>
  <r>
    <x v="411"/>
    <x v="405"/>
    <s v="Coyote"/>
    <d v="2016-05-11T00:00:00"/>
    <x v="0"/>
    <n v="600"/>
    <n v="582"/>
    <n v="558"/>
    <n v="582"/>
    <n v="558"/>
    <s v="Full"/>
    <n v="0"/>
    <x v="6"/>
    <x v="46"/>
    <x v="46"/>
    <x v="207"/>
    <x v="41"/>
    <x v="164"/>
    <x v="0"/>
    <n v="24"/>
    <x v="46"/>
    <x v="11"/>
    <x v="1"/>
  </r>
  <r>
    <x v="412"/>
    <x v="406"/>
    <s v="Interstate Distributor Co"/>
    <d v="2016-05-13T00:00:00"/>
    <x v="0"/>
    <n v="725"/>
    <n v="714.125"/>
    <n v="674.25"/>
    <n v="714.13"/>
    <n v="674.25"/>
    <s v="Full"/>
    <n v="0"/>
    <x v="3"/>
    <x v="46"/>
    <x v="47"/>
    <x v="207"/>
    <x v="4"/>
    <x v="141"/>
    <x v="0"/>
    <n v="39.875"/>
    <x v="46"/>
    <x v="11"/>
    <x v="1"/>
  </r>
  <r>
    <x v="413"/>
    <x v="407"/>
    <s v="XPOLogistics"/>
    <d v="2016-05-16T00:00:00"/>
    <x v="0"/>
    <n v="600"/>
    <n v="582"/>
    <n v="558"/>
    <n v="582"/>
    <n v="558"/>
    <s v="Full"/>
    <n v="0"/>
    <x v="9"/>
    <x v="46"/>
    <x v="46"/>
    <x v="207"/>
    <x v="116"/>
    <x v="139"/>
    <x v="0"/>
    <n v="24"/>
    <x v="46"/>
    <x v="11"/>
    <x v="1"/>
  </r>
  <r>
    <x v="414"/>
    <x v="408"/>
    <s v="Ch Robinson"/>
    <d v="2016-05-20T00:00:00"/>
    <x v="0"/>
    <n v="550"/>
    <n v="539"/>
    <n v="511.5"/>
    <n v="539"/>
    <n v="511.5"/>
    <s v="Full"/>
    <n v="0"/>
    <x v="9"/>
    <x v="46"/>
    <x v="46"/>
    <x v="208"/>
    <x v="9"/>
    <x v="94"/>
    <x v="0"/>
    <n v="27.5"/>
    <x v="46"/>
    <x v="11"/>
    <x v="1"/>
  </r>
  <r>
    <x v="415"/>
    <x v="409"/>
    <s v="Ch Robinson"/>
    <d v="2016-05-19T00:00:00"/>
    <x v="0"/>
    <n v="400"/>
    <n v="392"/>
    <n v="84"/>
    <n v="392"/>
    <n v="84"/>
    <s v="Full"/>
    <n v="0"/>
    <x v="3"/>
    <x v="46"/>
    <x v="47"/>
    <x v="208"/>
    <x v="4"/>
    <x v="165"/>
    <x v="0"/>
    <n v="-8"/>
    <x v="46"/>
    <x v="11"/>
    <x v="1"/>
  </r>
  <r>
    <x v="416"/>
    <x v="410"/>
    <n v="68010119"/>
    <d v="2016-05-19T00:00:00"/>
    <x v="0"/>
    <n v="600"/>
    <n v="582"/>
    <n v="265"/>
    <n v="582"/>
    <n v="265"/>
    <s v="Full"/>
    <n v="0"/>
    <x v="6"/>
    <x v="46"/>
    <x v="46"/>
    <x v="208"/>
    <x v="116"/>
    <x v="139"/>
    <x v="0"/>
    <n v="-18"/>
    <x v="46"/>
    <x v="11"/>
    <x v="1"/>
  </r>
  <r>
    <x v="417"/>
    <x v="409"/>
    <s v="Ch Robinson"/>
    <s v="NA"/>
    <x v="1"/>
    <s v="NA"/>
    <s v="NA"/>
    <n v="324"/>
    <s v="NA"/>
    <n v="324"/>
    <s v="Full"/>
    <n v="0"/>
    <x v="6"/>
    <x v="46"/>
    <x v="46"/>
    <x v="208"/>
    <x v="4"/>
    <x v="165"/>
    <x v="0"/>
    <n v="0"/>
    <x v="46"/>
    <x v="11"/>
    <x v="1"/>
  </r>
  <r>
    <x v="418"/>
    <x v="410"/>
    <s v="XPOLogistics"/>
    <s v="NA"/>
    <x v="1"/>
    <s v="NA"/>
    <s v="NA"/>
    <n v="335"/>
    <s v="NA"/>
    <n v="335"/>
    <s v="Full"/>
    <n v="0"/>
    <x v="3"/>
    <x v="46"/>
    <x v="47"/>
    <x v="208"/>
    <x v="116"/>
    <x v="157"/>
    <x v="0"/>
    <n v="0"/>
    <x v="46"/>
    <x v="11"/>
    <x v="1"/>
  </r>
  <r>
    <x v="419"/>
    <x v="411"/>
    <s v="Ch Robinson"/>
    <d v="2016-05-20T00:00:00"/>
    <x v="0"/>
    <n v="800"/>
    <n v="784"/>
    <n v="744"/>
    <n v="784"/>
    <n v="744"/>
    <s v="Full"/>
    <n v="0"/>
    <x v="3"/>
    <x v="47"/>
    <x v="48"/>
    <x v="209"/>
    <x v="82"/>
    <x v="166"/>
    <x v="0"/>
    <n v="40"/>
    <x v="47"/>
    <x v="11"/>
    <x v="1"/>
  </r>
  <r>
    <x v="420"/>
    <x v="412"/>
    <s v="Coyote"/>
    <d v="2016-05-18T00:00:00"/>
    <x v="0"/>
    <n v="750"/>
    <n v="727.5"/>
    <n v="697.5"/>
    <n v="727.5"/>
    <n v="697.5"/>
    <s v="Full"/>
    <n v="0"/>
    <x v="6"/>
    <x v="47"/>
    <x v="47"/>
    <x v="209"/>
    <x v="1"/>
    <x v="17"/>
    <x v="0"/>
    <n v="30"/>
    <x v="47"/>
    <x v="11"/>
    <x v="1"/>
  </r>
  <r>
    <x v="421"/>
    <x v="413"/>
    <s v="XPOLogistics"/>
    <d v="2016-05-19T00:00:00"/>
    <x v="0"/>
    <n v="600"/>
    <n v="582"/>
    <n v="558"/>
    <n v="582"/>
    <n v="558"/>
    <s v="Full"/>
    <n v="0"/>
    <x v="9"/>
    <x v="47"/>
    <x v="47"/>
    <x v="209"/>
    <x v="130"/>
    <x v="139"/>
    <x v="0"/>
    <n v="24"/>
    <x v="47"/>
    <x v="11"/>
    <x v="1"/>
  </r>
  <r>
    <x v="422"/>
    <x v="414"/>
    <s v="Coyote"/>
    <d v="2016-05-18T00:00:00"/>
    <x v="0"/>
    <n v="300"/>
    <n v="291"/>
    <n v="279"/>
    <n v="291"/>
    <n v="279"/>
    <s v="Full"/>
    <n v="0"/>
    <x v="6"/>
    <x v="47"/>
    <x v="47"/>
    <x v="210"/>
    <x v="131"/>
    <x v="4"/>
    <x v="0"/>
    <n v="12"/>
    <x v="47"/>
    <x v="11"/>
    <x v="1"/>
  </r>
  <r>
    <x v="423"/>
    <x v="415"/>
    <s v="Interstate Distributor Co"/>
    <d v="2016-05-19T00:00:00"/>
    <x v="0"/>
    <n v="775"/>
    <n v="763.375"/>
    <n v="720.75"/>
    <n v="763.38"/>
    <n v="720.75"/>
    <s v="Full"/>
    <n v="0"/>
    <x v="9"/>
    <x v="47"/>
    <x v="47"/>
    <x v="210"/>
    <x v="132"/>
    <x v="141"/>
    <x v="0"/>
    <n v="42.625"/>
    <x v="47"/>
    <x v="11"/>
    <x v="1"/>
  </r>
  <r>
    <x v="424"/>
    <x v="416"/>
    <s v="XPOLogistics"/>
    <d v="2016-05-19T00:00:00"/>
    <x v="0"/>
    <n v="600"/>
    <n v="582"/>
    <n v="558"/>
    <n v="582"/>
    <n v="558"/>
    <s v="Full"/>
    <n v="0"/>
    <x v="3"/>
    <x v="47"/>
    <x v="48"/>
    <x v="210"/>
    <x v="130"/>
    <x v="139"/>
    <x v="0"/>
    <n v="24"/>
    <x v="47"/>
    <x v="11"/>
    <x v="1"/>
  </r>
  <r>
    <x v="425"/>
    <x v="417"/>
    <s v="Ch Robinson"/>
    <d v="2016-05-20T00:00:00"/>
    <x v="0"/>
    <n v="600"/>
    <n v="588"/>
    <n v="558"/>
    <n v="588"/>
    <n v="558"/>
    <s v="Full"/>
    <n v="0"/>
    <x v="3"/>
    <x v="47"/>
    <x v="48"/>
    <x v="211"/>
    <x v="4"/>
    <x v="80"/>
    <x v="0"/>
    <n v="30"/>
    <x v="47"/>
    <x v="11"/>
    <x v="1"/>
  </r>
  <r>
    <x v="426"/>
    <x v="418"/>
    <s v="TQL"/>
    <d v="2016-05-23T00:00:00"/>
    <x v="0"/>
    <n v="625"/>
    <n v="606.25"/>
    <n v="581.25"/>
    <n v="606.25"/>
    <n v="581.25"/>
    <s v="Full"/>
    <n v="0"/>
    <x v="6"/>
    <x v="47"/>
    <x v="47"/>
    <x v="211"/>
    <x v="9"/>
    <x v="167"/>
    <x v="0"/>
    <n v="25"/>
    <x v="47"/>
    <x v="11"/>
    <x v="1"/>
  </r>
  <r>
    <x v="427"/>
    <x v="419"/>
    <s v="XPOLogistics"/>
    <d v="2016-05-18T00:00:00"/>
    <x v="0"/>
    <n v="600"/>
    <n v="582"/>
    <n v="558"/>
    <n v="582"/>
    <n v="558"/>
    <s v="Full"/>
    <n v="0"/>
    <x v="9"/>
    <x v="47"/>
    <x v="47"/>
    <x v="211"/>
    <x v="116"/>
    <x v="139"/>
    <x v="0"/>
    <n v="24"/>
    <x v="47"/>
    <x v="11"/>
    <x v="1"/>
  </r>
  <r>
    <x v="428"/>
    <x v="420"/>
    <s v="XPOLogistics"/>
    <d v="2016-05-18T00:00:00"/>
    <x v="0"/>
    <n v="600"/>
    <n v="582"/>
    <n v="558"/>
    <n v="582"/>
    <n v="558"/>
    <s v="Full"/>
    <n v="0"/>
    <x v="6"/>
    <x v="47"/>
    <x v="47"/>
    <x v="212"/>
    <x v="116"/>
    <x v="139"/>
    <x v="0"/>
    <n v="24"/>
    <x v="47"/>
    <x v="11"/>
    <x v="1"/>
  </r>
  <r>
    <x v="429"/>
    <x v="421"/>
    <s v="CTS"/>
    <d v="2016-07-06T00:00:00"/>
    <x v="0"/>
    <n v="500"/>
    <n v="500"/>
    <n v="465"/>
    <n v="500"/>
    <n v="465"/>
    <s v="Full"/>
    <n v="0"/>
    <x v="3"/>
    <x v="47"/>
    <x v="48"/>
    <x v="212"/>
    <x v="39"/>
    <x v="37"/>
    <x v="0"/>
    <n v="35"/>
    <x v="47"/>
    <x v="11"/>
    <x v="1"/>
  </r>
  <r>
    <x v="430"/>
    <x v="422"/>
    <s v="Fetch Logistics, Inc."/>
    <d v="2016-06-08T00:00:00"/>
    <x v="0"/>
    <n v="725"/>
    <n v="703.25"/>
    <n v="674.25"/>
    <n v="703.25"/>
    <n v="674.25"/>
    <s v="Full"/>
    <n v="0"/>
    <x v="9"/>
    <x v="47"/>
    <x v="47"/>
    <x v="212"/>
    <x v="133"/>
    <x v="94"/>
    <x v="0"/>
    <n v="29"/>
    <x v="47"/>
    <x v="11"/>
    <x v="1"/>
  </r>
  <r>
    <x v="431"/>
    <x v="423"/>
    <s v="XPOLogistics"/>
    <d v="2016-06-01T00:00:00"/>
    <x v="0"/>
    <n v="600"/>
    <n v="582"/>
    <n v="558"/>
    <n v="600"/>
    <n v="558"/>
    <s v="Full"/>
    <n v="0"/>
    <x v="9"/>
    <x v="47"/>
    <x v="47"/>
    <x v="213"/>
    <x v="116"/>
    <x v="139"/>
    <x v="0"/>
    <n v="24"/>
    <x v="47"/>
    <x v="11"/>
    <x v="1"/>
  </r>
  <r>
    <x v="432"/>
    <x v="424"/>
    <s v="CTS"/>
    <m/>
    <x v="2"/>
    <n v="400"/>
    <n v="400"/>
    <n v="372"/>
    <m/>
    <n v="372"/>
    <s v="Less"/>
    <n v="0"/>
    <x v="3"/>
    <x v="47"/>
    <x v="48"/>
    <x v="213"/>
    <x v="1"/>
    <x v="95"/>
    <x v="0"/>
    <n v="28"/>
    <x v="47"/>
    <x v="11"/>
    <x v="1"/>
  </r>
  <r>
    <x v="433"/>
    <x v="425"/>
    <s v="KTI Logistics, LLC"/>
    <d v="2016-06-03T00:00:00"/>
    <x v="0"/>
    <n v="800"/>
    <n v="776"/>
    <n v="744"/>
    <n v="776"/>
    <n v="744"/>
    <s v="Full"/>
    <n v="0"/>
    <x v="3"/>
    <x v="47"/>
    <x v="48"/>
    <x v="213"/>
    <x v="1"/>
    <x v="168"/>
    <x v="0"/>
    <n v="32"/>
    <x v="47"/>
    <x v="11"/>
    <x v="1"/>
  </r>
  <r>
    <x v="434"/>
    <x v="426"/>
    <s v="Veritiv"/>
    <d v="2016-06-22T00:00:00"/>
    <x v="0"/>
    <n v="425"/>
    <n v="425"/>
    <n v="395.25"/>
    <n v="425"/>
    <n v="395.25"/>
    <s v="Full"/>
    <n v="0"/>
    <x v="6"/>
    <x v="47"/>
    <x v="47"/>
    <x v="213"/>
    <x v="9"/>
    <x v="21"/>
    <x v="0"/>
    <n v="29.75"/>
    <x v="47"/>
    <x v="11"/>
    <x v="1"/>
  </r>
  <r>
    <x v="435"/>
    <x v="427"/>
    <s v="Schenider"/>
    <d v="2016-06-05T00:00:00"/>
    <x v="0"/>
    <n v="600"/>
    <n v="588"/>
    <n v="600"/>
    <n v="588"/>
    <n v="600"/>
    <s v="Full"/>
    <n v="0"/>
    <x v="3"/>
    <x v="48"/>
    <x v="49"/>
    <x v="214"/>
    <x v="134"/>
    <x v="169"/>
    <x v="0"/>
    <n v="-12"/>
    <x v="48"/>
    <x v="11"/>
    <x v="1"/>
  </r>
  <r>
    <x v="436"/>
    <x v="428"/>
    <s v="XPOLogistics"/>
    <d v="2016-05-25T00:00:00"/>
    <x v="0"/>
    <n v="600"/>
    <n v="582"/>
    <n v="558"/>
    <n v="582"/>
    <n v="558"/>
    <s v="Full"/>
    <n v="0"/>
    <x v="6"/>
    <x v="48"/>
    <x v="48"/>
    <x v="214"/>
    <x v="116"/>
    <x v="139"/>
    <x v="0"/>
    <n v="24"/>
    <x v="48"/>
    <x v="11"/>
    <x v="1"/>
  </r>
  <r>
    <x v="437"/>
    <x v="429"/>
    <s v="Cargobarn Inc."/>
    <d v="2016-05-28T00:00:00"/>
    <x v="0"/>
    <n v="450"/>
    <n v="436.5"/>
    <n v="418.5"/>
    <n v="436.5"/>
    <n v="418.5"/>
    <s v="Full"/>
    <n v="0"/>
    <x v="6"/>
    <x v="48"/>
    <x v="48"/>
    <x v="214"/>
    <x v="97"/>
    <x v="94"/>
    <x v="0"/>
    <n v="18"/>
    <x v="48"/>
    <x v="11"/>
    <x v="1"/>
  </r>
  <r>
    <x v="438"/>
    <x v="430"/>
    <s v="Circle 8 Logistics"/>
    <d v="2016-06-10T00:00:00"/>
    <x v="0"/>
    <n v="650"/>
    <n v="630.5"/>
    <n v="604.5"/>
    <n v="630.5"/>
    <n v="604.5"/>
    <s v="Full"/>
    <n v="0"/>
    <x v="9"/>
    <x v="48"/>
    <x v="48"/>
    <x v="214"/>
    <x v="4"/>
    <x v="94"/>
    <x v="0"/>
    <n v="26"/>
    <x v="48"/>
    <x v="11"/>
    <x v="1"/>
  </r>
  <r>
    <x v="439"/>
    <x v="431"/>
    <s v="XPOLogistics"/>
    <d v="2016-06-01T00:00:00"/>
    <x v="0"/>
    <n v="600"/>
    <n v="582"/>
    <n v="558"/>
    <n v="600"/>
    <n v="558"/>
    <s v="Full"/>
    <n v="0"/>
    <x v="9"/>
    <x v="48"/>
    <x v="48"/>
    <x v="215"/>
    <x v="116"/>
    <x v="139"/>
    <x v="0"/>
    <n v="24"/>
    <x v="48"/>
    <x v="11"/>
    <x v="1"/>
  </r>
  <r>
    <x v="440"/>
    <x v="432"/>
    <s v="Freightquote"/>
    <d v="2106-06-20T00:00:00"/>
    <x v="0"/>
    <n v="525"/>
    <n v="509.25"/>
    <n v="488.25"/>
    <n v="525"/>
    <n v="488.25"/>
    <s v="Full"/>
    <n v="0"/>
    <x v="9"/>
    <x v="48"/>
    <x v="48"/>
    <x v="215"/>
    <x v="135"/>
    <x v="24"/>
    <x v="0"/>
    <n v="21"/>
    <x v="48"/>
    <x v="11"/>
    <x v="1"/>
  </r>
  <r>
    <x v="441"/>
    <x v="433"/>
    <s v="Schenider"/>
    <d v="2016-06-07T00:00:00"/>
    <x v="0"/>
    <n v="600"/>
    <n v="588"/>
    <n v="558"/>
    <n v="588"/>
    <n v="558"/>
    <s v="Full"/>
    <n v="0"/>
    <x v="9"/>
    <x v="48"/>
    <x v="48"/>
    <x v="216"/>
    <x v="136"/>
    <x v="41"/>
    <x v="0"/>
    <n v="30"/>
    <x v="48"/>
    <x v="11"/>
    <x v="1"/>
  </r>
  <r>
    <x v="442"/>
    <x v="434"/>
    <s v="Echo Global Logistics Inc."/>
    <d v="2016-06-28T00:00:00"/>
    <x v="0"/>
    <n v="1000"/>
    <n v="1000"/>
    <n v="930"/>
    <n v="1000"/>
    <n v="930"/>
    <s v="Full"/>
    <n v="0"/>
    <x v="6"/>
    <x v="48"/>
    <x v="48"/>
    <x v="216"/>
    <x v="137"/>
    <x v="41"/>
    <x v="0"/>
    <n v="70"/>
    <x v="48"/>
    <x v="11"/>
    <x v="1"/>
  </r>
  <r>
    <x v="443"/>
    <x v="435"/>
    <s v="XPOLogistics"/>
    <d v="2016-06-01T00:00:00"/>
    <x v="0"/>
    <n v="600"/>
    <n v="582"/>
    <n v="558"/>
    <n v="600"/>
    <n v="558"/>
    <s v="Full"/>
    <n v="0"/>
    <x v="9"/>
    <x v="48"/>
    <x v="48"/>
    <x v="217"/>
    <x v="116"/>
    <x v="139"/>
    <x v="0"/>
    <n v="24"/>
    <x v="48"/>
    <x v="11"/>
    <x v="1"/>
  </r>
  <r>
    <x v="444"/>
    <x v="436"/>
    <s v="Cargobarn Inc."/>
    <d v="2016-05-28T00:00:00"/>
    <x v="0"/>
    <n v="900"/>
    <n v="873"/>
    <n v="837"/>
    <n v="873"/>
    <n v="837"/>
    <s v="Full"/>
    <n v="0"/>
    <x v="6"/>
    <x v="48"/>
    <x v="48"/>
    <x v="217"/>
    <x v="116"/>
    <x v="170"/>
    <x v="0"/>
    <n v="36"/>
    <x v="48"/>
    <x v="11"/>
    <x v="1"/>
  </r>
  <r>
    <x v="445"/>
    <x v="437"/>
    <s v="Nolan Tranportation Group Inc."/>
    <d v="2016-06-20T00:00:00"/>
    <x v="0"/>
    <n v="400"/>
    <n v="400"/>
    <n v="372"/>
    <n v="400"/>
    <n v="372"/>
    <s v="Full"/>
    <n v="0"/>
    <x v="3"/>
    <x v="48"/>
    <x v="49"/>
    <x v="217"/>
    <x v="49"/>
    <x v="171"/>
    <x v="0"/>
    <n v="28"/>
    <x v="48"/>
    <x v="11"/>
    <x v="1"/>
  </r>
  <r>
    <x v="446"/>
    <x v="438"/>
    <s v="Nolan Tranportation Group Inc."/>
    <d v="2016-06-20T00:00:00"/>
    <x v="0"/>
    <n v="700"/>
    <n v="700"/>
    <n v="651"/>
    <n v="700"/>
    <n v="651"/>
    <s v="Full"/>
    <n v="0"/>
    <x v="3"/>
    <x v="48"/>
    <x v="49"/>
    <x v="217"/>
    <x v="138"/>
    <x v="41"/>
    <x v="0"/>
    <n v="49"/>
    <x v="48"/>
    <x v="11"/>
    <x v="1"/>
  </r>
  <r>
    <x v="447"/>
    <x v="439"/>
    <s v="XPOLogistics"/>
    <d v="2016-07-01T00:00:00"/>
    <x v="0"/>
    <n v="750"/>
    <n v="727.5"/>
    <n v="702.75"/>
    <n v="750"/>
    <n v="702.75"/>
    <s v="Full"/>
    <n v="75"/>
    <x v="3"/>
    <x v="48"/>
    <x v="49"/>
    <x v="217"/>
    <x v="116"/>
    <x v="139"/>
    <x v="0"/>
    <n v="24.75"/>
    <x v="48"/>
    <x v="11"/>
    <x v="1"/>
  </r>
  <r>
    <x v="448"/>
    <x v="440"/>
    <s v="Ch Robinson"/>
    <d v="2016-06-07T00:00:00"/>
    <x v="0"/>
    <n v="950"/>
    <n v="931"/>
    <n v="883.5"/>
    <n v="931"/>
    <n v="883.5"/>
    <s v="Full"/>
    <n v="0"/>
    <x v="6"/>
    <x v="48"/>
    <x v="48"/>
    <x v="218"/>
    <x v="64"/>
    <x v="45"/>
    <x v="0"/>
    <n v="47.5"/>
    <x v="48"/>
    <x v="11"/>
    <x v="1"/>
  </r>
  <r>
    <x v="449"/>
    <x v="441"/>
    <s v="Coyote"/>
    <d v="2016-06-07T00:00:00"/>
    <x v="0"/>
    <n v="775"/>
    <n v="751.75"/>
    <n v="720.75"/>
    <n v="751"/>
    <n v="720.75"/>
    <s v="Less"/>
    <n v="0"/>
    <x v="9"/>
    <x v="48"/>
    <x v="48"/>
    <x v="218"/>
    <x v="139"/>
    <x v="17"/>
    <x v="0"/>
    <n v="31"/>
    <x v="48"/>
    <x v="11"/>
    <x v="1"/>
  </r>
  <r>
    <x v="450"/>
    <x v="442"/>
    <s v="Coyote"/>
    <d v="2016-06-07T00:00:00"/>
    <x v="0"/>
    <n v="300"/>
    <n v="291"/>
    <n v="279"/>
    <n v="291"/>
    <n v="279"/>
    <s v="Full"/>
    <n v="0"/>
    <x v="9"/>
    <x v="49"/>
    <x v="49"/>
    <x v="219"/>
    <x v="131"/>
    <x v="4"/>
    <x v="0"/>
    <n v="12"/>
    <x v="49"/>
    <x v="11"/>
    <x v="1"/>
  </r>
  <r>
    <x v="451"/>
    <x v="443"/>
    <s v="Coyote"/>
    <d v="2016-06-03T00:00:00"/>
    <x v="0"/>
    <n v="685"/>
    <n v="664.44999999999993"/>
    <n v="637.05000000000007"/>
    <n v="664.45"/>
    <n v="637.05000000000007"/>
    <s v="Full"/>
    <n v="0"/>
    <x v="6"/>
    <x v="49"/>
    <x v="49"/>
    <x v="219"/>
    <x v="48"/>
    <x v="172"/>
    <x v="0"/>
    <n v="27.399999999999931"/>
    <x v="49"/>
    <x v="11"/>
    <x v="1"/>
  </r>
  <r>
    <x v="452"/>
    <x v="444"/>
    <s v="Globaltranz"/>
    <d v="2016-07-01T00:00:00"/>
    <x v="0"/>
    <n v="650"/>
    <n v="650"/>
    <n v="604.5"/>
    <n v="650"/>
    <n v="604.5"/>
    <s v="Full"/>
    <n v="0"/>
    <x v="3"/>
    <x v="49"/>
    <x v="50"/>
    <x v="219"/>
    <x v="4"/>
    <x v="94"/>
    <x v="0"/>
    <n v="45.5"/>
    <x v="49"/>
    <x v="11"/>
    <x v="1"/>
  </r>
  <r>
    <x v="453"/>
    <x v="445"/>
    <s v="Coyote"/>
    <d v="2016-07-02T00:00:00"/>
    <x v="0"/>
    <n v="300"/>
    <n v="291"/>
    <n v="279"/>
    <n v="291"/>
    <n v="279"/>
    <s v="Full"/>
    <n v="0"/>
    <x v="6"/>
    <x v="49"/>
    <x v="49"/>
    <x v="220"/>
    <x v="131"/>
    <x v="4"/>
    <x v="0"/>
    <n v="12"/>
    <x v="49"/>
    <x v="11"/>
    <x v="1"/>
  </r>
  <r>
    <x v="454"/>
    <x v="446"/>
    <s v="Covenant Express"/>
    <d v="2016-06-08T00:00:00"/>
    <x v="0"/>
    <n v="500"/>
    <n v="500"/>
    <n v="465"/>
    <n v="500"/>
    <n v="465"/>
    <s v="Full"/>
    <n v="0"/>
    <x v="3"/>
    <x v="49"/>
    <x v="50"/>
    <x v="220"/>
    <x v="41"/>
    <x v="89"/>
    <x v="0"/>
    <n v="35"/>
    <x v="49"/>
    <x v="11"/>
    <x v="1"/>
  </r>
  <r>
    <x v="455"/>
    <x v="447"/>
    <s v="Ch Robinson"/>
    <d v="2016-06-07T00:00:00"/>
    <x v="0"/>
    <n v="200"/>
    <n v="196"/>
    <n v="186"/>
    <n v="196"/>
    <n v="186"/>
    <s v="Full"/>
    <n v="0"/>
    <x v="9"/>
    <x v="49"/>
    <x v="49"/>
    <x v="221"/>
    <x v="24"/>
    <x v="16"/>
    <x v="0"/>
    <n v="10"/>
    <x v="49"/>
    <x v="11"/>
    <x v="1"/>
  </r>
  <r>
    <x v="456"/>
    <x v="448"/>
    <s v="Knight Logistics Llc"/>
    <d v="2016-06-15T00:00:00"/>
    <x v="0"/>
    <n v="695"/>
    <n v="674.15"/>
    <n v="646.35"/>
    <n v="695"/>
    <n v="646.35"/>
    <s v="Full"/>
    <n v="0"/>
    <x v="6"/>
    <x v="49"/>
    <x v="49"/>
    <x v="221"/>
    <x v="19"/>
    <x v="135"/>
    <x v="0"/>
    <n v="27.799999999999979"/>
    <x v="49"/>
    <x v="11"/>
    <x v="1"/>
  </r>
  <r>
    <x v="457"/>
    <x v="449"/>
    <s v="Us Xpress Logistics"/>
    <d v="2016-07-01T00:00:00"/>
    <x v="0"/>
    <n v="650"/>
    <n v="640.25"/>
    <n v="604.5"/>
    <n v="640.25"/>
    <n v="604.5"/>
    <s v="Full"/>
    <n v="0"/>
    <x v="3"/>
    <x v="49"/>
    <x v="50"/>
    <x v="221"/>
    <x v="33"/>
    <x v="94"/>
    <x v="0"/>
    <n v="35.75"/>
    <x v="49"/>
    <x v="11"/>
    <x v="1"/>
  </r>
  <r>
    <x v="458"/>
    <x v="450"/>
    <s v="Us Xpress Logistics"/>
    <d v="2016-06-11T00:00:00"/>
    <x v="0"/>
    <n v="396"/>
    <n v="390.06"/>
    <n v="368.28000000000003"/>
    <n v="390.06"/>
    <n v="368.28000000000003"/>
    <s v="Full"/>
    <n v="0"/>
    <x v="9"/>
    <x v="49"/>
    <x v="49"/>
    <x v="222"/>
    <x v="24"/>
    <x v="173"/>
    <x v="0"/>
    <n v="21.779999999999973"/>
    <x v="49"/>
    <x v="11"/>
    <x v="1"/>
  </r>
  <r>
    <x v="459"/>
    <x v="451"/>
    <s v="Ch Robinson"/>
    <d v="2016-07-08T00:00:00"/>
    <x v="0"/>
    <n v="275"/>
    <n v="269.5"/>
    <n v="255.75"/>
    <n v="269.5"/>
    <n v="255.75"/>
    <s v="Full"/>
    <n v="0"/>
    <x v="3"/>
    <x v="49"/>
    <x v="50"/>
    <x v="222"/>
    <x v="41"/>
    <x v="6"/>
    <x v="0"/>
    <n v="13.75"/>
    <x v="49"/>
    <x v="11"/>
    <x v="1"/>
  </r>
  <r>
    <x v="460"/>
    <x v="452"/>
    <s v="Trinity Logistics"/>
    <d v="2016-06-13T00:00:00"/>
    <x v="0"/>
    <n v="400"/>
    <n v="392"/>
    <n v="372"/>
    <n v="392"/>
    <n v="372"/>
    <s v="Full"/>
    <n v="0"/>
    <x v="6"/>
    <x v="49"/>
    <x v="49"/>
    <x v="222"/>
    <x v="8"/>
    <x v="42"/>
    <x v="0"/>
    <n v="20"/>
    <x v="49"/>
    <x v="11"/>
    <x v="1"/>
  </r>
  <r>
    <x v="461"/>
    <x v="453"/>
    <s v="XPOLogistics"/>
    <d v="2016-06-02T00:00:00"/>
    <x v="0"/>
    <n v="425"/>
    <n v="412.25"/>
    <n v="395.25"/>
    <n v="412.25"/>
    <n v="395.25"/>
    <s v="Full"/>
    <n v="0"/>
    <x v="3"/>
    <x v="49"/>
    <x v="50"/>
    <x v="223"/>
    <x v="66"/>
    <x v="174"/>
    <x v="0"/>
    <n v="17"/>
    <x v="49"/>
    <x v="11"/>
    <x v="1"/>
  </r>
  <r>
    <x v="462"/>
    <x v="454"/>
    <s v="Ch Robinson"/>
    <d v="2016-06-16T00:00:00"/>
    <x v="0"/>
    <n v="400"/>
    <n v="392"/>
    <n v="372"/>
    <n v="392"/>
    <n v="372"/>
    <s v="Full"/>
    <n v="0"/>
    <x v="6"/>
    <x v="49"/>
    <x v="49"/>
    <x v="223"/>
    <x v="43"/>
    <x v="175"/>
    <x v="0"/>
    <n v="20"/>
    <x v="49"/>
    <x v="11"/>
    <x v="1"/>
  </r>
  <r>
    <x v="463"/>
    <x v="455"/>
    <s v="Ch Robinson"/>
    <d v="2016-06-24T00:00:00"/>
    <x v="0"/>
    <n v="675"/>
    <n v="661.5"/>
    <n v="627.75"/>
    <n v="661.5"/>
    <n v="627.75"/>
    <s v="Full"/>
    <n v="0"/>
    <x v="9"/>
    <x v="49"/>
    <x v="49"/>
    <x v="223"/>
    <x v="1"/>
    <x v="176"/>
    <x v="0"/>
    <n v="33.75"/>
    <x v="49"/>
    <x v="11"/>
    <x v="1"/>
  </r>
  <r>
    <x v="464"/>
    <x v="456"/>
    <s v="TQL"/>
    <d v="2016-06-24T00:00:00"/>
    <x v="0"/>
    <n v="400"/>
    <n v="388"/>
    <n v="372"/>
    <n v="388"/>
    <n v="372"/>
    <s v="Full"/>
    <n v="0"/>
    <x v="9"/>
    <x v="49"/>
    <x v="49"/>
    <x v="223"/>
    <x v="101"/>
    <x v="177"/>
    <x v="0"/>
    <n v="16"/>
    <x v="49"/>
    <x v="11"/>
    <x v="1"/>
  </r>
  <r>
    <x v="465"/>
    <x v="457"/>
    <s v="Ch Robinson"/>
    <d v="2016-06-07T00:00:00"/>
    <x v="0"/>
    <n v="285"/>
    <n v="279.3"/>
    <n v="264"/>
    <n v="279.3"/>
    <n v="264"/>
    <s v="Full"/>
    <n v="140"/>
    <x v="3"/>
    <x v="49"/>
    <x v="50"/>
    <x v="224"/>
    <x v="24"/>
    <x v="16"/>
    <x v="0"/>
    <n v="15.3"/>
    <x v="49"/>
    <x v="11"/>
    <x v="1"/>
  </r>
  <r>
    <x v="466"/>
    <x v="458"/>
    <s v="Ch Robinson"/>
    <d v="2016-06-13T00:00:00"/>
    <x v="0"/>
    <n v="500"/>
    <n v="490"/>
    <n v="465"/>
    <n v="490"/>
    <n v="465"/>
    <s v="Full"/>
    <n v="0"/>
    <x v="6"/>
    <x v="50"/>
    <x v="50"/>
    <x v="225"/>
    <x v="5"/>
    <x v="141"/>
    <x v="0"/>
    <n v="25"/>
    <x v="50"/>
    <x v="11"/>
    <x v="1"/>
  </r>
  <r>
    <x v="467"/>
    <x v="459"/>
    <s v="Knight Logistics Llc"/>
    <d v="2016-07-05T00:00:00"/>
    <x v="0"/>
    <n v="150"/>
    <n v="145.5"/>
    <n v="150"/>
    <n v="145.5"/>
    <n v="150"/>
    <s v="Full"/>
    <n v="0"/>
    <x v="6"/>
    <x v="50"/>
    <x v="50"/>
    <x v="225"/>
    <x v="5"/>
    <x v="94"/>
    <x v="0"/>
    <n v="-4.5"/>
    <x v="50"/>
    <x v="11"/>
    <x v="1"/>
  </r>
  <r>
    <x v="468"/>
    <x v="460"/>
    <s v="R2 Logistics"/>
    <d v="2016-06-25T00:00:00"/>
    <x v="0"/>
    <n v="325"/>
    <n v="312"/>
    <n v="302.25"/>
    <n v="312"/>
    <n v="302.25"/>
    <s v="Full"/>
    <n v="0"/>
    <x v="9"/>
    <x v="50"/>
    <x v="50"/>
    <x v="225"/>
    <x v="140"/>
    <x v="71"/>
    <x v="0"/>
    <n v="9.75"/>
    <x v="50"/>
    <x v="11"/>
    <x v="1"/>
  </r>
  <r>
    <x v="469"/>
    <x v="461"/>
    <s v="TQL"/>
    <d v="2016-06-11T00:00:00"/>
    <x v="0"/>
    <n v="450"/>
    <n v="436.5"/>
    <n v="418.5"/>
    <n v="436.5"/>
    <n v="418.5"/>
    <s v="Full"/>
    <n v="0"/>
    <x v="3"/>
    <x v="50"/>
    <x v="51"/>
    <x v="225"/>
    <x v="141"/>
    <x v="42"/>
    <x v="0"/>
    <n v="18"/>
    <x v="50"/>
    <x v="11"/>
    <x v="1"/>
  </r>
  <r>
    <x v="470"/>
    <x v="462"/>
    <s v="XPOLogistics"/>
    <d v="2016-06-08T00:00:00"/>
    <x v="0"/>
    <n v="850"/>
    <n v="824.5"/>
    <n v="790.5"/>
    <n v="824.5"/>
    <n v="790.5"/>
    <s v="Full"/>
    <n v="0"/>
    <x v="6"/>
    <x v="50"/>
    <x v="50"/>
    <x v="226"/>
    <x v="75"/>
    <x v="178"/>
    <x v="0"/>
    <n v="34"/>
    <x v="50"/>
    <x v="0"/>
    <x v="1"/>
  </r>
  <r>
    <x v="471"/>
    <x v="463"/>
    <s v="Cargo Chief"/>
    <d v="2016-06-16T00:00:00"/>
    <x v="0"/>
    <n v="650"/>
    <n v="650"/>
    <n v="604.5"/>
    <n v="650"/>
    <n v="604.5"/>
    <s v="Full"/>
    <n v="0"/>
    <x v="3"/>
    <x v="50"/>
    <x v="51"/>
    <x v="226"/>
    <x v="12"/>
    <x v="179"/>
    <x v="0"/>
    <n v="45.5"/>
    <x v="50"/>
    <x v="0"/>
    <x v="1"/>
  </r>
  <r>
    <x v="472"/>
    <x v="464"/>
    <s v="Ray Brothers Transportation Inc."/>
    <m/>
    <x v="2"/>
    <n v="700"/>
    <n v="700"/>
    <n v="651"/>
    <m/>
    <n v="651"/>
    <s v="Less"/>
    <n v="0"/>
    <x v="3"/>
    <x v="50"/>
    <x v="51"/>
    <x v="227"/>
    <x v="78"/>
    <x v="81"/>
    <x v="0"/>
    <n v="49"/>
    <x v="50"/>
    <x v="0"/>
    <x v="1"/>
  </r>
  <r>
    <x v="473"/>
    <x v="465"/>
    <s v="TQL"/>
    <d v="2016-06-11T00:00:00"/>
    <x v="0"/>
    <n v="400"/>
    <n v="388"/>
    <n v="372"/>
    <n v="388"/>
    <n v="372"/>
    <s v="Full"/>
    <n v="0"/>
    <x v="6"/>
    <x v="50"/>
    <x v="50"/>
    <x v="227"/>
    <x v="142"/>
    <x v="180"/>
    <x v="0"/>
    <n v="16"/>
    <x v="50"/>
    <x v="0"/>
    <x v="1"/>
  </r>
  <r>
    <x v="474"/>
    <x v="466"/>
    <s v="Ch Robinson"/>
    <d v="2016-06-13T00:00:00"/>
    <x v="0"/>
    <n v="1045"/>
    <n v="1024.0999999999999"/>
    <n v="1023.85"/>
    <n v="1025"/>
    <n v="1023.85"/>
    <s v="Full"/>
    <n v="45"/>
    <x v="6"/>
    <x v="50"/>
    <x v="50"/>
    <x v="228"/>
    <x v="98"/>
    <x v="12"/>
    <x v="0"/>
    <n v="0.24999999999997513"/>
    <x v="50"/>
    <x v="0"/>
    <x v="1"/>
  </r>
  <r>
    <x v="475"/>
    <x v="467"/>
    <s v="Schenider"/>
    <m/>
    <x v="2"/>
    <n v="650"/>
    <n v="650"/>
    <n v="604.5"/>
    <m/>
    <n v="604.5"/>
    <s v="Less"/>
    <n v="0"/>
    <x v="3"/>
    <x v="50"/>
    <x v="51"/>
    <x v="228"/>
    <x v="33"/>
    <x v="94"/>
    <x v="0"/>
    <n v="45.5"/>
    <x v="50"/>
    <x v="0"/>
    <x v="1"/>
  </r>
  <r>
    <x v="476"/>
    <x v="468"/>
    <s v="Globaltranz"/>
    <d v="2016-07-01T00:00:00"/>
    <x v="0"/>
    <n v="700"/>
    <n v="672"/>
    <n v="697.5"/>
    <n v="672"/>
    <n v="697.5"/>
    <s v="Full"/>
    <n v="-50"/>
    <x v="6"/>
    <x v="51"/>
    <x v="51"/>
    <x v="229"/>
    <x v="4"/>
    <x v="94"/>
    <x v="0"/>
    <n v="-25.5"/>
    <x v="51"/>
    <x v="0"/>
    <x v="1"/>
  </r>
  <r>
    <x v="477"/>
    <x v="469"/>
    <s v="Pepsi Logistics Company Inc"/>
    <d v="2016-06-24T00:00:00"/>
    <x v="0"/>
    <n v="475"/>
    <n v="460.75"/>
    <n v="441.75"/>
    <n v="461.22"/>
    <n v="441.75"/>
    <s v="Full"/>
    <n v="0"/>
    <x v="3"/>
    <x v="51"/>
    <x v="52"/>
    <x v="229"/>
    <x v="8"/>
    <x v="64"/>
    <x v="0"/>
    <n v="19"/>
    <x v="51"/>
    <x v="0"/>
    <x v="1"/>
  </r>
  <r>
    <x v="478"/>
    <x v="470"/>
    <s v="Ch Robinson"/>
    <d v="2016-06-24T00:00:00"/>
    <x v="0"/>
    <n v="450"/>
    <n v="441"/>
    <n v="418.5"/>
    <n v="441"/>
    <n v="418.5"/>
    <s v="Full"/>
    <n v="0"/>
    <x v="3"/>
    <x v="51"/>
    <x v="52"/>
    <x v="230"/>
    <x v="8"/>
    <x v="13"/>
    <x v="0"/>
    <n v="22.5"/>
    <x v="51"/>
    <x v="0"/>
    <x v="1"/>
  </r>
  <r>
    <x v="479"/>
    <x v="471"/>
    <s v="Ch Robinson"/>
    <d v="2016-06-24T00:00:00"/>
    <x v="0"/>
    <n v="450"/>
    <n v="441"/>
    <n v="418.5"/>
    <n v="441"/>
    <n v="418.5"/>
    <s v="Full"/>
    <n v="0"/>
    <x v="6"/>
    <x v="51"/>
    <x v="51"/>
    <x v="231"/>
    <x v="41"/>
    <x v="14"/>
    <x v="0"/>
    <n v="22.5"/>
    <x v="51"/>
    <x v="0"/>
    <x v="1"/>
  </r>
  <r>
    <x v="480"/>
    <x v="472"/>
    <s v="Its National "/>
    <d v="2016-06-27T00:00:00"/>
    <x v="0"/>
    <n v="650"/>
    <n v="630.5"/>
    <n v="604.5"/>
    <n v="630.5"/>
    <n v="604.5"/>
    <s v="Full"/>
    <n v="0"/>
    <x v="6"/>
    <x v="51"/>
    <x v="51"/>
    <x v="230"/>
    <x v="12"/>
    <x v="136"/>
    <x v="0"/>
    <n v="26"/>
    <x v="51"/>
    <x v="0"/>
    <x v="1"/>
  </r>
  <r>
    <x v="481"/>
    <x v="473"/>
    <s v="Ch Robinson"/>
    <d v="2016-06-24T00:00:00"/>
    <x v="0"/>
    <n v="325"/>
    <n v="318.5"/>
    <n v="302.25"/>
    <n v="318"/>
    <n v="302.25"/>
    <s v="Less"/>
    <n v="0"/>
    <x v="3"/>
    <x v="51"/>
    <x v="52"/>
    <x v="232"/>
    <x v="43"/>
    <x v="45"/>
    <x v="0"/>
    <n v="16.25"/>
    <x v="51"/>
    <x v="0"/>
    <x v="1"/>
  </r>
  <r>
    <x v="482"/>
    <x v="474"/>
    <s v="Carrier Nationwide Transportation System"/>
    <m/>
    <x v="2"/>
    <n v="600"/>
    <n v="600"/>
    <n v="558"/>
    <m/>
    <n v="558"/>
    <s v="Less"/>
    <n v="0"/>
    <x v="6"/>
    <x v="51"/>
    <x v="51"/>
    <x v="232"/>
    <x v="8"/>
    <x v="181"/>
    <x v="0"/>
    <n v="42"/>
    <x v="51"/>
    <x v="0"/>
    <x v="1"/>
  </r>
  <r>
    <x v="483"/>
    <x v="475"/>
    <s v="Fetch Logistics, Inc."/>
    <m/>
    <x v="2"/>
    <n v="750"/>
    <n v="750"/>
    <n v="697.5"/>
    <m/>
    <n v="697.5"/>
    <s v="Less"/>
    <n v="0"/>
    <x v="6"/>
    <x v="51"/>
    <x v="51"/>
    <x v="233"/>
    <x v="133"/>
    <x v="94"/>
    <x v="0"/>
    <n v="52.5"/>
    <x v="51"/>
    <x v="0"/>
    <x v="1"/>
  </r>
  <r>
    <x v="484"/>
    <x v="476"/>
    <s v="USAT Logistics"/>
    <m/>
    <x v="2"/>
    <n v="387.5"/>
    <n v="375.875"/>
    <n v="360.375"/>
    <m/>
    <n v="360.375"/>
    <s v="Less"/>
    <n v="0"/>
    <x v="3"/>
    <x v="51"/>
    <x v="52"/>
    <x v="232"/>
    <x v="29"/>
    <x v="4"/>
    <x v="0"/>
    <n v="15.5"/>
    <x v="51"/>
    <x v="0"/>
    <x v="1"/>
  </r>
  <r>
    <x v="485"/>
    <x v="477"/>
    <s v="Ch Robinson"/>
    <d v="2016-06-27T00:00:00"/>
    <x v="0"/>
    <n v="500"/>
    <n v="490"/>
    <n v="465"/>
    <n v="441"/>
    <n v="465"/>
    <s v="Less"/>
    <n v="50"/>
    <x v="9"/>
    <x v="52"/>
    <x v="52"/>
    <x v="234"/>
    <x v="5"/>
    <x v="37"/>
    <x v="0"/>
    <n v="25"/>
    <x v="52"/>
    <x v="0"/>
    <x v="1"/>
  </r>
  <r>
    <x v="486"/>
    <x v="478"/>
    <s v="Globaltranz"/>
    <d v="2016-07-06T00:00:00"/>
    <x v="0"/>
    <n v="750"/>
    <n v="720"/>
    <n v="697.5"/>
    <n v="720"/>
    <n v="697.5"/>
    <s v="Full"/>
    <n v="0"/>
    <x v="3"/>
    <x v="52"/>
    <x v="53"/>
    <x v="235"/>
    <x v="4"/>
    <x v="94"/>
    <x v="0"/>
    <n v="22.5"/>
    <x v="52"/>
    <x v="0"/>
    <x v="1"/>
  </r>
  <r>
    <x v="487"/>
    <x v="479"/>
    <s v="Echo Global Logistics Inc."/>
    <m/>
    <x v="2"/>
    <n v="300"/>
    <n v="294"/>
    <n v="279"/>
    <m/>
    <n v="279"/>
    <s v="Less"/>
    <n v="0"/>
    <x v="3"/>
    <x v="52"/>
    <x v="53"/>
    <x v="235"/>
    <x v="143"/>
    <x v="11"/>
    <x v="0"/>
    <n v="15"/>
    <x v="52"/>
    <x v="0"/>
    <x v="1"/>
  </r>
  <r>
    <x v="488"/>
    <x v="480"/>
    <s v="Globaltranz"/>
    <d v="2016-07-06T00:00:00"/>
    <x v="0"/>
    <n v="600"/>
    <n v="576"/>
    <n v="558"/>
    <n v="576"/>
    <n v="558"/>
    <s v="Full"/>
    <n v="0"/>
    <x v="9"/>
    <x v="52"/>
    <x v="52"/>
    <x v="235"/>
    <x v="19"/>
    <x v="41"/>
    <x v="0"/>
    <n v="18"/>
    <x v="52"/>
    <x v="0"/>
    <x v="1"/>
  </r>
  <r>
    <x v="489"/>
    <x v="481"/>
    <s v="Nolan Tranportation Group Inc."/>
    <m/>
    <x v="2"/>
    <n v="400"/>
    <n v="384"/>
    <n v="372"/>
    <m/>
    <n v="372"/>
    <s v="Less"/>
    <n v="0"/>
    <x v="6"/>
    <x v="52"/>
    <x v="52"/>
    <x v="235"/>
    <x v="8"/>
    <x v="12"/>
    <x v="0"/>
    <n v="12"/>
    <x v="52"/>
    <x v="0"/>
    <x v="1"/>
  </r>
  <r>
    <x v="490"/>
    <x v="482"/>
    <s v="Ch Robinson"/>
    <d v="2016-06-24T00:00:00"/>
    <x v="0"/>
    <n v="850"/>
    <n v="833"/>
    <n v="790.5"/>
    <n v="833"/>
    <n v="790.5"/>
    <s v="Full"/>
    <n v="50"/>
    <x v="6"/>
    <x v="52"/>
    <x v="52"/>
    <x v="236"/>
    <x v="43"/>
    <x v="94"/>
    <x v="0"/>
    <n v="42.5"/>
    <x v="52"/>
    <x v="0"/>
    <x v="1"/>
  </r>
  <r>
    <x v="491"/>
    <x v="483"/>
    <s v="USAT Logistics"/>
    <m/>
    <x v="2"/>
    <n v="652"/>
    <n v="632.43999999999994"/>
    <n v="610"/>
    <m/>
    <n v="610"/>
    <s v="Less"/>
    <n v="52"/>
    <x v="3"/>
    <x v="52"/>
    <x v="53"/>
    <x v="237"/>
    <x v="29"/>
    <x v="17"/>
    <x v="0"/>
    <n v="22.44"/>
    <x v="52"/>
    <x v="0"/>
    <x v="1"/>
  </r>
  <r>
    <x v="492"/>
    <x v="484"/>
    <s v="Pepsi Logistics Company Inc"/>
    <d v="2016-06-28T00:00:00"/>
    <x v="0"/>
    <n v="525"/>
    <n v="509.25"/>
    <n v="488.25"/>
    <n v="509.77"/>
    <n v="488.25"/>
    <s v="Full"/>
    <n v="0"/>
    <x v="6"/>
    <x v="52"/>
    <x v="52"/>
    <x v="237"/>
    <x v="144"/>
    <x v="22"/>
    <x v="0"/>
    <n v="21"/>
    <x v="52"/>
    <x v="0"/>
    <x v="1"/>
  </r>
  <r>
    <x v="493"/>
    <x v="485"/>
    <s v="Knight Logistics Llc"/>
    <m/>
    <x v="2"/>
    <n v="450"/>
    <n v="436.5"/>
    <n v="418.5"/>
    <m/>
    <n v="418.5"/>
    <s v="Less"/>
    <n v="0"/>
    <x v="9"/>
    <x v="52"/>
    <x v="52"/>
    <x v="236"/>
    <x v="41"/>
    <x v="64"/>
    <x v="0"/>
    <n v="18"/>
    <x v="52"/>
    <x v="0"/>
    <x v="1"/>
  </r>
  <r>
    <x v="494"/>
    <x v="486"/>
    <s v="Knight Logistics Llc"/>
    <m/>
    <x v="2"/>
    <n v="450"/>
    <n v="436.5"/>
    <n v="418.5"/>
    <m/>
    <n v="418.5"/>
    <s v="Less"/>
    <n v="0"/>
    <x v="3"/>
    <x v="52"/>
    <x v="53"/>
    <x v="236"/>
    <x v="116"/>
    <x v="42"/>
    <x v="0"/>
    <n v="18"/>
    <x v="52"/>
    <x v="0"/>
    <x v="1"/>
  </r>
  <r>
    <x v="495"/>
    <x v="487"/>
    <s v="RE TRANSPORTATION"/>
    <m/>
    <x v="2"/>
    <n v="725"/>
    <n v="725"/>
    <n v="674.25"/>
    <m/>
    <n v="674.25"/>
    <s v="Less"/>
    <n v="0"/>
    <x v="9"/>
    <x v="52"/>
    <x v="52"/>
    <x v="237"/>
    <x v="19"/>
    <x v="137"/>
    <x v="0"/>
    <n v="50.75"/>
    <x v="52"/>
    <x v="0"/>
    <x v="1"/>
  </r>
  <r>
    <x v="496"/>
    <x v="488"/>
    <s v="XPOLogistics"/>
    <d v="2016-07-02T00:00:00"/>
    <x v="0"/>
    <n v="900"/>
    <n v="873"/>
    <n v="837"/>
    <n v="873"/>
    <n v="837"/>
    <s v="Full"/>
    <n v="0"/>
    <x v="6"/>
    <x v="52"/>
    <x v="52"/>
    <x v="238"/>
    <x v="4"/>
    <x v="94"/>
    <x v="0"/>
    <n v="36"/>
    <x v="52"/>
    <x v="0"/>
    <x v="1"/>
  </r>
  <r>
    <x v="497"/>
    <x v="489"/>
    <s v="Pepsi Logistics Company Inc"/>
    <d v="2016-07-06T00:00:00"/>
    <x v="0"/>
    <n v="525"/>
    <n v="509.25"/>
    <n v="488.25"/>
    <n v="509.77"/>
    <n v="488.25"/>
    <s v="Full"/>
    <n v="0"/>
    <x v="6"/>
    <x v="53"/>
    <x v="53"/>
    <x v="239"/>
    <x v="144"/>
    <x v="22"/>
    <x v="0"/>
    <n v="21"/>
    <x v="53"/>
    <x v="0"/>
    <x v="1"/>
  </r>
  <r>
    <x v="498"/>
    <x v="490"/>
    <s v="Ch Robinson"/>
    <d v="2018-06-27T00:00:00"/>
    <x v="0"/>
    <n v="549"/>
    <n v="538.02"/>
    <n v="510.57000000000005"/>
    <n v="538.02"/>
    <n v="510.57000000000005"/>
    <s v="Full"/>
    <n v="0"/>
    <x v="3"/>
    <x v="52"/>
    <x v="53"/>
    <x v="238"/>
    <x v="145"/>
    <x v="34"/>
    <x v="0"/>
    <n v="27.44999999999995"/>
    <x v="52"/>
    <x v="0"/>
    <x v="1"/>
  </r>
  <r>
    <x v="499"/>
    <x v="491"/>
    <s v="USAT Logistics"/>
    <d v="2016-07-08T00:00:00"/>
    <x v="0"/>
    <n v="425"/>
    <n v="412.25"/>
    <n v="395.25"/>
    <n v="412.25"/>
    <n v="395.25"/>
    <s v="Full"/>
    <n v="0"/>
    <x v="9"/>
    <x v="53"/>
    <x v="53"/>
    <x v="239"/>
    <x v="28"/>
    <x v="89"/>
    <x v="0"/>
    <n v="17"/>
    <x v="53"/>
    <x v="0"/>
    <x v="1"/>
  </r>
  <r>
    <x v="500"/>
    <x v="492"/>
    <s v="Knight Logistics Llc"/>
    <m/>
    <x v="2"/>
    <n v="350"/>
    <n v="339.5"/>
    <n v="325.5"/>
    <m/>
    <n v="325.5"/>
    <s v="Less"/>
    <n v="0"/>
    <x v="9"/>
    <x v="53"/>
    <x v="53"/>
    <x v="239"/>
    <x v="51"/>
    <x v="6"/>
    <x v="0"/>
    <n v="14"/>
    <x v="53"/>
    <x v="0"/>
    <x v="1"/>
  </r>
  <r>
    <x v="501"/>
    <x v="493"/>
    <s v="CAL FREIGHT"/>
    <s v="715/2016"/>
    <x v="0"/>
    <n v="700"/>
    <n v="679"/>
    <n v="651"/>
    <n v="679"/>
    <n v="651"/>
    <s v="Full"/>
    <n v="0"/>
    <x v="3"/>
    <x v="53"/>
    <x v="54"/>
    <x v="239"/>
    <x v="5"/>
    <x v="41"/>
    <x v="0"/>
    <n v="28"/>
    <x v="53"/>
    <x v="0"/>
    <x v="1"/>
  </r>
  <r>
    <x v="502"/>
    <x v="494"/>
    <s v="Globaltranz"/>
    <d v="2016-07-06T00:00:00"/>
    <x v="0"/>
    <n v="650"/>
    <n v="624"/>
    <n v="604.5"/>
    <n v="624"/>
    <n v="604.5"/>
    <s v="Full"/>
    <n v="0"/>
    <x v="3"/>
    <x v="53"/>
    <x v="54"/>
    <x v="239"/>
    <x v="12"/>
    <x v="94"/>
    <x v="0"/>
    <n v="19.5"/>
    <x v="53"/>
    <x v="0"/>
    <x v="1"/>
  </r>
  <r>
    <x v="503"/>
    <x v="495"/>
    <s v="GMGTRANSWEST"/>
    <m/>
    <x v="2"/>
    <n v="450"/>
    <n v="450"/>
    <n v="418.5"/>
    <m/>
    <n v="418.5"/>
    <s v="Less"/>
    <n v="0"/>
    <x v="9"/>
    <x v="52"/>
    <x v="52"/>
    <x v="238"/>
    <x v="8"/>
    <x v="182"/>
    <x v="0"/>
    <n v="31.5"/>
    <x v="52"/>
    <x v="0"/>
    <x v="1"/>
  </r>
  <r>
    <x v="504"/>
    <x v="496"/>
    <s v="Hub Group Inc"/>
    <d v="2016-07-20T00:00:00"/>
    <x v="0"/>
    <n v="800"/>
    <n v="784"/>
    <n v="744"/>
    <n v="800"/>
    <n v="744"/>
    <s v="Full"/>
    <n v="0"/>
    <x v="9"/>
    <x v="53"/>
    <x v="53"/>
    <x v="240"/>
    <x v="7"/>
    <x v="94"/>
    <x v="0"/>
    <n v="40"/>
    <x v="53"/>
    <x v="0"/>
    <x v="1"/>
  </r>
  <r>
    <x v="505"/>
    <x v="497"/>
    <s v="Echo Global Logistics Inc."/>
    <m/>
    <x v="2"/>
    <n v="450"/>
    <n v="441"/>
    <n v="418.5"/>
    <m/>
    <n v="418.5"/>
    <s v="Less"/>
    <n v="0"/>
    <x v="3"/>
    <x v="53"/>
    <x v="54"/>
    <x v="240"/>
    <x v="78"/>
    <x v="99"/>
    <x v="0"/>
    <n v="22.5"/>
    <x v="53"/>
    <x v="0"/>
    <x v="1"/>
  </r>
  <r>
    <x v="506"/>
    <x v="498"/>
    <s v="Fetch Logistics, Inc."/>
    <m/>
    <x v="2"/>
    <n v="900"/>
    <n v="900"/>
    <n v="837"/>
    <m/>
    <n v="837"/>
    <s v="Less"/>
    <n v="0"/>
    <x v="6"/>
    <x v="53"/>
    <x v="53"/>
    <x v="240"/>
    <x v="133"/>
    <x v="94"/>
    <x v="0"/>
    <n v="63"/>
    <x v="53"/>
    <x v="0"/>
    <x v="1"/>
  </r>
  <r>
    <x v="507"/>
    <x v="499"/>
    <s v="Ray Brothers Transportation Inc."/>
    <m/>
    <x v="2"/>
    <n v="700"/>
    <n v="700"/>
    <n v="651"/>
    <m/>
    <n v="651"/>
    <s v="Less"/>
    <n v="0"/>
    <x v="9"/>
    <x v="53"/>
    <x v="53"/>
    <x v="241"/>
    <x v="78"/>
    <x v="81"/>
    <x v="0"/>
    <n v="49"/>
    <x v="53"/>
    <x v="0"/>
    <x v="1"/>
  </r>
  <r>
    <x v="508"/>
    <x v="500"/>
    <s v="Ch Robinson"/>
    <d v="2016-07-06T00:00:00"/>
    <x v="0"/>
    <n v="300"/>
    <n v="294"/>
    <n v="279"/>
    <n v="294"/>
    <n v="279"/>
    <s v="Full"/>
    <n v="0"/>
    <x v="6"/>
    <x v="53"/>
    <x v="53"/>
    <x v="241"/>
    <x v="8"/>
    <x v="57"/>
    <x v="0"/>
    <n v="15"/>
    <x v="53"/>
    <x v="0"/>
    <x v="1"/>
  </r>
  <r>
    <x v="509"/>
    <x v="501"/>
    <s v="Cargobarn Inc."/>
    <m/>
    <x v="2"/>
    <n v="500"/>
    <n v="490"/>
    <n v="465"/>
    <m/>
    <n v="465"/>
    <s v="Less"/>
    <n v="0"/>
    <x v="3"/>
    <x v="53"/>
    <x v="54"/>
    <x v="242"/>
    <x v="41"/>
    <x v="64"/>
    <x v="0"/>
    <n v="25"/>
    <x v="53"/>
    <x v="0"/>
    <x v="1"/>
  </r>
  <r>
    <x v="510"/>
    <x v="502"/>
    <s v="GMGTRANSWEST"/>
    <m/>
    <x v="2"/>
    <n v="450"/>
    <n v="450"/>
    <n v="418.5"/>
    <m/>
    <n v="418.5"/>
    <s v="Less"/>
    <n v="0"/>
    <x v="9"/>
    <x v="51"/>
    <x v="51"/>
    <x v="231"/>
    <x v="136"/>
    <x v="183"/>
    <x v="0"/>
    <n v="31.5"/>
    <x v="51"/>
    <x v="0"/>
    <x v="1"/>
  </r>
  <r>
    <x v="511"/>
    <x v="503"/>
    <s v="Ch Robinson"/>
    <m/>
    <x v="2"/>
    <n v="800"/>
    <n v="784"/>
    <n v="744"/>
    <m/>
    <n v="744"/>
    <s v="Less"/>
    <n v="0"/>
    <x v="3"/>
    <x v="53"/>
    <x v="54"/>
    <x v="241"/>
    <x v="7"/>
    <x v="41"/>
    <x v="0"/>
    <n v="40"/>
    <x v="53"/>
    <x v="0"/>
    <x v="1"/>
  </r>
  <r>
    <x v="512"/>
    <x v="504"/>
    <s v="Schenider"/>
    <d v="2016-07-04T00:00:00"/>
    <x v="0"/>
    <n v="850"/>
    <n v="833"/>
    <n v="790.5"/>
    <n v="833"/>
    <n v="790.5"/>
    <s v="Full"/>
    <n v="0"/>
    <x v="9"/>
    <x v="53"/>
    <x v="53"/>
    <x v="242"/>
    <x v="33"/>
    <x v="94"/>
    <x v="0"/>
    <n v="42.5"/>
    <x v="53"/>
    <x v="0"/>
    <x v="1"/>
  </r>
  <r>
    <x v="513"/>
    <x v="505"/>
    <s v="USAT Logistics"/>
    <d v="2016-07-08T00:00:00"/>
    <x v="0"/>
    <n v="900"/>
    <n v="873"/>
    <n v="837"/>
    <n v="873"/>
    <n v="837"/>
    <s v="Full"/>
    <n v="0"/>
    <x v="6"/>
    <x v="53"/>
    <x v="53"/>
    <x v="243"/>
    <x v="29"/>
    <x v="17"/>
    <x v="0"/>
    <n v="36"/>
    <x v="53"/>
    <x v="0"/>
    <x v="1"/>
  </r>
  <r>
    <x v="514"/>
    <x v="506"/>
    <s v="VP Logistics"/>
    <m/>
    <x v="2"/>
    <n v="775"/>
    <n v="775"/>
    <n v="720.75"/>
    <m/>
    <n v="720.75"/>
    <s v="Less"/>
    <n v="375"/>
    <x v="9"/>
    <x v="53"/>
    <x v="53"/>
    <x v="244"/>
    <x v="49"/>
    <x v="12"/>
    <x v="0"/>
    <n v="54.25"/>
    <x v="53"/>
    <x v="0"/>
    <x v="1"/>
  </r>
  <r>
    <x v="515"/>
    <x v="507"/>
    <s v="Cavalry Logistics"/>
    <m/>
    <x v="2"/>
    <n v="600"/>
    <n v="588"/>
    <n v="558"/>
    <m/>
    <n v="558"/>
    <s v="Less"/>
    <n v="0"/>
    <x v="9"/>
    <x v="54"/>
    <x v="54"/>
    <x v="245"/>
    <x v="5"/>
    <x v="184"/>
    <x v="0"/>
    <n v="30"/>
    <x v="54"/>
    <x v="0"/>
    <x v="1"/>
  </r>
  <r>
    <x v="516"/>
    <x v="508"/>
    <s v="Ray Brothers Transportation Inc."/>
    <m/>
    <x v="2"/>
    <n v="700"/>
    <n v="700"/>
    <n v="651"/>
    <m/>
    <n v="651"/>
    <s v="Less"/>
    <n v="0"/>
    <x v="9"/>
    <x v="54"/>
    <x v="54"/>
    <x v="246"/>
    <x v="78"/>
    <x v="81"/>
    <x v="0"/>
    <n v="49"/>
    <x v="54"/>
    <x v="0"/>
    <x v="1"/>
  </r>
  <r>
    <x v="517"/>
    <x v="509"/>
    <s v="JBS Logistics"/>
    <m/>
    <x v="2"/>
    <n v="800"/>
    <n v="800"/>
    <n v="744"/>
    <m/>
    <n v="744"/>
    <s v="Less"/>
    <n v="0"/>
    <x v="9"/>
    <x v="54"/>
    <x v="54"/>
    <x v="247"/>
    <x v="12"/>
    <x v="94"/>
    <x v="0"/>
    <n v="56"/>
    <x v="54"/>
    <x v="0"/>
    <x v="1"/>
  </r>
  <r>
    <x v="518"/>
    <x v="510"/>
    <s v="Ch Robinson"/>
    <m/>
    <x v="0"/>
    <n v="555"/>
    <n v="543.9"/>
    <n v="516.15"/>
    <n v="543.9"/>
    <n v="516.15"/>
    <s v="Full"/>
    <n v="0"/>
    <x v="3"/>
    <x v="54"/>
    <x v="55"/>
    <x v="245"/>
    <x v="91"/>
    <x v="185"/>
    <x v="0"/>
    <n v="27.750000000000021"/>
    <x v="54"/>
    <x v="0"/>
    <x v="1"/>
  </r>
  <r>
    <x v="519"/>
    <x v="511"/>
    <s v="Alliance Shippers Inc. "/>
    <m/>
    <x v="2"/>
    <n v="1150"/>
    <n v="1150"/>
    <n v="1069.5"/>
    <m/>
    <n v="1069.5"/>
    <s v="Less"/>
    <n v="0"/>
    <x v="6"/>
    <x v="54"/>
    <x v="54"/>
    <x v="245"/>
    <x v="146"/>
    <x v="19"/>
    <x v="0"/>
    <n v="80.5"/>
    <x v="54"/>
    <x v="0"/>
    <x v="1"/>
  </r>
  <r>
    <x v="520"/>
    <x v="512"/>
    <s v="TQL"/>
    <d v="2016-07-11T00:00:00"/>
    <x v="0"/>
    <n v="900"/>
    <n v="873"/>
    <n v="837"/>
    <n v="873"/>
    <n v="837"/>
    <s v="Full"/>
    <n v="0"/>
    <x v="6"/>
    <x v="54"/>
    <x v="54"/>
    <x v="248"/>
    <x v="147"/>
    <x v="94"/>
    <x v="0"/>
    <n v="36"/>
    <x v="54"/>
    <x v="0"/>
    <x v="1"/>
  </r>
  <r>
    <x v="521"/>
    <x v="513"/>
    <s v="Ch Robinson"/>
    <m/>
    <x v="2"/>
    <n v="1450"/>
    <n v="1421"/>
    <n v="1488"/>
    <m/>
    <n v="1488"/>
    <s v="Less"/>
    <n v="150"/>
    <x v="9"/>
    <x v="54"/>
    <x v="54"/>
    <x v="248"/>
    <x v="20"/>
    <x v="99"/>
    <x v="0"/>
    <n v="-67"/>
    <x v="54"/>
    <x v="0"/>
    <x v="1"/>
  </r>
  <r>
    <x v="522"/>
    <x v="514"/>
    <s v="Veritiv"/>
    <m/>
    <x v="2"/>
    <n v="475"/>
    <n v="475"/>
    <n v="441.75"/>
    <m/>
    <n v="441.75"/>
    <s v="Less"/>
    <n v="0"/>
    <x v="6"/>
    <x v="54"/>
    <x v="54"/>
    <x v="249"/>
    <x v="8"/>
    <x v="186"/>
    <x v="0"/>
    <n v="33.25"/>
    <x v="54"/>
    <x v="1"/>
    <x v="1"/>
  </r>
  <r>
    <x v="523"/>
    <x v="515"/>
    <s v="Veritiv"/>
    <m/>
    <x v="2"/>
    <n v="475"/>
    <n v="475"/>
    <n v="441.75"/>
    <m/>
    <n v="441.75"/>
    <s v="Less"/>
    <n v="0"/>
    <x v="9"/>
    <x v="55"/>
    <x v="55"/>
    <x v="250"/>
    <x v="8"/>
    <x v="186"/>
    <x v="0"/>
    <n v="33.25"/>
    <x v="55"/>
    <x v="1"/>
    <x v="1"/>
  </r>
  <r>
    <x v="524"/>
    <x v="516"/>
    <s v="Globaltranz"/>
    <m/>
    <x v="2"/>
    <n v="900"/>
    <n v="864"/>
    <n v="837"/>
    <m/>
    <n v="837"/>
    <s v="Less"/>
    <n v="0"/>
    <x v="9"/>
    <x v="55"/>
    <x v="55"/>
    <x v="251"/>
    <x v="4"/>
    <x v="94"/>
    <x v="0"/>
    <n v="27"/>
    <x v="55"/>
    <x v="1"/>
    <x v="1"/>
  </r>
  <r>
    <x v="525"/>
    <x v="517"/>
    <s v="Timco Logistics Brokerage "/>
    <d v="2016-07-15T00:00:00"/>
    <x v="0"/>
    <n v="700"/>
    <n v="665"/>
    <n v="651"/>
    <n v="665"/>
    <n v="651"/>
    <s v="Full"/>
    <n v="0"/>
    <x v="6"/>
    <x v="55"/>
    <x v="55"/>
    <x v="250"/>
    <x v="19"/>
    <x v="74"/>
    <x v="0"/>
    <n v="14"/>
    <x v="55"/>
    <x v="1"/>
    <x v="1"/>
  </r>
  <r>
    <x v="526"/>
    <x v="518"/>
    <s v="Cavalry Logistics"/>
    <m/>
    <x v="2"/>
    <n v="300"/>
    <n v="294"/>
    <n v="279"/>
    <m/>
    <n v="279"/>
    <s v="Less"/>
    <n v="0"/>
    <x v="3"/>
    <x v="55"/>
    <x v="56"/>
    <x v="251"/>
    <x v="49"/>
    <x v="16"/>
    <x v="0"/>
    <n v="15"/>
    <x v="55"/>
    <x v="1"/>
    <x v="1"/>
  </r>
  <r>
    <x v="527"/>
    <x v="519"/>
    <s v="Coyote"/>
    <m/>
    <x v="2"/>
    <n v="1575"/>
    <n v="1527.75"/>
    <n v="1464.75"/>
    <m/>
    <n v="1464.75"/>
    <s v="Less"/>
    <n v="75"/>
    <x v="6"/>
    <x v="55"/>
    <x v="55"/>
    <x v="251"/>
    <x v="60"/>
    <x v="88"/>
    <x v="0"/>
    <n v="63"/>
    <x v="55"/>
    <x v="1"/>
    <x v="1"/>
  </r>
  <r>
    <x v="528"/>
    <x v="520"/>
    <s v="Genco Freight Solutions "/>
    <m/>
    <x v="2"/>
    <n v="775"/>
    <n v="775"/>
    <n v="726"/>
    <m/>
    <n v="726"/>
    <s v="Less"/>
    <n v="75"/>
    <x v="3"/>
    <x v="55"/>
    <x v="56"/>
    <x v="251"/>
    <x v="118"/>
    <x v="94"/>
    <x v="0"/>
    <n v="49"/>
    <x v="55"/>
    <x v="1"/>
    <x v="1"/>
  </r>
  <r>
    <x v="529"/>
    <x v="521"/>
    <s v="USAT Logistics"/>
    <d v="2016-07-08T00:00:00"/>
    <x v="0"/>
    <n v="900"/>
    <n v="873"/>
    <n v="837"/>
    <n v="873"/>
    <n v="837"/>
    <s v="Full"/>
    <n v="0"/>
    <x v="3"/>
    <x v="53"/>
    <x v="54"/>
    <x v="243"/>
    <x v="29"/>
    <x v="17"/>
    <x v="0"/>
    <n v="36"/>
    <x v="53"/>
    <x v="0"/>
    <x v="1"/>
  </r>
  <r>
    <x v="530"/>
    <x v="522"/>
    <s v="Globaltranz"/>
    <m/>
    <x v="2"/>
    <n v="900"/>
    <n v="864"/>
    <n v="837"/>
    <m/>
    <n v="837"/>
    <s v="Less"/>
    <n v="0"/>
    <x v="9"/>
    <x v="55"/>
    <x v="55"/>
    <x v="252"/>
    <x v="4"/>
    <x v="94"/>
    <x v="0"/>
    <n v="27"/>
    <x v="55"/>
    <x v="1"/>
    <x v="1"/>
  </r>
  <r>
    <x v="531"/>
    <x v="523"/>
    <s v="R2 Logistics"/>
    <m/>
    <x v="2"/>
    <n v="850"/>
    <n v="816"/>
    <n v="790.5"/>
    <m/>
    <n v="790.5"/>
    <s v="Less"/>
    <n v="0"/>
    <x v="3"/>
    <x v="55"/>
    <x v="56"/>
    <x v="252"/>
    <x v="148"/>
    <x v="35"/>
    <x v="0"/>
    <n v="25.5"/>
    <x v="55"/>
    <x v="1"/>
    <x v="1"/>
  </r>
  <r>
    <x v="532"/>
    <x v="524"/>
    <s v="R2 Logistics"/>
    <m/>
    <x v="2"/>
    <n v="850"/>
    <n v="816"/>
    <n v="790.5"/>
    <m/>
    <n v="790.5"/>
    <s v="Less"/>
    <n v="0"/>
    <x v="6"/>
    <x v="55"/>
    <x v="55"/>
    <x v="252"/>
    <x v="148"/>
    <x v="35"/>
    <x v="0"/>
    <n v="25.5"/>
    <x v="55"/>
    <x v="1"/>
    <x v="1"/>
  </r>
  <r>
    <x v="533"/>
    <x v="525"/>
    <s v="CPL Logistics"/>
    <m/>
    <x v="2"/>
    <n v="500"/>
    <n v="500"/>
    <n v="465"/>
    <m/>
    <n v="465"/>
    <s v="Less"/>
    <n v="0"/>
    <x v="3"/>
    <x v="55"/>
    <x v="56"/>
    <x v="252"/>
    <x v="12"/>
    <x v="47"/>
    <x v="0"/>
    <n v="35"/>
    <x v="55"/>
    <x v="1"/>
    <x v="1"/>
  </r>
  <r>
    <x v="534"/>
    <x v="526"/>
    <s v="ALLEN LUND"/>
    <d v="2016-07-19T00:00:00"/>
    <x v="0"/>
    <n v="400"/>
    <n v="370.5"/>
    <n v="372"/>
    <n v="370.5"/>
    <n v="372"/>
    <s v="Full"/>
    <n v="0"/>
    <x v="9"/>
    <x v="56"/>
    <x v="56"/>
    <x v="253"/>
    <x v="41"/>
    <x v="163"/>
    <x v="0"/>
    <n v="28"/>
    <x v="56"/>
    <x v="1"/>
    <x v="1"/>
  </r>
  <r>
    <x v="535"/>
    <x v="527"/>
    <s v="Freightquote"/>
    <m/>
    <x v="2"/>
    <n v="550"/>
    <n v="539"/>
    <n v="511.5"/>
    <m/>
    <n v="511.5"/>
    <s v="Less"/>
    <n v="0"/>
    <x v="6"/>
    <x v="56"/>
    <x v="56"/>
    <x v="253"/>
    <x v="32"/>
    <x v="180"/>
    <x v="0"/>
    <n v="27.5"/>
    <x v="56"/>
    <x v="1"/>
    <x v="1"/>
  </r>
  <r>
    <x v="536"/>
    <x v="528"/>
    <s v="RR Donnelley"/>
    <m/>
    <x v="2"/>
    <n v="300"/>
    <n v="300"/>
    <n v="279"/>
    <m/>
    <n v="279"/>
    <s v="Less"/>
    <n v="0"/>
    <x v="9"/>
    <x v="56"/>
    <x v="56"/>
    <x v="254"/>
    <x v="29"/>
    <x v="187"/>
    <x v="0"/>
    <n v="21"/>
    <x v="56"/>
    <x v="1"/>
    <x v="1"/>
  </r>
  <r>
    <x v="537"/>
    <x v="529"/>
    <s v="Cavalry Logistics"/>
    <m/>
    <x v="2"/>
    <n v="400"/>
    <n v="392"/>
    <n v="372"/>
    <m/>
    <n v="372"/>
    <s v="Less"/>
    <n v="0"/>
    <x v="9"/>
    <x v="56"/>
    <x v="56"/>
    <x v="254"/>
    <x v="21"/>
    <x v="12"/>
    <x v="0"/>
    <n v="20"/>
    <x v="56"/>
    <x v="1"/>
    <x v="1"/>
  </r>
  <r>
    <x v="538"/>
    <x v="530"/>
    <s v="Coyote"/>
    <m/>
    <x v="2"/>
    <n v="1050"/>
    <n v="1018.5"/>
    <n v="1116"/>
    <m/>
    <n v="837"/>
    <s v="Less"/>
    <n v="150"/>
    <x v="6"/>
    <x v="56"/>
    <x v="56"/>
    <x v="254"/>
    <x v="98"/>
    <x v="47"/>
    <x v="0"/>
    <n v="-97.5"/>
    <x v="56"/>
    <x v="1"/>
    <x v="1"/>
  </r>
  <r>
    <x v="539"/>
    <x v="531"/>
    <s v="Trans Dynamics, Inc. "/>
    <m/>
    <x v="2"/>
    <n v="835"/>
    <n v="835"/>
    <n v="776.55000000000007"/>
    <m/>
    <n v="776.55000000000007"/>
    <s v="Less"/>
    <n v="0"/>
    <x v="3"/>
    <x v="56"/>
    <x v="57"/>
    <x v="254"/>
    <x v="52"/>
    <x v="158"/>
    <x v="0"/>
    <n v="58.449999999999932"/>
    <x v="56"/>
    <x v="1"/>
    <x v="1"/>
  </r>
  <r>
    <x v="540"/>
    <x v="532"/>
    <s v="ALLEN LUND"/>
    <d v="2016-07-19T00:00:00"/>
    <x v="0"/>
    <n v="400"/>
    <n v="370.5"/>
    <n v="372"/>
    <n v="370.5"/>
    <n v="372"/>
    <s v="Full"/>
    <n v="0"/>
    <x v="3"/>
    <x v="55"/>
    <x v="56"/>
    <x v="255"/>
    <x v="41"/>
    <x v="163"/>
    <x v="0"/>
    <n v="28"/>
    <x v="55"/>
    <x v="1"/>
    <x v="1"/>
  </r>
  <r>
    <x v="541"/>
    <x v="533"/>
    <s v="Veritiv"/>
    <m/>
    <x v="2"/>
    <n v="475"/>
    <n v="475"/>
    <n v="441.75"/>
    <m/>
    <n v="441.75"/>
    <s v="Less"/>
    <n v="0"/>
    <x v="9"/>
    <x v="55"/>
    <x v="55"/>
    <x v="255"/>
    <x v="8"/>
    <x v="186"/>
    <x v="0"/>
    <n v="33.25"/>
    <x v="55"/>
    <x v="1"/>
    <x v="1"/>
  </r>
  <r>
    <x v="542"/>
    <x v="534"/>
    <s v="Ch Robinson"/>
    <d v="2016-07-15T00:00:00"/>
    <x v="0"/>
    <n v="550"/>
    <n v="539"/>
    <n v="511.5"/>
    <n v="539"/>
    <n v="511.5"/>
    <s v="Full"/>
    <n v="0"/>
    <x v="6"/>
    <x v="55"/>
    <x v="55"/>
    <x v="251"/>
    <x v="149"/>
    <x v="185"/>
    <x v="0"/>
    <n v="27.5"/>
    <x v="55"/>
    <x v="1"/>
    <x v="1"/>
  </r>
  <r>
    <x v="543"/>
    <x v="535"/>
    <s v="Arrive Logistics"/>
    <m/>
    <x v="2"/>
    <n v="600"/>
    <n v="600"/>
    <n v="558"/>
    <m/>
    <n v="558"/>
    <s v="Less"/>
    <n v="0"/>
    <x v="3"/>
    <x v="56"/>
    <x v="57"/>
    <x v="256"/>
    <x v="150"/>
    <x v="188"/>
    <x v="0"/>
    <n v="42"/>
    <x v="56"/>
    <x v="1"/>
    <x v="1"/>
  </r>
  <r>
    <x v="544"/>
    <x v="536"/>
    <s v="ALLEN LUND"/>
    <d v="2016-07-19T00:00:00"/>
    <x v="0"/>
    <n v="400"/>
    <n v="370.5"/>
    <n v="372"/>
    <n v="370.5"/>
    <n v="372"/>
    <s v="Full"/>
    <n v="0"/>
    <x v="11"/>
    <x v="56"/>
    <x v="56"/>
    <x v="257"/>
    <x v="41"/>
    <x v="99"/>
    <x v="0"/>
    <n v="28"/>
    <x v="56"/>
    <x v="1"/>
    <x v="1"/>
  </r>
  <r>
    <x v="545"/>
    <x v="537"/>
    <s v="Veritiv"/>
    <m/>
    <x v="2"/>
    <n v="440"/>
    <n v="440"/>
    <n v="409.20000000000005"/>
    <m/>
    <n v="409.20000000000005"/>
    <s v="Less"/>
    <n v="0"/>
    <x v="6"/>
    <x v="56"/>
    <x v="56"/>
    <x v="257"/>
    <x v="19"/>
    <x v="189"/>
    <x v="0"/>
    <n v="30.799999999999955"/>
    <x v="56"/>
    <x v="1"/>
    <x v="1"/>
  </r>
  <r>
    <x v="546"/>
    <x v="538"/>
    <s v="Ch Robinson"/>
    <m/>
    <x v="2"/>
    <n v="1200"/>
    <n v="1176"/>
    <n v="1116"/>
    <m/>
    <n v="1116"/>
    <s v="Less"/>
    <n v="0"/>
    <x v="3"/>
    <x v="56"/>
    <x v="57"/>
    <x v="257"/>
    <x v="1"/>
    <x v="190"/>
    <x v="0"/>
    <n v="60"/>
    <x v="56"/>
    <x v="1"/>
    <x v="1"/>
  </r>
  <r>
    <x v="547"/>
    <x v="539"/>
    <s v="Ch Robinson"/>
    <m/>
    <x v="2"/>
    <n v="500"/>
    <n v="490"/>
    <n v="465"/>
    <m/>
    <n v="465"/>
    <s v="Less"/>
    <n v="0"/>
    <x v="6"/>
    <x v="56"/>
    <x v="56"/>
    <x v="257"/>
    <x v="150"/>
    <x v="9"/>
    <x v="0"/>
    <n v="25"/>
    <x v="56"/>
    <x v="1"/>
    <x v="1"/>
  </r>
  <r>
    <x v="548"/>
    <x v="540"/>
    <s v="Ch Robinson"/>
    <m/>
    <x v="2"/>
    <n v="370"/>
    <n v="362.59999999999997"/>
    <n v="344.1"/>
    <m/>
    <n v="344.1"/>
    <s v="Less"/>
    <n v="0"/>
    <x v="3"/>
    <x v="56"/>
    <x v="57"/>
    <x v="258"/>
    <x v="145"/>
    <x v="34"/>
    <x v="0"/>
    <n v="18.499999999999979"/>
    <x v="56"/>
    <x v="1"/>
    <x v="1"/>
  </r>
  <r>
    <x v="549"/>
    <x v="541"/>
    <s v="Xcelerated Transportation"/>
    <m/>
    <x v="2"/>
    <n v="350"/>
    <n v="350"/>
    <n v="325.5"/>
    <m/>
    <n v="325.5"/>
    <s v="Less"/>
    <n v="0"/>
    <x v="11"/>
    <x v="56"/>
    <x v="56"/>
    <x v="258"/>
    <x v="42"/>
    <x v="12"/>
    <x v="0"/>
    <n v="24.5"/>
    <x v="56"/>
    <x v="1"/>
    <x v="1"/>
  </r>
  <r>
    <x v="550"/>
    <x v="542"/>
    <s v="Ch Robinson"/>
    <m/>
    <x v="2"/>
    <n v="400"/>
    <n v="392"/>
    <n v="372"/>
    <m/>
    <n v="372"/>
    <s v="Less"/>
    <n v="0"/>
    <x v="6"/>
    <x v="56"/>
    <x v="56"/>
    <x v="258"/>
    <x v="4"/>
    <x v="12"/>
    <x v="0"/>
    <n v="20"/>
    <x v="56"/>
    <x v="1"/>
    <x v="1"/>
  </r>
  <r>
    <x v="551"/>
    <x v="543"/>
    <s v="Ch Robinson"/>
    <m/>
    <x v="2"/>
    <n v="400"/>
    <n v="392"/>
    <n v="372"/>
    <m/>
    <n v="372"/>
    <s v="Less"/>
    <n v="0"/>
    <x v="11"/>
    <x v="57"/>
    <x v="57"/>
    <x v="259"/>
    <x v="136"/>
    <x v="42"/>
    <x v="0"/>
    <n v="20"/>
    <x v="57"/>
    <x v="1"/>
    <x v="1"/>
  </r>
  <r>
    <x v="552"/>
    <x v="544"/>
    <s v="Ch Robinson"/>
    <m/>
    <x v="2"/>
    <n v="425"/>
    <n v="416.5"/>
    <n v="395.25"/>
    <m/>
    <n v="395.25"/>
    <s v="Less"/>
    <n v="0"/>
    <x v="11"/>
    <x v="57"/>
    <x v="57"/>
    <x v="259"/>
    <x v="7"/>
    <x v="6"/>
    <x v="0"/>
    <n v="21.25"/>
    <x v="57"/>
    <x v="1"/>
    <x v="1"/>
  </r>
  <r>
    <x v="553"/>
    <x v="545"/>
    <s v="R2 Logistics"/>
    <m/>
    <x v="2"/>
    <n v="850"/>
    <n v="816"/>
    <n v="790.5"/>
    <m/>
    <n v="790.5"/>
    <s v="Less"/>
    <n v="0"/>
    <x v="3"/>
    <x v="57"/>
    <x v="58"/>
    <x v="259"/>
    <x v="148"/>
    <x v="35"/>
    <x v="0"/>
    <n v="25.5"/>
    <x v="57"/>
    <x v="1"/>
    <x v="1"/>
  </r>
  <r>
    <x v="554"/>
    <x v="546"/>
    <s v="R2 Logistics"/>
    <m/>
    <x v="2"/>
    <n v="850"/>
    <n v="816"/>
    <n v="790.5"/>
    <m/>
    <n v="790.5"/>
    <s v="Less"/>
    <n v="0"/>
    <x v="11"/>
    <x v="57"/>
    <x v="57"/>
    <x v="260"/>
    <x v="148"/>
    <x v="35"/>
    <x v="0"/>
    <n v="25.5"/>
    <x v="57"/>
    <x v="1"/>
    <x v="1"/>
  </r>
  <r>
    <x v="555"/>
    <x v="547"/>
    <s v="Ch Robinson"/>
    <m/>
    <x v="2"/>
    <n v="400"/>
    <n v="392"/>
    <n v="372"/>
    <m/>
    <n v="372"/>
    <s v="Less"/>
    <n v="0"/>
    <x v="3"/>
    <x v="57"/>
    <x v="58"/>
    <x v="259"/>
    <x v="24"/>
    <x v="93"/>
    <x v="0"/>
    <n v="20"/>
    <x v="57"/>
    <x v="1"/>
    <x v="1"/>
  </r>
  <r>
    <x v="556"/>
    <x v="548"/>
    <s v="TQL"/>
    <m/>
    <x v="2"/>
    <n v="400"/>
    <n v="388"/>
    <n v="372"/>
    <m/>
    <n v="372"/>
    <s v="Less"/>
    <n v="0"/>
    <x v="3"/>
    <x v="57"/>
    <x v="58"/>
    <x v="260"/>
    <x v="52"/>
    <x v="24"/>
    <x v="0"/>
    <n v="16"/>
    <x v="57"/>
    <x v="1"/>
    <x v="1"/>
  </r>
  <r>
    <x v="557"/>
    <x v="549"/>
    <s v="Ch Robinson"/>
    <m/>
    <x v="2"/>
    <n v="800"/>
    <n v="784"/>
    <n v="744"/>
    <m/>
    <n v="744"/>
    <s v="Less"/>
    <n v="0"/>
    <x v="9"/>
    <x v="57"/>
    <x v="57"/>
    <x v="259"/>
    <x v="82"/>
    <x v="167"/>
    <x v="0"/>
    <n v="40"/>
    <x v="57"/>
    <x v="1"/>
    <x v="1"/>
  </r>
  <r>
    <x v="558"/>
    <x v="550"/>
    <s v="TQL"/>
    <m/>
    <x v="2"/>
    <n v="500"/>
    <n v="485"/>
    <n v="465"/>
    <m/>
    <n v="465"/>
    <s v="Less"/>
    <n v="0"/>
    <x v="9"/>
    <x v="57"/>
    <x v="57"/>
    <x v="260"/>
    <x v="151"/>
    <x v="64"/>
    <x v="0"/>
    <n v="20"/>
    <x v="57"/>
    <x v="1"/>
    <x v="1"/>
  </r>
  <r>
    <x v="559"/>
    <x v="551"/>
    <s v="Globaltranz"/>
    <m/>
    <x v="2"/>
    <n v="900"/>
    <n v="864"/>
    <n v="837"/>
    <m/>
    <n v="837"/>
    <s v="Less"/>
    <n v="0"/>
    <x v="6"/>
    <x v="57"/>
    <x v="57"/>
    <x v="260"/>
    <x v="4"/>
    <x v="94"/>
    <x v="0"/>
    <n v="27"/>
    <x v="57"/>
    <x v="1"/>
    <x v="1"/>
  </r>
  <r>
    <x v="560"/>
    <x v="552"/>
    <s v="Globaltranz"/>
    <m/>
    <x v="2"/>
    <n v="900"/>
    <n v="864"/>
    <n v="837"/>
    <m/>
    <m/>
    <s v="Less"/>
    <n v="0"/>
    <x v="12"/>
    <x v="57"/>
    <x v="57"/>
    <x v="259"/>
    <x v="4"/>
    <x v="94"/>
    <x v="0"/>
    <n v="27"/>
    <x v="57"/>
    <x v="1"/>
    <x v="1"/>
  </r>
  <r>
    <x v="561"/>
    <x v="553"/>
    <s v="Ray Brothers Transportation Inc."/>
    <m/>
    <x v="2"/>
    <n v="700"/>
    <n v="700"/>
    <n v="651"/>
    <m/>
    <m/>
    <s v="Less"/>
    <n v="0"/>
    <x v="12"/>
    <x v="57"/>
    <x v="57"/>
    <x v="260"/>
    <x v="78"/>
    <x v="81"/>
    <x v="0"/>
    <n v="49"/>
    <x v="57"/>
    <x v="1"/>
    <x v="1"/>
  </r>
  <r>
    <x v="562"/>
    <x v="554"/>
    <s v="Ch Robinson"/>
    <m/>
    <x v="2"/>
    <n v="600"/>
    <n v="588"/>
    <n v="558"/>
    <m/>
    <m/>
    <s v="Less"/>
    <n v="0"/>
    <x v="6"/>
    <x v="57"/>
    <x v="57"/>
    <x v="261"/>
    <x v="41"/>
    <x v="88"/>
    <x v="0"/>
    <n v="30"/>
    <x v="57"/>
    <x v="1"/>
    <x v="1"/>
  </r>
  <r>
    <x v="563"/>
    <x v="555"/>
    <s v="TQL"/>
    <m/>
    <x v="2"/>
    <n v="1400"/>
    <n v="1358"/>
    <n v="1302"/>
    <m/>
    <m/>
    <s v="Less"/>
    <n v="0"/>
    <x v="9"/>
    <x v="57"/>
    <x v="57"/>
    <x v="261"/>
    <x v="22"/>
    <x v="104"/>
    <x v="0"/>
    <n v="56"/>
    <x v="57"/>
    <x v="1"/>
    <x v="1"/>
  </r>
  <r>
    <x v="564"/>
    <x v="556"/>
    <s v="Cargobarn Inc."/>
    <m/>
    <x v="2"/>
    <n v="675"/>
    <n v="661.5"/>
    <n v="627.75"/>
    <m/>
    <m/>
    <s v="Less"/>
    <n v="0"/>
    <x v="9"/>
    <x v="57"/>
    <x v="57"/>
    <x v="262"/>
    <x v="89"/>
    <x v="55"/>
    <x v="0"/>
    <n v="33.75"/>
    <x v="57"/>
    <x v="1"/>
    <x v="1"/>
  </r>
  <r>
    <x v="565"/>
    <x v="557"/>
    <s v="Globaltranz"/>
    <m/>
    <x v="2"/>
    <n v="900"/>
    <n v="864"/>
    <n v="837"/>
    <m/>
    <m/>
    <s v="Less"/>
    <n v="0"/>
    <x v="11"/>
    <x v="57"/>
    <x v="57"/>
    <x v="261"/>
    <x v="4"/>
    <x v="94"/>
    <x v="0"/>
    <n v="27"/>
    <x v="57"/>
    <x v="1"/>
    <x v="1"/>
  </r>
  <r>
    <x v="566"/>
    <x v="558"/>
    <s v="Ch Robinson"/>
    <m/>
    <x v="2"/>
    <n v="550"/>
    <n v="539"/>
    <n v="511.5"/>
    <m/>
    <m/>
    <s v="Less"/>
    <n v="0"/>
    <x v="3"/>
    <x v="57"/>
    <x v="58"/>
    <x v="262"/>
    <x v="16"/>
    <x v="146"/>
    <x v="0"/>
    <n v="27.5"/>
    <x v="57"/>
    <x v="1"/>
    <x v="1"/>
  </r>
  <r>
    <x v="567"/>
    <x v="559"/>
    <s v="Boa Logistics"/>
    <m/>
    <x v="2"/>
    <n v="800"/>
    <n v="800"/>
    <n v="744"/>
    <m/>
    <m/>
    <s v="Less"/>
    <n v="0"/>
    <x v="3"/>
    <x v="57"/>
    <x v="58"/>
    <x v="261"/>
    <x v="32"/>
    <x v="191"/>
    <x v="0"/>
    <n v="56"/>
    <x v="57"/>
    <x v="1"/>
    <x v="1"/>
  </r>
  <r>
    <x v="568"/>
    <x v="560"/>
    <s v="Freight Tec Management Group Inc."/>
    <m/>
    <x v="2"/>
    <n v="800"/>
    <n v="800"/>
    <n v="744"/>
    <m/>
    <m/>
    <s v="Less"/>
    <n v="0"/>
    <x v="6"/>
    <x v="57"/>
    <x v="57"/>
    <x v="262"/>
    <x v="152"/>
    <x v="192"/>
    <x v="0"/>
    <n v="56"/>
    <x v="57"/>
    <x v="1"/>
    <x v="1"/>
  </r>
  <r>
    <x v="569"/>
    <x v="561"/>
    <s v="Coyote"/>
    <m/>
    <x v="2"/>
    <n v="925"/>
    <n v="897.25"/>
    <n v="860.25"/>
    <m/>
    <m/>
    <s v="Less"/>
    <n v="0"/>
    <x v="3"/>
    <x v="57"/>
    <x v="58"/>
    <x v="263"/>
    <x v="74"/>
    <x v="41"/>
    <x v="0"/>
    <n v="37"/>
    <x v="57"/>
    <x v="1"/>
    <x v="1"/>
  </r>
  <r>
    <x v="570"/>
    <x v="562"/>
    <s v="Ch Robinson"/>
    <m/>
    <x v="2"/>
    <n v="1500"/>
    <n v="1470"/>
    <n v="1395"/>
    <m/>
    <m/>
    <s v="Less"/>
    <n v="0"/>
    <x v="6"/>
    <x v="57"/>
    <x v="57"/>
    <x v="263"/>
    <x v="153"/>
    <x v="41"/>
    <x v="0"/>
    <n v="75"/>
    <x v="57"/>
    <x v="1"/>
    <x v="1"/>
  </r>
  <r>
    <x v="571"/>
    <x v="563"/>
    <s v="Globaltranz"/>
    <m/>
    <x v="2"/>
    <n v="850"/>
    <n v="816"/>
    <n v="790.5"/>
    <m/>
    <m/>
    <s v="Less"/>
    <n v="0"/>
    <x v="9"/>
    <x v="57"/>
    <x v="57"/>
    <x v="263"/>
    <x v="4"/>
    <x v="94"/>
    <x v="0"/>
    <n v="25.5"/>
    <x v="57"/>
    <x v="1"/>
    <x v="1"/>
  </r>
  <r>
    <x v="572"/>
    <x v="564"/>
    <s v="Ray Brothers Transportation Inc."/>
    <m/>
    <x v="2"/>
    <n v="700"/>
    <n v="700"/>
    <n v="651"/>
    <m/>
    <m/>
    <s v="Less"/>
    <n v="0"/>
    <x v="11"/>
    <x v="57"/>
    <x v="57"/>
    <x v="262"/>
    <x v="78"/>
    <x v="81"/>
    <x v="0"/>
    <n v="49"/>
    <x v="57"/>
    <x v="1"/>
    <x v="1"/>
  </r>
</pivotCacheRecords>
</file>

<file path=xl/pivotCache/pivotCacheRecords2.xml><?xml version="1.0" encoding="utf-8"?>
<pivotCacheRecords xmlns="http://schemas.openxmlformats.org/spreadsheetml/2006/main" xmlns:r="http://schemas.openxmlformats.org/officeDocument/2006/relationships" count="155">
  <r>
    <x v="0"/>
    <n v="6163050009"/>
    <x v="0"/>
    <x v="0"/>
    <x v="0"/>
    <x v="0"/>
    <x v="0"/>
    <n v="123.792"/>
    <n v="2.7989999999999999"/>
    <n v="346.49"/>
    <s v="Settled"/>
    <d v="2015-08-28T00:00:00"/>
    <x v="0"/>
    <x v="0"/>
    <x v="0"/>
  </r>
  <r>
    <x v="1"/>
    <n v="6163050010"/>
    <x v="1"/>
    <x v="1"/>
    <x v="1"/>
    <x v="1"/>
    <x v="0"/>
    <n v="71.710999999999999"/>
    <n v="2.7890000000000001"/>
    <n v="200"/>
    <s v="Settled"/>
    <d v="2015-08-28T00:00:00"/>
    <x v="0"/>
    <x v="0"/>
    <x v="0"/>
  </r>
  <r>
    <x v="1"/>
    <n v="6163050010"/>
    <x v="0"/>
    <x v="0"/>
    <x v="0"/>
    <x v="2"/>
    <x v="0"/>
    <n v="72.494"/>
    <n v="2.7789999999999999"/>
    <n v="201.46"/>
    <s v="Settled"/>
    <d v="2015-08-28T00:00:00"/>
    <x v="0"/>
    <x v="0"/>
    <x v="0"/>
  </r>
  <r>
    <x v="2"/>
    <n v="6163050011"/>
    <x v="1"/>
    <x v="1"/>
    <x v="1"/>
    <x v="1"/>
    <x v="0"/>
    <n v="127.318"/>
    <n v="2.7490000000000001"/>
    <n v="350"/>
    <s v="Settled"/>
    <d v="2015-09-04T00:00:00"/>
    <x v="1"/>
    <x v="0"/>
    <x v="0"/>
  </r>
  <r>
    <x v="2"/>
    <n v="6163050011"/>
    <x v="0"/>
    <x v="0"/>
    <x v="0"/>
    <x v="3"/>
    <x v="0"/>
    <n v="96.677000000000007"/>
    <n v="2.4790000000000001"/>
    <n v="239.66"/>
    <s v="Settled"/>
    <d v="2015-09-04T00:00:00"/>
    <x v="1"/>
    <x v="0"/>
    <x v="0"/>
  </r>
  <r>
    <x v="3"/>
    <n v="6163050013"/>
    <x v="0"/>
    <x v="0"/>
    <x v="0"/>
    <x v="4"/>
    <x v="1"/>
    <n v="70.88"/>
    <n v="2.5289999999999999"/>
    <n v="179.26"/>
    <s v="Settled"/>
    <d v="2015-09-04T00:00:00"/>
    <x v="1"/>
    <x v="0"/>
    <x v="0"/>
  </r>
  <r>
    <x v="4"/>
    <n v="6163050015"/>
    <x v="1"/>
    <x v="1"/>
    <x v="1"/>
    <x v="2"/>
    <x v="0"/>
    <n v="114.86199999999999"/>
    <n v="2.6989999999999998"/>
    <n v="310.01"/>
    <s v="Settled"/>
    <d v="2015-09-04T00:00:00"/>
    <x v="1"/>
    <x v="0"/>
    <x v="0"/>
  </r>
  <r>
    <x v="5"/>
    <n v="6163050016"/>
    <x v="1"/>
    <x v="1"/>
    <x v="1"/>
    <x v="5"/>
    <x v="0"/>
    <n v="107.589"/>
    <n v="2.7890000000000001"/>
    <n v="300.07"/>
    <s v="Settled"/>
    <d v="2015-09-11T00:00:00"/>
    <x v="2"/>
    <x v="0"/>
    <x v="0"/>
  </r>
  <r>
    <x v="6"/>
    <n v="6163050017"/>
    <x v="0"/>
    <x v="0"/>
    <x v="0"/>
    <x v="6"/>
    <x v="0"/>
    <n v="80.911000000000001"/>
    <n v="2.6999"/>
    <n v="218.38"/>
    <s v="Settled"/>
    <d v="2015-09-11T00:00:00"/>
    <x v="2"/>
    <x v="1"/>
    <x v="0"/>
  </r>
  <r>
    <x v="7"/>
    <n v="6163050018"/>
    <x v="0"/>
    <x v="0"/>
    <x v="0"/>
    <x v="7"/>
    <x v="0"/>
    <n v="191.97800000000001"/>
    <n v="2.7989999999999999"/>
    <n v="537.35"/>
    <s v="Settled"/>
    <d v="2015-09-11T00:00:00"/>
    <x v="2"/>
    <x v="1"/>
    <x v="0"/>
  </r>
  <r>
    <x v="8"/>
    <n v="6163050020"/>
    <x v="0"/>
    <x v="0"/>
    <x v="0"/>
    <x v="8"/>
    <x v="1"/>
    <n v="124.036"/>
    <n v="2.6890000000000001"/>
    <n v="333.5"/>
    <s v="Settled"/>
    <d v="2015-09-11T00:00:00"/>
    <x v="2"/>
    <x v="1"/>
    <x v="0"/>
  </r>
  <r>
    <x v="9"/>
    <n v="6163050020"/>
    <x v="0"/>
    <x v="0"/>
    <x v="0"/>
    <x v="9"/>
    <x v="2"/>
    <n v="92.375"/>
    <n v="2.629"/>
    <n v="242.85"/>
    <s v="Settled"/>
    <d v="2015-09-11T00:00:00"/>
    <x v="2"/>
    <x v="1"/>
    <x v="0"/>
  </r>
  <r>
    <x v="10"/>
    <n v="6163050020"/>
    <x v="0"/>
    <x v="0"/>
    <x v="0"/>
    <x v="10"/>
    <x v="1"/>
    <n v="100.672"/>
    <n v="2.629"/>
    <n v="264.67"/>
    <s v="Settled"/>
    <d v="2015-09-11T00:00:00"/>
    <x v="2"/>
    <x v="1"/>
    <x v="0"/>
  </r>
  <r>
    <x v="11"/>
    <n v="6163050025"/>
    <x v="1"/>
    <x v="0"/>
    <x v="2"/>
    <x v="11"/>
    <x v="0"/>
    <n v="127.506"/>
    <n v="2.7490000000000001"/>
    <n v="350.51"/>
    <s v="Settled"/>
    <d v="2015-09-18T00:00:00"/>
    <x v="3"/>
    <x v="1"/>
    <x v="0"/>
  </r>
  <r>
    <x v="12"/>
    <n v="6163050037"/>
    <x v="2"/>
    <x v="0"/>
    <x v="3"/>
    <x v="12"/>
    <x v="0"/>
    <n v="218.28"/>
    <n v="2.6789999999999998"/>
    <n v="584.77"/>
    <s v="Settled"/>
    <d v="2015-10-09T00:00:00"/>
    <x v="4"/>
    <x v="1"/>
    <x v="0"/>
  </r>
  <r>
    <x v="13"/>
    <n v="6163050039"/>
    <x v="2"/>
    <x v="0"/>
    <x v="3"/>
    <x v="13"/>
    <x v="0"/>
    <n v="97.028000000000006"/>
    <n v="2.6989999999999998"/>
    <n v="261.88"/>
    <s v="Settled"/>
    <d v="2015-10-09T00:00:00"/>
    <x v="4"/>
    <x v="2"/>
    <x v="0"/>
  </r>
  <r>
    <x v="14"/>
    <n v="6163050042"/>
    <x v="2"/>
    <x v="0"/>
    <x v="3"/>
    <x v="14"/>
    <x v="0"/>
    <n v="76.698999999999998"/>
    <n v="2.7389999999999999"/>
    <n v="210.08"/>
    <s v="Settled"/>
    <d v="2015-10-16T00:00:00"/>
    <x v="5"/>
    <x v="2"/>
    <x v="0"/>
  </r>
  <r>
    <x v="15"/>
    <n v="6163050044"/>
    <x v="2"/>
    <x v="0"/>
    <x v="3"/>
    <x v="15"/>
    <x v="0"/>
    <n v="156.334"/>
    <n v="2.819"/>
    <n v="432.89"/>
    <s v="Settled"/>
    <d v="2015-10-16T00:00:00"/>
    <x v="5"/>
    <x v="2"/>
    <x v="0"/>
  </r>
  <r>
    <x v="16"/>
    <n v="6163050046"/>
    <x v="2"/>
    <x v="0"/>
    <x v="3"/>
    <x v="16"/>
    <x v="0"/>
    <n v="208.21199999999999"/>
    <n v="2.6989999999999998"/>
    <n v="561.96"/>
    <s v="Settled"/>
    <d v="2015-10-23T00:00:00"/>
    <x v="6"/>
    <x v="2"/>
    <x v="0"/>
  </r>
  <r>
    <x v="17"/>
    <n v="6163050049"/>
    <x v="2"/>
    <x v="0"/>
    <x v="3"/>
    <x v="17"/>
    <x v="0"/>
    <n v="190.86199999999999"/>
    <n v="2.859"/>
    <n v="545.66999999999996"/>
    <s v="Settled"/>
    <d v="2015-10-23T00:00:00"/>
    <x v="6"/>
    <x v="2"/>
    <x v="0"/>
  </r>
  <r>
    <x v="18"/>
    <n v="6163050052"/>
    <x v="2"/>
    <x v="0"/>
    <x v="3"/>
    <x v="18"/>
    <x v="0"/>
    <n v="228.69499999999999"/>
    <n v="2.6789999999999998"/>
    <n v="612.58000000000004"/>
    <s v="Settled"/>
    <d v="2015-10-30T00:00:00"/>
    <x v="7"/>
    <x v="2"/>
    <x v="0"/>
  </r>
  <r>
    <x v="19"/>
    <n v="6163050054"/>
    <x v="2"/>
    <x v="0"/>
    <x v="3"/>
    <x v="19"/>
    <x v="0"/>
    <n v="193.23"/>
    <n v="2.7589999999999999"/>
    <n v="533.12"/>
    <s v="Settled"/>
    <d v="2015-10-30T00:00:00"/>
    <x v="7"/>
    <x v="2"/>
    <x v="0"/>
  </r>
  <r>
    <x v="20"/>
    <n v="6163050059"/>
    <x v="2"/>
    <x v="0"/>
    <x v="3"/>
    <x v="20"/>
    <x v="0"/>
    <n v="212.459"/>
    <n v="2.7589999999999999"/>
    <n v="575.54999999999995"/>
    <s v="Settled"/>
    <d v="2015-11-06T00:00:00"/>
    <x v="8"/>
    <x v="2"/>
    <x v="0"/>
  </r>
  <r>
    <x v="21"/>
    <n v="6163050062"/>
    <x v="2"/>
    <x v="0"/>
    <x v="3"/>
    <x v="21"/>
    <x v="0"/>
    <n v="219.155"/>
    <n v="2.7789999999999999"/>
    <n v="598.07000000000005"/>
    <s v="Settled"/>
    <d v="2015-11-13T00:00:00"/>
    <x v="9"/>
    <x v="3"/>
    <x v="0"/>
  </r>
  <r>
    <x v="22"/>
    <n v="6163050066"/>
    <x v="2"/>
    <x v="0"/>
    <x v="3"/>
    <x v="16"/>
    <x v="0"/>
    <n v="174.59200000000001"/>
    <n v="2.6989999999999998"/>
    <n v="471.22"/>
    <s v="Settled"/>
    <d v="2015-11-20T00:00:00"/>
    <x v="10"/>
    <x v="3"/>
    <x v="0"/>
  </r>
  <r>
    <x v="23"/>
    <n v="6163050069"/>
    <x v="2"/>
    <x v="0"/>
    <x v="3"/>
    <x v="7"/>
    <x v="0"/>
    <n v="195.81100000000001"/>
    <n v="2.649"/>
    <n v="518.70000000000005"/>
    <s v="Settled"/>
    <d v="2015-11-20T00:00:00"/>
    <x v="10"/>
    <x v="3"/>
    <x v="0"/>
  </r>
  <r>
    <x v="24"/>
    <n v="6163050072"/>
    <x v="2"/>
    <x v="0"/>
    <x v="3"/>
    <x v="16"/>
    <x v="0"/>
    <n v="180.02"/>
    <n v="2.6989999999999998"/>
    <n v="485.87"/>
    <s v="Settled"/>
    <d v="2015-11-27T00:00:00"/>
    <x v="11"/>
    <x v="3"/>
    <x v="0"/>
  </r>
  <r>
    <x v="25"/>
    <n v="6163050075"/>
    <x v="2"/>
    <x v="0"/>
    <x v="3"/>
    <x v="22"/>
    <x v="1"/>
    <n v="150.649"/>
    <n v="2.6890000000000001"/>
    <n v="397"/>
    <s v="Settled"/>
    <d v="2015-11-27T00:00:00"/>
    <x v="11"/>
    <x v="3"/>
    <x v="0"/>
  </r>
  <r>
    <x v="26"/>
    <n v="6163050082"/>
    <x v="2"/>
    <x v="0"/>
    <x v="3"/>
    <x v="16"/>
    <x v="0"/>
    <n v="81.082999999999998"/>
    <n v="2.6589999999999998"/>
    <n v="215.6"/>
    <s v="Settled"/>
    <d v="2015-12-11T00:00:00"/>
    <x v="12"/>
    <x v="4"/>
    <x v="0"/>
  </r>
  <r>
    <x v="27"/>
    <n v="6163050083"/>
    <x v="3"/>
    <x v="2"/>
    <x v="4"/>
    <x v="23"/>
    <x v="1"/>
    <n v="279.77999999999997"/>
    <n v="2.5590000000000002"/>
    <n v="274.31"/>
    <s v="Settled"/>
    <d v="2015-12-11T00:00:00"/>
    <x v="12"/>
    <x v="4"/>
    <x v="0"/>
  </r>
  <r>
    <x v="28"/>
    <n v="6163050084"/>
    <x v="2"/>
    <x v="0"/>
    <x v="3"/>
    <x v="24"/>
    <x v="0"/>
    <n v="113.126"/>
    <n v="2.6589999999999998"/>
    <n v="300.8"/>
    <s v="Settled"/>
    <d v="2015-12-11T00:00:00"/>
    <x v="12"/>
    <x v="4"/>
    <x v="0"/>
  </r>
  <r>
    <x v="28"/>
    <n v="6163050084"/>
    <x v="3"/>
    <x v="2"/>
    <x v="4"/>
    <x v="25"/>
    <x v="0"/>
    <n v="76.051000000000002"/>
    <n v="2.649"/>
    <n v="201.46"/>
    <s v="Settled"/>
    <d v="2015-12-11T00:00:00"/>
    <x v="12"/>
    <x v="4"/>
    <x v="0"/>
  </r>
  <r>
    <x v="29"/>
    <n v="6163050086"/>
    <x v="2"/>
    <x v="0"/>
    <x v="3"/>
    <x v="7"/>
    <x v="0"/>
    <n v="196.46199999999999"/>
    <n v="2.649"/>
    <n v="520.42999999999995"/>
    <s v="Settled"/>
    <d v="2015-12-18T00:00:00"/>
    <x v="13"/>
    <x v="4"/>
    <x v="0"/>
  </r>
  <r>
    <x v="30"/>
    <n v="6163050087"/>
    <x v="3"/>
    <x v="2"/>
    <x v="4"/>
    <x v="26"/>
    <x v="0"/>
    <n v="154.012"/>
    <n v="2.6589999999999998"/>
    <n v="409.52"/>
    <s v="Settled"/>
    <d v="2015-12-18T00:00:00"/>
    <x v="13"/>
    <x v="4"/>
    <x v="0"/>
  </r>
  <r>
    <x v="31"/>
    <n v="6163050088"/>
    <x v="3"/>
    <x v="2"/>
    <x v="4"/>
    <x v="26"/>
    <x v="0"/>
    <n v="75.840999999999994"/>
    <n v="2.5990000000000002"/>
    <n v="197.11"/>
    <s v="Settled"/>
    <d v="2015-12-18T00:00:00"/>
    <x v="13"/>
    <x v="4"/>
    <x v="0"/>
  </r>
  <r>
    <x v="32"/>
    <n v="6163050089"/>
    <x v="2"/>
    <x v="0"/>
    <x v="3"/>
    <x v="16"/>
    <x v="0"/>
    <n v="134.90100000000001"/>
    <n v="2.5990000000000002"/>
    <n v="351.11"/>
    <s v="Settled"/>
    <d v="2015-12-18T00:00:00"/>
    <x v="13"/>
    <x v="4"/>
    <x v="0"/>
  </r>
  <r>
    <x v="33"/>
    <n v="6163050090"/>
    <x v="3"/>
    <x v="2"/>
    <x v="4"/>
    <x v="27"/>
    <x v="0"/>
    <n v="90.375"/>
    <n v="2.6989999999999998"/>
    <n v="244.42"/>
    <s v="Settled"/>
    <d v="2015-12-18T00:00:00"/>
    <x v="13"/>
    <x v="4"/>
    <x v="0"/>
  </r>
  <r>
    <x v="34"/>
    <n v="6163050091"/>
    <x v="3"/>
    <x v="2"/>
    <x v="4"/>
    <x v="28"/>
    <x v="0"/>
    <n v="99.988"/>
    <n v="2.5790000000000002"/>
    <n v="192.73"/>
    <s v="Settled"/>
    <d v="2015-12-25T00:00:00"/>
    <x v="14"/>
    <x v="4"/>
    <x v="0"/>
  </r>
  <r>
    <x v="35"/>
    <n v="6163050093"/>
    <x v="3"/>
    <x v="2"/>
    <x v="4"/>
    <x v="29"/>
    <x v="1"/>
    <n v="123.277"/>
    <n v="2.5190000000000001"/>
    <n v="310.52999999999997"/>
    <s v="Settled"/>
    <d v="2015-12-25T00:00:00"/>
    <x v="14"/>
    <x v="4"/>
    <x v="0"/>
  </r>
  <r>
    <x v="36"/>
    <n v="6163050094"/>
    <x v="2"/>
    <x v="0"/>
    <x v="3"/>
    <x v="16"/>
    <x v="0"/>
    <n v="156.63399999999999"/>
    <n v="2.5590000000000002"/>
    <n v="387.23"/>
    <s v="Settled"/>
    <d v="2015-12-25T00:00:00"/>
    <x v="14"/>
    <x v="4"/>
    <x v="0"/>
  </r>
  <r>
    <x v="37"/>
    <n v="6163050095"/>
    <x v="3"/>
    <x v="2"/>
    <x v="4"/>
    <x v="26"/>
    <x v="0"/>
    <n v="126.488"/>
    <n v="2.5590000000000002"/>
    <n v="312.8"/>
    <s v="Settled"/>
    <d v="2015-12-25T00:00:00"/>
    <x v="14"/>
    <x v="4"/>
    <x v="0"/>
  </r>
  <r>
    <x v="38"/>
    <n v="6163050097"/>
    <x v="2"/>
    <x v="0"/>
    <x v="3"/>
    <x v="19"/>
    <x v="0"/>
    <n v="117.536"/>
    <n v="2.5590000000000002"/>
    <n v="290.7"/>
    <s v="Settled"/>
    <d v="2016-01-01T00:00:00"/>
    <x v="15"/>
    <x v="4"/>
    <x v="0"/>
  </r>
  <r>
    <x v="39"/>
    <n v="6163050098"/>
    <x v="3"/>
    <x v="2"/>
    <x v="4"/>
    <x v="30"/>
    <x v="0"/>
    <n v="25.117999999999999"/>
    <n v="2.5390000000000001"/>
    <n v="47.46"/>
    <s v="Settled"/>
    <d v="2016-01-01T00:00:00"/>
    <x v="15"/>
    <x v="4"/>
    <x v="0"/>
  </r>
  <r>
    <x v="40"/>
    <n v="6163050101"/>
    <x v="2"/>
    <x v="0"/>
    <x v="3"/>
    <x v="31"/>
    <x v="0"/>
    <n v="120.23099999999999"/>
    <n v="2.4990000000000001"/>
    <n v="290.14"/>
    <s v="Settled"/>
    <d v="2016-01-08T00:00:00"/>
    <x v="16"/>
    <x v="4"/>
    <x v="0"/>
  </r>
  <r>
    <x v="40"/>
    <n v="6163050101"/>
    <x v="3"/>
    <x v="2"/>
    <x v="4"/>
    <x v="32"/>
    <x v="0"/>
    <n v="161.33799999999999"/>
    <n v="2.4990000000000001"/>
    <n v="389.16"/>
    <s v="Settled"/>
    <d v="2016-01-08T00:00:00"/>
    <x v="16"/>
    <x v="4"/>
    <x v="0"/>
  </r>
  <r>
    <x v="41"/>
    <n v="6163050102"/>
    <x v="2"/>
    <x v="0"/>
    <x v="3"/>
    <x v="16"/>
    <x v="0"/>
    <n v="140.446"/>
    <n v="2.4990000000000001"/>
    <n v="338.83"/>
    <s v="Settled"/>
    <d v="2016-01-08T00:00:00"/>
    <x v="16"/>
    <x v="4"/>
    <x v="0"/>
  </r>
  <r>
    <x v="42"/>
    <n v="6163050106"/>
    <x v="3"/>
    <x v="2"/>
    <x v="4"/>
    <x v="30"/>
    <x v="0"/>
    <n v="139.126"/>
    <n v="2.5390000000000001"/>
    <n v="275.39999999999998"/>
    <s v="Settled"/>
    <d v="2016-01-15T00:00:00"/>
    <x v="17"/>
    <x v="5"/>
    <x v="1"/>
  </r>
  <r>
    <x v="42"/>
    <n v="6163050106"/>
    <x v="2"/>
    <x v="0"/>
    <x v="3"/>
    <x v="16"/>
    <x v="0"/>
    <n v="120.34699999999999"/>
    <n v="2.4990000000000001"/>
    <n v="290.42"/>
    <s v="Settled"/>
    <d v="2016-01-15T00:00:00"/>
    <x v="17"/>
    <x v="5"/>
    <x v="1"/>
  </r>
  <r>
    <x v="43"/>
    <n v="6163050108"/>
    <x v="2"/>
    <x v="0"/>
    <x v="3"/>
    <x v="16"/>
    <x v="0"/>
    <n v="122.011"/>
    <n v="2.4590000000000001"/>
    <n v="289.54000000000002"/>
    <s v="Settled"/>
    <d v="2016-01-15T00:00:00"/>
    <x v="17"/>
    <x v="5"/>
    <x v="1"/>
  </r>
  <r>
    <x v="44"/>
    <n v="6163050109"/>
    <x v="3"/>
    <x v="2"/>
    <x v="4"/>
    <x v="33"/>
    <x v="0"/>
    <n v="159.53"/>
    <n v="2.5390000000000001"/>
    <n v="321.62"/>
    <s v="Settled"/>
    <d v="2016-01-15T00:00:00"/>
    <x v="17"/>
    <x v="5"/>
    <x v="1"/>
  </r>
  <r>
    <x v="45"/>
    <n v="6163050111"/>
    <x v="3"/>
    <x v="2"/>
    <x v="4"/>
    <x v="33"/>
    <x v="0"/>
    <n v="111.672"/>
    <n v="2.4990000000000001"/>
    <n v="218.03"/>
    <s v="Settled"/>
    <d v="2016-01-22T00:00:00"/>
    <x v="18"/>
    <x v="5"/>
    <x v="1"/>
  </r>
  <r>
    <x v="46"/>
    <n v="6163050112"/>
    <x v="2"/>
    <x v="0"/>
    <x v="3"/>
    <x v="34"/>
    <x v="0"/>
    <n v="145.94399999999999"/>
    <n v="2.399"/>
    <n v="350.12"/>
    <s v="Settled"/>
    <d v="2016-01-22T00:00:00"/>
    <x v="18"/>
    <x v="5"/>
    <x v="1"/>
  </r>
  <r>
    <x v="46"/>
    <n v="6163050112"/>
    <x v="3"/>
    <x v="2"/>
    <x v="4"/>
    <x v="35"/>
    <x v="0"/>
    <n v="143.54"/>
    <n v="2.3490000000000002"/>
    <n v="337.18"/>
    <s v="Settled"/>
    <d v="2016-01-22T00:00:00"/>
    <x v="18"/>
    <x v="5"/>
    <x v="1"/>
  </r>
  <r>
    <x v="47"/>
    <n v="6163050113"/>
    <x v="2"/>
    <x v="0"/>
    <x v="3"/>
    <x v="36"/>
    <x v="0"/>
    <n v="196.124"/>
    <n v="1.9990000000000001"/>
    <n v="392.05"/>
    <s v="Settled"/>
    <d v="2016-01-22T00:00:00"/>
    <x v="18"/>
    <x v="5"/>
    <x v="1"/>
  </r>
  <r>
    <x v="48"/>
    <n v="6163050115"/>
    <x v="3"/>
    <x v="2"/>
    <x v="4"/>
    <x v="37"/>
    <x v="0"/>
    <n v="135.428"/>
    <n v="2.4390000000000001"/>
    <n v="254.93"/>
    <s v="Settled"/>
    <d v="2016-01-22T00:00:00"/>
    <x v="18"/>
    <x v="5"/>
    <x v="1"/>
  </r>
  <r>
    <x v="49"/>
    <n v="6163050117"/>
    <x v="2"/>
    <x v="0"/>
    <x v="3"/>
    <x v="38"/>
    <x v="0"/>
    <n v="146.63399999999999"/>
    <n v="2.399"/>
    <n v="339.08"/>
    <s v="Settled"/>
    <d v="2016-01-29T00:00:00"/>
    <x v="19"/>
    <x v="5"/>
    <x v="1"/>
  </r>
  <r>
    <x v="50"/>
    <n v="6163050118"/>
    <x v="2"/>
    <x v="0"/>
    <x v="3"/>
    <x v="39"/>
    <x v="3"/>
    <n v="58.957999999999998"/>
    <n v="2.0489999999999999"/>
    <n v="176.13"/>
    <s v="Settled"/>
    <d v="2016-01-29T00:00:00"/>
    <x v="19"/>
    <x v="5"/>
    <x v="1"/>
  </r>
  <r>
    <x v="50"/>
    <n v="6163050118"/>
    <x v="3"/>
    <x v="2"/>
    <x v="4"/>
    <x v="30"/>
    <x v="0"/>
    <n v="361.21"/>
    <n v="2.4390000000000001"/>
    <n v="270.08"/>
    <s v="Settled"/>
    <d v="2016-01-29T00:00:00"/>
    <x v="19"/>
    <x v="5"/>
    <x v="1"/>
  </r>
  <r>
    <x v="51"/>
    <n v="6163050120"/>
    <x v="3"/>
    <x v="2"/>
    <x v="4"/>
    <x v="37"/>
    <x v="0"/>
    <n v="139.90799999999999"/>
    <n v="2.399"/>
    <n v="247.75"/>
    <s v="Settled"/>
    <d v="2016-01-29T00:00:00"/>
    <x v="19"/>
    <x v="5"/>
    <x v="1"/>
  </r>
  <r>
    <x v="52"/>
    <n v="6163050121"/>
    <x v="2"/>
    <x v="0"/>
    <x v="3"/>
    <x v="37"/>
    <x v="0"/>
    <n v="234.28899999999999"/>
    <n v="2.399"/>
    <n v="450.51"/>
    <s v="Settled"/>
    <d v="2016-02-05T00:00:00"/>
    <x v="20"/>
    <x v="5"/>
    <x v="1"/>
  </r>
  <r>
    <x v="53"/>
    <n v="6163050125"/>
    <x v="3"/>
    <x v="2"/>
    <x v="4"/>
    <x v="37"/>
    <x v="0"/>
    <n v="91.983999999999995"/>
    <n v="2.37"/>
    <n v="175.02"/>
    <s v="Settled"/>
    <d v="2016-02-12T00:00:00"/>
    <x v="21"/>
    <x v="6"/>
    <x v="1"/>
  </r>
  <r>
    <x v="53"/>
    <n v="6163050126"/>
    <x v="2"/>
    <x v="0"/>
    <x v="3"/>
    <x v="40"/>
    <x v="0"/>
    <n v="208.18199999999999"/>
    <n v="2.37"/>
    <n v="495.26"/>
    <s v="Settled"/>
    <d v="2016-02-12T00:00:00"/>
    <x v="21"/>
    <x v="6"/>
    <x v="1"/>
  </r>
  <r>
    <x v="54"/>
    <n v="6163050128"/>
    <x v="2"/>
    <x v="0"/>
    <x v="3"/>
    <x v="41"/>
    <x v="0"/>
    <n v="184.32599999999999"/>
    <n v="2.359"/>
    <n v="418.76"/>
    <s v="Settled"/>
    <d v="2016-02-12T00:00:00"/>
    <x v="21"/>
    <x v="6"/>
    <x v="1"/>
  </r>
  <r>
    <x v="54"/>
    <n v="6163050128"/>
    <x v="3"/>
    <x v="2"/>
    <x v="4"/>
    <x v="42"/>
    <x v="0"/>
    <n v="109.82899999999999"/>
    <n v="2.3889999999999998"/>
    <n v="262.38"/>
    <s v="Settled"/>
    <d v="2016-02-12T00:00:00"/>
    <x v="21"/>
    <x v="6"/>
    <x v="1"/>
  </r>
  <r>
    <x v="55"/>
    <n v="6163050132"/>
    <x v="3"/>
    <x v="2"/>
    <x v="4"/>
    <x v="42"/>
    <x v="0"/>
    <n v="150.18"/>
    <n v="2.359"/>
    <n v="353.89"/>
    <s v="Settled"/>
    <d v="2016-02-19T00:00:00"/>
    <x v="22"/>
    <x v="6"/>
    <x v="1"/>
  </r>
  <r>
    <x v="56"/>
    <n v="6163050134"/>
    <x v="2"/>
    <x v="0"/>
    <x v="3"/>
    <x v="30"/>
    <x v="0"/>
    <n v="212.48"/>
    <n v="2.359"/>
    <n v="381.77"/>
    <s v="Settled"/>
    <d v="2016-02-19T00:00:00"/>
    <x v="22"/>
    <x v="6"/>
    <x v="1"/>
  </r>
  <r>
    <x v="57"/>
    <n v="6163050137"/>
    <x v="3"/>
    <x v="2"/>
    <x v="5"/>
    <x v="30"/>
    <x v="0"/>
    <n v="194.65899999999999"/>
    <n v="2.2989999999999999"/>
    <n v="370.32"/>
    <s v="Settled"/>
    <d v="2016-02-26T00:00:00"/>
    <x v="23"/>
    <x v="6"/>
    <x v="1"/>
  </r>
  <r>
    <x v="58"/>
    <n v="6163050138"/>
    <x v="3"/>
    <x v="2"/>
    <x v="5"/>
    <x v="23"/>
    <x v="1"/>
    <n v="62.847999999999999"/>
    <n v="2.0990000000000002"/>
    <n v="131.91999999999999"/>
    <s v="Settled"/>
    <d v="2016-02-26T00:00:00"/>
    <x v="23"/>
    <x v="6"/>
    <x v="1"/>
  </r>
  <r>
    <x v="59"/>
    <n v="6163050139"/>
    <x v="2"/>
    <x v="0"/>
    <x v="3"/>
    <x v="33"/>
    <x v="0"/>
    <n v="88.010999999999996"/>
    <n v="2.2989999999999999"/>
    <n v="163.72"/>
    <s v="Settled"/>
    <d v="2016-02-26T00:00:00"/>
    <x v="23"/>
    <x v="6"/>
    <x v="1"/>
  </r>
  <r>
    <x v="60"/>
    <n v="6163050140"/>
    <x v="3"/>
    <x v="2"/>
    <x v="5"/>
    <x v="43"/>
    <x v="0"/>
    <n v="55.328000000000003"/>
    <n v="2.2989999999999999"/>
    <n v="127.2"/>
    <s v="Settled"/>
    <d v="2016-02-26T00:00:00"/>
    <x v="23"/>
    <x v="6"/>
    <x v="1"/>
  </r>
  <r>
    <x v="60"/>
    <s v="Sunnycashbbva"/>
    <x v="2"/>
    <x v="0"/>
    <x v="6"/>
    <x v="30"/>
    <x v="0"/>
    <m/>
    <m/>
    <n v="200"/>
    <s v="Settled"/>
    <d v="2016-02-26T00:00:00"/>
    <x v="23"/>
    <x v="6"/>
    <x v="1"/>
  </r>
  <r>
    <x v="61"/>
    <n v="6163050141"/>
    <x v="2"/>
    <x v="0"/>
    <x v="6"/>
    <x v="30"/>
    <x v="0"/>
    <n v="198.55199999999999"/>
    <n v="2.2789999999999999"/>
    <n v="373.85"/>
    <s v="Settled"/>
    <d v="2016-03-04T00:00:00"/>
    <x v="24"/>
    <x v="6"/>
    <x v="1"/>
  </r>
  <r>
    <x v="62"/>
    <n v="6163050144"/>
    <x v="2"/>
    <x v="0"/>
    <x v="6"/>
    <x v="30"/>
    <x v="0"/>
    <n v="60.271999999999998"/>
    <n v="2.2789999999999999"/>
    <n v="113.38"/>
    <s v="Settled"/>
    <d v="2016-03-04T00:00:00"/>
    <x v="24"/>
    <x v="6"/>
    <x v="1"/>
  </r>
  <r>
    <x v="63"/>
    <n v="6163050146"/>
    <x v="2"/>
    <x v="0"/>
    <x v="6"/>
    <x v="30"/>
    <x v="0"/>
    <n v="255.86199999999999"/>
    <n v="2.2789999999999999"/>
    <n v="493.79"/>
    <s v="Settled"/>
    <d v="2016-03-11T00:00:00"/>
    <x v="25"/>
    <x v="6"/>
    <x v="1"/>
  </r>
  <r>
    <x v="64"/>
    <n v="6163050150"/>
    <x v="1"/>
    <x v="2"/>
    <x v="7"/>
    <x v="44"/>
    <x v="1"/>
    <n v="237.13499999999999"/>
    <n v="2.129"/>
    <n v="504.86"/>
    <s v="Settled"/>
    <d v="2016-03-11T00:00:00"/>
    <x v="25"/>
    <x v="7"/>
    <x v="1"/>
  </r>
  <r>
    <x v="65"/>
    <n v="6163050151"/>
    <x v="2"/>
    <x v="0"/>
    <x v="6"/>
    <x v="45"/>
    <x v="0"/>
    <n v="238.53100000000001"/>
    <n v="1.899"/>
    <n v="429.62"/>
    <s v="Settled"/>
    <d v="2016-03-18T00:00:00"/>
    <x v="26"/>
    <x v="7"/>
    <x v="1"/>
  </r>
  <r>
    <x v="66"/>
    <n v="6163050153"/>
    <x v="1"/>
    <x v="2"/>
    <x v="7"/>
    <x v="46"/>
    <x v="4"/>
    <n v="235.39099999999999"/>
    <n v="1.669"/>
    <n v="392.87"/>
    <s v="Settled"/>
    <d v="2016-03-18T00:00:00"/>
    <x v="26"/>
    <x v="7"/>
    <x v="1"/>
  </r>
  <r>
    <x v="67"/>
    <n v="6163050156"/>
    <x v="2"/>
    <x v="0"/>
    <x v="6"/>
    <x v="30"/>
    <x v="0"/>
    <n v="211.702"/>
    <n v="2.339"/>
    <n v="446.03"/>
    <s v="Settled"/>
    <d v="2016-03-25T00:00:00"/>
    <x v="27"/>
    <x v="7"/>
    <x v="1"/>
  </r>
  <r>
    <x v="68"/>
    <n v="6163050159"/>
    <x v="1"/>
    <x v="2"/>
    <x v="4"/>
    <x v="30"/>
    <x v="0"/>
    <n v="205.22"/>
    <n v="2.339"/>
    <n v="424.77"/>
    <s v="Settled"/>
    <d v="2016-03-25T00:00:00"/>
    <x v="27"/>
    <x v="7"/>
    <x v="1"/>
  </r>
  <r>
    <x v="69"/>
    <n v="6163050160"/>
    <x v="2"/>
    <x v="0"/>
    <x v="6"/>
    <x v="47"/>
    <x v="0"/>
    <n v="153.75399999999999"/>
    <n v="2.2589999999999999"/>
    <n v="347.33"/>
    <s v="Settled"/>
    <d v="2016-03-25T00:00:00"/>
    <x v="27"/>
    <x v="7"/>
    <x v="1"/>
  </r>
  <r>
    <x v="70"/>
    <n v="6163050162"/>
    <x v="1"/>
    <x v="2"/>
    <x v="4"/>
    <x v="48"/>
    <x v="0"/>
    <n v="112.709"/>
    <n v="2.379"/>
    <n v="268.13"/>
    <s v="Settled"/>
    <d v="2016-04-01T00:00:00"/>
    <x v="28"/>
    <x v="7"/>
    <x v="1"/>
  </r>
  <r>
    <x v="70"/>
    <n v="6163050162"/>
    <x v="2"/>
    <x v="0"/>
    <x v="6"/>
    <x v="49"/>
    <x v="0"/>
    <n v="75.822000000000003"/>
    <n v="2.339"/>
    <n v="439.15"/>
    <s v="Settled"/>
    <d v="2016-04-01T00:00:00"/>
    <x v="28"/>
    <x v="7"/>
    <x v="1"/>
  </r>
  <r>
    <x v="71"/>
    <n v="6163050163"/>
    <x v="2"/>
    <x v="0"/>
    <x v="6"/>
    <x v="50"/>
    <x v="0"/>
    <n v="62.845999999999997"/>
    <n v="2.2589999999999999"/>
    <n v="141.97"/>
    <s v="Settled"/>
    <d v="2016-04-01T00:00:00"/>
    <x v="28"/>
    <x v="7"/>
    <x v="1"/>
  </r>
  <r>
    <x v="72"/>
    <n v="6163050164"/>
    <x v="1"/>
    <x v="2"/>
    <x v="4"/>
    <x v="27"/>
    <x v="0"/>
    <n v="146.90600000000001"/>
    <n v="2.4990000000000001"/>
    <n v="354.4"/>
    <s v="Settled"/>
    <d v="2016-04-01T00:00:00"/>
    <x v="28"/>
    <x v="7"/>
    <x v="1"/>
  </r>
  <r>
    <x v="73"/>
    <n v="6163050165"/>
    <x v="1"/>
    <x v="2"/>
    <x v="4"/>
    <x v="51"/>
    <x v="4"/>
    <n v="84.597999999999999"/>
    <n v="1.8089999999999999"/>
    <n v="153.54"/>
    <s v="Settled"/>
    <d v="2016-04-01T00:00:00"/>
    <x v="28"/>
    <x v="7"/>
    <x v="1"/>
  </r>
  <r>
    <x v="74"/>
    <n v="6163050166"/>
    <x v="1"/>
    <x v="2"/>
    <x v="4"/>
    <x v="52"/>
    <x v="4"/>
    <n v="87.941000000000003"/>
    <n v="1.9390000000000001"/>
    <n v="163.1"/>
    <s v="Settled"/>
    <d v="2016-04-08T00:00:00"/>
    <x v="29"/>
    <x v="7"/>
    <x v="1"/>
  </r>
  <r>
    <x v="74"/>
    <n v="6163050166"/>
    <x v="2"/>
    <x v="0"/>
    <x v="6"/>
    <x v="47"/>
    <x v="0"/>
    <n v="226.31100000000001"/>
    <n v="2.2589999999999999"/>
    <n v="511.24"/>
    <s v="Settled"/>
    <d v="2016-04-08T00:00:00"/>
    <x v="29"/>
    <x v="7"/>
    <x v="1"/>
  </r>
  <r>
    <x v="75"/>
    <n v="6163050167"/>
    <x v="1"/>
    <x v="2"/>
    <x v="4"/>
    <x v="41"/>
    <x v="0"/>
    <n v="112.959"/>
    <n v="2.2589999999999999"/>
    <n v="245.51"/>
    <s v="Settled"/>
    <d v="2016-04-08T00:00:00"/>
    <x v="29"/>
    <x v="7"/>
    <x v="1"/>
  </r>
  <r>
    <x v="76"/>
    <n v="6163050168"/>
    <x v="2"/>
    <x v="0"/>
    <x v="6"/>
    <x v="53"/>
    <x v="0"/>
    <n v="127.53700000000001"/>
    <n v="2.359"/>
    <n v="289.89"/>
    <s v="Settled"/>
    <d v="2016-04-08T00:00:00"/>
    <x v="29"/>
    <x v="7"/>
    <x v="1"/>
  </r>
  <r>
    <x v="77"/>
    <n v="6163050170"/>
    <x v="1"/>
    <x v="2"/>
    <x v="4"/>
    <x v="54"/>
    <x v="1"/>
    <n v="109.245"/>
    <n v="2.2389999999999999"/>
    <n v="281.89999999999998"/>
    <s v="Settled"/>
    <d v="2016-04-08T00:00:00"/>
    <x v="29"/>
    <x v="8"/>
    <x v="1"/>
  </r>
  <r>
    <x v="77"/>
    <n v="6163050170"/>
    <x v="2"/>
    <x v="0"/>
    <x v="6"/>
    <x v="55"/>
    <x v="0"/>
    <n v="227.929"/>
    <n v="2.2589999999999999"/>
    <n v="514.89"/>
    <s v="Settled"/>
    <d v="2016-04-08T00:00:00"/>
    <x v="29"/>
    <x v="8"/>
    <x v="1"/>
  </r>
  <r>
    <x v="78"/>
    <n v="6163050173"/>
    <x v="1"/>
    <x v="2"/>
    <x v="4"/>
    <x v="0"/>
    <x v="0"/>
    <n v="85.552999999999997"/>
    <n v="2.339"/>
    <n v="192.91"/>
    <s v="Settled"/>
    <d v="2016-04-15T00:00:00"/>
    <x v="30"/>
    <x v="8"/>
    <x v="1"/>
  </r>
  <r>
    <x v="78"/>
    <n v="6163050173"/>
    <x v="2"/>
    <x v="0"/>
    <x v="6"/>
    <x v="56"/>
    <x v="0"/>
    <n v="182.70699999999999"/>
    <n v="2.2389999999999999"/>
    <n v="409.08"/>
    <s v="Settled"/>
    <d v="2016-04-15T00:00:00"/>
    <x v="30"/>
    <x v="8"/>
    <x v="1"/>
  </r>
  <r>
    <x v="79"/>
    <n v="6163050176"/>
    <x v="2"/>
    <x v="0"/>
    <x v="6"/>
    <x v="57"/>
    <x v="0"/>
    <n v="208.958"/>
    <n v="2.3290000000000002"/>
    <n v="486.66"/>
    <s v="Settled"/>
    <d v="2016-04-22T00:00:00"/>
    <x v="31"/>
    <x v="8"/>
    <x v="1"/>
  </r>
  <r>
    <x v="80"/>
    <n v="6163050177"/>
    <x v="1"/>
    <x v="2"/>
    <x v="4"/>
    <x v="30"/>
    <x v="0"/>
    <n v="145.661"/>
    <n v="2.339"/>
    <n v="310.52999999999997"/>
    <s v="Settled"/>
    <d v="2016-04-22T00:00:00"/>
    <x v="31"/>
    <x v="8"/>
    <x v="1"/>
  </r>
  <r>
    <x v="81"/>
    <n v="6163050179"/>
    <x v="2"/>
    <x v="0"/>
    <x v="6"/>
    <x v="56"/>
    <x v="0"/>
    <n v="90.682000000000002"/>
    <n v="2.2890000000000001"/>
    <n v="207.57"/>
    <s v="Settled"/>
    <d v="2016-04-22T00:00:00"/>
    <x v="31"/>
    <x v="8"/>
    <x v="1"/>
  </r>
  <r>
    <x v="82"/>
    <n v="6163050181"/>
    <x v="1"/>
    <x v="2"/>
    <x v="4"/>
    <x v="32"/>
    <x v="0"/>
    <n v="68.787000000000006"/>
    <n v="2.399"/>
    <n v="159.33000000000001"/>
    <s v="Settled"/>
    <d v="2016-04-29T00:00:00"/>
    <x v="32"/>
    <x v="8"/>
    <x v="1"/>
  </r>
  <r>
    <x v="83"/>
    <n v="6163050182"/>
    <x v="2"/>
    <x v="0"/>
    <x v="6"/>
    <x v="56"/>
    <x v="0"/>
    <n v="225.76499999999999"/>
    <n v="2.3490000000000002"/>
    <n v="530.32000000000005"/>
    <s v="Settled"/>
    <d v="2016-04-29T00:00:00"/>
    <x v="32"/>
    <x v="8"/>
    <x v="1"/>
  </r>
  <r>
    <x v="84"/>
    <n v="6163050186"/>
    <x v="1"/>
    <x v="2"/>
    <x v="4"/>
    <x v="58"/>
    <x v="0"/>
    <n v="101.369"/>
    <n v="2.1389999999999998"/>
    <n v="207.19"/>
    <s v="Settled"/>
    <d v="2016-05-06T00:00:00"/>
    <x v="33"/>
    <x v="8"/>
    <x v="1"/>
  </r>
  <r>
    <x v="84"/>
    <n v="6163050186"/>
    <x v="2"/>
    <x v="0"/>
    <x v="6"/>
    <x v="56"/>
    <x v="0"/>
    <n v="213.464"/>
    <n v="2.339"/>
    <n v="512.1"/>
    <s v="Settled"/>
    <d v="2016-05-06T00:00:00"/>
    <x v="33"/>
    <x v="8"/>
    <x v="1"/>
  </r>
  <r>
    <x v="85"/>
    <n v="6163050188"/>
    <x v="1"/>
    <x v="2"/>
    <x v="4"/>
    <x v="58"/>
    <x v="0"/>
    <n v="168.131"/>
    <n v="2.1589999999999998"/>
    <n v="346.68"/>
    <s v="Settled"/>
    <d v="2016-05-06T00:00:00"/>
    <x v="33"/>
    <x v="8"/>
    <x v="1"/>
  </r>
  <r>
    <x v="85"/>
    <n v="6163050189"/>
    <x v="2"/>
    <x v="0"/>
    <x v="6"/>
    <x v="56"/>
    <x v="0"/>
    <n v="50.201999999999998"/>
    <n v="2.4489999999999998"/>
    <n v="122.94"/>
    <s v="Settled"/>
    <d v="2016-05-06T00:00:00"/>
    <x v="33"/>
    <x v="8"/>
    <x v="1"/>
  </r>
  <r>
    <x v="86"/>
    <n v="6163050190"/>
    <x v="2"/>
    <x v="0"/>
    <x v="6"/>
    <x v="59"/>
    <x v="0"/>
    <n v="70.191999999999993"/>
    <n v="2.4990000000000001"/>
    <n v="175.41"/>
    <s v="Settled"/>
    <d v="2016-05-06T00:00:00"/>
    <x v="33"/>
    <x v="8"/>
    <x v="1"/>
  </r>
  <r>
    <x v="87"/>
    <n v="6163050191"/>
    <x v="1"/>
    <x v="2"/>
    <x v="4"/>
    <x v="45"/>
    <x v="0"/>
    <n v="159.923"/>
    <n v="2.2989999999999999"/>
    <n v="352.17"/>
    <s v="Settled"/>
    <d v="2016-05-13T00:00:00"/>
    <x v="34"/>
    <x v="9"/>
    <x v="1"/>
  </r>
  <r>
    <x v="87"/>
    <n v="6163050191"/>
    <x v="2"/>
    <x v="0"/>
    <x v="6"/>
    <x v="2"/>
    <x v="0"/>
    <n v="208.16900000000001"/>
    <n v="2.5390000000000001"/>
    <n v="498.72"/>
    <s v="Settled"/>
    <d v="2016-05-13T00:00:00"/>
    <x v="34"/>
    <x v="9"/>
    <x v="1"/>
  </r>
  <r>
    <x v="88"/>
    <n v="6163050193"/>
    <x v="2"/>
    <x v="0"/>
    <x v="6"/>
    <x v="56"/>
    <x v="0"/>
    <n v="115.15900000000001"/>
    <n v="2.4990000000000001"/>
    <n v="287.77999999999997"/>
    <s v="Settled"/>
    <d v="2016-05-13T00:00:00"/>
    <x v="34"/>
    <x v="9"/>
    <x v="1"/>
  </r>
  <r>
    <x v="89"/>
    <n v="6163050194"/>
    <x v="1"/>
    <x v="2"/>
    <x v="4"/>
    <x v="23"/>
    <x v="1"/>
    <n v="168.87299999999999"/>
    <n v="2.5390000000000001"/>
    <n v="428.77"/>
    <s v="Settled"/>
    <d v="2016-05-13T00:00:00"/>
    <x v="34"/>
    <x v="9"/>
    <x v="1"/>
  </r>
  <r>
    <x v="90"/>
    <n v="6163050196"/>
    <x v="1"/>
    <x v="2"/>
    <x v="4"/>
    <x v="60"/>
    <x v="0"/>
    <n v="127.379"/>
    <n v="2.2989999999999999"/>
    <n v="280.61"/>
    <s v="Settled"/>
    <d v="2016-05-20T00:00:00"/>
    <x v="35"/>
    <x v="9"/>
    <x v="1"/>
  </r>
  <r>
    <x v="90"/>
    <n v="6163050196"/>
    <x v="2"/>
    <x v="0"/>
    <x v="6"/>
    <x v="2"/>
    <x v="0"/>
    <n v="179.852"/>
    <n v="2.6389999999999998"/>
    <n v="423.6"/>
    <s v="Settled"/>
    <d v="2016-05-20T00:00:00"/>
    <x v="35"/>
    <x v="9"/>
    <x v="1"/>
  </r>
  <r>
    <x v="91"/>
    <n v="6163050199"/>
    <x v="2"/>
    <x v="0"/>
    <x v="6"/>
    <x v="56"/>
    <x v="0"/>
    <n v="57.136000000000003"/>
    <n v="2.5590000000000002"/>
    <n v="146.21"/>
    <s v="Settled"/>
    <d v="2016-05-20T00:00:00"/>
    <x v="35"/>
    <x v="9"/>
    <x v="1"/>
  </r>
  <r>
    <x v="92"/>
    <n v="6163050200"/>
    <x v="1"/>
    <x v="2"/>
    <x v="4"/>
    <x v="61"/>
    <x v="0"/>
    <n v="159.93199999999999"/>
    <n v="2.6989999999999998"/>
    <n v="417.76"/>
    <s v="Settled"/>
    <d v="2016-05-20T00:00:00"/>
    <x v="35"/>
    <x v="9"/>
    <x v="1"/>
  </r>
  <r>
    <x v="93"/>
    <n v="6163050201"/>
    <x v="2"/>
    <x v="0"/>
    <x v="6"/>
    <x v="44"/>
    <x v="0"/>
    <n v="53.857999999999997"/>
    <n v="2.6890000000000001"/>
    <n v="144.82"/>
    <s v="Settled"/>
    <d v="2016-05-27T00:00:00"/>
    <x v="36"/>
    <x v="9"/>
    <x v="1"/>
  </r>
  <r>
    <x v="93"/>
    <n v="6163050201"/>
    <x v="2"/>
    <x v="0"/>
    <x v="6"/>
    <x v="62"/>
    <x v="0"/>
    <n v="120.2"/>
    <n v="2.2989999999999999"/>
    <n v="264.82"/>
    <s v="Settled"/>
    <d v="2016-05-27T00:00:00"/>
    <x v="36"/>
    <x v="9"/>
    <x v="1"/>
  </r>
  <r>
    <x v="94"/>
    <n v="6163050203"/>
    <x v="1"/>
    <x v="2"/>
    <x v="4"/>
    <x v="63"/>
    <x v="0"/>
    <n v="144.37100000000001"/>
    <n v="2.7490000000000001"/>
    <n v="396.88"/>
    <s v="Settled"/>
    <d v="2016-05-27T00:00:00"/>
    <x v="36"/>
    <x v="9"/>
    <x v="1"/>
  </r>
  <r>
    <x v="94"/>
    <n v="6163050203"/>
    <x v="2"/>
    <x v="0"/>
    <x v="6"/>
    <x v="44"/>
    <x v="0"/>
    <n v="110.902"/>
    <n v="2.7490000000000001"/>
    <n v="304.87"/>
    <s v="Settled"/>
    <d v="2016-05-27T00:00:00"/>
    <x v="36"/>
    <x v="9"/>
    <x v="1"/>
  </r>
  <r>
    <x v="94"/>
    <n v="6163050203"/>
    <x v="2"/>
    <x v="0"/>
    <x v="6"/>
    <x v="47"/>
    <x v="0"/>
    <n v="130.202"/>
    <n v="2.5990000000000002"/>
    <n v="338.39"/>
    <s v="Settled"/>
    <d v="2016-05-27T00:00:00"/>
    <x v="36"/>
    <x v="9"/>
    <x v="1"/>
  </r>
  <r>
    <x v="95"/>
    <n v="6163050204"/>
    <x v="1"/>
    <x v="2"/>
    <x v="4"/>
    <x v="64"/>
    <x v="1"/>
    <n v="108.82299999999999"/>
    <n v="2.6190000000000002"/>
    <n v="285.01"/>
    <s v="Settled"/>
    <d v="2016-05-27T00:00:00"/>
    <x v="36"/>
    <x v="9"/>
    <x v="1"/>
  </r>
  <r>
    <x v="96"/>
    <n v="6163050205"/>
    <x v="1"/>
    <x v="2"/>
    <x v="4"/>
    <x v="65"/>
    <x v="0"/>
    <n v="99.085999999999999"/>
    <n v="2.7589999999999999"/>
    <n v="264.95999999999998"/>
    <s v="Settled"/>
    <d v="2016-05-27T00:00:00"/>
    <x v="36"/>
    <x v="9"/>
    <x v="1"/>
  </r>
  <r>
    <x v="97"/>
    <n v="6163050206"/>
    <x v="2"/>
    <x v="0"/>
    <x v="6"/>
    <x v="66"/>
    <x v="0"/>
    <n v="207.12"/>
    <n v="2.7189999999999999"/>
    <n v="530.5"/>
    <s v="Settled"/>
    <d v="2016-06-03T00:00:00"/>
    <x v="37"/>
    <x v="9"/>
    <x v="1"/>
  </r>
  <r>
    <x v="98"/>
    <n v="6163050207"/>
    <x v="1"/>
    <x v="2"/>
    <x v="4"/>
    <x v="67"/>
    <x v="0"/>
    <n v="111.209"/>
    <n v="2.7589999999999999"/>
    <n v="297.32"/>
    <s v="Settled"/>
    <d v="2016-06-03T00:00:00"/>
    <x v="37"/>
    <x v="9"/>
    <x v="1"/>
  </r>
  <r>
    <x v="99"/>
    <n v="6163050210"/>
    <x v="1"/>
    <x v="2"/>
    <x v="4"/>
    <x v="61"/>
    <x v="0"/>
    <n v="152.166"/>
    <n v="2.7589999999999999"/>
    <n v="406.63"/>
    <s v="Settled"/>
    <d v="2016-06-03T00:00:00"/>
    <x v="37"/>
    <x v="9"/>
    <x v="1"/>
  </r>
  <r>
    <x v="100"/>
    <n v="6163050212"/>
    <x v="1"/>
    <x v="2"/>
    <x v="4"/>
    <x v="68"/>
    <x v="0"/>
    <n v="63.311"/>
    <n v="2.7989999999999999"/>
    <n v="172.01"/>
    <s v="Settled"/>
    <d v="2016-06-10T00:00:00"/>
    <x v="38"/>
    <x v="9"/>
    <x v="1"/>
  </r>
  <r>
    <x v="100"/>
    <n v="6163050212"/>
    <x v="2"/>
    <x v="0"/>
    <x v="6"/>
    <x v="69"/>
    <x v="0"/>
    <n v="93.567999999999998"/>
    <n v="2.9590000000000001"/>
    <n v="268.95"/>
    <s v="Settled"/>
    <d v="2016-06-10T00:00:00"/>
    <x v="38"/>
    <x v="9"/>
    <x v="1"/>
  </r>
  <r>
    <x v="101"/>
    <n v="6163050214"/>
    <x v="1"/>
    <x v="2"/>
    <x v="4"/>
    <x v="22"/>
    <x v="1"/>
    <n v="145.07300000000001"/>
    <n v="2.6989999999999998"/>
    <n v="391.55"/>
    <s v="Settled"/>
    <d v="2016-06-10T00:00:00"/>
    <x v="38"/>
    <x v="10"/>
    <x v="1"/>
  </r>
  <r>
    <x v="102"/>
    <n v="6163050216"/>
    <x v="1"/>
    <x v="2"/>
    <x v="4"/>
    <x v="42"/>
    <x v="0"/>
    <n v="170.506"/>
    <n v="2.819"/>
    <n v="480.66"/>
    <s v="Settled"/>
    <d v="2016-06-17T00:00:00"/>
    <x v="39"/>
    <x v="10"/>
    <x v="1"/>
  </r>
  <r>
    <x v="103"/>
    <n v="6163050218"/>
    <x v="1"/>
    <x v="2"/>
    <x v="4"/>
    <x v="26"/>
    <x v="0"/>
    <n v="139.79499999999999"/>
    <n v="2.7989999999999999"/>
    <n v="379.2"/>
    <s v="Settled"/>
    <d v="2016-06-17T00:00:00"/>
    <x v="39"/>
    <x v="10"/>
    <x v="1"/>
  </r>
  <r>
    <x v="104"/>
    <n v="6163050220"/>
    <x v="1"/>
    <x v="2"/>
    <x v="4"/>
    <x v="60"/>
    <x v="0"/>
    <n v="134.59"/>
    <n v="2.4790000000000001"/>
    <n v="320.69"/>
    <s v="Settled"/>
    <d v="2016-06-17T00:00:00"/>
    <x v="39"/>
    <x v="10"/>
    <x v="1"/>
  </r>
  <r>
    <x v="105"/>
    <n v="6163050221"/>
    <x v="2"/>
    <x v="0"/>
    <x v="6"/>
    <x v="55"/>
    <x v="0"/>
    <n v="188.601"/>
    <n v="2.6989999999999998"/>
    <n v="509.03"/>
    <s v="Settled"/>
    <d v="2016-06-24T00:00:00"/>
    <x v="40"/>
    <x v="10"/>
    <x v="1"/>
  </r>
  <r>
    <x v="106"/>
    <n v="6163050222"/>
    <x v="1"/>
    <x v="2"/>
    <x v="4"/>
    <x v="0"/>
    <x v="0"/>
    <n v="134.35499999999999"/>
    <n v="2.7989999999999999"/>
    <n v="364.47"/>
    <s v="Settled"/>
    <d v="2016-06-24T00:00:00"/>
    <x v="40"/>
    <x v="10"/>
    <x v="1"/>
  </r>
  <r>
    <x v="107"/>
    <n v="6163050224"/>
    <x v="1"/>
    <x v="2"/>
    <x v="4"/>
    <x v="58"/>
    <x v="0"/>
    <n v="119.07599999999999"/>
    <n v="2.399"/>
    <n v="274.26"/>
    <s v="Settled"/>
    <d v="2016-06-24T00:00:00"/>
    <x v="40"/>
    <x v="10"/>
    <x v="1"/>
  </r>
  <r>
    <x v="108"/>
    <n v="6163050225"/>
    <x v="2"/>
    <x v="0"/>
    <x v="6"/>
    <x v="55"/>
    <x v="0"/>
    <n v="164.66800000000001"/>
    <n v="2.6989999999999998"/>
    <n v="444.44"/>
    <s v="Settled"/>
    <d v="2016-07-01T00:00:00"/>
    <x v="41"/>
    <x v="10"/>
    <x v="1"/>
  </r>
  <r>
    <x v="109"/>
    <n v="6163050226"/>
    <x v="1"/>
    <x v="2"/>
    <x v="4"/>
    <x v="70"/>
    <x v="0"/>
    <n v="155.63"/>
    <n v="2.399"/>
    <n v="358.29"/>
    <s v="Settled"/>
    <d v="2016-07-01T00:00:00"/>
    <x v="41"/>
    <x v="10"/>
    <x v="1"/>
  </r>
  <r>
    <x v="110"/>
    <n v="6163050228"/>
    <x v="2"/>
    <x v="0"/>
    <x v="6"/>
    <x v="15"/>
    <x v="0"/>
    <n v="52.945"/>
    <n v="2.819"/>
    <n v="149.25"/>
    <s v="Settled"/>
    <d v="2016-07-01T00:00:00"/>
    <x v="41"/>
    <x v="10"/>
    <x v="1"/>
  </r>
  <r>
    <x v="110"/>
    <n v="6163050228"/>
    <x v="2"/>
    <x v="0"/>
    <x v="6"/>
    <x v="47"/>
    <x v="0"/>
    <n v="147.38"/>
    <n v="2.6989999999999998"/>
    <n v="397.78"/>
    <s v="Settled"/>
    <d v="2016-07-01T00:00:00"/>
    <x v="41"/>
    <x v="10"/>
    <x v="1"/>
  </r>
  <r>
    <x v="111"/>
    <n v="6163050229"/>
    <x v="1"/>
    <x v="2"/>
    <x v="4"/>
    <x v="66"/>
    <x v="0"/>
    <n v="128.44200000000001"/>
    <n v="2.7789999999999999"/>
    <n v="317.27999999999997"/>
    <s v="Settled"/>
    <d v="2016-07-01T00:00:00"/>
    <x v="41"/>
    <x v="10"/>
    <x v="1"/>
  </r>
  <r>
    <x v="112"/>
    <n v="6163050231"/>
    <x v="1"/>
    <x v="2"/>
    <x v="4"/>
    <x v="71"/>
    <x v="0"/>
    <n v="172.393"/>
    <n v="2.819"/>
    <n v="485.98"/>
    <s v="Settled"/>
    <d v="2016-07-08T00:00:00"/>
    <x v="42"/>
    <x v="10"/>
    <x v="1"/>
  </r>
  <r>
    <x v="112"/>
    <n v="6163050231"/>
    <x v="2"/>
    <x v="0"/>
    <x v="6"/>
    <x v="47"/>
    <x v="0"/>
    <n v="149.58000000000001"/>
    <n v="2.6989999999999998"/>
    <n v="403.66"/>
    <s v="Settled"/>
    <d v="2016-07-08T00:00:00"/>
    <x v="42"/>
    <x v="10"/>
    <x v="1"/>
  </r>
  <r>
    <x v="113"/>
    <n v="6163050233"/>
    <x v="1"/>
    <x v="2"/>
    <x v="4"/>
    <x v="61"/>
    <x v="0"/>
    <n v="64.784000000000006"/>
    <n v="2.7989999999999999"/>
    <n v="176"/>
    <s v="Settled"/>
    <d v="2016-07-08T00:00:00"/>
    <x v="42"/>
    <x v="10"/>
    <x v="1"/>
  </r>
  <r>
    <x v="113"/>
    <n v="6163050233"/>
    <x v="2"/>
    <x v="0"/>
    <x v="6"/>
    <x v="67"/>
    <x v="0"/>
    <n v="142.91999999999999"/>
    <n v="2.899"/>
    <n v="401.96"/>
    <s v="Settled"/>
    <d v="2016-07-08T00:00:00"/>
    <x v="42"/>
    <x v="10"/>
    <x v="1"/>
  </r>
  <r>
    <x v="114"/>
    <n v="6163050236"/>
    <x v="1"/>
    <x v="2"/>
    <x v="4"/>
    <x v="15"/>
    <x v="0"/>
    <n v="116.36"/>
    <n v="2.819"/>
    <n v="328.03"/>
    <s v="Owed"/>
    <d v="2016-07-15T00:00:00"/>
    <x v="43"/>
    <x v="11"/>
    <x v="1"/>
  </r>
  <r>
    <x v="115"/>
    <n v="6163050237"/>
    <x v="2"/>
    <x v="0"/>
    <x v="6"/>
    <x v="45"/>
    <x v="0"/>
    <n v="156.86000000000001"/>
    <n v="2.379"/>
    <n v="357.98"/>
    <s v="Owed"/>
    <d v="2016-07-15T00:00:00"/>
    <x v="43"/>
    <x v="11"/>
    <x v="1"/>
  </r>
  <r>
    <x v="115"/>
    <n v="6163050237"/>
    <x v="1"/>
    <x v="2"/>
    <x v="4"/>
    <x v="48"/>
    <x v="0"/>
    <n v="87.986999999999995"/>
    <n v="2.8690000000000002"/>
    <n v="252.43"/>
    <s v="Owed"/>
    <d v="2016-07-15T00:00:00"/>
    <x v="43"/>
    <x v="11"/>
    <x v="1"/>
  </r>
  <r>
    <x v="116"/>
    <n v="6163050239"/>
    <x v="1"/>
    <x v="2"/>
    <x v="4"/>
    <x v="72"/>
    <x v="0"/>
    <n v="143.32499999999999"/>
    <n v="2.7789999999999999"/>
    <n v="351.09"/>
    <s v="Owed"/>
    <d v="2016-07-15T00:00:00"/>
    <x v="43"/>
    <x v="11"/>
    <x v="1"/>
  </r>
  <r>
    <x v="117"/>
    <n v="6163050239"/>
    <x v="1"/>
    <x v="2"/>
    <x v="4"/>
    <x v="15"/>
    <x v="0"/>
    <n v="28.334"/>
    <n v="2.819"/>
    <n v="79.87"/>
    <s v="Owed"/>
    <d v="2016-07-15T00:00:00"/>
    <x v="43"/>
    <x v="11"/>
    <x v="1"/>
  </r>
  <r>
    <x v="118"/>
    <n v="6163050240"/>
    <x v="2"/>
    <x v="0"/>
    <x v="6"/>
    <x v="57"/>
    <x v="0"/>
    <n v="137.75700000000001"/>
    <n v="2.7890000000000001"/>
    <n v="384.2"/>
    <s v="Owed"/>
    <d v="2016-07-22T00:00:00"/>
    <x v="44"/>
    <x v="11"/>
    <x v="1"/>
  </r>
  <r>
    <x v="119"/>
    <n v="6163050241"/>
    <x v="2"/>
    <x v="0"/>
    <x v="6"/>
    <x v="47"/>
    <x v="0"/>
    <n v="65.525000000000006"/>
    <n v="2.649"/>
    <n v="173.58"/>
    <s v="Owed"/>
    <d v="2016-07-22T00:00:00"/>
    <x v="44"/>
    <x v="11"/>
    <x v="1"/>
  </r>
  <r>
    <x v="120"/>
    <n v="6163050242"/>
    <x v="1"/>
    <x v="2"/>
    <x v="4"/>
    <x v="72"/>
    <x v="0"/>
    <n v="176.36600000000001"/>
    <n v="2.7789999999999999"/>
    <n v="419.04"/>
    <s v="Owed"/>
    <d v="2016-07-22T00:00:00"/>
    <x v="44"/>
    <x v="11"/>
    <x v="1"/>
  </r>
  <r>
    <x v="121"/>
    <n v="6163050243"/>
    <x v="3"/>
    <x v="3"/>
    <x v="8"/>
    <x v="73"/>
    <x v="0"/>
    <n v="100.101"/>
    <n v="2.7989999999999999"/>
    <n v="271.67"/>
    <s v="Owed"/>
    <d v="2016-07-22T00:00:00"/>
    <x v="44"/>
    <x v="11"/>
    <x v="1"/>
  </r>
  <r>
    <x v="122"/>
    <n v="6163050244"/>
    <x v="1"/>
    <x v="2"/>
    <x v="4"/>
    <x v="67"/>
    <x v="0"/>
    <n v="104.399"/>
    <n v="2.7989999999999999"/>
    <n v="283.32"/>
    <s v="Owed"/>
    <d v="2016-07-22T00:00:00"/>
    <x v="44"/>
    <x v="11"/>
    <x v="1"/>
  </r>
  <r>
    <x v="123"/>
    <n v="6163050245"/>
    <x v="2"/>
    <x v="4"/>
    <x v="6"/>
    <x v="74"/>
    <x v="0"/>
    <n v="104.85"/>
    <n v="2.7690000000000001"/>
    <n v="290.33"/>
    <s v="Owed"/>
    <d v="2016-07-29T00:00:00"/>
    <x v="45"/>
    <x v="11"/>
    <x v="1"/>
  </r>
  <r>
    <x v="124"/>
    <n v="6163050247"/>
    <x v="2"/>
    <x v="4"/>
    <x v="6"/>
    <x v="75"/>
    <x v="0"/>
    <n v="100.21299999999999"/>
    <n v="2.7890000000000001"/>
    <n v="279.49"/>
    <s v="Owed"/>
    <d v="2016-07-29T00:00:00"/>
    <x v="45"/>
    <x v="11"/>
    <x v="1"/>
  </r>
  <r>
    <x v="124"/>
    <n v="6163050247"/>
    <x v="3"/>
    <x v="5"/>
    <x v="9"/>
    <x v="45"/>
    <x v="0"/>
    <n v="217.291"/>
    <n v="2.2789999999999999"/>
    <n v="473.96"/>
    <s v="Owed"/>
    <d v="2016-07-29T00:00:00"/>
    <x v="45"/>
    <x v="11"/>
    <x v="1"/>
  </r>
  <r>
    <x v="124"/>
    <n v="6163050247"/>
    <x v="4"/>
    <x v="3"/>
    <x v="8"/>
    <x v="67"/>
    <x v="1"/>
    <n v="50.301000000000002"/>
    <n v="2.6589999999999998"/>
    <n v="129.72"/>
    <s v="Owed"/>
    <d v="2016-07-29T00:00:00"/>
    <x v="45"/>
    <x v="11"/>
    <x v="1"/>
  </r>
  <r>
    <x v="125"/>
    <n v="6163050248"/>
    <x v="1"/>
    <x v="2"/>
    <x v="4"/>
    <x v="61"/>
    <x v="0"/>
    <n v="173.55699999999999"/>
    <n v="2.7989999999999999"/>
    <n v="470.67"/>
    <s v="Owed"/>
    <d v="2016-07-29T00:00:00"/>
    <x v="45"/>
    <x v="11"/>
    <x v="1"/>
  </r>
  <r>
    <x v="125"/>
    <n v="6163050248"/>
    <x v="2"/>
    <x v="0"/>
    <x v="6"/>
    <x v="76"/>
    <x v="5"/>
    <n v="95.697999999999993"/>
    <s v="2.689 / 2.799"/>
    <n v="258.86"/>
    <s v="Owed"/>
    <d v="2016-07-29T00:00:00"/>
    <x v="45"/>
    <x v="11"/>
    <x v="1"/>
  </r>
</pivotCacheRecords>
</file>

<file path=xl/pivotCache/pivotCacheRecords3.xml><?xml version="1.0" encoding="utf-8"?>
<pivotCacheRecords xmlns="http://schemas.openxmlformats.org/spreadsheetml/2006/main" xmlns:r="http://schemas.openxmlformats.org/officeDocument/2006/relationships" count="13">
  <r>
    <s v="OOD1PDLTMARCO"/>
    <s v="Ponse De Leon Transportation"/>
    <x v="0"/>
    <s v="De Leon"/>
    <d v="1968-03-20T00:00:00"/>
    <n v="48.38082191780822"/>
    <n v="1"/>
    <n v="21597"/>
    <s v="NA"/>
    <s v="UnAssigned"/>
    <s v="510-432-3796"/>
    <s v="NA"/>
    <s v="20 Begier Avenue"/>
    <s v="San Leandro"/>
    <s v="CA"/>
    <n v="94577"/>
    <s v="US"/>
    <s v="ponyondroad@aol.com"/>
    <n v="710941698"/>
    <s v="Bank of America"/>
    <n v="121000358"/>
    <n v="487123742"/>
    <s v="Checking"/>
    <s v="B7179996"/>
    <d v="2017-03-20T00:00:00"/>
    <s v="GOOD"/>
    <s v="Class A"/>
    <s v="Missing"/>
    <s v="Missing"/>
    <s v="MISSING"/>
    <n v="692221"/>
    <n v="1943696"/>
    <s v="Missing"/>
    <x v="0"/>
    <s v="CTP 499561"/>
    <d v="2015-10-02T00:00:00"/>
    <n v="-297"/>
    <d v="2015-06-15T00:00:00"/>
    <d v="2015-06-15T00:00:00"/>
    <d v="2015-09-13T00:00:00"/>
    <s v="Marco A Ponse"/>
    <s v="NotActive"/>
    <s v="NotActive"/>
  </r>
  <r>
    <s v="OOD2AVTKARAMJEET"/>
    <s v="AVT Trans"/>
    <x v="1"/>
    <s v="Singh"/>
    <d v="1971-05-17T00:00:00"/>
    <n v="45.221917808219175"/>
    <n v="738"/>
    <n v="8823"/>
    <s v="NA"/>
    <s v="UnAssigned"/>
    <s v="530-301-7234"/>
    <s v="NA"/>
    <s v="10738 Irene Way"/>
    <s v="Live Oak"/>
    <s v="CA "/>
    <n v="95953"/>
    <s v="US"/>
    <s v="karamjeet3378@hotmail.com"/>
    <n v="622718767"/>
    <s v="Gold Country Bank"/>
    <n v="121141398"/>
    <n v="2329859"/>
    <s v="Checking"/>
    <s v="D8900715"/>
    <d v="2015-08-16T00:00:00"/>
    <s v="EXPIRED"/>
    <s v="Class A"/>
    <s v="Missing"/>
    <s v="Missing"/>
    <s v="MISSING"/>
    <n v="898021"/>
    <n v="2570177"/>
    <s v="Missing"/>
    <x v="1"/>
    <s v="BA2601347"/>
    <d v="2016-01-09T00:00:00"/>
    <n v="-198"/>
    <d v="2015-06-22T00:00:00"/>
    <d v="2015-06-22T00:00:00"/>
    <d v="2015-09-20T00:00:00"/>
    <s v="Karamjeet"/>
    <s v="NotActive"/>
    <s v="NotActive"/>
  </r>
  <r>
    <s v="OOD3BTSATNAM"/>
    <s v="BoyalTrucking"/>
    <x v="2"/>
    <s v="Boyal"/>
    <s v="MISSING"/>
    <s v="MISSING"/>
    <n v="84"/>
    <n v="47213"/>
    <s v="NA"/>
    <s v="UnAssigned"/>
    <s v="209-589-5951"/>
    <s v="NA"/>
    <s v="2821 jubliee Drive"/>
    <s v="Turlock"/>
    <s v="CA"/>
    <n v="95380"/>
    <s v="US"/>
    <s v="samboyal@yahoo.com"/>
    <n v="300045837"/>
    <s v="Bank of the West"/>
    <n v="121100782"/>
    <n v="391053881"/>
    <s v="Checking"/>
    <s v="B8245525"/>
    <d v="2016-02-15T00:00:00"/>
    <s v="EXPIRED"/>
    <s v="Class A"/>
    <s v="Missing"/>
    <s v="Missing"/>
    <s v="MISSING"/>
    <n v="748016"/>
    <n v="1978408"/>
    <s v="Missing"/>
    <x v="2"/>
    <s v="A0036221001"/>
    <d v="2016-04-19T00:00:00"/>
    <n v="-97"/>
    <d v="2015-06-22T00:00:00"/>
    <d v="2015-06-22T00:00:00"/>
    <d v="2015-09-20T00:00:00"/>
    <s v="Satnam"/>
    <s v="NotActive"/>
    <s v="NotActive"/>
  </r>
  <r>
    <s v="UBTD1ALBEL"/>
    <s v="UBTrucking"/>
    <x v="3"/>
    <s v="Chahil"/>
    <d v="1961-02-02T00:00:00"/>
    <n v="55.512328767123286"/>
    <s v="UT1"/>
    <s v="V1"/>
    <s v="NA"/>
    <s v="Assigned"/>
    <s v="510-773-9450"/>
    <s v="NA"/>
    <s v="3124 Cynthia CT"/>
    <s v="Tracy"/>
    <s v="CA"/>
    <n v="95377"/>
    <s v="US"/>
    <s v="ubgollc@gmail.com"/>
    <s v="606-40-7823"/>
    <s v="Wellsfargo"/>
    <n v="121042882"/>
    <n v="1084840337"/>
    <s v="Checking"/>
    <s v="A8390649"/>
    <d v="2016-02-02T00:00:00"/>
    <s v="EXPIRED"/>
    <s v="Class A Hazmat"/>
    <d v="2015-06-12T00:00:00"/>
    <s v="Missing"/>
    <s v="MISSING"/>
    <n v="913971"/>
    <n v="2627544"/>
    <n v="466133"/>
    <x v="3"/>
    <s v="DSK2842P160210"/>
    <d v="2017-02-12T00:00:00"/>
    <n v="202"/>
    <d v="2015-06-12T00:00:00"/>
    <d v="2015-06-12T00:00:00"/>
    <d v="2015-09-10T00:00:00"/>
    <s v="Albel"/>
    <n v="-319"/>
    <s v="Expired"/>
  </r>
  <r>
    <s v="UBTD2CHRISOPHER"/>
    <s v="UBTrucking"/>
    <x v="4"/>
    <s v="Vanoss"/>
    <d v="1969-04-13T00:00:00"/>
    <n v="47.315068493150683"/>
    <s v="UT2"/>
    <s v="V2"/>
    <n v="2"/>
    <s v="UnAssigned"/>
    <s v="209-993-1286"/>
    <s v="NA"/>
    <s v="1044 Rivara RD # 106"/>
    <s v="Stockton"/>
    <s v="CA"/>
    <n v="95219"/>
    <s v="US"/>
    <s v="cvanoss@live.com "/>
    <n v="545671726"/>
    <s v="Green DOT Bank"/>
    <n v="124303120"/>
    <s v="15483701728216-288"/>
    <s v="Checking"/>
    <s v="C6568516"/>
    <d v="2019-04-13T00:00:00"/>
    <s v="GOOD"/>
    <s v="Class A"/>
    <d v="2015-08-15T00:00:00"/>
    <s v="Missing"/>
    <s v="MISSING"/>
    <n v="913971"/>
    <n v="2627544"/>
    <n v="466133"/>
    <x v="3"/>
    <s v="DSK2842P160210"/>
    <d v="2017-02-12T00:00:00"/>
    <n v="202"/>
    <d v="2015-08-15T00:00:00"/>
    <d v="2015-08-15T00:00:00"/>
    <d v="2015-11-13T00:00:00"/>
    <s v="Christopher J."/>
    <s v="NotActive"/>
    <s v="NotActive"/>
  </r>
  <r>
    <s v="UBTD3WESLEY"/>
    <s v="UBTrucking"/>
    <x v="5"/>
    <s v="Cousain"/>
    <d v="1985-12-24T00:00:00"/>
    <n v="30.605479452054794"/>
    <s v="UT2"/>
    <s v="V2"/>
    <n v="3"/>
    <s v="UnAssigned"/>
    <s v="925-383-5364"/>
    <s v="NA"/>
    <s v="110 Cordova Ln"/>
    <s v="Stockton"/>
    <s v="CA"/>
    <n v="95207"/>
    <s v="US"/>
    <s v="wesleycousain1@gmail.com"/>
    <s v="550-89-7974"/>
    <s v="NA"/>
    <s v="NA"/>
    <s v="NA"/>
    <s v="NA"/>
    <s v="D4903588"/>
    <d v="2018-12-24T00:00:00"/>
    <s v="GOOD"/>
    <s v="Class A"/>
    <d v="2015-09-24T00:00:00"/>
    <s v="Missing"/>
    <s v="MISSING"/>
    <n v="913971"/>
    <n v="2627544"/>
    <n v="466133"/>
    <x v="3"/>
    <s v="DSK2842P160210"/>
    <d v="2017-02-12T00:00:00"/>
    <n v="202"/>
    <d v="2015-09-24T00:00:00"/>
    <d v="2015-09-24T00:00:00"/>
    <d v="2015-12-23T00:00:00"/>
    <s v="Wesley"/>
    <s v="NotActive"/>
    <s v="NotActive"/>
  </r>
  <r>
    <s v="UBTD4MIGUEL"/>
    <s v="UBTrucking"/>
    <x v="6"/>
    <s v="Martin Del Campo Velarca"/>
    <d v="1958-01-13T00:00:00"/>
    <n v="58.56986301369863"/>
    <s v="UT3"/>
    <s v="V3"/>
    <n v="1"/>
    <s v="Assigned"/>
    <s v="209-322-5231"/>
    <n v="250"/>
    <s v="572 Predersen RD"/>
    <s v="Oakdale"/>
    <s v="CA"/>
    <n v="95361"/>
    <s v="US"/>
    <s v="Miguelmartin52@yahoo.com"/>
    <s v="616-84-0561"/>
    <s v="Bank of America"/>
    <n v="121000358"/>
    <n v="404870969"/>
    <s v="Checking"/>
    <s v="D5179619"/>
    <d v="2020-01-13T00:00:00"/>
    <s v="GOOD"/>
    <s v="Class A"/>
    <d v="2015-11-26T00:00:00"/>
    <s v="Missing"/>
    <s v="MISSING"/>
    <n v="913971"/>
    <n v="2627544"/>
    <n v="466133"/>
    <x v="3"/>
    <s v="DSK2842P160210"/>
    <d v="2017-02-12T00:00:00"/>
    <n v="202"/>
    <d v="2015-11-26T00:00:00"/>
    <d v="2015-11-26T00:00:00"/>
    <d v="2016-02-24T00:00:00"/>
    <s v="Miguel Jaime"/>
    <n v="-152"/>
    <s v="Expired"/>
  </r>
  <r>
    <s v="OOD4FTMANJIT"/>
    <s v="First Transportion"/>
    <x v="7"/>
    <s v="Singh"/>
    <d v="1963-07-25T00:00:00"/>
    <n v="53.038356164383565"/>
    <n v="265"/>
    <n v="533"/>
    <s v="NA"/>
    <s v="UnAssigned"/>
    <s v="209-409-1626 "/>
    <s v="NA"/>
    <s v="1860 Matterhorn St"/>
    <s v="Manteca"/>
    <s v="CA"/>
    <n v="95337"/>
    <s v="US"/>
    <s v="firsttransportation@gmail.com"/>
    <s v="087-74-2122"/>
    <s v="Chase"/>
    <n v="322271627"/>
    <n v="205227287"/>
    <s v="Checking"/>
    <s v="D4777274"/>
    <d v="2016-07-25T00:00:00"/>
    <s v="EXPIRED"/>
    <s v="Class A"/>
    <d v="2015-09-24T00:00:00"/>
    <s v="Missing"/>
    <s v="MISSING"/>
    <n v="789222"/>
    <n v="2311783"/>
    <s v="Missing"/>
    <x v="4"/>
    <s v="WK167462"/>
    <s v="Missing"/>
    <s v="Missing"/>
    <d v="2015-09-24T00:00:00"/>
    <d v="2015-09-24T00:00:00"/>
    <d v="2015-12-23T00:00:00"/>
    <s v="Manjit"/>
    <s v="NotActive"/>
    <s v="NotActive"/>
  </r>
  <r>
    <s v="UBTD6SUKHPAL"/>
    <s v="UBTrucking"/>
    <x v="8"/>
    <s v="Singh"/>
    <d v="1979-09-16T00:00:00"/>
    <n v="36.88219178082192"/>
    <s v="UT3"/>
    <s v="V3"/>
    <s v="NA"/>
    <s v="UnAssigned"/>
    <s v="916-833-9981"/>
    <s v="NA"/>
    <s v="Missing"/>
    <s v="Manteca"/>
    <s v="CA"/>
    <n v="95337"/>
    <s v="US"/>
    <s v="htl0916@gmail.com"/>
    <s v="Missing"/>
    <s v="NA"/>
    <s v="NA"/>
    <s v="NA"/>
    <s v="NA"/>
    <s v="B4532630"/>
    <d v="2016-09-16T00:00:00"/>
    <s v="GOOD"/>
    <s v="Class A"/>
    <d v="2016-02-13T00:00:00"/>
    <s v="Missing"/>
    <s v="MISSING"/>
    <n v="913971"/>
    <n v="2627544"/>
    <n v="466133"/>
    <x v="3"/>
    <s v="DSK2842P160210"/>
    <d v="2017-02-12T00:00:00"/>
    <n v="202"/>
    <d v="2016-02-13T00:00:00"/>
    <d v="2016-02-13T00:00:00"/>
    <d v="2016-05-13T00:00:00"/>
    <s v="Sukhpal"/>
    <s v="NotActive"/>
    <s v="NotActive"/>
  </r>
  <r>
    <s v="UBTD5ARTUO"/>
    <s v="UBTrucking"/>
    <x v="9"/>
    <s v="Carrillo"/>
    <d v="1967-11-06T00:00:00"/>
    <n v="48.750684931506846"/>
    <s v="UT5"/>
    <s v="V2"/>
    <n v="3"/>
    <s v="Assigned"/>
    <s v="209-276-9785"/>
    <n v="189"/>
    <s v="1685 Winthrop Ln"/>
    <s v="Ceres"/>
    <s v="CA"/>
    <n v="95307"/>
    <s v="US"/>
    <s v="arturocarr777@gmail.com"/>
    <s v="Missing"/>
    <s v="NA"/>
    <s v="NA"/>
    <s v="NA"/>
    <s v="NA"/>
    <s v="C7056793"/>
    <d v="2018-11-06T00:00:00"/>
    <s v="GOOD"/>
    <s v="Class A"/>
    <d v="2016-02-18T00:00:00"/>
    <s v="Missing"/>
    <s v="MISSING"/>
    <n v="913971"/>
    <n v="2627544"/>
    <n v="466133"/>
    <x v="3"/>
    <s v="DSK2842P160210"/>
    <d v="2017-02-12T00:00:00"/>
    <n v="202"/>
    <d v="2016-02-18T00:00:00"/>
    <d v="2016-02-18T00:00:00"/>
    <d v="2016-05-18T00:00:00"/>
    <s v="Arturo"/>
    <n v="-68"/>
    <s v="Expired"/>
  </r>
  <r>
    <s v="UBTD7ASIM"/>
    <s v="UBTrucking"/>
    <x v="10"/>
    <s v="Khan"/>
    <d v="1962-09-02T00:00:00"/>
    <n v="53.93150684931507"/>
    <s v="UT3"/>
    <s v="V3"/>
    <n v="1"/>
    <s v="UnAssigned"/>
    <s v="408-489-2377"/>
    <s v="NA"/>
    <s v="1502 Village Cir #137"/>
    <s v="Arlington"/>
    <s v="TX"/>
    <n v="76012"/>
    <s v="US"/>
    <s v="aokhan1@gmail.com"/>
    <s v="Missing"/>
    <s v="NA"/>
    <s v="NA"/>
    <s v="NA"/>
    <s v="NA"/>
    <n v="29063559"/>
    <d v="2021-09-02T00:00:00"/>
    <s v="GOOD"/>
    <s v="Class A"/>
    <s v="Missing"/>
    <s v="Missing"/>
    <s v="MISSING"/>
    <n v="913971"/>
    <n v="2627544"/>
    <n v="466133"/>
    <x v="3"/>
    <s v="DSK2842P160210"/>
    <d v="2017-02-12T00:00:00"/>
    <n v="202"/>
    <d v="2016-03-03T00:00:00"/>
    <d v="2016-03-03T00:00:00"/>
    <d v="2016-06-01T00:00:00"/>
    <s v="Asim"/>
    <s v="NotActive"/>
    <s v="NotActive"/>
  </r>
  <r>
    <s v="UBTD8ANTHONY"/>
    <s v="UBTrucking"/>
    <x v="11"/>
    <s v="Fonseca"/>
    <d v="1988-08-16T00:00:00"/>
    <n v="27.958904109589042"/>
    <s v="UT2"/>
    <s v="V5"/>
    <n v="4"/>
    <s v="Assigned"/>
    <s v="209-405-4622"/>
    <n v="220"/>
    <s v="367 Mosswood Ave"/>
    <s v="Stockton"/>
    <s v="CA"/>
    <n v="95206"/>
    <s v="US"/>
    <s v="anthony_fonseca@ymail.com"/>
    <s v="605-16-5776"/>
    <s v="NA"/>
    <s v="NA"/>
    <s v="NA"/>
    <s v="NA"/>
    <s v="D7005547"/>
    <d v="2017-08-16T00:00:00"/>
    <s v="GOOD"/>
    <s v="Class A"/>
    <d v="2016-07-11T00:00:00"/>
    <d v="2018-06-13T00:00:00"/>
    <s v="PASS"/>
    <n v="913971"/>
    <n v="2627544"/>
    <n v="466133"/>
    <x v="3"/>
    <s v="DSK2842P160210"/>
    <d v="2017-02-12T00:00:00"/>
    <n v="202"/>
    <d v="2016-07-11T00:00:00"/>
    <d v="2016-07-11T00:00:00"/>
    <d v="2016-10-09T00:00:00"/>
    <s v="Anthony"/>
    <n v="76"/>
    <s v="Good"/>
  </r>
  <r>
    <s v="UBTD9ARRON"/>
    <s v="UBTrucking"/>
    <x v="12"/>
    <s v="RaymondTrejo"/>
    <d v="1975-05-29T00:00:00"/>
    <n v="41.186301369863017"/>
    <s v="UT4"/>
    <s v="V4"/>
    <n v="5"/>
    <s v="Assigned"/>
    <s v="Missing"/>
    <n v="210"/>
    <s v="2144 S 12th St"/>
    <s v="Los Banos"/>
    <s v="CA"/>
    <n v="93635"/>
    <s v="US"/>
    <s v="Missing"/>
    <s v="Missing"/>
    <s v="NA"/>
    <s v="NA"/>
    <s v="NA"/>
    <s v="NA"/>
    <s v="A9173174"/>
    <d v="2019-05-29T00:00:00"/>
    <s v="GOOD"/>
    <s v="Class A"/>
    <d v="2016-07-11T00:00:00"/>
    <s v="Missing"/>
    <s v="MISSING"/>
    <n v="913971"/>
    <n v="2627544"/>
    <n v="466133"/>
    <x v="3"/>
    <s v="DSK2842P160210"/>
    <d v="2017-02-12T00:00:00"/>
    <n v="202"/>
    <d v="2016-07-18T00:00:00"/>
    <d v="2016-07-18T00:00:00"/>
    <d v="2016-10-16T00:00:00"/>
    <s v="Aaron"/>
    <n v="83"/>
    <s v="Good"/>
  </r>
</pivotCacheRecords>
</file>

<file path=xl/pivotCache/pivotCacheRecords4.xml><?xml version="1.0" encoding="utf-8"?>
<pivotCacheRecords xmlns="http://schemas.openxmlformats.org/spreadsheetml/2006/main" xmlns:r="http://schemas.openxmlformats.org/officeDocument/2006/relationships" count="314">
  <r>
    <x v="0"/>
    <x v="0"/>
    <x v="0"/>
    <m/>
    <x v="0"/>
    <x v="0"/>
    <x v="0"/>
    <m/>
    <s v="NA"/>
    <n v="4378"/>
    <s v="Done"/>
    <s v="BBVA"/>
    <s v="Settled BBVA"/>
    <s v="NONE"/>
    <s v="NONE"/>
    <s v="NONE"/>
    <s v="NONE"/>
    <d v="2015-01-02T00:00:00"/>
    <d v="2015-01-09T00:00:00"/>
    <x v="0"/>
    <x v="0"/>
  </r>
  <r>
    <x v="1"/>
    <x v="0"/>
    <x v="0"/>
    <m/>
    <x v="0"/>
    <x v="1"/>
    <x v="1"/>
    <m/>
    <s v="NA"/>
    <n v="150"/>
    <s v="Done"/>
    <s v="BOW"/>
    <s v="Settled BOW"/>
    <s v="NONE"/>
    <s v="NONE"/>
    <s v="NONE"/>
    <s v="NONE"/>
    <d v="2015-01-09T00:00:00"/>
    <d v="2015-01-16T00:00:00"/>
    <x v="0"/>
    <x v="0"/>
  </r>
  <r>
    <x v="2"/>
    <x v="0"/>
    <x v="1"/>
    <m/>
    <x v="0"/>
    <x v="2"/>
    <x v="2"/>
    <m/>
    <s v="NA"/>
    <n v="4"/>
    <s v="Done"/>
    <s v="BBVA"/>
    <s v="Settled BBVA"/>
    <s v="NONE"/>
    <s v="NONE"/>
    <s v="NONE"/>
    <s v="NONE"/>
    <d v="2015-07-31T00:00:00"/>
    <d v="2015-08-07T00:00:00"/>
    <x v="1"/>
    <x v="0"/>
  </r>
  <r>
    <x v="2"/>
    <x v="0"/>
    <x v="0"/>
    <m/>
    <x v="0"/>
    <x v="3"/>
    <x v="3"/>
    <m/>
    <s v="NA"/>
    <n v="50"/>
    <s v="Done"/>
    <s v="BBVA"/>
    <s v="Settled BBVA"/>
    <s v="NONE"/>
    <s v="NONE"/>
    <s v="NONE"/>
    <s v="NONE"/>
    <d v="2015-07-31T00:00:00"/>
    <d v="2015-08-07T00:00:00"/>
    <x v="1"/>
    <x v="0"/>
  </r>
  <r>
    <x v="2"/>
    <x v="0"/>
    <x v="0"/>
    <m/>
    <x v="0"/>
    <x v="4"/>
    <x v="4"/>
    <m/>
    <s v="NA"/>
    <n v="2626.31"/>
    <s v="Done"/>
    <s v="BBVA"/>
    <s v="Settled BBVA"/>
    <s v="NONE"/>
    <s v="NONE"/>
    <s v="NONE"/>
    <s v="NONE"/>
    <d v="2015-07-31T00:00:00"/>
    <d v="2015-08-07T00:00:00"/>
    <x v="1"/>
    <x v="0"/>
  </r>
  <r>
    <x v="2"/>
    <x v="1"/>
    <x v="2"/>
    <m/>
    <x v="0"/>
    <x v="5"/>
    <x v="5"/>
    <m/>
    <s v="NA"/>
    <n v="125"/>
    <s v="Done"/>
    <s v="BBVA"/>
    <s v="Settled BBVA"/>
    <s v="2HSCUAPR88C657099"/>
    <s v="International"/>
    <n v="2008"/>
    <s v="Prostar Eagle"/>
    <d v="2015-07-31T00:00:00"/>
    <d v="2015-08-07T00:00:00"/>
    <x v="1"/>
    <x v="0"/>
  </r>
  <r>
    <x v="2"/>
    <x v="1"/>
    <x v="2"/>
    <m/>
    <x v="0"/>
    <x v="6"/>
    <x v="5"/>
    <m/>
    <s v="NA"/>
    <n v="125"/>
    <s v="Done"/>
    <s v="BBVA"/>
    <s v="Settled BBVA"/>
    <s v="2HSCUAPR88C657099"/>
    <s v="International"/>
    <n v="2008"/>
    <s v="Prostar Eagle"/>
    <d v="2015-07-31T00:00:00"/>
    <d v="2015-08-07T00:00:00"/>
    <x v="1"/>
    <x v="0"/>
  </r>
  <r>
    <x v="3"/>
    <x v="2"/>
    <x v="3"/>
    <s v="F008726853"/>
    <x v="0"/>
    <x v="7"/>
    <x v="6"/>
    <m/>
    <s v="NA"/>
    <n v="242"/>
    <s v="Done"/>
    <s v="Albel"/>
    <s v="Settled BBVA"/>
    <s v="1JJV532V3BL370658"/>
    <s v="Wabash"/>
    <n v="2011"/>
    <s v="DryVan"/>
    <d v="2015-08-07T00:00:00"/>
    <d v="2015-08-14T00:00:00"/>
    <x v="1"/>
    <x v="0"/>
  </r>
  <r>
    <x v="3"/>
    <x v="1"/>
    <x v="3"/>
    <n v="152750"/>
    <x v="1"/>
    <x v="8"/>
    <x v="7"/>
    <m/>
    <s v="NA"/>
    <n v="391"/>
    <s v="Done"/>
    <s v="Albel"/>
    <s v="Settled BBVA"/>
    <s v="2HSCUAPR88C657099"/>
    <s v="International"/>
    <n v="2008"/>
    <s v="Prostar Eagle"/>
    <d v="2015-08-07T00:00:00"/>
    <d v="2015-08-14T00:00:00"/>
    <x v="1"/>
    <x v="0"/>
  </r>
  <r>
    <x v="3"/>
    <x v="2"/>
    <x v="3"/>
    <n v="152750"/>
    <x v="1"/>
    <x v="9"/>
    <x v="7"/>
    <m/>
    <s v="NA"/>
    <n v="0"/>
    <s v="Done"/>
    <s v="Albel"/>
    <s v="Settled BBVA"/>
    <s v="1JJV532V3BL370658"/>
    <s v="Wabash"/>
    <n v="2011"/>
    <s v="DryVan"/>
    <d v="2015-08-07T00:00:00"/>
    <d v="2015-08-14T00:00:00"/>
    <x v="1"/>
    <x v="0"/>
  </r>
  <r>
    <x v="4"/>
    <x v="1"/>
    <x v="1"/>
    <n v="2968"/>
    <x v="0"/>
    <x v="10"/>
    <x v="8"/>
    <m/>
    <s v="NA"/>
    <n v="95"/>
    <s v="Done"/>
    <s v="BBVA"/>
    <s v="Settled BBVA"/>
    <s v="2HSCUAPR88C657099"/>
    <s v="International"/>
    <n v="2008"/>
    <s v="Prostar Eagle"/>
    <d v="2015-08-14T00:00:00"/>
    <d v="2015-08-21T00:00:00"/>
    <x v="1"/>
    <x v="0"/>
  </r>
  <r>
    <x v="4"/>
    <x v="2"/>
    <x v="3"/>
    <s v="2LP22426"/>
    <x v="2"/>
    <x v="11"/>
    <x v="9"/>
    <m/>
    <s v="NA"/>
    <n v="97.42"/>
    <s v="Done"/>
    <s v="BBVA"/>
    <s v="Settled BBVA"/>
    <s v="1JJV532V3BL370658"/>
    <s v="Wabash"/>
    <n v="2011"/>
    <s v="DryVan"/>
    <d v="2015-08-14T00:00:00"/>
    <d v="2015-08-21T00:00:00"/>
    <x v="1"/>
    <x v="0"/>
  </r>
  <r>
    <x v="5"/>
    <x v="2"/>
    <x v="3"/>
    <n v="71639461"/>
    <x v="0"/>
    <x v="12"/>
    <x v="10"/>
    <m/>
    <s v="NA"/>
    <n v="1.24"/>
    <s v="Done"/>
    <s v="BBVA"/>
    <s v="Settled BBVA"/>
    <s v="1JJV532V3BL370658"/>
    <s v="Wabash"/>
    <n v="2011"/>
    <s v="DryVan"/>
    <d v="2015-08-21T00:00:00"/>
    <d v="2015-08-28T00:00:00"/>
    <x v="1"/>
    <x v="0"/>
  </r>
  <r>
    <x v="5"/>
    <x v="2"/>
    <x v="3"/>
    <n v="5911"/>
    <x v="2"/>
    <x v="13"/>
    <x v="11"/>
    <m/>
    <s v="NA"/>
    <n v="134.72"/>
    <s v="Done"/>
    <s v="Albel"/>
    <s v="Settled BBVA"/>
    <s v="1JJV532V3BL370658"/>
    <s v="Wabash"/>
    <n v="2011"/>
    <s v="DryVan"/>
    <d v="2015-08-21T00:00:00"/>
    <d v="2015-08-28T00:00:00"/>
    <x v="1"/>
    <x v="0"/>
  </r>
  <r>
    <x v="6"/>
    <x v="1"/>
    <x v="0"/>
    <m/>
    <x v="0"/>
    <x v="14"/>
    <x v="12"/>
    <m/>
    <s v="NA"/>
    <n v="504"/>
    <s v="Done"/>
    <s v="Sunny"/>
    <s v="Settled BBVA"/>
    <s v="2HSCUAPR88C657099"/>
    <s v="International"/>
    <n v="2008"/>
    <s v="Prostar Eagle"/>
    <d v="2015-08-21T00:00:00"/>
    <d v="2015-08-28T00:00:00"/>
    <x v="1"/>
    <x v="0"/>
  </r>
  <r>
    <x v="6"/>
    <x v="3"/>
    <x v="0"/>
    <n v="73960398"/>
    <x v="0"/>
    <x v="15"/>
    <x v="13"/>
    <m/>
    <n v="1"/>
    <n v="10.5"/>
    <s v="Done"/>
    <s v="Albel"/>
    <s v="Settled BBVA"/>
    <s v="NONE"/>
    <s v="NONE"/>
    <s v="NONE"/>
    <s v="NONE"/>
    <d v="2015-08-21T00:00:00"/>
    <d v="2015-08-28T00:00:00"/>
    <x v="1"/>
    <x v="0"/>
  </r>
  <r>
    <x v="6"/>
    <x v="1"/>
    <x v="3"/>
    <n v="5474"/>
    <x v="1"/>
    <x v="16"/>
    <x v="14"/>
    <m/>
    <s v="NA"/>
    <n v="19.074300000000001"/>
    <s v="Done"/>
    <s v="BBVA"/>
    <s v="Settled BBVA"/>
    <s v="2HSCUAPR88C657099"/>
    <s v="International"/>
    <n v="2008"/>
    <s v="Prostar Eagle"/>
    <d v="2015-08-21T00:00:00"/>
    <d v="2015-08-28T00:00:00"/>
    <x v="1"/>
    <x v="0"/>
  </r>
  <r>
    <x v="6"/>
    <x v="1"/>
    <x v="3"/>
    <n v="5474"/>
    <x v="1"/>
    <x v="17"/>
    <x v="14"/>
    <m/>
    <s v="NA"/>
    <n v="15.157450000000001"/>
    <s v="Done"/>
    <s v="BBVA"/>
    <s v="Settled BBVA"/>
    <s v="2HSCUAPR88C657099"/>
    <s v="International"/>
    <n v="2008"/>
    <s v="Prostar Eagle"/>
    <d v="2015-08-21T00:00:00"/>
    <d v="2015-08-28T00:00:00"/>
    <x v="1"/>
    <x v="0"/>
  </r>
  <r>
    <x v="7"/>
    <x v="1"/>
    <x v="3"/>
    <n v="5953"/>
    <x v="3"/>
    <x v="18"/>
    <x v="11"/>
    <m/>
    <s v="NA"/>
    <n v="125"/>
    <s v="Done"/>
    <s v="BBVA"/>
    <s v="Settled BBVA"/>
    <s v="2HSCUAPR88C657099"/>
    <s v="International"/>
    <n v="2008"/>
    <s v="Prostar Eagle"/>
    <d v="2015-08-28T00:00:00"/>
    <d v="2015-09-04T00:00:00"/>
    <x v="1"/>
    <x v="0"/>
  </r>
  <r>
    <x v="7"/>
    <x v="4"/>
    <x v="3"/>
    <n v="5952"/>
    <x v="3"/>
    <x v="19"/>
    <x v="11"/>
    <m/>
    <s v="NA"/>
    <n v="200"/>
    <s v="Done"/>
    <s v="BBVA"/>
    <s v="Settled BBVA"/>
    <s v="1GRAA0625XB130354"/>
    <s v="Grate Dane"/>
    <n v="1999"/>
    <s v="DryVan"/>
    <d v="2015-08-28T00:00:00"/>
    <d v="2015-09-04T00:00:00"/>
    <x v="1"/>
    <x v="0"/>
  </r>
  <r>
    <x v="7"/>
    <x v="3"/>
    <x v="1"/>
    <n v="5953"/>
    <x v="0"/>
    <x v="20"/>
    <x v="11"/>
    <m/>
    <s v="NA"/>
    <n v="125"/>
    <s v="Done"/>
    <s v="BBVA"/>
    <s v="Settled BBVA"/>
    <s v="NONE"/>
    <s v="NONE"/>
    <s v="NONE"/>
    <s v="NONE"/>
    <d v="2015-08-28T00:00:00"/>
    <d v="2015-09-04T00:00:00"/>
    <x v="1"/>
    <x v="0"/>
  </r>
  <r>
    <x v="8"/>
    <x v="1"/>
    <x v="1"/>
    <m/>
    <x v="0"/>
    <x v="21"/>
    <x v="15"/>
    <m/>
    <s v="NA"/>
    <n v="6.51"/>
    <s v="Done"/>
    <s v="BBVA"/>
    <s v="Settled BBVA"/>
    <s v="2HSCUAPR88C657099"/>
    <s v="International"/>
    <n v="2008"/>
    <s v="Prostar Eagle"/>
    <d v="2015-08-28T00:00:00"/>
    <d v="2015-09-04T00:00:00"/>
    <x v="1"/>
    <x v="0"/>
  </r>
  <r>
    <x v="9"/>
    <x v="1"/>
    <x v="2"/>
    <m/>
    <x v="0"/>
    <x v="6"/>
    <x v="5"/>
    <m/>
    <s v="NA"/>
    <n v="125"/>
    <s v="Done"/>
    <s v="BBVA"/>
    <s v="Settled BBVA"/>
    <s v="2HSCUAPR88C657099"/>
    <s v="International"/>
    <n v="2008"/>
    <s v="Prostar Eagle"/>
    <d v="2015-09-04T00:00:00"/>
    <d v="2015-09-11T00:00:00"/>
    <x v="2"/>
    <x v="0"/>
  </r>
  <r>
    <x v="10"/>
    <x v="0"/>
    <x v="1"/>
    <n v="524548223000"/>
    <x v="0"/>
    <x v="22"/>
    <x v="16"/>
    <m/>
    <s v="NA"/>
    <n v="171.36"/>
    <s v="Done"/>
    <s v="Albel"/>
    <s v="Settled BBVA"/>
    <s v="NONE"/>
    <s v="NONE"/>
    <s v="NONE"/>
    <s v="NONE"/>
    <d v="2015-09-04T00:00:00"/>
    <d v="2015-09-11T00:00:00"/>
    <x v="2"/>
    <x v="0"/>
  </r>
  <r>
    <x v="10"/>
    <x v="1"/>
    <x v="0"/>
    <m/>
    <x v="0"/>
    <x v="23"/>
    <x v="17"/>
    <m/>
    <s v="NA"/>
    <n v="60"/>
    <s v="Done"/>
    <s v="BBVA"/>
    <s v="Settled BBVA"/>
    <s v="2HSCUAPR88C657099"/>
    <s v="International"/>
    <n v="2008"/>
    <s v="Prostar Eagle"/>
    <d v="2015-09-04T00:00:00"/>
    <d v="2015-09-11T00:00:00"/>
    <x v="2"/>
    <x v="0"/>
  </r>
  <r>
    <x v="10"/>
    <x v="3"/>
    <x v="0"/>
    <n v="172813"/>
    <x v="0"/>
    <x v="15"/>
    <x v="18"/>
    <m/>
    <n v="1"/>
    <n v="9.5"/>
    <s v="Done"/>
    <s v="BBVA"/>
    <s v="Settled BBVA"/>
    <s v="NONE"/>
    <s v="NONE"/>
    <s v="NONE"/>
    <s v="NONE"/>
    <d v="2015-09-04T00:00:00"/>
    <d v="2015-09-11T00:00:00"/>
    <x v="2"/>
    <x v="0"/>
  </r>
  <r>
    <x v="11"/>
    <x v="0"/>
    <x v="1"/>
    <n v="524602543000"/>
    <x v="0"/>
    <x v="22"/>
    <x v="16"/>
    <m/>
    <s v="NA"/>
    <n v="8.56"/>
    <s v="Done"/>
    <s v="Albel"/>
    <s v="Settled BBVA"/>
    <s v="NONE"/>
    <s v="NONE"/>
    <s v="NONE"/>
    <s v="NONE"/>
    <d v="2015-09-04T00:00:00"/>
    <d v="2015-09-11T00:00:00"/>
    <x v="2"/>
    <x v="0"/>
  </r>
  <r>
    <x v="12"/>
    <x v="1"/>
    <x v="3"/>
    <n v="6043"/>
    <x v="4"/>
    <x v="24"/>
    <x v="11"/>
    <m/>
    <n v="2"/>
    <n v="1615"/>
    <s v="Done"/>
    <s v="BOW"/>
    <s v="Settled BBVA"/>
    <s v="2HSCUAPR88C657099"/>
    <s v="International"/>
    <n v="2008"/>
    <s v="Prostar Eagle"/>
    <d v="2015-09-11T00:00:00"/>
    <d v="2015-09-18T00:00:00"/>
    <x v="2"/>
    <x v="0"/>
  </r>
  <r>
    <x v="13"/>
    <x v="0"/>
    <x v="0"/>
    <m/>
    <x v="0"/>
    <x v="25"/>
    <x v="19"/>
    <m/>
    <s v="NA"/>
    <n v="32"/>
    <s v="Done"/>
    <s v="BBVA"/>
    <s v="Settled BBVA"/>
    <s v="NONE"/>
    <s v="NONE"/>
    <s v="NONE"/>
    <s v="NONE"/>
    <d v="2015-09-11T00:00:00"/>
    <d v="2015-09-18T00:00:00"/>
    <x v="2"/>
    <x v="0"/>
  </r>
  <r>
    <x v="14"/>
    <x v="1"/>
    <x v="3"/>
    <n v="1825"/>
    <x v="0"/>
    <x v="26"/>
    <x v="8"/>
    <m/>
    <s v="NA"/>
    <n v="85"/>
    <s v="Done"/>
    <s v="Albel"/>
    <s v="Settled BBVA"/>
    <s v="2HSCUAPR88C657099"/>
    <s v="International"/>
    <n v="2008"/>
    <s v="Prostar Eagle"/>
    <d v="2015-09-11T00:00:00"/>
    <d v="2015-09-18T00:00:00"/>
    <x v="2"/>
    <x v="0"/>
  </r>
  <r>
    <x v="14"/>
    <x v="1"/>
    <x v="1"/>
    <n v="2620077"/>
    <x v="0"/>
    <x v="27"/>
    <x v="20"/>
    <m/>
    <s v="NA"/>
    <n v="61.01"/>
    <s v="Done"/>
    <s v="Albel"/>
    <s v="Settled BBVA"/>
    <s v="2HSCUAPR88C657099"/>
    <s v="International"/>
    <n v="2008"/>
    <s v="Prostar Eagle"/>
    <d v="2015-09-11T00:00:00"/>
    <d v="2015-09-18T00:00:00"/>
    <x v="2"/>
    <x v="0"/>
  </r>
  <r>
    <x v="15"/>
    <x v="0"/>
    <x v="0"/>
    <m/>
    <x v="0"/>
    <x v="28"/>
    <x v="19"/>
    <m/>
    <s v="NA"/>
    <n v="3"/>
    <s v="Done"/>
    <s v="BBVA"/>
    <s v="Settled BBVA"/>
    <s v="NONE"/>
    <s v="NONE"/>
    <s v="NONE"/>
    <s v="NONE"/>
    <d v="2015-09-18T00:00:00"/>
    <d v="2015-09-25T00:00:00"/>
    <x v="2"/>
    <x v="0"/>
  </r>
  <r>
    <x v="15"/>
    <x v="2"/>
    <x v="3"/>
    <n v="3866"/>
    <x v="3"/>
    <x v="29"/>
    <x v="21"/>
    <m/>
    <s v="NA"/>
    <n v="60"/>
    <s v="Done"/>
    <s v="BBVA"/>
    <s v="Settled BBVA"/>
    <s v="1JJV532V3BL370658"/>
    <s v="Wabash"/>
    <n v="2011"/>
    <s v="DryVan"/>
    <d v="2015-09-18T00:00:00"/>
    <d v="2015-09-25T00:00:00"/>
    <x v="2"/>
    <x v="0"/>
  </r>
  <r>
    <x v="16"/>
    <x v="0"/>
    <x v="0"/>
    <m/>
    <x v="0"/>
    <x v="30"/>
    <x v="22"/>
    <m/>
    <s v="NA"/>
    <n v="34.950000000000003"/>
    <s v="Done"/>
    <s v="BBVA"/>
    <s v="Settled BBVA"/>
    <s v="NONE"/>
    <s v="NONE"/>
    <s v="NONE"/>
    <s v="NONE"/>
    <d v="2015-09-18T00:00:00"/>
    <d v="2015-09-25T00:00:00"/>
    <x v="2"/>
    <x v="0"/>
  </r>
  <r>
    <x v="17"/>
    <x v="1"/>
    <x v="1"/>
    <m/>
    <x v="0"/>
    <x v="31"/>
    <x v="23"/>
    <m/>
    <s v="NA"/>
    <n v="60"/>
    <s v="Done"/>
    <s v="BBVA"/>
    <s v="Settled BBVA"/>
    <s v="2HSCUAPR88C657099"/>
    <s v="International"/>
    <n v="2008"/>
    <s v="Prostar Eagle"/>
    <d v="2015-09-18T00:00:00"/>
    <d v="2015-09-25T00:00:00"/>
    <x v="2"/>
    <x v="0"/>
  </r>
  <r>
    <x v="18"/>
    <x v="1"/>
    <x v="0"/>
    <m/>
    <x v="0"/>
    <x v="32"/>
    <x v="24"/>
    <m/>
    <s v="NA"/>
    <n v="10"/>
    <s v="Done"/>
    <s v="BBVA"/>
    <s v="Settled BBVA"/>
    <s v="2HSCUAPR88C657099"/>
    <s v="International"/>
    <n v="2008"/>
    <s v="Prostar Eagle"/>
    <d v="2015-09-25T00:00:00"/>
    <d v="2015-10-02T00:00:00"/>
    <x v="2"/>
    <x v="0"/>
  </r>
  <r>
    <x v="19"/>
    <x v="1"/>
    <x v="3"/>
    <n v="6140"/>
    <x v="0"/>
    <x v="33"/>
    <x v="11"/>
    <m/>
    <s v="NA"/>
    <n v="80"/>
    <s v="Done"/>
    <s v="BBVA"/>
    <s v="Settled BBVA"/>
    <s v="2HSCUAPR88C657099"/>
    <s v="International"/>
    <n v="2008"/>
    <s v="Prostar Eagle"/>
    <d v="2015-09-25T00:00:00"/>
    <d v="2015-10-02T00:00:00"/>
    <x v="2"/>
    <x v="0"/>
  </r>
  <r>
    <x v="20"/>
    <x v="0"/>
    <x v="0"/>
    <m/>
    <x v="0"/>
    <x v="34"/>
    <x v="25"/>
    <m/>
    <s v="NA"/>
    <n v="55"/>
    <s v="Done"/>
    <s v="BBVA"/>
    <s v="Settled BBVA"/>
    <s v="NONE"/>
    <s v="NONE"/>
    <s v="NONE"/>
    <s v="NONE"/>
    <d v="2015-10-02T00:00:00"/>
    <d v="2015-10-09T00:00:00"/>
    <x v="2"/>
    <x v="0"/>
  </r>
  <r>
    <x v="20"/>
    <x v="2"/>
    <x v="3"/>
    <n v="6985"/>
    <x v="0"/>
    <x v="35"/>
    <x v="26"/>
    <m/>
    <s v="NA"/>
    <n v="30"/>
    <s v="Done"/>
    <s v="Albel"/>
    <s v="Settled BBVA"/>
    <s v="1JJV532V3BL370658"/>
    <s v="Wabash"/>
    <n v="2011"/>
    <s v="DryVan"/>
    <d v="2015-10-02T00:00:00"/>
    <d v="2015-10-09T00:00:00"/>
    <x v="2"/>
    <x v="0"/>
  </r>
  <r>
    <x v="21"/>
    <x v="0"/>
    <x v="0"/>
    <n v="6163050038"/>
    <x v="0"/>
    <x v="36"/>
    <x v="27"/>
    <m/>
    <s v="NA"/>
    <n v="12"/>
    <s v="Done"/>
    <s v="BBVA"/>
    <s v="Settled BBVA"/>
    <s v="NONE"/>
    <s v="NONE"/>
    <s v="NONE"/>
    <s v="NONE"/>
    <d v="2015-10-02T00:00:00"/>
    <d v="2015-10-09T00:00:00"/>
    <x v="2"/>
    <x v="0"/>
  </r>
  <r>
    <x v="22"/>
    <x v="0"/>
    <x v="0"/>
    <n v="6163050060"/>
    <x v="0"/>
    <x v="37"/>
    <x v="28"/>
    <m/>
    <s v="NA"/>
    <n v="6"/>
    <s v="Done"/>
    <s v="BBVA"/>
    <s v="Settled BBVA"/>
    <s v="NONE"/>
    <s v="NONE"/>
    <s v="NONE"/>
    <s v="NONE"/>
    <d v="2015-10-02T00:00:00"/>
    <d v="2015-10-09T00:00:00"/>
    <x v="3"/>
    <x v="0"/>
  </r>
  <r>
    <x v="22"/>
    <x v="1"/>
    <x v="2"/>
    <s v="W0110822"/>
    <x v="0"/>
    <x v="6"/>
    <x v="5"/>
    <m/>
    <s v="NA"/>
    <n v="125"/>
    <s v="Done"/>
    <s v="BBVA"/>
    <s v="Settled BBVA"/>
    <s v="2HSCUAPR88C657099"/>
    <s v="International"/>
    <n v="2008"/>
    <s v="Prostar Eagle"/>
    <d v="2015-10-02T00:00:00"/>
    <d v="2015-10-09T00:00:00"/>
    <x v="3"/>
    <x v="0"/>
  </r>
  <r>
    <x v="22"/>
    <x v="5"/>
    <x v="2"/>
    <s v="W0110822"/>
    <x v="0"/>
    <x v="6"/>
    <x v="5"/>
    <m/>
    <s v="NA"/>
    <n v="125"/>
    <s v="Done"/>
    <s v="BBVA"/>
    <s v="Settled BBVA"/>
    <s v="2HSCUAPR79CO93785"/>
    <s v="International"/>
    <n v="2009"/>
    <s v="Prostar Eagle"/>
    <d v="2015-10-02T00:00:00"/>
    <d v="2015-10-09T00:00:00"/>
    <x v="3"/>
    <x v="0"/>
  </r>
  <r>
    <x v="22"/>
    <x v="5"/>
    <x v="2"/>
    <s v="W0110822"/>
    <x v="0"/>
    <x v="6"/>
    <x v="5"/>
    <m/>
    <s v="NA"/>
    <n v="125"/>
    <s v="Done"/>
    <s v="BBVA"/>
    <s v="Settled BBVA"/>
    <s v="2HSCUAPR79CO93785"/>
    <s v="International"/>
    <n v="2009"/>
    <s v="Prostar Eagle"/>
    <d v="2015-10-02T00:00:00"/>
    <d v="2015-10-09T00:00:00"/>
    <x v="3"/>
    <x v="0"/>
  </r>
  <r>
    <x v="23"/>
    <x v="0"/>
    <x v="0"/>
    <m/>
    <x v="0"/>
    <x v="30"/>
    <x v="22"/>
    <m/>
    <s v="NA"/>
    <n v="34.950000000000003"/>
    <s v="Done"/>
    <s v="BBVA"/>
    <s v="Settled BBVA"/>
    <s v="NONE"/>
    <s v="NONE"/>
    <s v="NONE"/>
    <s v="NONE"/>
    <d v="2015-10-16T00:00:00"/>
    <d v="2015-10-23T00:00:00"/>
    <x v="3"/>
    <x v="0"/>
  </r>
  <r>
    <x v="24"/>
    <x v="5"/>
    <x v="1"/>
    <n v="1812134"/>
    <x v="0"/>
    <x v="38"/>
    <x v="20"/>
    <m/>
    <s v="NA"/>
    <n v="23.75"/>
    <s v="Done"/>
    <s v="BBVA"/>
    <s v="Settled BBVA"/>
    <s v="2HSCUAPR79CO93785"/>
    <s v="International"/>
    <n v="2009"/>
    <s v="Prostar Eagle"/>
    <d v="2015-10-30T00:00:00"/>
    <d v="2015-11-06T00:00:00"/>
    <x v="3"/>
    <x v="0"/>
  </r>
  <r>
    <x v="25"/>
    <x v="3"/>
    <x v="0"/>
    <n v="92506988"/>
    <x v="0"/>
    <x v="15"/>
    <x v="29"/>
    <m/>
    <n v="1"/>
    <n v="10.5"/>
    <s v="Done"/>
    <s v="Wesley"/>
    <s v="Settled BBVA"/>
    <s v="NONE"/>
    <s v="NONE"/>
    <s v="NONE"/>
    <s v="NONE"/>
    <d v="2015-10-30T00:00:00"/>
    <d v="2015-11-06T00:00:00"/>
    <x v="3"/>
    <x v="0"/>
  </r>
  <r>
    <x v="25"/>
    <x v="6"/>
    <x v="0"/>
    <n v="1011"/>
    <x v="0"/>
    <x v="39"/>
    <x v="30"/>
    <m/>
    <s v="NA"/>
    <n v="297"/>
    <s v="Done"/>
    <s v="BBVA"/>
    <s v="Settled BBVA"/>
    <s v="1UYVS25305P500707"/>
    <s v="Utility"/>
    <n v="2005"/>
    <s v="DryVan"/>
    <d v="2015-10-30T00:00:00"/>
    <d v="2015-11-06T00:00:00"/>
    <x v="3"/>
    <x v="0"/>
  </r>
  <r>
    <x v="26"/>
    <x v="6"/>
    <x v="3"/>
    <s v="F008741582"/>
    <x v="0"/>
    <x v="40"/>
    <x v="31"/>
    <m/>
    <s v="NA"/>
    <n v="102.6"/>
    <s v="Done"/>
    <s v="Sunny"/>
    <s v="Settled BBVA"/>
    <s v="1UYVS25305P500707"/>
    <s v="Utility"/>
    <n v="2005"/>
    <s v="DryVan"/>
    <d v="2015-10-30T00:00:00"/>
    <d v="2015-11-06T00:00:00"/>
    <x v="3"/>
    <x v="0"/>
  </r>
  <r>
    <x v="27"/>
    <x v="0"/>
    <x v="0"/>
    <m/>
    <x v="0"/>
    <x v="41"/>
    <x v="32"/>
    <m/>
    <s v="NA"/>
    <n v="100"/>
    <s v="Done"/>
    <s v="BOW"/>
    <s v="Settled BOW"/>
    <s v="NONE"/>
    <s v="NONE"/>
    <s v="NONE"/>
    <s v="NONE"/>
    <d v="2015-10-30T00:00:00"/>
    <d v="2015-11-06T00:00:00"/>
    <x v="4"/>
    <x v="0"/>
  </r>
  <r>
    <x v="27"/>
    <x v="1"/>
    <x v="2"/>
    <s v="W0110842"/>
    <x v="0"/>
    <x v="6"/>
    <x v="5"/>
    <m/>
    <s v="NA"/>
    <n v="125"/>
    <s v="Done"/>
    <s v="Sunny"/>
    <s v="Settled BBVA"/>
    <s v="2HSCUAPR88C657099"/>
    <s v="International"/>
    <n v="2008"/>
    <s v="Prostar Eagle"/>
    <d v="2015-10-30T00:00:00"/>
    <d v="2015-11-06T00:00:00"/>
    <x v="4"/>
    <x v="0"/>
  </r>
  <r>
    <x v="27"/>
    <x v="5"/>
    <x v="2"/>
    <s v="W0110842"/>
    <x v="0"/>
    <x v="6"/>
    <x v="5"/>
    <m/>
    <s v="NA"/>
    <n v="125"/>
    <s v="Done"/>
    <s v="Sunny"/>
    <s v="Settled BBVA"/>
    <s v="2HSCUAPR79CO93785"/>
    <s v="International"/>
    <n v="2009"/>
    <s v="Prostar Eagle"/>
    <d v="2015-10-30T00:00:00"/>
    <d v="2015-11-06T00:00:00"/>
    <x v="4"/>
    <x v="0"/>
  </r>
  <r>
    <x v="28"/>
    <x v="5"/>
    <x v="0"/>
    <s v="RRS9703"/>
    <x v="0"/>
    <x v="42"/>
    <x v="4"/>
    <m/>
    <s v="NA"/>
    <n v="1848.05"/>
    <s v="Done"/>
    <s v="BBVA"/>
    <s v="Settled BBVA"/>
    <s v="2HSCUAPR79CO93785"/>
    <s v="International"/>
    <n v="2009"/>
    <s v="Prostar Eagle"/>
    <d v="2015-11-06T00:00:00"/>
    <d v="2015-11-13T00:00:00"/>
    <x v="4"/>
    <x v="0"/>
  </r>
  <r>
    <x v="29"/>
    <x v="0"/>
    <x v="0"/>
    <m/>
    <x v="0"/>
    <x v="43"/>
    <x v="33"/>
    <m/>
    <s v="NA"/>
    <n v="5.68"/>
    <s v="Done"/>
    <s v="BBVA"/>
    <s v="Settled BBVA"/>
    <s v="NONE"/>
    <s v="NONE"/>
    <s v="NONE"/>
    <s v="NONE"/>
    <d v="2015-11-06T00:00:00"/>
    <d v="2015-11-13T00:00:00"/>
    <x v="4"/>
    <x v="0"/>
  </r>
  <r>
    <x v="30"/>
    <x v="5"/>
    <x v="3"/>
    <n v="1015"/>
    <x v="5"/>
    <x v="44"/>
    <x v="34"/>
    <m/>
    <s v="NA"/>
    <n v="2400"/>
    <s v="Done"/>
    <s v="BBVA"/>
    <s v="Settled BBVA"/>
    <s v="2HSCUAPR79CO93785"/>
    <s v="International"/>
    <n v="2009"/>
    <s v="Prostar Eagle"/>
    <d v="2015-11-06T00:00:00"/>
    <d v="2015-11-13T00:00:00"/>
    <x v="4"/>
    <x v="0"/>
  </r>
  <r>
    <x v="31"/>
    <x v="0"/>
    <x v="1"/>
    <m/>
    <x v="0"/>
    <x v="45"/>
    <x v="35"/>
    <m/>
    <s v="NA"/>
    <n v="8.67"/>
    <s v="Done"/>
    <s v="Albel"/>
    <s v="Settled BBVA"/>
    <s v="NONE"/>
    <s v="NONE"/>
    <s v="NONE"/>
    <s v="NONE"/>
    <d v="2015-11-06T00:00:00"/>
    <d v="2015-11-13T00:00:00"/>
    <x v="4"/>
    <x v="0"/>
  </r>
  <r>
    <x v="31"/>
    <x v="5"/>
    <x v="0"/>
    <m/>
    <x v="0"/>
    <x v="46"/>
    <x v="14"/>
    <m/>
    <s v="NA"/>
    <n v="17.36"/>
    <s v="Done"/>
    <s v="BBVA"/>
    <s v="Settled BBVA"/>
    <s v="2HSCUAPR79CO93785"/>
    <s v="International"/>
    <n v="2009"/>
    <s v="Prostar Eagle"/>
    <d v="2015-11-06T00:00:00"/>
    <d v="2015-11-13T00:00:00"/>
    <x v="4"/>
    <x v="0"/>
  </r>
  <r>
    <x v="31"/>
    <x v="5"/>
    <x v="0"/>
    <n v="1042000314"/>
    <x v="0"/>
    <x v="46"/>
    <x v="14"/>
    <m/>
    <s v="NA"/>
    <n v="4.2"/>
    <s v="Done"/>
    <s v="Tejinder"/>
    <s v="Settled BBVA"/>
    <s v="2HSCUAPR79CO93785"/>
    <s v="International"/>
    <n v="2009"/>
    <s v="Prostar Eagle"/>
    <d v="2015-11-06T00:00:00"/>
    <d v="2015-11-13T00:00:00"/>
    <x v="4"/>
    <x v="0"/>
  </r>
  <r>
    <x v="31"/>
    <x v="5"/>
    <x v="0"/>
    <n v="531100250569"/>
    <x v="0"/>
    <x v="46"/>
    <x v="14"/>
    <m/>
    <s v="NA"/>
    <n v="17.36"/>
    <s v="Done"/>
    <s v="Sunny"/>
    <s v="Settled BBVA"/>
    <s v="2HSCUAPR79CO93785"/>
    <s v="International"/>
    <n v="2009"/>
    <s v="Prostar Eagle"/>
    <d v="2015-11-06T00:00:00"/>
    <d v="2015-11-13T00:00:00"/>
    <x v="4"/>
    <x v="0"/>
  </r>
  <r>
    <x v="31"/>
    <x v="5"/>
    <x v="1"/>
    <n v="3.7106079711072E+16"/>
    <x v="0"/>
    <x v="47"/>
    <x v="35"/>
    <m/>
    <s v="NA"/>
    <n v="8.3699999999999992"/>
    <s v="Done"/>
    <s v="Sunny"/>
    <s v="Settled BBVA"/>
    <s v="2HSCUAPR79CO93785"/>
    <s v="International"/>
    <n v="2009"/>
    <s v="Prostar Eagle"/>
    <d v="2015-11-06T00:00:00"/>
    <d v="2015-11-13T00:00:00"/>
    <x v="4"/>
    <x v="0"/>
  </r>
  <r>
    <x v="32"/>
    <x v="0"/>
    <x v="0"/>
    <n v="1014"/>
    <x v="0"/>
    <x v="48"/>
    <x v="36"/>
    <m/>
    <s v="NA"/>
    <n v="47"/>
    <s v="Done"/>
    <s v="BBVA"/>
    <s v="Settled BBVA"/>
    <s v="NONE"/>
    <s v="NONE"/>
    <s v="NONE"/>
    <s v="NONE"/>
    <d v="2015-11-13T00:00:00"/>
    <d v="2015-11-20T00:00:00"/>
    <x v="4"/>
    <x v="0"/>
  </r>
  <r>
    <x v="33"/>
    <x v="0"/>
    <x v="0"/>
    <s v="503-3786699"/>
    <x v="0"/>
    <x v="49"/>
    <x v="37"/>
    <m/>
    <s v="NA"/>
    <n v="32"/>
    <s v="Done"/>
    <s v="Sunny"/>
    <s v="Settled BBVA"/>
    <s v="NONE"/>
    <s v="NONE"/>
    <s v="NONE"/>
    <s v="NONE"/>
    <d v="2015-11-13T00:00:00"/>
    <d v="2015-11-20T00:00:00"/>
    <x v="4"/>
    <x v="0"/>
  </r>
  <r>
    <x v="34"/>
    <x v="5"/>
    <x v="3"/>
    <s v="13-188491"/>
    <x v="0"/>
    <x v="50"/>
    <x v="38"/>
    <m/>
    <s v="NA"/>
    <n v="65.400000000000006"/>
    <s v="Done"/>
    <s v="Sunny"/>
    <s v="Settled BBVA"/>
    <s v="2HSCUAPR79CO93785"/>
    <s v="International"/>
    <n v="2009"/>
    <s v="Prostar Eagle"/>
    <d v="2015-11-13T00:00:00"/>
    <d v="2015-11-20T00:00:00"/>
    <x v="4"/>
    <x v="0"/>
  </r>
  <r>
    <x v="34"/>
    <x v="5"/>
    <x v="3"/>
    <s v="01P40200"/>
    <x v="3"/>
    <x v="51"/>
    <x v="39"/>
    <m/>
    <n v="1"/>
    <n v="192.57"/>
    <s v="Done"/>
    <s v="Sunny"/>
    <s v="Settled BBVA"/>
    <s v="2HSCUAPR79CO93785"/>
    <s v="International"/>
    <n v="2009"/>
    <s v="Prostar Eagle"/>
    <d v="2015-11-13T00:00:00"/>
    <d v="2015-11-20T00:00:00"/>
    <x v="4"/>
    <x v="0"/>
  </r>
  <r>
    <x v="34"/>
    <x v="5"/>
    <x v="3"/>
    <s v="WO110832"/>
    <x v="3"/>
    <x v="52"/>
    <x v="5"/>
    <m/>
    <s v="NA"/>
    <n v="234"/>
    <s v="Done"/>
    <s v="Sunny"/>
    <s v="Settled BBVA"/>
    <s v="2HSCUAPR79CO93785"/>
    <s v="International"/>
    <n v="2009"/>
    <s v="Prostar Eagle"/>
    <d v="2015-11-13T00:00:00"/>
    <d v="2015-11-20T00:00:00"/>
    <x v="4"/>
    <x v="0"/>
  </r>
  <r>
    <x v="35"/>
    <x v="0"/>
    <x v="0"/>
    <n v="1766155"/>
    <x v="0"/>
    <x v="30"/>
    <x v="22"/>
    <m/>
    <s v="NA"/>
    <n v="34.950000000000003"/>
    <s v="Done"/>
    <s v="BBVA"/>
    <s v="Settled BBVA"/>
    <s v="NONE"/>
    <s v="NONE"/>
    <s v="NONE"/>
    <s v="NONE"/>
    <d v="2015-11-13T00:00:00"/>
    <d v="2015-11-20T00:00:00"/>
    <x v="4"/>
    <x v="0"/>
  </r>
  <r>
    <x v="35"/>
    <x v="5"/>
    <x v="1"/>
    <n v="4748"/>
    <x v="0"/>
    <x v="10"/>
    <x v="21"/>
    <m/>
    <s v="NA"/>
    <n v="30"/>
    <s v="Done"/>
    <s v="Sunny"/>
    <s v="Settled BBVA"/>
    <s v="2HSCUAPR79CO93785"/>
    <s v="International"/>
    <n v="2009"/>
    <s v="Prostar Eagle"/>
    <d v="2015-11-13T00:00:00"/>
    <d v="2015-11-20T00:00:00"/>
    <x v="4"/>
    <x v="0"/>
  </r>
  <r>
    <x v="35"/>
    <x v="5"/>
    <x v="3"/>
    <n v="8288131"/>
    <x v="3"/>
    <x v="53"/>
    <x v="40"/>
    <m/>
    <s v="NA"/>
    <n v="26.68"/>
    <s v="Done"/>
    <s v="Sunny"/>
    <s v="Settled BBVA"/>
    <s v="2HSCUAPR79CO93785"/>
    <s v="International"/>
    <n v="2009"/>
    <s v="Prostar Eagle"/>
    <d v="2015-11-13T00:00:00"/>
    <d v="2015-11-20T00:00:00"/>
    <x v="4"/>
    <x v="0"/>
  </r>
  <r>
    <x v="36"/>
    <x v="5"/>
    <x v="3"/>
    <n v="10200000102178"/>
    <x v="0"/>
    <x v="54"/>
    <x v="41"/>
    <m/>
    <s v="NA"/>
    <n v="22.68"/>
    <s v="Done"/>
    <s v="Sunny"/>
    <s v="Settled BBVA"/>
    <s v="2HSCUAPR79CO93785"/>
    <s v="International"/>
    <n v="2009"/>
    <s v="Prostar Eagle"/>
    <d v="2015-11-13T00:00:00"/>
    <d v="2015-11-20T00:00:00"/>
    <x v="4"/>
    <x v="0"/>
  </r>
  <r>
    <x v="37"/>
    <x v="0"/>
    <x v="0"/>
    <m/>
    <x v="0"/>
    <x v="55"/>
    <x v="19"/>
    <m/>
    <s v="NA"/>
    <n v="3"/>
    <s v="Done"/>
    <s v="BBVA"/>
    <s v="Settled BBVA"/>
    <s v="NONE"/>
    <s v="NONE"/>
    <s v="NONE"/>
    <s v="NONE"/>
    <d v="2015-11-20T00:00:00"/>
    <d v="2015-11-27T00:00:00"/>
    <x v="4"/>
    <x v="0"/>
  </r>
  <r>
    <x v="37"/>
    <x v="0"/>
    <x v="1"/>
    <m/>
    <x v="0"/>
    <x v="22"/>
    <x v="35"/>
    <m/>
    <s v="NA"/>
    <n v="2.97"/>
    <s v="Done"/>
    <s v="BBVA"/>
    <s v="Settled BBVA"/>
    <s v="NONE"/>
    <s v="NONE"/>
    <s v="NONE"/>
    <s v="NONE"/>
    <d v="2015-11-20T00:00:00"/>
    <d v="2015-11-27T00:00:00"/>
    <x v="4"/>
    <x v="0"/>
  </r>
  <r>
    <x v="37"/>
    <x v="0"/>
    <x v="0"/>
    <n v="200896"/>
    <x v="0"/>
    <x v="56"/>
    <x v="42"/>
    <m/>
    <s v="NA"/>
    <n v="4.47"/>
    <s v="Done"/>
    <s v="BBVA"/>
    <s v="Settled BBVA"/>
    <s v="NONE"/>
    <s v="NONE"/>
    <s v="NONE"/>
    <s v="NONE"/>
    <d v="2015-11-20T00:00:00"/>
    <d v="2015-11-27T00:00:00"/>
    <x v="4"/>
    <x v="0"/>
  </r>
  <r>
    <x v="37"/>
    <x v="0"/>
    <x v="0"/>
    <m/>
    <x v="0"/>
    <x v="57"/>
    <x v="19"/>
    <m/>
    <s v="NA"/>
    <n v="3"/>
    <s v="Done"/>
    <s v="BBVA"/>
    <s v="Settled BBVA"/>
    <s v="NONE"/>
    <s v="NONE"/>
    <s v="NONE"/>
    <s v="NONE"/>
    <d v="2015-11-20T00:00:00"/>
    <d v="2015-11-27T00:00:00"/>
    <x v="4"/>
    <x v="0"/>
  </r>
  <r>
    <x v="37"/>
    <x v="5"/>
    <x v="1"/>
    <m/>
    <x v="0"/>
    <x v="58"/>
    <x v="43"/>
    <m/>
    <s v="NA"/>
    <n v="34.99"/>
    <s v="Done"/>
    <s v="BBVA"/>
    <s v="Settled BBVA"/>
    <s v="2HSCUAPR79CO93785"/>
    <s v="International"/>
    <n v="2009"/>
    <s v="Prostar Eagle"/>
    <d v="2015-11-20T00:00:00"/>
    <d v="2015-11-27T00:00:00"/>
    <x v="4"/>
    <x v="0"/>
  </r>
  <r>
    <x v="38"/>
    <x v="0"/>
    <x v="1"/>
    <m/>
    <x v="0"/>
    <x v="59"/>
    <x v="44"/>
    <m/>
    <s v="NA"/>
    <n v="4.99"/>
    <s v="Done"/>
    <s v="BBVA"/>
    <s v="Settled BBVA"/>
    <s v="NONE"/>
    <s v="NONE"/>
    <s v="NONE"/>
    <s v="NONE"/>
    <d v="2015-11-20T00:00:00"/>
    <d v="2015-11-27T00:00:00"/>
    <x v="4"/>
    <x v="0"/>
  </r>
  <r>
    <x v="38"/>
    <x v="5"/>
    <x v="1"/>
    <m/>
    <x v="0"/>
    <x v="31"/>
    <x v="23"/>
    <m/>
    <s v="NA"/>
    <n v="60"/>
    <s v="Done"/>
    <s v="BBVA"/>
    <s v="Settled BBVA"/>
    <s v="2HSCUAPR79CO93785"/>
    <s v="International"/>
    <n v="2009"/>
    <s v="Prostar Eagle"/>
    <d v="2015-11-20T00:00:00"/>
    <d v="2015-11-27T00:00:00"/>
    <x v="4"/>
    <x v="0"/>
  </r>
  <r>
    <x v="38"/>
    <x v="5"/>
    <x v="1"/>
    <m/>
    <x v="0"/>
    <x v="60"/>
    <x v="45"/>
    <m/>
    <s v="NA"/>
    <n v="4.97"/>
    <s v="Done"/>
    <s v="BBVA"/>
    <s v="Settled BBVA"/>
    <s v="2HSCUAPR79CO93785"/>
    <s v="International"/>
    <n v="2009"/>
    <s v="Prostar Eagle"/>
    <d v="2015-11-20T00:00:00"/>
    <d v="2015-11-27T00:00:00"/>
    <x v="4"/>
    <x v="0"/>
  </r>
  <r>
    <x v="39"/>
    <x v="1"/>
    <x v="0"/>
    <m/>
    <x v="0"/>
    <x v="32"/>
    <x v="24"/>
    <m/>
    <s v="NA"/>
    <n v="10"/>
    <s v="Done"/>
    <s v="BBVA"/>
    <s v="Settled BBVA"/>
    <s v="2HSCUAPR88C657099"/>
    <s v="International"/>
    <n v="2008"/>
    <s v="Prostar Eagle"/>
    <d v="2015-11-20T00:00:00"/>
    <d v="2015-11-27T00:00:00"/>
    <x v="4"/>
    <x v="0"/>
  </r>
  <r>
    <x v="40"/>
    <x v="0"/>
    <x v="0"/>
    <m/>
    <x v="0"/>
    <x v="61"/>
    <x v="25"/>
    <m/>
    <s v="NA"/>
    <n v="55"/>
    <s v="Done"/>
    <s v="Sunny"/>
    <s v="Settled BBVA"/>
    <s v="NONE"/>
    <s v="NONE"/>
    <s v="NONE"/>
    <s v="NONE"/>
    <d v="2015-11-20T00:00:00"/>
    <d v="2015-11-27T00:00:00"/>
    <x v="4"/>
    <x v="0"/>
  </r>
  <r>
    <x v="40"/>
    <x v="0"/>
    <x v="0"/>
    <m/>
    <x v="0"/>
    <x v="61"/>
    <x v="25"/>
    <m/>
    <s v="NA"/>
    <n v="55"/>
    <s v="Done"/>
    <s v="Sunny"/>
    <s v="Settled BBVA"/>
    <s v="NONE"/>
    <s v="NONE"/>
    <s v="NONE"/>
    <s v="NONE"/>
    <d v="2015-11-20T00:00:00"/>
    <d v="2015-11-27T00:00:00"/>
    <x v="4"/>
    <x v="0"/>
  </r>
  <r>
    <x v="40"/>
    <x v="0"/>
    <x v="0"/>
    <m/>
    <x v="0"/>
    <x v="61"/>
    <x v="25"/>
    <m/>
    <s v="NA"/>
    <n v="55"/>
    <s v="Done"/>
    <s v="BBVA"/>
    <s v="Settled BBVA"/>
    <s v="NONE"/>
    <s v="NONE"/>
    <s v="NONE"/>
    <s v="NONE"/>
    <d v="2015-11-20T00:00:00"/>
    <d v="2015-11-27T00:00:00"/>
    <x v="4"/>
    <x v="0"/>
  </r>
  <r>
    <x v="40"/>
    <x v="3"/>
    <x v="0"/>
    <n v="92646672"/>
    <x v="0"/>
    <x v="15"/>
    <x v="46"/>
    <m/>
    <n v="1"/>
    <n v="12.5"/>
    <s v="Done"/>
    <s v="Wesley"/>
    <s v="Settled BBVA"/>
    <s v="NONE"/>
    <s v="NONE"/>
    <s v="NONE"/>
    <s v="NONE"/>
    <d v="2015-11-20T00:00:00"/>
    <d v="2015-11-27T00:00:00"/>
    <x v="4"/>
    <x v="0"/>
  </r>
  <r>
    <x v="40"/>
    <x v="5"/>
    <x v="0"/>
    <m/>
    <x v="0"/>
    <x v="62"/>
    <x v="30"/>
    <m/>
    <s v="NA"/>
    <n v="200"/>
    <s v="Done"/>
    <s v="BBVA"/>
    <s v="Settled BBVA"/>
    <s v="2HSCUAPR79CO93785"/>
    <s v="International"/>
    <n v="2009"/>
    <s v="Prostar Eagle"/>
    <d v="2015-11-20T00:00:00"/>
    <d v="2015-11-27T00:00:00"/>
    <x v="4"/>
    <x v="0"/>
  </r>
  <r>
    <x v="40"/>
    <x v="7"/>
    <x v="0"/>
    <m/>
    <x v="0"/>
    <x v="63"/>
    <x v="30"/>
    <m/>
    <s v="NA"/>
    <n v="0"/>
    <s v="Done"/>
    <s v="BBVA"/>
    <s v="Settled BBVA"/>
    <s v="NONE"/>
    <s v="NONE"/>
    <s v="NONE"/>
    <s v="NONE"/>
    <d v="2015-11-20T00:00:00"/>
    <d v="2015-11-27T00:00:00"/>
    <x v="4"/>
    <x v="0"/>
  </r>
  <r>
    <x v="40"/>
    <x v="5"/>
    <x v="3"/>
    <n v="1042000314"/>
    <x v="1"/>
    <x v="64"/>
    <x v="14"/>
    <m/>
    <s v="NA"/>
    <n v="69.87"/>
    <s v="Done"/>
    <s v="Sunny"/>
    <s v="Settled BBVA"/>
    <s v="2HSCUAPR79CO93785"/>
    <s v="International"/>
    <n v="2009"/>
    <s v="Prostar Eagle"/>
    <d v="2015-11-20T00:00:00"/>
    <d v="2015-11-27T00:00:00"/>
    <x v="4"/>
    <x v="0"/>
  </r>
  <r>
    <x v="41"/>
    <x v="1"/>
    <x v="1"/>
    <s v="2LP27453"/>
    <x v="0"/>
    <x v="65"/>
    <x v="47"/>
    <m/>
    <n v="1"/>
    <n v="415.88"/>
    <s v="Done"/>
    <s v="Sunny"/>
    <s v="Settled BBVA"/>
    <s v="2HSCUAPR88C657099"/>
    <s v="International"/>
    <n v="2008"/>
    <s v="Prostar Eagle"/>
    <d v="2015-11-20T00:00:00"/>
    <d v="2015-11-27T00:00:00"/>
    <x v="4"/>
    <x v="0"/>
  </r>
  <r>
    <x v="41"/>
    <x v="5"/>
    <x v="1"/>
    <n v="16665"/>
    <x v="0"/>
    <x v="66"/>
    <x v="29"/>
    <m/>
    <n v="1"/>
    <n v="435"/>
    <s v="Done"/>
    <s v="Albel"/>
    <s v="Settled BBVA"/>
    <s v="2HSCUAPR79CO93785"/>
    <s v="International"/>
    <n v="2009"/>
    <s v="Prostar Eagle"/>
    <d v="2015-11-20T00:00:00"/>
    <d v="2015-11-27T00:00:00"/>
    <x v="4"/>
    <x v="0"/>
  </r>
  <r>
    <x v="41"/>
    <x v="5"/>
    <x v="3"/>
    <s v="01S14926"/>
    <x v="5"/>
    <x v="67"/>
    <x v="39"/>
    <m/>
    <n v="1"/>
    <n v="253.86"/>
    <s v="Done"/>
    <s v="Sunny"/>
    <s v="Settled BBVA"/>
    <s v="2HSCUAPR79CO93785"/>
    <s v="International"/>
    <n v="2009"/>
    <s v="Prostar Eagle"/>
    <d v="2015-11-20T00:00:00"/>
    <d v="2015-11-27T00:00:00"/>
    <x v="4"/>
    <x v="0"/>
  </r>
  <r>
    <x v="41"/>
    <x v="5"/>
    <x v="3"/>
    <s v="01P41101"/>
    <x v="3"/>
    <x v="68"/>
    <x v="39"/>
    <m/>
    <n v="1"/>
    <n v="69.319999999999993"/>
    <s v="Done"/>
    <s v="BBVA"/>
    <s v="Settled BBVA"/>
    <s v="2HSCUAPR79CO93785"/>
    <s v="International"/>
    <n v="2009"/>
    <s v="Prostar Eagle"/>
    <d v="2015-11-20T00:00:00"/>
    <d v="2015-11-27T00:00:00"/>
    <x v="4"/>
    <x v="0"/>
  </r>
  <r>
    <x v="42"/>
    <x v="5"/>
    <x v="3"/>
    <m/>
    <x v="0"/>
    <x v="60"/>
    <x v="35"/>
    <m/>
    <s v="NA"/>
    <n v="0.74"/>
    <s v="Done"/>
    <s v="BBVA"/>
    <s v="Settled BBVA"/>
    <s v="2HSCUAPR79CO93785"/>
    <s v="International"/>
    <n v="2009"/>
    <s v="Prostar Eagle"/>
    <d v="2015-11-27T00:00:00"/>
    <d v="2015-12-04T00:00:00"/>
    <x v="4"/>
    <x v="0"/>
  </r>
  <r>
    <x v="43"/>
    <x v="4"/>
    <x v="3"/>
    <n v="6584"/>
    <x v="4"/>
    <x v="69"/>
    <x v="11"/>
    <m/>
    <n v="2"/>
    <n v="510"/>
    <s v="Done"/>
    <s v="BBVA"/>
    <s v="Settled BBVA"/>
    <s v="1GRAA0625XB130354"/>
    <s v="Grate Dane"/>
    <n v="1999"/>
    <s v="DryVan"/>
    <d v="2015-12-04T00:00:00"/>
    <d v="2015-12-11T00:00:00"/>
    <x v="4"/>
    <x v="0"/>
  </r>
  <r>
    <x v="43"/>
    <x v="5"/>
    <x v="3"/>
    <n v="774869"/>
    <x v="0"/>
    <x v="70"/>
    <x v="48"/>
    <m/>
    <s v="NA"/>
    <n v="4.33"/>
    <s v="Done"/>
    <s v="BBVA"/>
    <s v="Settled BBVA"/>
    <s v="2HSCUAPR79CO93785"/>
    <s v="International"/>
    <n v="2009"/>
    <s v="Prostar Eagle"/>
    <d v="2015-12-04T00:00:00"/>
    <d v="2015-12-11T00:00:00"/>
    <x v="4"/>
    <x v="0"/>
  </r>
  <r>
    <x v="43"/>
    <x v="1"/>
    <x v="1"/>
    <n v="1242"/>
    <x v="0"/>
    <x v="20"/>
    <x v="49"/>
    <m/>
    <s v="NA"/>
    <n v="127.5"/>
    <s v="Done"/>
    <s v="BBVA"/>
    <s v="Settled BBVA"/>
    <s v="2HSCUAPR88C657099"/>
    <s v="International"/>
    <n v="2008"/>
    <s v="Prostar Eagle"/>
    <d v="2015-12-04T00:00:00"/>
    <d v="2015-12-11T00:00:00"/>
    <x v="4"/>
    <x v="0"/>
  </r>
  <r>
    <x v="44"/>
    <x v="1"/>
    <x v="2"/>
    <m/>
    <x v="0"/>
    <x v="6"/>
    <x v="5"/>
    <m/>
    <s v="NA"/>
    <n v="125"/>
    <s v="Done"/>
    <s v="BBVA"/>
    <s v="Settled BBVA"/>
    <s v="2HSCUAPR88C657099"/>
    <s v="International"/>
    <n v="2008"/>
    <s v="Prostar Eagle"/>
    <d v="2015-12-04T00:00:00"/>
    <d v="2015-12-11T00:00:00"/>
    <x v="5"/>
    <x v="0"/>
  </r>
  <r>
    <x v="44"/>
    <x v="5"/>
    <x v="2"/>
    <m/>
    <x v="0"/>
    <x v="6"/>
    <x v="5"/>
    <m/>
    <s v="NA"/>
    <n v="125"/>
    <s v="Done"/>
    <s v="BBVA"/>
    <s v="Settled BBVA"/>
    <s v="2HSCUAPR79CO93785"/>
    <s v="International"/>
    <n v="2009"/>
    <s v="Prostar Eagle"/>
    <d v="2015-12-04T00:00:00"/>
    <d v="2015-12-11T00:00:00"/>
    <x v="5"/>
    <x v="0"/>
  </r>
  <r>
    <x v="45"/>
    <x v="0"/>
    <x v="1"/>
    <m/>
    <x v="0"/>
    <x v="71"/>
    <x v="14"/>
    <m/>
    <s v="NA"/>
    <n v="10.82"/>
    <s v="Done"/>
    <s v="BBVA"/>
    <s v="Settled BBVA"/>
    <s v="NONE"/>
    <s v="NONE"/>
    <s v="NONE"/>
    <s v="NONE"/>
    <d v="2015-12-04T00:00:00"/>
    <d v="2015-12-11T00:00:00"/>
    <x v="5"/>
    <x v="0"/>
  </r>
  <r>
    <x v="46"/>
    <x v="5"/>
    <x v="3"/>
    <s v="2LP28220"/>
    <x v="0"/>
    <x v="72"/>
    <x v="35"/>
    <m/>
    <s v="NA"/>
    <n v="1.37"/>
    <s v="Done"/>
    <s v="BBVA"/>
    <s v="Settled BBVA"/>
    <s v="2HSCUAPR79CO93785"/>
    <s v="International"/>
    <n v="2009"/>
    <s v="Prostar Eagle"/>
    <d v="2015-12-11T00:00:00"/>
    <d v="2015-12-18T00:00:00"/>
    <x v="5"/>
    <x v="0"/>
  </r>
  <r>
    <x v="46"/>
    <x v="1"/>
    <x v="3"/>
    <n v="156892"/>
    <x v="1"/>
    <x v="73"/>
    <x v="7"/>
    <m/>
    <s v="NA"/>
    <n v="366.73"/>
    <s v="Done"/>
    <s v="Sunny"/>
    <s v="Settled BBVA"/>
    <s v="2HSCUAPR88C657099"/>
    <s v="International"/>
    <n v="2008"/>
    <s v="Prostar Eagle"/>
    <d v="2015-12-11T00:00:00"/>
    <d v="2015-12-18T00:00:00"/>
    <x v="5"/>
    <x v="0"/>
  </r>
  <r>
    <x v="46"/>
    <x v="1"/>
    <x v="3"/>
    <n v="179106"/>
    <x v="3"/>
    <x v="74"/>
    <x v="50"/>
    <m/>
    <s v="NA"/>
    <n v="150"/>
    <s v="Done"/>
    <s v="BBVA"/>
    <s v="Settled BBVA"/>
    <s v="2HSCUAPR88C657099"/>
    <s v="International"/>
    <n v="2008"/>
    <s v="Prostar Eagle"/>
    <d v="2015-12-11T00:00:00"/>
    <d v="2015-12-18T00:00:00"/>
    <x v="5"/>
    <x v="0"/>
  </r>
  <r>
    <x v="47"/>
    <x v="0"/>
    <x v="0"/>
    <m/>
    <x v="0"/>
    <x v="41"/>
    <x v="32"/>
    <m/>
    <s v="NA"/>
    <n v="50"/>
    <s v="Done"/>
    <s v="BOW"/>
    <s v="Settled BOW"/>
    <s v="NONE"/>
    <s v="NONE"/>
    <s v="NONE"/>
    <s v="NONE"/>
    <d v="2015-12-11T00:00:00"/>
    <d v="2015-12-18T00:00:00"/>
    <x v="5"/>
    <x v="0"/>
  </r>
  <r>
    <x v="48"/>
    <x v="5"/>
    <x v="3"/>
    <m/>
    <x v="0"/>
    <x v="75"/>
    <x v="51"/>
    <m/>
    <s v="NA"/>
    <n v="24.53"/>
    <s v="Done"/>
    <s v="BBVA"/>
    <s v="Settled BBVA"/>
    <s v="2HSCUAPR79CO93785"/>
    <s v="International"/>
    <n v="2009"/>
    <s v="Prostar Eagle"/>
    <d v="2015-12-11T00:00:00"/>
    <d v="2015-12-18T00:00:00"/>
    <x v="5"/>
    <x v="0"/>
  </r>
  <r>
    <x v="49"/>
    <x v="5"/>
    <x v="3"/>
    <n v="2166"/>
    <x v="1"/>
    <x v="76"/>
    <x v="52"/>
    <m/>
    <s v="NA"/>
    <n v="170"/>
    <s v="Done"/>
    <s v="Miguel"/>
    <s v="Settled BBVA"/>
    <s v="2HSCUAPR79CO93785"/>
    <s v="International"/>
    <n v="2009"/>
    <s v="Prostar Eagle"/>
    <d v="2015-12-11T00:00:00"/>
    <d v="2015-12-18T00:00:00"/>
    <x v="5"/>
    <x v="0"/>
  </r>
  <r>
    <x v="50"/>
    <x v="0"/>
    <x v="0"/>
    <n v="59558773"/>
    <x v="0"/>
    <x v="43"/>
    <x v="33"/>
    <m/>
    <s v="NA"/>
    <n v="14"/>
    <s v="Done"/>
    <s v="BBVA"/>
    <s v="Settled BBVA"/>
    <s v="NONE"/>
    <s v="NONE"/>
    <s v="NONE"/>
    <s v="NONE"/>
    <d v="2015-12-11T00:00:00"/>
    <d v="2015-12-18T00:00:00"/>
    <x v="5"/>
    <x v="0"/>
  </r>
  <r>
    <x v="51"/>
    <x v="1"/>
    <x v="3"/>
    <s v="01P43430"/>
    <x v="3"/>
    <x v="77"/>
    <x v="39"/>
    <m/>
    <n v="1"/>
    <n v="55.14"/>
    <s v="Done"/>
    <s v="BBVA"/>
    <s v="Settled BBVA"/>
    <s v="2HSCUAPR88C657099"/>
    <s v="International"/>
    <n v="2008"/>
    <s v="Prostar Eagle"/>
    <d v="2015-12-11T00:00:00"/>
    <d v="2015-12-18T00:00:00"/>
    <x v="5"/>
    <x v="0"/>
  </r>
  <r>
    <x v="52"/>
    <x v="0"/>
    <x v="0"/>
    <n v="1806391"/>
    <x v="0"/>
    <x v="30"/>
    <x v="22"/>
    <m/>
    <s v="NA"/>
    <n v="34.950000000000003"/>
    <s v="Done"/>
    <s v="BBVA"/>
    <s v="Settled BBVA"/>
    <s v="NONE"/>
    <s v="NONE"/>
    <s v="NONE"/>
    <s v="NONE"/>
    <d v="2015-12-18T00:00:00"/>
    <d v="2015-12-25T00:00:00"/>
    <x v="5"/>
    <x v="0"/>
  </r>
  <r>
    <x v="52"/>
    <x v="1"/>
    <x v="3"/>
    <n v="8307948"/>
    <x v="1"/>
    <x v="78"/>
    <x v="40"/>
    <m/>
    <s v="NA"/>
    <n v="11.75"/>
    <s v="Done"/>
    <s v="BBVA"/>
    <s v="Settled BBVA"/>
    <s v="2HSCUAPR88C657099"/>
    <s v="International"/>
    <n v="2008"/>
    <s v="Prostar Eagle"/>
    <d v="2015-12-18T00:00:00"/>
    <d v="2015-12-25T00:00:00"/>
    <x v="5"/>
    <x v="0"/>
  </r>
  <r>
    <x v="52"/>
    <x v="5"/>
    <x v="3"/>
    <n v="8307948"/>
    <x v="1"/>
    <x v="78"/>
    <x v="40"/>
    <m/>
    <s v="NA"/>
    <n v="11.75"/>
    <s v="Done"/>
    <s v="BBVA"/>
    <s v="Settled BBVA"/>
    <s v="2HSCUAPR79CO93785"/>
    <s v="International"/>
    <n v="2009"/>
    <s v="Prostar Eagle"/>
    <d v="2015-12-18T00:00:00"/>
    <d v="2015-12-25T00:00:00"/>
    <x v="5"/>
    <x v="0"/>
  </r>
  <r>
    <x v="53"/>
    <x v="0"/>
    <x v="0"/>
    <n v="18400848"/>
    <x v="0"/>
    <x v="79"/>
    <x v="53"/>
    <m/>
    <s v="NA"/>
    <n v="15.55"/>
    <s v="Done"/>
    <s v="BBVA"/>
    <s v="Settled BBVA"/>
    <s v="NONE"/>
    <s v="NONE"/>
    <s v="NONE"/>
    <s v="NONE"/>
    <d v="2015-12-18T00:00:00"/>
    <d v="2015-12-25T00:00:00"/>
    <x v="5"/>
    <x v="0"/>
  </r>
  <r>
    <x v="53"/>
    <x v="0"/>
    <x v="0"/>
    <m/>
    <x v="0"/>
    <x v="80"/>
    <x v="19"/>
    <m/>
    <s v="NA"/>
    <n v="5"/>
    <s v="Done"/>
    <s v="BBVA"/>
    <s v="Settled BBVA"/>
    <s v="NONE"/>
    <s v="NONE"/>
    <s v="NONE"/>
    <s v="NONE"/>
    <d v="2015-12-18T00:00:00"/>
    <d v="2015-12-25T00:00:00"/>
    <x v="5"/>
    <x v="0"/>
  </r>
  <r>
    <x v="54"/>
    <x v="1"/>
    <x v="3"/>
    <n v="6374"/>
    <x v="0"/>
    <x v="81"/>
    <x v="54"/>
    <m/>
    <s v="NA"/>
    <n v="65"/>
    <s v="Done"/>
    <s v="Wesley"/>
    <s v="Settled BBVA"/>
    <s v="2HSCUAPR88C657099"/>
    <s v="International"/>
    <n v="2008"/>
    <s v="Prostar Eagle"/>
    <d v="2015-12-18T00:00:00"/>
    <d v="2015-12-25T00:00:00"/>
    <x v="5"/>
    <x v="0"/>
  </r>
  <r>
    <x v="55"/>
    <x v="1"/>
    <x v="3"/>
    <s v="01P44267"/>
    <x v="1"/>
    <x v="82"/>
    <x v="39"/>
    <m/>
    <n v="1"/>
    <n v="18.64"/>
    <s v="Done"/>
    <s v="BBVA"/>
    <s v="Settled BBVA"/>
    <s v="2HSCUAPR88C657099"/>
    <s v="International"/>
    <n v="2008"/>
    <s v="Prostar Eagle"/>
    <d v="2015-12-18T00:00:00"/>
    <d v="2015-12-25T00:00:00"/>
    <x v="5"/>
    <x v="0"/>
  </r>
  <r>
    <x v="55"/>
    <x v="5"/>
    <x v="3"/>
    <s v="01P44267"/>
    <x v="1"/>
    <x v="82"/>
    <x v="39"/>
    <m/>
    <n v="1"/>
    <n v="18.64"/>
    <s v="Done"/>
    <s v="BBVA"/>
    <s v="Settled BBVA"/>
    <s v="2HSCUAPR79CO93785"/>
    <s v="International"/>
    <n v="2009"/>
    <s v="Prostar Eagle"/>
    <d v="2015-12-18T00:00:00"/>
    <d v="2015-12-25T00:00:00"/>
    <x v="5"/>
    <x v="0"/>
  </r>
  <r>
    <x v="55"/>
    <x v="2"/>
    <x v="3"/>
    <n v="1298"/>
    <x v="2"/>
    <x v="83"/>
    <x v="49"/>
    <m/>
    <s v="NA"/>
    <n v="434.01"/>
    <s v="Done"/>
    <s v="BBVA"/>
    <s v="Settled BBVA"/>
    <s v="1JJV532V3BL370658"/>
    <s v="Wabash"/>
    <n v="2011"/>
    <s v="DryVan"/>
    <d v="2015-12-18T00:00:00"/>
    <d v="2015-12-25T00:00:00"/>
    <x v="5"/>
    <x v="0"/>
  </r>
  <r>
    <x v="56"/>
    <x v="5"/>
    <x v="3"/>
    <m/>
    <x v="3"/>
    <x v="84"/>
    <x v="55"/>
    <m/>
    <s v="NA"/>
    <n v="100"/>
    <s v="Done"/>
    <s v="BBVA"/>
    <s v="Settled BBVA"/>
    <s v="2HSCUAPR79CO93785"/>
    <s v="International"/>
    <n v="2009"/>
    <s v="Prostar Eagle"/>
    <d v="2015-12-18T00:00:00"/>
    <d v="2015-12-25T00:00:00"/>
    <x v="5"/>
    <x v="0"/>
  </r>
  <r>
    <x v="56"/>
    <x v="0"/>
    <x v="1"/>
    <n v="36589"/>
    <x v="0"/>
    <x v="85"/>
    <x v="45"/>
    <m/>
    <s v="NA"/>
    <n v="6"/>
    <s v="Done"/>
    <s v="Albel"/>
    <s v="Settled BBVA"/>
    <s v="NONE"/>
    <s v="NONE"/>
    <s v="NONE"/>
    <s v="NONE"/>
    <d v="2015-12-18T00:00:00"/>
    <d v="2015-12-25T00:00:00"/>
    <x v="5"/>
    <x v="0"/>
  </r>
  <r>
    <x v="57"/>
    <x v="2"/>
    <x v="3"/>
    <n v="1300"/>
    <x v="3"/>
    <x v="86"/>
    <x v="49"/>
    <m/>
    <s v="NA"/>
    <n v="165"/>
    <s v="Done"/>
    <s v="BBVA"/>
    <s v="Settled BBVA"/>
    <s v="1JJV532V3BL370658"/>
    <s v="Wabash"/>
    <n v="2011"/>
    <s v="DryVan"/>
    <d v="2015-12-25T00:00:00"/>
    <d v="2016-01-01T00:00:00"/>
    <x v="5"/>
    <x v="0"/>
  </r>
  <r>
    <x v="58"/>
    <x v="5"/>
    <x v="3"/>
    <n v="793603"/>
    <x v="0"/>
    <x v="87"/>
    <x v="56"/>
    <m/>
    <s v="NA"/>
    <n v="9.75"/>
    <s v="Done"/>
    <s v="BBVA"/>
    <s v="Settled BBVA"/>
    <s v="2HSCUAPR79CO93785"/>
    <s v="International"/>
    <n v="2009"/>
    <s v="Prostar Eagle"/>
    <d v="2015-12-25T00:00:00"/>
    <d v="2016-01-01T00:00:00"/>
    <x v="5"/>
    <x v="0"/>
  </r>
  <r>
    <x v="58"/>
    <x v="5"/>
    <x v="3"/>
    <n v="424057"/>
    <x v="0"/>
    <x v="88"/>
    <x v="57"/>
    <m/>
    <s v="NA"/>
    <n v="24.93"/>
    <s v="Done"/>
    <s v="BBVA"/>
    <s v="Settled BBVA"/>
    <s v="2HSCUAPR79CO93785"/>
    <s v="International"/>
    <n v="2009"/>
    <s v="Prostar Eagle"/>
    <d v="2015-12-25T00:00:00"/>
    <d v="2016-01-01T00:00:00"/>
    <x v="5"/>
    <x v="0"/>
  </r>
  <r>
    <x v="59"/>
    <x v="1"/>
    <x v="3"/>
    <s v="01P44648"/>
    <x v="3"/>
    <x v="89"/>
    <x v="39"/>
    <m/>
    <n v="1"/>
    <n v="20.64"/>
    <s v="Done"/>
    <s v="BBVA"/>
    <s v="Settled BBVA"/>
    <s v="2HSCUAPR88C657099"/>
    <s v="International"/>
    <n v="2008"/>
    <s v="Prostar Eagle"/>
    <d v="2015-12-25T00:00:00"/>
    <d v="2016-01-01T00:00:00"/>
    <x v="5"/>
    <x v="0"/>
  </r>
  <r>
    <x v="60"/>
    <x v="5"/>
    <x v="3"/>
    <n v="424564"/>
    <x v="0"/>
    <x v="90"/>
    <x v="57"/>
    <m/>
    <s v="NA"/>
    <n v="21.69"/>
    <s v="Done"/>
    <s v="BBVA"/>
    <s v="Settled BBVA"/>
    <s v="2HSCUAPR79CO93785"/>
    <s v="International"/>
    <n v="2009"/>
    <s v="Prostar Eagle"/>
    <d v="2016-01-01T00:00:00"/>
    <d v="2016-01-08T00:00:00"/>
    <x v="5"/>
    <x v="1"/>
  </r>
  <r>
    <x v="61"/>
    <x v="0"/>
    <x v="0"/>
    <n v="6163050104"/>
    <x v="0"/>
    <x v="36"/>
    <x v="58"/>
    <m/>
    <s v="NA"/>
    <n v="12"/>
    <s v="Done"/>
    <s v="BBVA"/>
    <s v="Settled BBVA"/>
    <s v="NONE"/>
    <s v="NONE"/>
    <s v="NONE"/>
    <s v="NONE"/>
    <d v="2016-01-01T00:00:00"/>
    <d v="2016-01-08T00:00:00"/>
    <x v="5"/>
    <x v="1"/>
  </r>
  <r>
    <x v="61"/>
    <x v="0"/>
    <x v="4"/>
    <m/>
    <x v="0"/>
    <x v="91"/>
    <x v="59"/>
    <m/>
    <s v="NA"/>
    <n v="250"/>
    <s v="Done"/>
    <s v="BBVA"/>
    <s v="Settled BBVA"/>
    <s v="NONE"/>
    <s v="NONE"/>
    <s v="NONE"/>
    <s v="NONE"/>
    <d v="2016-01-01T00:00:00"/>
    <d v="2016-01-08T00:00:00"/>
    <x v="5"/>
    <x v="1"/>
  </r>
  <r>
    <x v="62"/>
    <x v="5"/>
    <x v="2"/>
    <s v="WO110880"/>
    <x v="0"/>
    <x v="6"/>
    <x v="5"/>
    <m/>
    <s v="NA"/>
    <n v="125"/>
    <s v="Done"/>
    <s v="BBVA"/>
    <s v="Settled BBVA"/>
    <s v="2HSCUAPR79CO93785"/>
    <s v="International"/>
    <n v="2009"/>
    <s v="Prostar Eagle"/>
    <d v="2016-01-01T00:00:00"/>
    <d v="2016-01-08T00:00:00"/>
    <x v="0"/>
    <x v="1"/>
  </r>
  <r>
    <x v="63"/>
    <x v="0"/>
    <x v="0"/>
    <m/>
    <x v="0"/>
    <x v="41"/>
    <x v="32"/>
    <m/>
    <s v="NA"/>
    <n v="25"/>
    <s v="Done"/>
    <s v="BBVA"/>
    <s v="Settled BOW"/>
    <s v="NONE"/>
    <s v="NONE"/>
    <s v="NONE"/>
    <s v="NONE"/>
    <d v="2016-01-08T00:00:00"/>
    <d v="2016-01-15T00:00:00"/>
    <x v="0"/>
    <x v="1"/>
  </r>
  <r>
    <x v="64"/>
    <x v="1"/>
    <x v="3"/>
    <m/>
    <x v="0"/>
    <x v="92"/>
    <x v="14"/>
    <m/>
    <s v="NA"/>
    <n v="12.18"/>
    <s v="Done"/>
    <s v="BBVA"/>
    <s v="Settled BBVA"/>
    <s v="2HSCUAPR88C657099"/>
    <s v="International"/>
    <n v="2008"/>
    <s v="Prostar Eagle"/>
    <d v="2016-01-08T00:00:00"/>
    <d v="2016-01-15T00:00:00"/>
    <x v="0"/>
    <x v="1"/>
  </r>
  <r>
    <x v="64"/>
    <x v="5"/>
    <x v="3"/>
    <m/>
    <x v="0"/>
    <x v="92"/>
    <x v="14"/>
    <m/>
    <s v="NA"/>
    <n v="12.18"/>
    <s v="Done"/>
    <s v="BBVA"/>
    <s v="Settled BBVA"/>
    <s v="2HSCUAPR79CO93785"/>
    <s v="International"/>
    <n v="2009"/>
    <s v="Prostar Eagle"/>
    <d v="2016-01-08T00:00:00"/>
    <d v="2016-01-15T00:00:00"/>
    <x v="0"/>
    <x v="1"/>
  </r>
  <r>
    <x v="65"/>
    <x v="5"/>
    <x v="1"/>
    <n v="13110"/>
    <x v="0"/>
    <x v="10"/>
    <x v="60"/>
    <m/>
    <s v="NA"/>
    <n v="70"/>
    <s v="Done"/>
    <s v="Miguel"/>
    <s v="Settled BBVA"/>
    <s v="2HSCUAPR79CO93785"/>
    <s v="International"/>
    <n v="2009"/>
    <s v="Prostar Eagle"/>
    <d v="2016-01-15T00:00:00"/>
    <d v="2016-01-22T00:00:00"/>
    <x v="0"/>
    <x v="1"/>
  </r>
  <r>
    <x v="66"/>
    <x v="5"/>
    <x v="3"/>
    <s v="202U/MISC"/>
    <x v="3"/>
    <x v="93"/>
    <x v="61"/>
    <m/>
    <s v="NA"/>
    <n v="40"/>
    <s v="Done"/>
    <s v="BBVA"/>
    <s v="Settled BBVA"/>
    <s v="2HSCUAPR79CO93785"/>
    <s v="International"/>
    <n v="2009"/>
    <s v="Prostar Eagle"/>
    <d v="2016-01-15T00:00:00"/>
    <d v="2016-01-22T00:00:00"/>
    <x v="0"/>
    <x v="1"/>
  </r>
  <r>
    <x v="67"/>
    <x v="0"/>
    <x v="0"/>
    <n v="1847427"/>
    <x v="0"/>
    <x v="30"/>
    <x v="22"/>
    <m/>
    <s v="NA"/>
    <n v="34.950000000000003"/>
    <s v="Done"/>
    <s v="BBVA"/>
    <s v="Settled BBVA"/>
    <s v="NONE"/>
    <s v="NONE"/>
    <s v="NONE"/>
    <s v="NONE"/>
    <d v="2016-01-15T00:00:00"/>
    <d v="2016-01-22T00:00:00"/>
    <x v="0"/>
    <x v="1"/>
  </r>
  <r>
    <x v="68"/>
    <x v="0"/>
    <x v="0"/>
    <m/>
    <x v="0"/>
    <x v="94"/>
    <x v="62"/>
    <m/>
    <s v="NA"/>
    <n v="35"/>
    <s v="Done"/>
    <s v="BBVA"/>
    <s v="Settled BBVA"/>
    <s v="NONE"/>
    <s v="NONE"/>
    <s v="NONE"/>
    <s v="NONE"/>
    <d v="2016-01-15T00:00:00"/>
    <d v="2016-01-22T00:00:00"/>
    <x v="0"/>
    <x v="1"/>
  </r>
  <r>
    <x v="69"/>
    <x v="0"/>
    <x v="0"/>
    <m/>
    <x v="0"/>
    <x v="95"/>
    <x v="19"/>
    <m/>
    <s v="NA"/>
    <n v="9"/>
    <s v="Done"/>
    <s v="BBVA"/>
    <s v="Settled BBVA"/>
    <s v="NONE"/>
    <s v="NONE"/>
    <s v="NONE"/>
    <s v="NONE"/>
    <d v="2016-01-15T00:00:00"/>
    <d v="2016-01-22T00:00:00"/>
    <x v="0"/>
    <x v="1"/>
  </r>
  <r>
    <x v="70"/>
    <x v="0"/>
    <x v="0"/>
    <n v="18816540"/>
    <x v="0"/>
    <x v="96"/>
    <x v="63"/>
    <m/>
    <s v="NA"/>
    <n v="10.87"/>
    <s v="Done"/>
    <s v="BBVA"/>
    <s v="Settled BBVA"/>
    <s v="NONE"/>
    <s v="NONE"/>
    <s v="NONE"/>
    <s v="NONE"/>
    <d v="2016-01-15T00:00:00"/>
    <d v="2016-01-22T00:00:00"/>
    <x v="0"/>
    <x v="1"/>
  </r>
  <r>
    <x v="70"/>
    <x v="0"/>
    <x v="0"/>
    <n v="18816581"/>
    <x v="0"/>
    <x v="96"/>
    <x v="64"/>
    <m/>
    <s v="NA"/>
    <n v="23.53"/>
    <s v="Done"/>
    <s v="BBVA"/>
    <s v="Settled BBVA"/>
    <s v="NONE"/>
    <s v="NONE"/>
    <s v="NONE"/>
    <s v="NONE"/>
    <d v="2016-01-15T00:00:00"/>
    <d v="2016-01-22T00:00:00"/>
    <x v="0"/>
    <x v="1"/>
  </r>
  <r>
    <x v="71"/>
    <x v="0"/>
    <x v="0"/>
    <m/>
    <x v="0"/>
    <x v="97"/>
    <x v="25"/>
    <m/>
    <s v="NA"/>
    <n v="55"/>
    <s v="Done"/>
    <s v="BBVA"/>
    <s v="Settled BBVA"/>
    <s v="NONE"/>
    <s v="NONE"/>
    <s v="NONE"/>
    <s v="NONE"/>
    <d v="2016-01-22T00:00:00"/>
    <d v="2016-01-29T00:00:00"/>
    <x v="0"/>
    <x v="1"/>
  </r>
  <r>
    <x v="71"/>
    <x v="8"/>
    <x v="0"/>
    <n v="92891184"/>
    <x v="0"/>
    <x v="15"/>
    <x v="65"/>
    <m/>
    <n v="1"/>
    <n v="10.5"/>
    <s v="Done"/>
    <s v="Miguel"/>
    <s v="Settled BBVA"/>
    <s v="NONE"/>
    <s v="NONE"/>
    <s v="NONE"/>
    <s v="NONE"/>
    <d v="2016-01-22T00:00:00"/>
    <d v="2016-01-29T00:00:00"/>
    <x v="0"/>
    <x v="1"/>
  </r>
  <r>
    <x v="71"/>
    <x v="8"/>
    <x v="0"/>
    <n v="521401"/>
    <x v="0"/>
    <x v="15"/>
    <x v="66"/>
    <m/>
    <n v="1"/>
    <n v="10.5"/>
    <s v="Done"/>
    <s v="Miguel"/>
    <s v="Settled BBVA"/>
    <s v="NONE"/>
    <s v="NONE"/>
    <s v="NONE"/>
    <s v="NONE"/>
    <d v="2016-01-22T00:00:00"/>
    <d v="2016-01-29T00:00:00"/>
    <x v="0"/>
    <x v="1"/>
  </r>
  <r>
    <x v="72"/>
    <x v="0"/>
    <x v="0"/>
    <m/>
    <x v="0"/>
    <x v="98"/>
    <x v="19"/>
    <m/>
    <s v="NA"/>
    <n v="5.12"/>
    <s v="Done"/>
    <s v="BBVA"/>
    <s v="Settled BBVA"/>
    <s v="NONE"/>
    <s v="NONE"/>
    <s v="NONE"/>
    <s v="NONE"/>
    <d v="2016-01-22T00:00:00"/>
    <d v="2016-01-29T00:00:00"/>
    <x v="0"/>
    <x v="1"/>
  </r>
  <r>
    <x v="72"/>
    <x v="0"/>
    <x v="0"/>
    <m/>
    <x v="0"/>
    <x v="99"/>
    <x v="25"/>
    <m/>
    <s v="NA"/>
    <n v="500"/>
    <s v="Done"/>
    <s v="BBVA"/>
    <s v="Settled BBVA"/>
    <s v="NONE"/>
    <s v="NONE"/>
    <s v="NONE"/>
    <s v="NONE"/>
    <d v="2016-01-22T00:00:00"/>
    <d v="2016-01-29T00:00:00"/>
    <x v="0"/>
    <x v="1"/>
  </r>
  <r>
    <x v="73"/>
    <x v="0"/>
    <x v="0"/>
    <m/>
    <x v="0"/>
    <x v="100"/>
    <x v="67"/>
    <m/>
    <s v="NA"/>
    <n v="35.299999999999997"/>
    <s v="Done"/>
    <s v="BBVA"/>
    <s v="Settled BOW"/>
    <s v="NONE"/>
    <s v="NONE"/>
    <s v="NONE"/>
    <s v="NONE"/>
    <d v="2016-01-22T00:00:00"/>
    <d v="2016-01-29T00:00:00"/>
    <x v="0"/>
    <x v="1"/>
  </r>
  <r>
    <x v="73"/>
    <x v="0"/>
    <x v="4"/>
    <n v="70070774"/>
    <x v="0"/>
    <x v="101"/>
    <x v="68"/>
    <m/>
    <s v="NA"/>
    <n v="150"/>
    <s v="Done"/>
    <s v="BBVA"/>
    <s v="Settled BBVA"/>
    <s v="NONE"/>
    <s v="NONE"/>
    <s v="NONE"/>
    <s v="NONE"/>
    <d v="2016-01-22T00:00:00"/>
    <d v="2016-01-29T00:00:00"/>
    <x v="0"/>
    <x v="1"/>
  </r>
  <r>
    <x v="74"/>
    <x v="0"/>
    <x v="0"/>
    <m/>
    <x v="0"/>
    <x v="102"/>
    <x v="69"/>
    <m/>
    <s v="NA"/>
    <n v="18"/>
    <s v="Done"/>
    <s v="BBVA"/>
    <s v="Settled BBVA"/>
    <s v="NONE"/>
    <s v="NONE"/>
    <s v="NONE"/>
    <s v="NONE"/>
    <d v="2016-01-29T00:00:00"/>
    <d v="2016-02-05T00:00:00"/>
    <x v="0"/>
    <x v="1"/>
  </r>
  <r>
    <x v="74"/>
    <x v="1"/>
    <x v="3"/>
    <s v="822383D"/>
    <x v="3"/>
    <x v="103"/>
    <x v="70"/>
    <m/>
    <s v="NA"/>
    <n v="190"/>
    <s v="Done"/>
    <s v="Albel"/>
    <s v="Settled BBVA"/>
    <s v="2HSCUAPR88C657099"/>
    <s v="International"/>
    <n v="2008"/>
    <s v="Prostar Eagle"/>
    <d v="2016-01-29T00:00:00"/>
    <d v="2016-02-05T00:00:00"/>
    <x v="0"/>
    <x v="1"/>
  </r>
  <r>
    <x v="75"/>
    <x v="1"/>
    <x v="0"/>
    <m/>
    <x v="0"/>
    <x v="32"/>
    <x v="24"/>
    <m/>
    <s v="NA"/>
    <n v="10"/>
    <s v="Done"/>
    <s v="BBVA"/>
    <s v="Settled BBVA"/>
    <s v="2HSCUAPR88C657099"/>
    <s v="International"/>
    <n v="2008"/>
    <s v="Prostar Eagle"/>
    <d v="2016-01-29T00:00:00"/>
    <d v="2016-02-05T00:00:00"/>
    <x v="0"/>
    <x v="1"/>
  </r>
  <r>
    <x v="76"/>
    <x v="0"/>
    <x v="0"/>
    <s v="IPC122457"/>
    <x v="0"/>
    <x v="104"/>
    <x v="71"/>
    <m/>
    <s v="NA"/>
    <n v="57.69"/>
    <s v="Done"/>
    <s v="BBVA"/>
    <s v="Settled BBVA"/>
    <s v="NONE"/>
    <s v="NONE"/>
    <s v="NONE"/>
    <s v="NONE"/>
    <d v="2016-02-05T00:00:00"/>
    <d v="2016-02-12T00:00:00"/>
    <x v="6"/>
    <x v="1"/>
  </r>
  <r>
    <x v="76"/>
    <x v="1"/>
    <x v="2"/>
    <s v="WO110902"/>
    <x v="0"/>
    <x v="6"/>
    <x v="5"/>
    <m/>
    <s v="NA"/>
    <n v="125"/>
    <s v="Done"/>
    <s v="BBVA"/>
    <s v="Settled BBVA"/>
    <s v="2HSCUAPR88C657099"/>
    <s v="International"/>
    <n v="2008"/>
    <s v="Prostar Eagle"/>
    <d v="2016-02-05T00:00:00"/>
    <d v="2016-02-12T00:00:00"/>
    <x v="6"/>
    <x v="1"/>
  </r>
  <r>
    <x v="76"/>
    <x v="5"/>
    <x v="2"/>
    <m/>
    <x v="0"/>
    <x v="6"/>
    <x v="5"/>
    <m/>
    <s v="NA"/>
    <n v="125"/>
    <s v="Done"/>
    <s v="BBVA"/>
    <s v="Settled BBVA"/>
    <s v="2HSCUAPR79CO93785"/>
    <s v="International"/>
    <n v="2009"/>
    <s v="Prostar Eagle"/>
    <d v="2016-02-05T00:00:00"/>
    <d v="2016-02-12T00:00:00"/>
    <x v="6"/>
    <x v="1"/>
  </r>
  <r>
    <x v="76"/>
    <x v="5"/>
    <x v="3"/>
    <s v="WO110903"/>
    <x v="3"/>
    <x v="105"/>
    <x v="5"/>
    <m/>
    <s v="NA"/>
    <n v="62.5"/>
    <s v="Done"/>
    <s v="Miguel"/>
    <s v="Settled BBVA"/>
    <s v="2HSCUAPR79CO93785"/>
    <s v="International"/>
    <n v="2009"/>
    <s v="Prostar Eagle"/>
    <d v="2016-02-05T00:00:00"/>
    <d v="2016-02-12T00:00:00"/>
    <x v="6"/>
    <x v="1"/>
  </r>
  <r>
    <x v="77"/>
    <x v="5"/>
    <x v="3"/>
    <n v="6941"/>
    <x v="2"/>
    <x v="106"/>
    <x v="11"/>
    <m/>
    <s v="NA"/>
    <n v="1292.5"/>
    <s v="Done"/>
    <s v="BBVA"/>
    <s v="Settled BBVA"/>
    <s v="2HSCUAPR79CO93785"/>
    <s v="International"/>
    <n v="2009"/>
    <s v="Prostar Eagle"/>
    <d v="2016-02-05T00:00:00"/>
    <d v="2016-02-12T00:00:00"/>
    <x v="6"/>
    <x v="1"/>
  </r>
  <r>
    <x v="77"/>
    <x v="5"/>
    <x v="3"/>
    <n v="75059296"/>
    <x v="3"/>
    <x v="107"/>
    <x v="10"/>
    <m/>
    <s v="NA"/>
    <n v="298.97000000000003"/>
    <s v="Done"/>
    <s v="Albel"/>
    <s v="Settled BBVA"/>
    <s v="2HSCUAPR79CO93785"/>
    <s v="International"/>
    <n v="2009"/>
    <s v="Prostar Eagle"/>
    <d v="2016-02-05T00:00:00"/>
    <d v="2016-02-12T00:00:00"/>
    <x v="6"/>
    <x v="1"/>
  </r>
  <r>
    <x v="78"/>
    <x v="0"/>
    <x v="0"/>
    <m/>
    <x v="0"/>
    <x v="41"/>
    <x v="32"/>
    <m/>
    <s v="NA"/>
    <n v="25"/>
    <s v="Done"/>
    <s v="BBVA"/>
    <s v="Settled BOW"/>
    <s v="NONE"/>
    <s v="NONE"/>
    <s v="NONE"/>
    <s v="NONE"/>
    <d v="2016-02-12T00:00:00"/>
    <d v="2016-02-19T00:00:00"/>
    <x v="6"/>
    <x v="1"/>
  </r>
  <r>
    <x v="79"/>
    <x v="0"/>
    <x v="0"/>
    <m/>
    <x v="0"/>
    <x v="108"/>
    <x v="72"/>
    <m/>
    <s v="NA"/>
    <n v="745.6"/>
    <s v="Done"/>
    <s v="BBVA"/>
    <s v="Settled BBVA"/>
    <s v="NONE"/>
    <s v="NONE"/>
    <s v="NONE"/>
    <s v="NONE"/>
    <d v="2016-02-12T00:00:00"/>
    <d v="2016-02-19T00:00:00"/>
    <x v="6"/>
    <x v="1"/>
  </r>
  <r>
    <x v="80"/>
    <x v="0"/>
    <x v="0"/>
    <m/>
    <x v="0"/>
    <x v="109"/>
    <x v="23"/>
    <m/>
    <s v="NA"/>
    <n v="15"/>
    <s v="Done"/>
    <s v="BBVA"/>
    <s v="Settled BBVA"/>
    <s v="NONE"/>
    <s v="NONE"/>
    <s v="NONE"/>
    <s v="NONE"/>
    <d v="2016-02-12T00:00:00"/>
    <d v="2016-02-19T00:00:00"/>
    <x v="6"/>
    <x v="1"/>
  </r>
  <r>
    <x v="81"/>
    <x v="1"/>
    <x v="3"/>
    <m/>
    <x v="3"/>
    <x v="110"/>
    <x v="73"/>
    <m/>
    <s v="NA"/>
    <n v="280"/>
    <s v="Done"/>
    <s v="BBVA"/>
    <s v="Settled BBVA"/>
    <s v="2HSCUAPR88C657099"/>
    <s v="International"/>
    <n v="2008"/>
    <s v="Prostar Eagle"/>
    <d v="2016-02-12T00:00:00"/>
    <d v="2016-02-19T00:00:00"/>
    <x v="6"/>
    <x v="1"/>
  </r>
  <r>
    <x v="81"/>
    <x v="1"/>
    <x v="3"/>
    <n v="8352633"/>
    <x v="3"/>
    <x v="111"/>
    <x v="40"/>
    <m/>
    <s v="NA"/>
    <n v="308.19"/>
    <s v="Done"/>
    <s v="BBVA"/>
    <s v="Settled BBVA"/>
    <s v="2HSCUAPR88C657099"/>
    <s v="International"/>
    <n v="2008"/>
    <s v="Prostar Eagle"/>
    <d v="2016-02-12T00:00:00"/>
    <d v="2016-02-19T00:00:00"/>
    <x v="6"/>
    <x v="1"/>
  </r>
  <r>
    <x v="82"/>
    <x v="0"/>
    <x v="0"/>
    <n v="1889651"/>
    <x v="0"/>
    <x v="112"/>
    <x v="22"/>
    <m/>
    <s v="NA"/>
    <n v="34.950000000000003"/>
    <s v="Done"/>
    <s v="BBVA"/>
    <s v="Settled BBVA"/>
    <s v="NONE"/>
    <s v="NONE"/>
    <s v="NONE"/>
    <s v="NONE"/>
    <d v="2016-02-12T00:00:00"/>
    <d v="2016-02-19T00:00:00"/>
    <x v="6"/>
    <x v="1"/>
  </r>
  <r>
    <x v="83"/>
    <x v="5"/>
    <x v="2"/>
    <m/>
    <x v="0"/>
    <x v="6"/>
    <x v="5"/>
    <m/>
    <s v="NA"/>
    <n v="190"/>
    <s v="Done"/>
    <s v="BBVA"/>
    <s v="Settled BBVA"/>
    <s v="2HSCUAPR79CO93785"/>
    <s v="International"/>
    <n v="2009"/>
    <s v="Prostar Eagle"/>
    <d v="2016-02-19T00:00:00"/>
    <d v="2016-02-26T00:00:00"/>
    <x v="6"/>
    <x v="1"/>
  </r>
  <r>
    <x v="83"/>
    <x v="2"/>
    <x v="3"/>
    <m/>
    <x v="3"/>
    <x v="113"/>
    <x v="74"/>
    <m/>
    <s v="NA"/>
    <n v="60"/>
    <s v="Done"/>
    <s v="Albel"/>
    <s v="Settled BBVA"/>
    <s v="1JJV532V3BL370658"/>
    <s v="Wabash"/>
    <n v="2011"/>
    <s v="DryVan"/>
    <d v="2016-02-19T00:00:00"/>
    <d v="2016-02-26T00:00:00"/>
    <x v="6"/>
    <x v="1"/>
  </r>
  <r>
    <x v="84"/>
    <x v="0"/>
    <x v="0"/>
    <m/>
    <x v="0"/>
    <x v="114"/>
    <x v="19"/>
    <m/>
    <s v="NA"/>
    <n v="11"/>
    <s v="Done"/>
    <s v="BBVA"/>
    <s v="Settled BBVA"/>
    <s v="NONE"/>
    <s v="NONE"/>
    <s v="NONE"/>
    <s v="NONE"/>
    <d v="2016-02-19T00:00:00"/>
    <d v="2016-02-26T00:00:00"/>
    <x v="6"/>
    <x v="1"/>
  </r>
  <r>
    <x v="84"/>
    <x v="0"/>
    <x v="0"/>
    <n v="1776"/>
    <x v="0"/>
    <x v="115"/>
    <x v="25"/>
    <m/>
    <s v="NA"/>
    <n v="150"/>
    <s v="Done"/>
    <s v="BBVA"/>
    <s v="Settled BBVA"/>
    <s v="NONE"/>
    <s v="NONE"/>
    <s v="NONE"/>
    <s v="NONE"/>
    <d v="2016-02-19T00:00:00"/>
    <d v="2016-02-26T00:00:00"/>
    <x v="6"/>
    <x v="1"/>
  </r>
  <r>
    <x v="84"/>
    <x v="0"/>
    <x v="0"/>
    <n v="1776"/>
    <x v="0"/>
    <x v="115"/>
    <x v="25"/>
    <m/>
    <s v="NA"/>
    <n v="50"/>
    <s v="Done"/>
    <s v="BBVA"/>
    <s v="Settled BBVA"/>
    <s v="NONE"/>
    <s v="NONE"/>
    <s v="NONE"/>
    <s v="NONE"/>
    <d v="2016-02-19T00:00:00"/>
    <d v="2016-02-26T00:00:00"/>
    <x v="6"/>
    <x v="1"/>
  </r>
  <r>
    <x v="84"/>
    <x v="0"/>
    <x v="0"/>
    <n v="1776"/>
    <x v="0"/>
    <x v="115"/>
    <x v="25"/>
    <m/>
    <s v="NA"/>
    <n v="40"/>
    <s v="Done"/>
    <s v="BBVA"/>
    <s v="Settled BBVA"/>
    <s v="NONE"/>
    <s v="NONE"/>
    <s v="NONE"/>
    <s v="NONE"/>
    <d v="2016-02-19T00:00:00"/>
    <d v="2016-02-26T00:00:00"/>
    <x v="6"/>
    <x v="1"/>
  </r>
  <r>
    <x v="84"/>
    <x v="0"/>
    <x v="0"/>
    <m/>
    <x v="0"/>
    <x v="115"/>
    <x v="25"/>
    <m/>
    <s v="NA"/>
    <n v="55"/>
    <s v="Done"/>
    <s v="BBVA"/>
    <s v="Settled BBVA"/>
    <s v="NONE"/>
    <s v="NONE"/>
    <s v="NONE"/>
    <s v="NONE"/>
    <d v="2016-02-19T00:00:00"/>
    <d v="2016-02-26T00:00:00"/>
    <x v="6"/>
    <x v="1"/>
  </r>
  <r>
    <x v="85"/>
    <x v="5"/>
    <x v="3"/>
    <n v="56159432"/>
    <x v="0"/>
    <x v="116"/>
    <x v="75"/>
    <m/>
    <s v="NA"/>
    <n v="23.98"/>
    <s v="Done"/>
    <s v="Sukhpaul"/>
    <s v="Settled BBVA"/>
    <s v="2HSCUAPR79CO93785"/>
    <s v="International"/>
    <n v="2009"/>
    <s v="Prostar Eagle"/>
    <d v="2016-02-19T00:00:00"/>
    <d v="2016-02-26T00:00:00"/>
    <x v="6"/>
    <x v="1"/>
  </r>
  <r>
    <x v="86"/>
    <x v="0"/>
    <x v="1"/>
    <m/>
    <x v="0"/>
    <x v="117"/>
    <x v="76"/>
    <m/>
    <s v="NA"/>
    <n v="20.69"/>
    <s v="Done"/>
    <s v="BBVA"/>
    <s v="Settled BBVA"/>
    <s v="NONE"/>
    <s v="NONE"/>
    <s v="NONE"/>
    <s v="NONE"/>
    <d v="2016-02-19T00:00:00"/>
    <d v="2016-02-26T00:00:00"/>
    <x v="6"/>
    <x v="1"/>
  </r>
  <r>
    <x v="86"/>
    <x v="8"/>
    <x v="0"/>
    <n v="81676467"/>
    <x v="0"/>
    <x v="15"/>
    <x v="77"/>
    <m/>
    <n v="1"/>
    <n v="2"/>
    <s v="Done"/>
    <s v="Sukhpaul"/>
    <s v="Settled BBVA"/>
    <s v="NONE"/>
    <s v="NONE"/>
    <s v="NONE"/>
    <s v="NONE"/>
    <d v="2016-02-19T00:00:00"/>
    <d v="2016-02-26T00:00:00"/>
    <x v="6"/>
    <x v="1"/>
  </r>
  <r>
    <x v="86"/>
    <x v="8"/>
    <x v="0"/>
    <n v="81676465"/>
    <x v="0"/>
    <x v="15"/>
    <x v="77"/>
    <m/>
    <n v="1"/>
    <n v="10.5"/>
    <s v="Done"/>
    <s v="Sukhpaul"/>
    <s v="Settled BBVA"/>
    <s v="NONE"/>
    <s v="NONE"/>
    <s v="NONE"/>
    <s v="NONE"/>
    <d v="2016-02-19T00:00:00"/>
    <d v="2016-02-26T00:00:00"/>
    <x v="6"/>
    <x v="1"/>
  </r>
  <r>
    <x v="87"/>
    <x v="1"/>
    <x v="3"/>
    <m/>
    <x v="0"/>
    <x v="118"/>
    <x v="14"/>
    <m/>
    <s v="NA"/>
    <n v="63.71"/>
    <s v="Done"/>
    <s v="BBVA"/>
    <s v="Settled BBVA"/>
    <s v="2HSCUAPR88C657099"/>
    <s v="International"/>
    <n v="2008"/>
    <s v="Prostar Eagle"/>
    <d v="2016-02-19T00:00:00"/>
    <d v="2016-02-26T00:00:00"/>
    <x v="6"/>
    <x v="1"/>
  </r>
  <r>
    <x v="88"/>
    <x v="0"/>
    <x v="0"/>
    <m/>
    <x v="0"/>
    <x v="119"/>
    <x v="25"/>
    <m/>
    <s v="NA"/>
    <n v="275"/>
    <s v="Done"/>
    <s v="BBVA"/>
    <s v="Settled BBVA"/>
    <s v="NONE"/>
    <s v="NONE"/>
    <s v="NONE"/>
    <s v="NONE"/>
    <d v="2016-02-26T00:00:00"/>
    <d v="2016-03-04T00:00:00"/>
    <x v="6"/>
    <x v="1"/>
  </r>
  <r>
    <x v="88"/>
    <x v="8"/>
    <x v="0"/>
    <n v="93016892"/>
    <x v="0"/>
    <x v="15"/>
    <x v="78"/>
    <m/>
    <n v="1"/>
    <n v="10.5"/>
    <s v="Done"/>
    <s v="Sukhpaul"/>
    <s v="Settled BBVA"/>
    <s v="NONE"/>
    <s v="NONE"/>
    <s v="NONE"/>
    <s v="NONE"/>
    <d v="2016-02-26T00:00:00"/>
    <d v="2016-03-04T00:00:00"/>
    <x v="6"/>
    <x v="1"/>
  </r>
  <r>
    <x v="89"/>
    <x v="0"/>
    <x v="0"/>
    <m/>
    <x v="0"/>
    <x v="100"/>
    <x v="67"/>
    <m/>
    <s v="NA"/>
    <n v="35.299999999999997"/>
    <s v="Done"/>
    <s v="BBVA"/>
    <s v="Settled BBVA"/>
    <s v="NONE"/>
    <s v="NONE"/>
    <s v="NONE"/>
    <s v="NONE"/>
    <d v="2016-02-26T00:00:00"/>
    <d v="2016-03-04T00:00:00"/>
    <x v="6"/>
    <x v="1"/>
  </r>
  <r>
    <x v="89"/>
    <x v="5"/>
    <x v="3"/>
    <n v="327080142"/>
    <x v="0"/>
    <x v="116"/>
    <x v="79"/>
    <m/>
    <s v="NA"/>
    <n v="34.380000000000003"/>
    <s v="Done"/>
    <s v="Sukhpaul"/>
    <s v="Settled BBVA"/>
    <s v="2HSCUAPR79CO93785"/>
    <s v="International"/>
    <n v="2009"/>
    <s v="Prostar Eagle"/>
    <d v="2016-02-26T00:00:00"/>
    <d v="2016-03-04T00:00:00"/>
    <x v="6"/>
    <x v="1"/>
  </r>
  <r>
    <x v="90"/>
    <x v="5"/>
    <x v="3"/>
    <n v="75504082"/>
    <x v="0"/>
    <x v="116"/>
    <x v="10"/>
    <m/>
    <s v="NA"/>
    <n v="52.63"/>
    <s v="Done"/>
    <s v="Amex UB"/>
    <s v="Settled BBVA"/>
    <s v="2HSCUAPR79CO93785"/>
    <s v="International"/>
    <n v="2009"/>
    <s v="Prostar Eagle"/>
    <d v="2016-02-26T00:00:00"/>
    <d v="2016-03-04T00:00:00"/>
    <x v="6"/>
    <x v="1"/>
  </r>
  <r>
    <x v="90"/>
    <x v="5"/>
    <x v="3"/>
    <m/>
    <x v="3"/>
    <x v="120"/>
    <x v="80"/>
    <m/>
    <s v="NA"/>
    <n v="700"/>
    <s v="Done"/>
    <s v="Amex UB"/>
    <s v="Settled BBVA"/>
    <s v="2HSCUAPR79CO93785"/>
    <s v="International"/>
    <n v="2009"/>
    <s v="Prostar Eagle"/>
    <d v="2016-02-26T00:00:00"/>
    <d v="2016-03-04T00:00:00"/>
    <x v="6"/>
    <x v="1"/>
  </r>
  <r>
    <x v="90"/>
    <x v="5"/>
    <x v="3"/>
    <m/>
    <x v="3"/>
    <x v="121"/>
    <x v="73"/>
    <m/>
    <s v="NA"/>
    <n v="375"/>
    <s v="Done"/>
    <s v="BBVA"/>
    <s v="Settled BBVA"/>
    <s v="2HSCUAPR79CO93785"/>
    <s v="International"/>
    <n v="2009"/>
    <s v="Prostar Eagle"/>
    <d v="2016-02-26T00:00:00"/>
    <d v="2016-03-04T00:00:00"/>
    <x v="6"/>
    <x v="1"/>
  </r>
  <r>
    <x v="91"/>
    <x v="1"/>
    <x v="2"/>
    <s v="WO110923"/>
    <x v="0"/>
    <x v="6"/>
    <x v="5"/>
    <m/>
    <s v="NA"/>
    <n v="125"/>
    <s v="Done"/>
    <s v="BBVA"/>
    <s v="Settled BBVA"/>
    <s v="2HSCUAPR88C657099"/>
    <s v="International"/>
    <n v="2008"/>
    <s v="Prostar Eagle"/>
    <d v="2016-03-04T00:00:00"/>
    <d v="2016-03-11T00:00:00"/>
    <x v="7"/>
    <x v="1"/>
  </r>
  <r>
    <x v="91"/>
    <x v="5"/>
    <x v="2"/>
    <s v="WO110923"/>
    <x v="0"/>
    <x v="6"/>
    <x v="5"/>
    <m/>
    <s v="NA"/>
    <n v="125"/>
    <s v="Done"/>
    <s v="BBVA"/>
    <s v="Settled BBVA"/>
    <s v="2HSCUAPR79CO93785"/>
    <s v="International"/>
    <n v="2009"/>
    <s v="Prostar Eagle"/>
    <d v="2016-03-04T00:00:00"/>
    <d v="2016-03-11T00:00:00"/>
    <x v="7"/>
    <x v="1"/>
  </r>
  <r>
    <x v="92"/>
    <x v="5"/>
    <x v="3"/>
    <m/>
    <x v="3"/>
    <x v="122"/>
    <x v="81"/>
    <m/>
    <s v="NA"/>
    <n v="1100"/>
    <s v="Done"/>
    <s v="Amex UB"/>
    <s v="Settled BBVA"/>
    <s v="2HSCUAPR79CO93785"/>
    <s v="International"/>
    <n v="2009"/>
    <s v="Prostar Eagle"/>
    <d v="2016-03-04T00:00:00"/>
    <d v="2016-03-11T00:00:00"/>
    <x v="7"/>
    <x v="1"/>
  </r>
  <r>
    <x v="92"/>
    <x v="5"/>
    <x v="3"/>
    <m/>
    <x v="3"/>
    <x v="123"/>
    <x v="73"/>
    <m/>
    <s v="NA"/>
    <n v="380"/>
    <s v="Done"/>
    <s v="BBVA"/>
    <s v="Settled BBVA"/>
    <s v="2HSCUAPR79CO93785"/>
    <s v="International"/>
    <n v="2009"/>
    <s v="Prostar Eagle"/>
    <d v="2016-03-04T00:00:00"/>
    <d v="2016-03-11T00:00:00"/>
    <x v="7"/>
    <x v="1"/>
  </r>
  <r>
    <x v="93"/>
    <x v="0"/>
    <x v="0"/>
    <m/>
    <x v="0"/>
    <x v="124"/>
    <x v="82"/>
    <m/>
    <s v="NA"/>
    <n v="20"/>
    <s v="Done"/>
    <s v="BBVA"/>
    <s v="Settled BBVA"/>
    <s v="NONE"/>
    <s v="NONE"/>
    <s v="NONE"/>
    <s v="NONE"/>
    <d v="2016-03-04T00:00:00"/>
    <d v="2016-03-11T00:00:00"/>
    <x v="7"/>
    <x v="1"/>
  </r>
  <r>
    <x v="94"/>
    <x v="1"/>
    <x v="3"/>
    <m/>
    <x v="3"/>
    <x v="125"/>
    <x v="73"/>
    <m/>
    <s v="NA"/>
    <n v="210"/>
    <s v="Done"/>
    <s v="Arturo"/>
    <s v="Settled BBVA"/>
    <s v="2HSCUAPR88C657099"/>
    <s v="International"/>
    <n v="2008"/>
    <s v="Prostar Eagle"/>
    <d v="2016-03-11T00:00:00"/>
    <d v="2016-03-18T00:00:00"/>
    <x v="7"/>
    <x v="1"/>
  </r>
  <r>
    <x v="94"/>
    <x v="1"/>
    <x v="3"/>
    <n v="2472"/>
    <x v="3"/>
    <x v="126"/>
    <x v="83"/>
    <m/>
    <s v="NA"/>
    <n v="105.25"/>
    <s v="Done"/>
    <s v="BBVA"/>
    <s v="Settled BBVA"/>
    <s v="2HSCUAPR88C657099"/>
    <s v="International"/>
    <n v="2008"/>
    <s v="Prostar Eagle"/>
    <d v="2016-03-11T00:00:00"/>
    <d v="2016-03-18T00:00:00"/>
    <x v="7"/>
    <x v="1"/>
  </r>
  <r>
    <x v="95"/>
    <x v="0"/>
    <x v="0"/>
    <m/>
    <x v="0"/>
    <x v="41"/>
    <x v="32"/>
    <m/>
    <s v="NA"/>
    <n v="25"/>
    <s v="Done"/>
    <s v="BBVA"/>
    <s v="Settled BOW"/>
    <s v="NONE"/>
    <s v="NONE"/>
    <s v="NONE"/>
    <s v="NONE"/>
    <d v="2016-03-11T00:00:00"/>
    <d v="2016-03-18T00:00:00"/>
    <x v="7"/>
    <x v="1"/>
  </r>
  <r>
    <x v="96"/>
    <x v="0"/>
    <x v="0"/>
    <n v="176753"/>
    <x v="0"/>
    <x v="48"/>
    <x v="36"/>
    <m/>
    <s v="NA"/>
    <n v="3"/>
    <s v="Done"/>
    <s v="BBVA"/>
    <s v="Settled BBVA"/>
    <s v="NONE"/>
    <s v="NONE"/>
    <s v="NONE"/>
    <s v="NONE"/>
    <d v="2016-03-11T00:00:00"/>
    <d v="2016-03-18T00:00:00"/>
    <x v="7"/>
    <x v="1"/>
  </r>
  <r>
    <x v="97"/>
    <x v="0"/>
    <x v="0"/>
    <n v="1932271"/>
    <x v="0"/>
    <x v="112"/>
    <x v="22"/>
    <m/>
    <s v="NA"/>
    <n v="34.950000000000003"/>
    <s v="Done"/>
    <s v="BBVA"/>
    <s v="Settled BBVA"/>
    <s v="NONE"/>
    <s v="NONE"/>
    <s v="NONE"/>
    <s v="NONE"/>
    <d v="2016-03-18T00:00:00"/>
    <d v="2016-03-25T00:00:00"/>
    <x v="7"/>
    <x v="1"/>
  </r>
  <r>
    <x v="97"/>
    <x v="5"/>
    <x v="3"/>
    <n v="76899236"/>
    <x v="1"/>
    <x v="127"/>
    <x v="29"/>
    <m/>
    <s v="NA"/>
    <n v="18.52"/>
    <s v="Done"/>
    <s v="Miguel"/>
    <s v="Settled BBVA"/>
    <s v="2HSCUAPR79CO93785"/>
    <s v="International"/>
    <n v="2009"/>
    <s v="Prostar Eagle"/>
    <d v="2016-03-18T00:00:00"/>
    <d v="2016-03-25T00:00:00"/>
    <x v="7"/>
    <x v="1"/>
  </r>
  <r>
    <x v="98"/>
    <x v="0"/>
    <x v="0"/>
    <m/>
    <x v="0"/>
    <x v="128"/>
    <x v="19"/>
    <m/>
    <s v="NA"/>
    <n v="8"/>
    <s v="Done"/>
    <s v="BBVA"/>
    <s v="Settled BBVA"/>
    <s v="NONE"/>
    <s v="NONE"/>
    <s v="NONE"/>
    <s v="NONE"/>
    <d v="2016-03-18T00:00:00"/>
    <d v="2016-03-25T00:00:00"/>
    <x v="7"/>
    <x v="1"/>
  </r>
  <r>
    <x v="98"/>
    <x v="0"/>
    <x v="0"/>
    <m/>
    <x v="0"/>
    <x v="129"/>
    <x v="19"/>
    <m/>
    <s v="NA"/>
    <n v="11"/>
    <s v="Done"/>
    <s v="BBVA"/>
    <s v="Settled BBVA"/>
    <s v="NONE"/>
    <s v="NONE"/>
    <s v="NONE"/>
    <s v="NONE"/>
    <d v="2016-03-18T00:00:00"/>
    <d v="2016-03-25T00:00:00"/>
    <x v="7"/>
    <x v="1"/>
  </r>
  <r>
    <x v="99"/>
    <x v="5"/>
    <x v="3"/>
    <n v="48371"/>
    <x v="1"/>
    <x v="116"/>
    <x v="84"/>
    <m/>
    <s v="NA"/>
    <n v="55.3"/>
    <s v="Done"/>
    <s v="BBVA"/>
    <s v="Settled BBVA"/>
    <s v="2HSCUAPR79CO93785"/>
    <s v="International"/>
    <n v="2009"/>
    <s v="Prostar Eagle"/>
    <d v="2016-03-18T00:00:00"/>
    <d v="2016-03-25T00:00:00"/>
    <x v="7"/>
    <x v="1"/>
  </r>
  <r>
    <x v="100"/>
    <x v="0"/>
    <x v="0"/>
    <m/>
    <x v="0"/>
    <x v="100"/>
    <x v="67"/>
    <m/>
    <s v="NA"/>
    <n v="35.299999999999997"/>
    <s v="Done"/>
    <s v="BBVA"/>
    <s v="Settled BBVA"/>
    <s v="NONE"/>
    <s v="NONE"/>
    <s v="NONE"/>
    <s v="NONE"/>
    <d v="2016-03-25T00:00:00"/>
    <d v="2016-04-01T00:00:00"/>
    <x v="7"/>
    <x v="1"/>
  </r>
  <r>
    <x v="101"/>
    <x v="0"/>
    <x v="1"/>
    <n v="755250649"/>
    <x v="0"/>
    <x v="130"/>
    <x v="85"/>
    <m/>
    <s v="NA"/>
    <n v="87.56"/>
    <s v="Done"/>
    <s v="BBVA"/>
    <s v="Settled BBVA"/>
    <s v="NONE"/>
    <s v="NONE"/>
    <s v="NONE"/>
    <s v="NONE"/>
    <d v="2016-03-25T00:00:00"/>
    <d v="2016-04-01T00:00:00"/>
    <x v="7"/>
    <x v="1"/>
  </r>
  <r>
    <x v="101"/>
    <x v="5"/>
    <x v="3"/>
    <n v="5603746"/>
    <x v="1"/>
    <x v="131"/>
    <x v="65"/>
    <m/>
    <s v="NA"/>
    <n v="19.989999999999998"/>
    <s v="Done"/>
    <s v="Miguel"/>
    <s v="Settled BBVA"/>
    <s v="2HSCUAPR79CO93785"/>
    <s v="International"/>
    <n v="2009"/>
    <s v="Prostar Eagle"/>
    <d v="2016-03-25T00:00:00"/>
    <d v="2016-04-01T00:00:00"/>
    <x v="7"/>
    <x v="1"/>
  </r>
  <r>
    <x v="102"/>
    <x v="1"/>
    <x v="3"/>
    <n v="715315"/>
    <x v="1"/>
    <x v="132"/>
    <x v="86"/>
    <m/>
    <s v="NA"/>
    <n v="16.12"/>
    <s v="Done"/>
    <s v="BBVA"/>
    <s v="Settled BBVA"/>
    <s v="2HSCUAPR88C657099"/>
    <s v="International"/>
    <n v="2008"/>
    <s v="Prostar Eagle"/>
    <d v="2016-04-01T00:00:00"/>
    <d v="2016-04-08T00:00:00"/>
    <x v="7"/>
    <x v="1"/>
  </r>
  <r>
    <x v="103"/>
    <x v="1"/>
    <x v="0"/>
    <n v="7042"/>
    <x v="0"/>
    <x v="133"/>
    <x v="21"/>
    <m/>
    <s v="NA"/>
    <n v="60"/>
    <s v="Done"/>
    <s v="BBVA"/>
    <s v="Settled BBVA"/>
    <s v="2HSCUAPR88C657099"/>
    <s v="International"/>
    <n v="2008"/>
    <s v="Prostar Eagle"/>
    <d v="2016-04-01T00:00:00"/>
    <d v="2016-04-08T00:00:00"/>
    <x v="8"/>
    <x v="1"/>
  </r>
  <r>
    <x v="103"/>
    <x v="1"/>
    <x v="2"/>
    <m/>
    <x v="0"/>
    <x v="6"/>
    <x v="5"/>
    <m/>
    <s v="NA"/>
    <n v="125"/>
    <s v="Done"/>
    <s v="BBVA"/>
    <s v="Settled BBVA"/>
    <s v="2HSCUAPR88C657099"/>
    <s v="International"/>
    <n v="2008"/>
    <s v="Prostar Eagle"/>
    <d v="2016-04-01T00:00:00"/>
    <d v="2016-04-08T00:00:00"/>
    <x v="8"/>
    <x v="1"/>
  </r>
  <r>
    <x v="103"/>
    <x v="5"/>
    <x v="2"/>
    <m/>
    <x v="0"/>
    <x v="6"/>
    <x v="5"/>
    <m/>
    <s v="NA"/>
    <n v="125"/>
    <s v="Done"/>
    <s v="BBVA"/>
    <s v="Settled BBVA"/>
    <s v="2HSCUAPR79CO93785"/>
    <s v="International"/>
    <n v="2009"/>
    <s v="Prostar Eagle"/>
    <d v="2016-04-01T00:00:00"/>
    <d v="2016-04-08T00:00:00"/>
    <x v="8"/>
    <x v="1"/>
  </r>
  <r>
    <x v="104"/>
    <x v="5"/>
    <x v="3"/>
    <n v="7381"/>
    <x v="4"/>
    <x v="134"/>
    <x v="11"/>
    <m/>
    <n v="4"/>
    <n v="1650"/>
    <s v="Done"/>
    <s v="BBVA"/>
    <s v="Settled BBVA"/>
    <s v="2HSCUAPR79CO93785"/>
    <s v="International"/>
    <n v="2009"/>
    <s v="Prostar Eagle"/>
    <d v="2016-04-08T00:00:00"/>
    <d v="2016-04-15T00:00:00"/>
    <x v="8"/>
    <x v="1"/>
  </r>
  <r>
    <x v="104"/>
    <x v="5"/>
    <x v="3"/>
    <n v="7381"/>
    <x v="3"/>
    <x v="135"/>
    <x v="11"/>
    <m/>
    <s v="NA"/>
    <n v="1830"/>
    <s v="Done"/>
    <s v="BBVA"/>
    <s v="Settled BBVA"/>
    <s v="2HSCUAPR79CO93785"/>
    <s v="International"/>
    <n v="2009"/>
    <s v="Prostar Eagle"/>
    <d v="2016-04-08T00:00:00"/>
    <d v="2016-04-15T00:00:00"/>
    <x v="8"/>
    <x v="1"/>
  </r>
  <r>
    <x v="105"/>
    <x v="5"/>
    <x v="3"/>
    <s v="W3102"/>
    <x v="3"/>
    <x v="136"/>
    <x v="87"/>
    <m/>
    <s v="NA"/>
    <n v="4301.4799999999996"/>
    <s v="Done"/>
    <s v="BBVA"/>
    <s v="Settled BBVA"/>
    <s v="2HSCUAPR79CO93785"/>
    <s v="International"/>
    <n v="2009"/>
    <s v="Prostar Eagle"/>
    <d v="2016-04-08T00:00:00"/>
    <d v="2016-04-15T00:00:00"/>
    <x v="8"/>
    <x v="1"/>
  </r>
  <r>
    <x v="105"/>
    <x v="0"/>
    <x v="0"/>
    <m/>
    <x v="0"/>
    <x v="137"/>
    <x v="37"/>
    <m/>
    <s v="NA"/>
    <n v="302.7"/>
    <s v="Done"/>
    <s v="BBVA"/>
    <s v="Settled BBVA"/>
    <s v="NONE"/>
    <s v="NONE"/>
    <s v="NONE"/>
    <s v="NONE"/>
    <d v="2016-04-08T00:00:00"/>
    <d v="2016-04-15T00:00:00"/>
    <x v="8"/>
    <x v="1"/>
  </r>
  <r>
    <x v="106"/>
    <x v="1"/>
    <x v="3"/>
    <n v="210"/>
    <x v="4"/>
    <x v="24"/>
    <x v="88"/>
    <m/>
    <s v="NA"/>
    <n v="1700"/>
    <s v="Done"/>
    <s v="BBVA"/>
    <s v="Settled BBVA"/>
    <s v="2HSCUAPR88C657099"/>
    <s v="International"/>
    <n v="2008"/>
    <s v="Prostar Eagle"/>
    <d v="2016-04-08T00:00:00"/>
    <d v="2016-04-15T00:00:00"/>
    <x v="8"/>
    <x v="1"/>
  </r>
  <r>
    <x v="106"/>
    <x v="0"/>
    <x v="1"/>
    <n v="2500"/>
    <x v="0"/>
    <x v="130"/>
    <x v="14"/>
    <m/>
    <s v="NA"/>
    <n v="45.26"/>
    <s v="Done"/>
    <s v="BBVA"/>
    <s v="Settled BBVA"/>
    <s v="NONE"/>
    <s v="NONE"/>
    <s v="NONE"/>
    <s v="NONE"/>
    <d v="2016-04-08T00:00:00"/>
    <d v="2016-04-15T00:00:00"/>
    <x v="8"/>
    <x v="1"/>
  </r>
  <r>
    <x v="106"/>
    <x v="1"/>
    <x v="3"/>
    <s v="01P58452"/>
    <x v="3"/>
    <x v="138"/>
    <x v="39"/>
    <m/>
    <n v="1"/>
    <n v="38.14"/>
    <s v="Done"/>
    <s v="BBVA"/>
    <s v="Settled BBVA"/>
    <s v="2HSCUAPR88C657099"/>
    <s v="International"/>
    <n v="2008"/>
    <s v="Prostar Eagle"/>
    <d v="2016-04-08T00:00:00"/>
    <d v="2016-04-15T00:00:00"/>
    <x v="8"/>
    <x v="1"/>
  </r>
  <r>
    <x v="106"/>
    <x v="1"/>
    <x v="3"/>
    <s v="01P58447"/>
    <x v="3"/>
    <x v="139"/>
    <x v="39"/>
    <m/>
    <n v="1"/>
    <n v="28.42"/>
    <s v="Done"/>
    <s v="BBVA"/>
    <s v="Settled BBVA"/>
    <s v="2HSCUAPR88C657099"/>
    <s v="International"/>
    <n v="2008"/>
    <s v="Prostar Eagle"/>
    <d v="2016-04-08T00:00:00"/>
    <d v="2016-04-15T00:00:00"/>
    <x v="8"/>
    <x v="1"/>
  </r>
  <r>
    <x v="106"/>
    <x v="1"/>
    <x v="3"/>
    <s v="01P58433"/>
    <x v="3"/>
    <x v="140"/>
    <x v="39"/>
    <m/>
    <n v="1"/>
    <n v="470"/>
    <s v="Done"/>
    <s v="BBVA"/>
    <s v="Settled BBVA"/>
    <s v="2HSCUAPR88C657099"/>
    <s v="International"/>
    <n v="2008"/>
    <s v="Prostar Eagle"/>
    <d v="2016-04-08T00:00:00"/>
    <d v="2016-04-15T00:00:00"/>
    <x v="8"/>
    <x v="1"/>
  </r>
  <r>
    <x v="106"/>
    <x v="5"/>
    <x v="3"/>
    <s v="01P58452"/>
    <x v="3"/>
    <x v="141"/>
    <x v="39"/>
    <m/>
    <n v="1"/>
    <n v="38.14"/>
    <s v="Done"/>
    <s v="BBVA"/>
    <s v="Settled BBVA"/>
    <s v="2HSCUAPR79CO93785"/>
    <s v="International"/>
    <n v="2009"/>
    <s v="Prostar Eagle"/>
    <d v="2016-04-08T00:00:00"/>
    <d v="2016-04-15T00:00:00"/>
    <x v="8"/>
    <x v="1"/>
  </r>
  <r>
    <x v="107"/>
    <x v="0"/>
    <x v="0"/>
    <n v="176753"/>
    <x v="0"/>
    <x v="48"/>
    <x v="36"/>
    <m/>
    <s v="NA"/>
    <n v="3"/>
    <s v="Done"/>
    <s v="BBVA"/>
    <s v="Settled BBVA"/>
    <s v="NONE"/>
    <s v="NONE"/>
    <s v="NONE"/>
    <s v="NONE"/>
    <d v="2016-04-08T00:00:00"/>
    <d v="2016-04-15T00:00:00"/>
    <x v="8"/>
    <x v="1"/>
  </r>
  <r>
    <x v="108"/>
    <x v="0"/>
    <x v="0"/>
    <m/>
    <x v="0"/>
    <x v="41"/>
    <x v="32"/>
    <m/>
    <s v="NA"/>
    <n v="115"/>
    <s v="Done"/>
    <s v="BBVA"/>
    <s v="Settled BBVA"/>
    <s v="NONE"/>
    <s v="NONE"/>
    <s v="NONE"/>
    <s v="NONE"/>
    <d v="2016-04-15T00:00:00"/>
    <d v="2016-04-22T00:00:00"/>
    <x v="8"/>
    <x v="1"/>
  </r>
  <r>
    <x v="108"/>
    <x v="5"/>
    <x v="3"/>
    <n v="7381"/>
    <x v="3"/>
    <x v="142"/>
    <x v="11"/>
    <m/>
    <s v="NA"/>
    <n v="2279"/>
    <s v="Done"/>
    <s v="BBVA"/>
    <s v="Settled BBVA"/>
    <s v="2HSCUAPR79CO93785"/>
    <s v="International"/>
    <n v="2009"/>
    <s v="Prostar Eagle"/>
    <d v="2016-04-15T00:00:00"/>
    <d v="2016-04-22T00:00:00"/>
    <x v="8"/>
    <x v="1"/>
  </r>
  <r>
    <x v="109"/>
    <x v="1"/>
    <x v="3"/>
    <n v="137164"/>
    <x v="1"/>
    <x v="143"/>
    <x v="7"/>
    <m/>
    <s v="NA"/>
    <n v="520.4"/>
    <s v="Done"/>
    <s v="BBVA"/>
    <s v="Settled BBVA"/>
    <s v="2HSCUAPR88C657099"/>
    <s v="International"/>
    <n v="2008"/>
    <s v="Prostar Eagle"/>
    <d v="2016-04-15T00:00:00"/>
    <d v="2016-04-22T00:00:00"/>
    <x v="8"/>
    <x v="1"/>
  </r>
  <r>
    <x v="109"/>
    <x v="5"/>
    <x v="3"/>
    <n v="159681"/>
    <x v="1"/>
    <x v="73"/>
    <x v="7"/>
    <m/>
    <s v="NA"/>
    <n v="425.08"/>
    <s v="Done"/>
    <s v="BBVA"/>
    <s v="Settled BBVA"/>
    <s v="2HSCUAPR79CO93785"/>
    <s v="International"/>
    <n v="2009"/>
    <s v="Prostar Eagle"/>
    <d v="2016-04-15T00:00:00"/>
    <d v="2016-04-22T00:00:00"/>
    <x v="8"/>
    <x v="1"/>
  </r>
  <r>
    <x v="110"/>
    <x v="0"/>
    <x v="0"/>
    <m/>
    <x v="0"/>
    <x v="112"/>
    <x v="22"/>
    <m/>
    <s v="NA"/>
    <n v="34.950000000000003"/>
    <s v="Done"/>
    <s v="BBVA"/>
    <s v="Settled BBVA"/>
    <s v="NONE"/>
    <s v="NONE"/>
    <s v="NONE"/>
    <s v="NONE"/>
    <d v="2016-04-15T00:00:00"/>
    <d v="2016-04-22T00:00:00"/>
    <x v="8"/>
    <x v="1"/>
  </r>
  <r>
    <x v="111"/>
    <x v="0"/>
    <x v="0"/>
    <m/>
    <x v="0"/>
    <x v="112"/>
    <x v="22"/>
    <m/>
    <s v="NA"/>
    <n v="34.950000000000003"/>
    <s v="Done"/>
    <s v="BBVA"/>
    <s v="Settled BBVA"/>
    <s v="NONE"/>
    <s v="NONE"/>
    <s v="NONE"/>
    <s v="NONE"/>
    <d v="2016-04-15T00:00:00"/>
    <d v="2016-04-22T00:00:00"/>
    <x v="8"/>
    <x v="1"/>
  </r>
  <r>
    <x v="111"/>
    <x v="0"/>
    <x v="0"/>
    <m/>
    <x v="0"/>
    <x v="144"/>
    <x v="19"/>
    <m/>
    <s v="NA"/>
    <n v="5"/>
    <s v="Done"/>
    <s v="BBVA"/>
    <s v="Settled BBVA"/>
    <s v="NONE"/>
    <s v="NONE"/>
    <s v="NONE"/>
    <s v="NONE"/>
    <d v="2016-04-15T00:00:00"/>
    <d v="2016-04-22T00:00:00"/>
    <x v="8"/>
    <x v="1"/>
  </r>
  <r>
    <x v="111"/>
    <x v="0"/>
    <x v="4"/>
    <m/>
    <x v="0"/>
    <x v="145"/>
    <x v="89"/>
    <m/>
    <s v="NA"/>
    <n v="50"/>
    <s v="Done"/>
    <s v="BBVA"/>
    <s v="Settled BBVA"/>
    <s v="NONE"/>
    <s v="NONE"/>
    <s v="NONE"/>
    <s v="NONE"/>
    <d v="2016-04-15T00:00:00"/>
    <d v="2016-04-22T00:00:00"/>
    <x v="8"/>
    <x v="1"/>
  </r>
  <r>
    <x v="112"/>
    <x v="5"/>
    <x v="3"/>
    <n v="793031"/>
    <x v="1"/>
    <x v="146"/>
    <x v="90"/>
    <m/>
    <s v="NA"/>
    <n v="38.76"/>
    <s v="Done"/>
    <s v="BBVA"/>
    <s v="Settled BBVA"/>
    <s v="2HSCUAPR79CO93785"/>
    <s v="International"/>
    <n v="2009"/>
    <s v="Prostar Eagle"/>
    <d v="2016-04-15T00:00:00"/>
    <d v="2016-04-22T00:00:00"/>
    <x v="8"/>
    <x v="1"/>
  </r>
  <r>
    <x v="113"/>
    <x v="0"/>
    <x v="0"/>
    <m/>
    <x v="0"/>
    <x v="100"/>
    <x v="67"/>
    <m/>
    <s v="NA"/>
    <n v="35.299999999999997"/>
    <s v="Done"/>
    <s v="BBVA"/>
    <s v="Settled BBVA"/>
    <s v="NONE"/>
    <s v="NONE"/>
    <s v="NONE"/>
    <s v="NONE"/>
    <d v="2016-04-22T00:00:00"/>
    <d v="2016-04-29T00:00:00"/>
    <x v="8"/>
    <x v="1"/>
  </r>
  <r>
    <x v="113"/>
    <x v="0"/>
    <x v="4"/>
    <m/>
    <x v="0"/>
    <x v="147"/>
    <x v="89"/>
    <m/>
    <s v="NA"/>
    <n v="200"/>
    <s v="Done"/>
    <s v="BBVA"/>
    <s v="Settled BBVA"/>
    <s v="NONE"/>
    <s v="NONE"/>
    <s v="NONE"/>
    <s v="NONE"/>
    <d v="2016-04-22T00:00:00"/>
    <d v="2016-04-29T00:00:00"/>
    <x v="8"/>
    <x v="1"/>
  </r>
  <r>
    <x v="113"/>
    <x v="5"/>
    <x v="3"/>
    <n v="2272431"/>
    <x v="1"/>
    <x v="148"/>
    <x v="65"/>
    <m/>
    <s v="NA"/>
    <n v="89.99"/>
    <s v="Done"/>
    <s v="BBVA"/>
    <s v="Settled BBVA"/>
    <s v="2HSCUAPR79CO93785"/>
    <s v="International"/>
    <n v="2009"/>
    <s v="Prostar Eagle"/>
    <d v="2016-04-22T00:00:00"/>
    <d v="2016-04-29T00:00:00"/>
    <x v="8"/>
    <x v="1"/>
  </r>
  <r>
    <x v="114"/>
    <x v="5"/>
    <x v="3"/>
    <s v="W3135"/>
    <x v="3"/>
    <x v="149"/>
    <x v="87"/>
    <m/>
    <n v="1"/>
    <n v="211.19"/>
    <s v="Done"/>
    <s v="BBVA"/>
    <s v="Settled BBVA"/>
    <s v="2HSCUAPR79CO93785"/>
    <s v="International"/>
    <n v="2009"/>
    <s v="Prostar Eagle"/>
    <d v="2016-04-22T00:00:00"/>
    <d v="2016-04-29T00:00:00"/>
    <x v="8"/>
    <x v="1"/>
  </r>
  <r>
    <x v="114"/>
    <x v="5"/>
    <x v="3"/>
    <s v="W3135"/>
    <x v="3"/>
    <x v="150"/>
    <x v="87"/>
    <m/>
    <n v="1"/>
    <n v="44.82"/>
    <s v="Done"/>
    <s v="BBVA"/>
    <s v="Settled BBVA"/>
    <s v="2HSCUAPR79CO93785"/>
    <s v="International"/>
    <n v="2009"/>
    <s v="Prostar Eagle"/>
    <d v="2016-04-22T00:00:00"/>
    <d v="2016-04-29T00:00:00"/>
    <x v="8"/>
    <x v="1"/>
  </r>
  <r>
    <x v="114"/>
    <x v="5"/>
    <x v="3"/>
    <s v="W3135"/>
    <x v="3"/>
    <x v="151"/>
    <x v="87"/>
    <m/>
    <n v="1"/>
    <n v="2172.35"/>
    <s v="Done"/>
    <s v="BBVA"/>
    <s v="Settled BBVA"/>
    <s v="2HSCUAPR79CO93785"/>
    <s v="International"/>
    <n v="2009"/>
    <s v="Prostar Eagle"/>
    <d v="2016-04-22T00:00:00"/>
    <d v="2016-04-29T00:00:00"/>
    <x v="8"/>
    <x v="1"/>
  </r>
  <r>
    <x v="114"/>
    <x v="5"/>
    <x v="3"/>
    <s v="W3135"/>
    <x v="3"/>
    <x v="152"/>
    <x v="87"/>
    <m/>
    <n v="4"/>
    <n v="423.36"/>
    <s v="Done"/>
    <s v="BBVA"/>
    <s v="Settled BBVA"/>
    <s v="2HSCUAPR79CO93785"/>
    <s v="International"/>
    <n v="2009"/>
    <s v="Prostar Eagle"/>
    <d v="2016-04-22T00:00:00"/>
    <d v="2016-04-29T00:00:00"/>
    <x v="8"/>
    <x v="1"/>
  </r>
  <r>
    <x v="114"/>
    <x v="5"/>
    <x v="3"/>
    <s v="W3135"/>
    <x v="3"/>
    <x v="153"/>
    <x v="87"/>
    <m/>
    <n v="1"/>
    <n v="395.65"/>
    <s v="Done"/>
    <s v="BBVA"/>
    <s v="Settled BBVA"/>
    <s v="2HSCUAPR79CO93785"/>
    <s v="International"/>
    <n v="2009"/>
    <s v="Prostar Eagle"/>
    <d v="2016-04-22T00:00:00"/>
    <d v="2016-04-29T00:00:00"/>
    <x v="8"/>
    <x v="1"/>
  </r>
  <r>
    <x v="115"/>
    <x v="1"/>
    <x v="3"/>
    <s v="02P57179"/>
    <x v="3"/>
    <x v="154"/>
    <x v="39"/>
    <m/>
    <n v="1"/>
    <n v="122.25"/>
    <s v="Done"/>
    <s v="BBVA"/>
    <s v="Settled BBVA"/>
    <s v="2HSCUAPR88C657099"/>
    <s v="International"/>
    <n v="2008"/>
    <s v="Prostar Eagle"/>
    <d v="2016-04-29T00:00:00"/>
    <d v="2016-05-06T00:00:00"/>
    <x v="8"/>
    <x v="1"/>
  </r>
  <r>
    <x v="116"/>
    <x v="0"/>
    <x v="0"/>
    <m/>
    <x v="0"/>
    <x v="155"/>
    <x v="72"/>
    <m/>
    <s v="NA"/>
    <n v="161"/>
    <s v="Done"/>
    <s v="BBVA"/>
    <s v="Settled BBVA"/>
    <s v="NONE"/>
    <s v="NONE"/>
    <s v="NONE"/>
    <s v="NONE"/>
    <d v="2016-04-29T00:00:00"/>
    <d v="2016-05-06T00:00:00"/>
    <x v="8"/>
    <x v="1"/>
  </r>
  <r>
    <x v="116"/>
    <x v="0"/>
    <x v="4"/>
    <m/>
    <x v="0"/>
    <x v="156"/>
    <x v="91"/>
    <m/>
    <s v="NA"/>
    <n v="175"/>
    <s v="Done"/>
    <s v="BBVA"/>
    <s v="Settled BBVA"/>
    <s v="NONE"/>
    <s v="NONE"/>
    <s v="NONE"/>
    <s v="NONE"/>
    <d v="2016-04-29T00:00:00"/>
    <d v="2016-05-06T00:00:00"/>
    <x v="8"/>
    <x v="1"/>
  </r>
  <r>
    <x v="117"/>
    <x v="0"/>
    <x v="1"/>
    <m/>
    <x v="0"/>
    <x v="157"/>
    <x v="48"/>
    <m/>
    <n v="1"/>
    <n v="27.39"/>
    <s v="Done"/>
    <s v="BBVA"/>
    <s v="Settled BBVA"/>
    <s v="NONE"/>
    <s v="NONE"/>
    <s v="NONE"/>
    <s v="NONE"/>
    <d v="2016-04-29T00:00:00"/>
    <d v="2016-05-06T00:00:00"/>
    <x v="8"/>
    <x v="1"/>
  </r>
  <r>
    <x v="117"/>
    <x v="0"/>
    <x v="1"/>
    <n v="446259"/>
    <x v="0"/>
    <x v="158"/>
    <x v="92"/>
    <m/>
    <n v="1"/>
    <n v="15"/>
    <s v="Done"/>
    <s v="BBVA"/>
    <s v="Settled BBVA"/>
    <s v="NONE"/>
    <s v="NONE"/>
    <s v="NONE"/>
    <s v="NONE"/>
    <d v="2016-04-29T00:00:00"/>
    <d v="2016-05-06T00:00:00"/>
    <x v="8"/>
    <x v="1"/>
  </r>
  <r>
    <x v="118"/>
    <x v="1"/>
    <x v="2"/>
    <m/>
    <x v="0"/>
    <x v="6"/>
    <x v="5"/>
    <m/>
    <s v="NA"/>
    <n v="125"/>
    <s v="Done"/>
    <s v="BBVA"/>
    <s v="Settled BBVA"/>
    <s v="2HSCUAPR88C657099"/>
    <s v="International"/>
    <n v="2008"/>
    <s v="Prostar Eagle"/>
    <d v="2016-04-29T00:00:00"/>
    <d v="2016-05-06T00:00:00"/>
    <x v="9"/>
    <x v="1"/>
  </r>
  <r>
    <x v="118"/>
    <x v="5"/>
    <x v="2"/>
    <m/>
    <x v="0"/>
    <x v="6"/>
    <x v="5"/>
    <m/>
    <s v="NA"/>
    <n v="125"/>
    <s v="Done"/>
    <s v="BBVA"/>
    <s v="Settled BBVA"/>
    <s v="2HSCUAPR79CO93785"/>
    <s v="International"/>
    <n v="2009"/>
    <s v="Prostar Eagle"/>
    <d v="2016-04-29T00:00:00"/>
    <d v="2016-05-06T00:00:00"/>
    <x v="9"/>
    <x v="1"/>
  </r>
  <r>
    <x v="119"/>
    <x v="0"/>
    <x v="1"/>
    <m/>
    <x v="0"/>
    <x v="159"/>
    <x v="93"/>
    <m/>
    <s v="NA"/>
    <n v="25.89"/>
    <s v="Done"/>
    <s v="BBVA"/>
    <s v="Settled BBVA"/>
    <s v="NONE"/>
    <s v="NONE"/>
    <s v="NONE"/>
    <s v="NONE"/>
    <d v="2016-05-06T00:00:00"/>
    <d v="2016-05-13T00:00:00"/>
    <x v="9"/>
    <x v="1"/>
  </r>
  <r>
    <x v="119"/>
    <x v="0"/>
    <x v="0"/>
    <m/>
    <x v="0"/>
    <x v="160"/>
    <x v="94"/>
    <m/>
    <s v="NA"/>
    <n v="206"/>
    <s v="Done"/>
    <s v="BBVA"/>
    <s v="Settled BBVA"/>
    <s v="NONE"/>
    <s v="NONE"/>
    <s v="NONE"/>
    <s v="NONE"/>
    <d v="2016-05-06T00:00:00"/>
    <d v="2016-05-13T00:00:00"/>
    <x v="9"/>
    <x v="1"/>
  </r>
  <r>
    <x v="120"/>
    <x v="4"/>
    <x v="3"/>
    <n v="7536"/>
    <x v="4"/>
    <x v="161"/>
    <x v="11"/>
    <m/>
    <n v="2"/>
    <n v="450"/>
    <s v="Done"/>
    <s v="BBVA"/>
    <s v="Settled BBVA"/>
    <s v="1GRAA0625XB130354"/>
    <s v="Grate Dane"/>
    <n v="1999"/>
    <s v="DryVan"/>
    <d v="2016-05-06T00:00:00"/>
    <d v="2016-05-13T00:00:00"/>
    <x v="9"/>
    <x v="1"/>
  </r>
  <r>
    <x v="120"/>
    <x v="8"/>
    <x v="0"/>
    <s v="41012502/42011077"/>
    <x v="0"/>
    <x v="15"/>
    <x v="95"/>
    <m/>
    <n v="1"/>
    <n v="12.5"/>
    <s v="Done"/>
    <s v="Miguel"/>
    <s v="Settled BBVA"/>
    <s v="NONE"/>
    <s v="NONE"/>
    <s v="NONE"/>
    <s v="NONE"/>
    <d v="2016-05-06T00:00:00"/>
    <d v="2016-05-13T00:00:00"/>
    <x v="9"/>
    <x v="1"/>
  </r>
  <r>
    <x v="121"/>
    <x v="0"/>
    <x v="0"/>
    <m/>
    <x v="0"/>
    <x v="162"/>
    <x v="37"/>
    <m/>
    <s v="NA"/>
    <n v="35"/>
    <s v="Done"/>
    <s v="BBVA"/>
    <s v="Settled BBVA"/>
    <s v="NONE"/>
    <s v="NONE"/>
    <s v="NONE"/>
    <s v="NONE"/>
    <d v="2016-05-06T00:00:00"/>
    <d v="2016-05-13T00:00:00"/>
    <x v="9"/>
    <x v="1"/>
  </r>
  <r>
    <x v="122"/>
    <x v="1"/>
    <x v="3"/>
    <s v="01P62051"/>
    <x v="3"/>
    <x v="163"/>
    <x v="39"/>
    <m/>
    <n v="1"/>
    <n v="26.17"/>
    <s v="Done"/>
    <s v="BBVA"/>
    <s v="Settled BBVA"/>
    <s v="2HSCUAPR88C657099"/>
    <s v="International"/>
    <n v="2008"/>
    <s v="Prostar Eagle"/>
    <d v="2016-05-06T00:00:00"/>
    <d v="2016-05-13T00:00:00"/>
    <x v="9"/>
    <x v="1"/>
  </r>
  <r>
    <x v="123"/>
    <x v="5"/>
    <x v="3"/>
    <s v="01P62350"/>
    <x v="3"/>
    <x v="164"/>
    <x v="39"/>
    <m/>
    <n v="1"/>
    <n v="529.77"/>
    <s v="Done"/>
    <s v="BBVA"/>
    <s v="Settled BBVA"/>
    <s v="2HSCUAPR79CO93785"/>
    <s v="International"/>
    <n v="2009"/>
    <s v="Prostar Eagle"/>
    <d v="2016-05-06T00:00:00"/>
    <d v="2016-05-13T00:00:00"/>
    <x v="9"/>
    <x v="1"/>
  </r>
  <r>
    <x v="124"/>
    <x v="5"/>
    <x v="3"/>
    <s v="w3219"/>
    <x v="3"/>
    <x v="165"/>
    <x v="87"/>
    <m/>
    <n v="1"/>
    <n v="249.76"/>
    <s v="Done"/>
    <s v="BBVA"/>
    <s v="Settled BBVA"/>
    <s v="2HSCUAPR79CO93785"/>
    <s v="International"/>
    <n v="2009"/>
    <s v="Prostar Eagle"/>
    <d v="2016-05-13T00:00:00"/>
    <d v="2016-05-20T00:00:00"/>
    <x v="9"/>
    <x v="1"/>
  </r>
  <r>
    <x v="125"/>
    <x v="0"/>
    <x v="0"/>
    <n v="176753"/>
    <x v="0"/>
    <x v="48"/>
    <x v="36"/>
    <m/>
    <s v="NA"/>
    <n v="3"/>
    <s v="Done"/>
    <s v="BBVA"/>
    <s v="Settled BBVA"/>
    <s v="NONE"/>
    <s v="NONE"/>
    <s v="NONE"/>
    <s v="NONE"/>
    <d v="2016-05-13T00:00:00"/>
    <d v="2016-05-20T00:00:00"/>
    <x v="9"/>
    <x v="1"/>
  </r>
  <r>
    <x v="126"/>
    <x v="0"/>
    <x v="0"/>
    <m/>
    <x v="0"/>
    <x v="41"/>
    <x v="32"/>
    <m/>
    <s v="NA"/>
    <n v="115"/>
    <s v="Done"/>
    <s v="BBVA"/>
    <s v="Settled BBVA"/>
    <s v="NONE"/>
    <s v="NONE"/>
    <s v="NONE"/>
    <s v="NONE"/>
    <d v="2016-05-13T00:00:00"/>
    <d v="2016-05-20T00:00:00"/>
    <x v="9"/>
    <x v="1"/>
  </r>
  <r>
    <x v="127"/>
    <x v="3"/>
    <x v="0"/>
    <n v="88903462"/>
    <x v="0"/>
    <x v="15"/>
    <x v="96"/>
    <m/>
    <n v="1"/>
    <n v="10.5"/>
    <s v="Done"/>
    <s v="Arturo"/>
    <s v="Settled BBVA"/>
    <s v="NONE"/>
    <s v="NONE"/>
    <s v="NONE"/>
    <s v="NONE"/>
    <d v="2016-05-13T00:00:00"/>
    <d v="2016-05-20T00:00:00"/>
    <x v="9"/>
    <x v="1"/>
  </r>
  <r>
    <x v="127"/>
    <x v="3"/>
    <x v="0"/>
    <n v="88903449"/>
    <x v="0"/>
    <x v="15"/>
    <x v="96"/>
    <m/>
    <n v="1"/>
    <n v="10.5"/>
    <s v="Done"/>
    <s v="Arturo"/>
    <s v="Settled BBVA"/>
    <s v="NONE"/>
    <s v="NONE"/>
    <s v="NONE"/>
    <s v="NONE"/>
    <d v="2016-05-13T00:00:00"/>
    <d v="2016-05-20T00:00:00"/>
    <x v="9"/>
    <x v="1"/>
  </r>
  <r>
    <x v="127"/>
    <x v="5"/>
    <x v="1"/>
    <n v="7694"/>
    <x v="0"/>
    <x v="10"/>
    <x v="21"/>
    <m/>
    <s v="NA"/>
    <n v="65"/>
    <s v="Done"/>
    <s v="Miguel"/>
    <s v="Settled BBVA"/>
    <s v="2HSCUAPR79CO93785"/>
    <s v="International"/>
    <n v="2009"/>
    <s v="Prostar Eagle"/>
    <d v="2016-05-13T00:00:00"/>
    <d v="2016-05-20T00:00:00"/>
    <x v="9"/>
    <x v="1"/>
  </r>
  <r>
    <x v="128"/>
    <x v="0"/>
    <x v="0"/>
    <n v="2020621"/>
    <x v="0"/>
    <x v="112"/>
    <x v="22"/>
    <m/>
    <s v="NA"/>
    <n v="34.950000000000003"/>
    <s v="Done"/>
    <s v="BBVA"/>
    <s v="Settled BBVA"/>
    <s v="NONE"/>
    <s v="NONE"/>
    <s v="NONE"/>
    <s v="NONE"/>
    <d v="2016-05-13T00:00:00"/>
    <d v="2016-05-20T00:00:00"/>
    <x v="9"/>
    <x v="1"/>
  </r>
  <r>
    <x v="129"/>
    <x v="0"/>
    <x v="0"/>
    <m/>
    <x v="0"/>
    <x v="112"/>
    <x v="22"/>
    <m/>
    <s v="NA"/>
    <n v="34.950000000000003"/>
    <s v="Done"/>
    <s v="BBVA"/>
    <s v="Settled BBVA"/>
    <s v="NONE"/>
    <s v="NONE"/>
    <s v="NONE"/>
    <s v="NONE"/>
    <d v="2016-05-13T00:00:00"/>
    <d v="2016-05-20T00:00:00"/>
    <x v="9"/>
    <x v="1"/>
  </r>
  <r>
    <x v="130"/>
    <x v="2"/>
    <x v="3"/>
    <m/>
    <x v="4"/>
    <x v="166"/>
    <x v="88"/>
    <m/>
    <n v="4"/>
    <n v="875"/>
    <s v="Done"/>
    <s v="BBVA"/>
    <s v="Settled BBVA"/>
    <s v="1JJV532V3BL370658"/>
    <s v="Wabash"/>
    <n v="2011"/>
    <s v="DryVan"/>
    <d v="2016-05-20T00:00:00"/>
    <d v="2016-05-27T00:00:00"/>
    <x v="9"/>
    <x v="1"/>
  </r>
  <r>
    <x v="131"/>
    <x v="0"/>
    <x v="0"/>
    <m/>
    <x v="0"/>
    <x v="100"/>
    <x v="67"/>
    <m/>
    <s v="NA"/>
    <n v="35.299999999999997"/>
    <s v="Done"/>
    <s v="BBVA"/>
    <s v="Settled BBVA"/>
    <s v="NONE"/>
    <s v="NONE"/>
    <s v="NONE"/>
    <s v="NONE"/>
    <d v="2016-05-20T00:00:00"/>
    <d v="2016-05-27T00:00:00"/>
    <x v="9"/>
    <x v="1"/>
  </r>
  <r>
    <x v="131"/>
    <x v="1"/>
    <x v="3"/>
    <n v="5865328"/>
    <x v="1"/>
    <x v="167"/>
    <x v="97"/>
    <m/>
    <n v="1"/>
    <n v="19.43"/>
    <s v="Done"/>
    <s v="BBVA"/>
    <s v="Settled BBVA"/>
    <s v="2HSCUAPR88C657099"/>
    <s v="International"/>
    <n v="2008"/>
    <s v="Prostar Eagle"/>
    <d v="2016-05-20T00:00:00"/>
    <d v="2016-05-27T00:00:00"/>
    <x v="9"/>
    <x v="1"/>
  </r>
  <r>
    <x v="132"/>
    <x v="0"/>
    <x v="1"/>
    <n v="5542"/>
    <x v="0"/>
    <x v="46"/>
    <x v="14"/>
    <m/>
    <s v="NA"/>
    <n v="8.51"/>
    <s v="Done"/>
    <s v="BBVA"/>
    <s v="Settled BBVA"/>
    <s v="NONE"/>
    <s v="NONE"/>
    <s v="NONE"/>
    <s v="NONE"/>
    <d v="2016-05-27T00:00:00"/>
    <d v="2016-06-03T00:00:00"/>
    <x v="9"/>
    <x v="1"/>
  </r>
  <r>
    <x v="133"/>
    <x v="0"/>
    <x v="1"/>
    <n v="2748"/>
    <x v="0"/>
    <x v="168"/>
    <x v="14"/>
    <m/>
    <s v="NA"/>
    <n v="29.89"/>
    <s v="Done"/>
    <s v="BBVA"/>
    <s v="Settled BBVA"/>
    <s v="NONE"/>
    <s v="NONE"/>
    <s v="NONE"/>
    <s v="NONE"/>
    <d v="2016-05-27T00:00:00"/>
    <d v="2016-06-03T00:00:00"/>
    <x v="9"/>
    <x v="1"/>
  </r>
  <r>
    <x v="134"/>
    <x v="9"/>
    <x v="0"/>
    <n v="42015648"/>
    <x v="0"/>
    <x v="15"/>
    <x v="96"/>
    <m/>
    <n v="1"/>
    <n v="10.5"/>
    <s v="Done"/>
    <s v="Albel"/>
    <s v="Settled BBVA"/>
    <s v="1XPHD49X28D763820"/>
    <s v="Peterbilt"/>
    <n v="2009"/>
    <n v="1086"/>
    <d v="2016-05-27T00:00:00"/>
    <d v="2016-06-03T00:00:00"/>
    <x v="9"/>
    <x v="1"/>
  </r>
  <r>
    <x v="135"/>
    <x v="0"/>
    <x v="1"/>
    <n v="231238"/>
    <x v="0"/>
    <x v="169"/>
    <x v="89"/>
    <m/>
    <s v="NA"/>
    <n v="20"/>
    <s v="Done"/>
    <s v="BBVA"/>
    <s v="Settled BBVA"/>
    <s v="NONE"/>
    <s v="NONE"/>
    <s v="NONE"/>
    <s v="NONE"/>
    <d v="2016-06-03T00:00:00"/>
    <d v="2016-06-10T00:00:00"/>
    <x v="9"/>
    <x v="1"/>
  </r>
  <r>
    <x v="135"/>
    <x v="0"/>
    <x v="1"/>
    <n v="231238"/>
    <x v="0"/>
    <x v="169"/>
    <x v="89"/>
    <m/>
    <s v="NA"/>
    <n v="20"/>
    <s v="Done"/>
    <s v="BBVA"/>
    <s v="Settled BBVA"/>
    <s v="NONE"/>
    <s v="NONE"/>
    <s v="NONE"/>
    <s v="NONE"/>
    <d v="2016-06-03T00:00:00"/>
    <d v="2016-06-10T00:00:00"/>
    <x v="9"/>
    <x v="1"/>
  </r>
  <r>
    <x v="136"/>
    <x v="1"/>
    <x v="2"/>
    <m/>
    <x v="0"/>
    <x v="6"/>
    <x v="5"/>
    <m/>
    <s v="NA"/>
    <n v="135"/>
    <s v="Done"/>
    <s v="BBVA"/>
    <s v="Settled BBVA"/>
    <s v="2HSCUAPR88C657099"/>
    <s v="International"/>
    <n v="2008"/>
    <s v="Prostar Eagle"/>
    <d v="2016-06-03T00:00:00"/>
    <d v="2016-06-10T00:00:00"/>
    <x v="10"/>
    <x v="1"/>
  </r>
  <r>
    <x v="136"/>
    <x v="5"/>
    <x v="2"/>
    <m/>
    <x v="0"/>
    <x v="6"/>
    <x v="5"/>
    <m/>
    <s v="NA"/>
    <n v="135"/>
    <s v="Done"/>
    <s v="BBVA"/>
    <s v="Settled BBVA"/>
    <s v="2HSCUAPR79CO93785"/>
    <s v="International"/>
    <n v="2009"/>
    <s v="Prostar Eagle"/>
    <d v="2016-06-03T00:00:00"/>
    <d v="2016-06-10T00:00:00"/>
    <x v="10"/>
    <x v="1"/>
  </r>
  <r>
    <x v="137"/>
    <x v="4"/>
    <x v="3"/>
    <n v="7728"/>
    <x v="4"/>
    <x v="170"/>
    <x v="11"/>
    <m/>
    <n v="2"/>
    <n v="440"/>
    <s v="Done"/>
    <s v="Amex UB"/>
    <s v="Settled BBVA"/>
    <s v="1GRAA0625XB130354"/>
    <s v="Grate Dane"/>
    <n v="1999"/>
    <s v="DryVan"/>
    <d v="2016-06-03T00:00:00"/>
    <d v="2016-06-10T00:00:00"/>
    <x v="10"/>
    <x v="1"/>
  </r>
  <r>
    <x v="137"/>
    <x v="6"/>
    <x v="3"/>
    <s v="826912D"/>
    <x v="0"/>
    <x v="171"/>
    <x v="98"/>
    <m/>
    <s v="NA"/>
    <n v="3.23"/>
    <s v="Done"/>
    <s v="BBVA"/>
    <s v="Settled BBVA"/>
    <s v="1UYVS25305P500707"/>
    <s v="Utility"/>
    <n v="2005"/>
    <s v="DryVan"/>
    <d v="2016-06-03T00:00:00"/>
    <d v="2016-06-10T00:00:00"/>
    <x v="10"/>
    <x v="1"/>
  </r>
  <r>
    <x v="137"/>
    <x v="0"/>
    <x v="1"/>
    <s v="01P66089"/>
    <x v="0"/>
    <x v="172"/>
    <x v="39"/>
    <m/>
    <n v="1"/>
    <n v="51.86"/>
    <s v="Done"/>
    <s v="BBVA"/>
    <s v="Settled BBVA"/>
    <s v="NONE"/>
    <s v="NONE"/>
    <s v="NONE"/>
    <s v="NONE"/>
    <d v="2016-06-03T00:00:00"/>
    <d v="2016-06-10T00:00:00"/>
    <x v="10"/>
    <x v="1"/>
  </r>
  <r>
    <x v="137"/>
    <x v="1"/>
    <x v="3"/>
    <s v="01P66086"/>
    <x v="3"/>
    <x v="173"/>
    <x v="39"/>
    <m/>
    <n v="1"/>
    <n v="78.25"/>
    <s v="Done"/>
    <s v="BBVA"/>
    <s v="Settled BBVA"/>
    <s v="2HSCUAPR88C657099"/>
    <s v="International"/>
    <n v="2008"/>
    <s v="Prostar Eagle"/>
    <d v="2016-06-03T00:00:00"/>
    <d v="2016-06-10T00:00:00"/>
    <x v="10"/>
    <x v="1"/>
  </r>
  <r>
    <x v="137"/>
    <x v="5"/>
    <x v="3"/>
    <n v="7728"/>
    <x v="3"/>
    <x v="174"/>
    <x v="11"/>
    <m/>
    <n v="1"/>
    <n v="125"/>
    <s v="Done"/>
    <s v="Amex UB"/>
    <s v="Settled BBVA"/>
    <s v="2HSCUAPR79CO93785"/>
    <s v="International"/>
    <n v="2009"/>
    <s v="Prostar Eagle"/>
    <d v="2016-06-03T00:00:00"/>
    <d v="2016-06-10T00:00:00"/>
    <x v="10"/>
    <x v="1"/>
  </r>
  <r>
    <x v="137"/>
    <x v="5"/>
    <x v="3"/>
    <n v="7728"/>
    <x v="4"/>
    <x v="175"/>
    <x v="11"/>
    <m/>
    <n v="1"/>
    <n v="25"/>
    <s v="Done"/>
    <s v="Amex UB"/>
    <s v="Settled BBVA"/>
    <s v="2HSCUAPR79CO93785"/>
    <s v="International"/>
    <n v="2009"/>
    <s v="Prostar Eagle"/>
    <d v="2016-06-03T00:00:00"/>
    <d v="2016-06-10T00:00:00"/>
    <x v="10"/>
    <x v="1"/>
  </r>
  <r>
    <x v="137"/>
    <x v="4"/>
    <x v="3"/>
    <n v="7728"/>
    <x v="3"/>
    <x v="176"/>
    <x v="11"/>
    <m/>
    <n v="1"/>
    <n v="183"/>
    <s v="Done"/>
    <s v="Amex UB"/>
    <s v="Settled BBVA"/>
    <s v="1GRAA0625XB130354"/>
    <s v="Grate Dane"/>
    <n v="1999"/>
    <s v="DryVan"/>
    <d v="2016-06-03T00:00:00"/>
    <d v="2016-06-10T00:00:00"/>
    <x v="10"/>
    <x v="1"/>
  </r>
  <r>
    <x v="137"/>
    <x v="5"/>
    <x v="3"/>
    <n v="7728"/>
    <x v="3"/>
    <x v="177"/>
    <x v="11"/>
    <m/>
    <n v="2"/>
    <n v="135"/>
    <s v="Done"/>
    <s v="Amex UB"/>
    <s v="Settled BBVA"/>
    <s v="2HSCUAPR79CO93785"/>
    <s v="International"/>
    <n v="2009"/>
    <s v="Prostar Eagle"/>
    <d v="2016-06-03T00:00:00"/>
    <d v="2016-06-10T00:00:00"/>
    <x v="10"/>
    <x v="1"/>
  </r>
  <r>
    <x v="137"/>
    <x v="5"/>
    <x v="3"/>
    <n v="7728"/>
    <x v="3"/>
    <x v="178"/>
    <x v="11"/>
    <m/>
    <n v="2"/>
    <n v="188"/>
    <s v="Done"/>
    <s v="Amex UB"/>
    <s v="Settled BBVA"/>
    <s v="2HSCUAPR79CO93785"/>
    <s v="International"/>
    <n v="2009"/>
    <s v="Prostar Eagle"/>
    <d v="2016-06-03T00:00:00"/>
    <d v="2016-06-10T00:00:00"/>
    <x v="10"/>
    <x v="1"/>
  </r>
  <r>
    <x v="138"/>
    <x v="5"/>
    <x v="1"/>
    <n v="277568"/>
    <x v="0"/>
    <x v="10"/>
    <x v="99"/>
    <m/>
    <n v="1"/>
    <n v="35"/>
    <s v="Done"/>
    <s v="Miguel"/>
    <s v="Settled BBVA"/>
    <s v="2HSCUAPR79CO93785"/>
    <s v="International"/>
    <n v="2009"/>
    <s v="Prostar Eagle"/>
    <d v="2016-06-10T00:00:00"/>
    <d v="2016-06-17T00:00:00"/>
    <x v="10"/>
    <x v="1"/>
  </r>
  <r>
    <x v="139"/>
    <x v="5"/>
    <x v="3"/>
    <s v="01P66459"/>
    <x v="3"/>
    <x v="179"/>
    <x v="39"/>
    <m/>
    <n v="1"/>
    <n v="83.72"/>
    <s v="Done"/>
    <s v="BBVA"/>
    <s v="Settled BBVA"/>
    <s v="2HSCUAPR79CO93785"/>
    <s v="International"/>
    <n v="2009"/>
    <s v="Prostar Eagle"/>
    <d v="2016-06-10T00:00:00"/>
    <d v="2016-06-17T00:00:00"/>
    <x v="10"/>
    <x v="1"/>
  </r>
  <r>
    <x v="140"/>
    <x v="3"/>
    <x v="3"/>
    <n v="8203"/>
    <x v="0"/>
    <x v="10"/>
    <x v="21"/>
    <m/>
    <n v="1"/>
    <n v="60"/>
    <s v="Done"/>
    <s v="BBVA"/>
    <s v="Settled BBVA"/>
    <s v="NONE"/>
    <s v="NONE"/>
    <s v="NONE"/>
    <s v="NONE"/>
    <d v="2016-06-10T00:00:00"/>
    <d v="2016-06-17T00:00:00"/>
    <x v="10"/>
    <x v="1"/>
  </r>
  <r>
    <x v="141"/>
    <x v="5"/>
    <x v="0"/>
    <n v="172"/>
    <x v="0"/>
    <x v="15"/>
    <x v="96"/>
    <m/>
    <n v="1"/>
    <n v="12.5"/>
    <s v="Done"/>
    <s v="Miguel"/>
    <s v="Settled BBVA"/>
    <s v="2HSCUAPR79CO93785"/>
    <s v="International"/>
    <n v="2009"/>
    <s v="Prostar Eagle"/>
    <d v="2016-06-17T00:00:00"/>
    <d v="2016-06-24T00:00:00"/>
    <x v="10"/>
    <x v="1"/>
  </r>
  <r>
    <x v="141"/>
    <x v="1"/>
    <x v="3"/>
    <n v="7785"/>
    <x v="2"/>
    <x v="180"/>
    <x v="11"/>
    <m/>
    <n v="1"/>
    <n v="124.91"/>
    <s v="Done"/>
    <s v="BBVA"/>
    <s v="Settled BBVA"/>
    <s v="2HSCUAPR88C657099"/>
    <s v="International"/>
    <n v="2008"/>
    <s v="Prostar Eagle"/>
    <d v="2016-06-17T00:00:00"/>
    <d v="2016-06-24T00:00:00"/>
    <x v="10"/>
    <x v="1"/>
  </r>
  <r>
    <x v="141"/>
    <x v="2"/>
    <x v="3"/>
    <n v="7785"/>
    <x v="2"/>
    <x v="176"/>
    <x v="11"/>
    <m/>
    <n v="1"/>
    <n v="92"/>
    <s v="Done"/>
    <s v="BBVA"/>
    <s v="Settled BBVA"/>
    <s v="1JJV532V3BL370658"/>
    <s v="Wabash"/>
    <n v="2011"/>
    <s v="DryVan"/>
    <d v="2016-06-17T00:00:00"/>
    <d v="2016-06-24T00:00:00"/>
    <x v="10"/>
    <x v="1"/>
  </r>
  <r>
    <x v="141"/>
    <x v="3"/>
    <x v="1"/>
    <n v="7785"/>
    <x v="0"/>
    <x v="20"/>
    <x v="11"/>
    <m/>
    <n v="2"/>
    <n v="50"/>
    <s v="Done"/>
    <s v="BBVA"/>
    <s v="Settled BBVA"/>
    <s v="NONE"/>
    <s v="NONE"/>
    <s v="NONE"/>
    <s v="NONE"/>
    <d v="2016-06-17T00:00:00"/>
    <d v="2016-06-24T00:00:00"/>
    <x v="10"/>
    <x v="1"/>
  </r>
  <r>
    <x v="141"/>
    <x v="2"/>
    <x v="3"/>
    <n v="7785"/>
    <x v="2"/>
    <x v="181"/>
    <x v="11"/>
    <m/>
    <n v="1"/>
    <n v="40"/>
    <s v="Done"/>
    <s v="BBVA"/>
    <s v="Settled BBVA"/>
    <s v="1JJV532V3BL370658"/>
    <s v="Wabash"/>
    <n v="2011"/>
    <s v="DryVan"/>
    <d v="2016-06-17T00:00:00"/>
    <d v="2016-06-24T00:00:00"/>
    <x v="10"/>
    <x v="1"/>
  </r>
  <r>
    <x v="141"/>
    <x v="0"/>
    <x v="0"/>
    <n v="229013"/>
    <x v="0"/>
    <x v="182"/>
    <x v="70"/>
    <m/>
    <n v="1"/>
    <n v="2500"/>
    <s v="Done"/>
    <s v="BBVA"/>
    <s v="Settled BBVA"/>
    <s v="NONE"/>
    <s v="NONE"/>
    <s v="NONE"/>
    <s v="NONE"/>
    <d v="2016-06-17T00:00:00"/>
    <d v="2016-06-24T00:00:00"/>
    <x v="10"/>
    <x v="1"/>
  </r>
  <r>
    <x v="142"/>
    <x v="0"/>
    <x v="0"/>
    <m/>
    <x v="0"/>
    <x v="41"/>
    <x v="32"/>
    <m/>
    <s v="NA"/>
    <n v="128"/>
    <s v="Done"/>
    <s v="BBVA"/>
    <s v="Settled BBVA"/>
    <s v="NONE"/>
    <s v="NONE"/>
    <s v="NONE"/>
    <s v="NONE"/>
    <d v="2016-06-17T00:00:00"/>
    <d v="2016-06-24T00:00:00"/>
    <x v="10"/>
    <x v="1"/>
  </r>
  <r>
    <x v="142"/>
    <x v="0"/>
    <x v="0"/>
    <n v="2066049"/>
    <x v="0"/>
    <x v="112"/>
    <x v="22"/>
    <m/>
    <s v="NA"/>
    <n v="34.950000000000003"/>
    <s v="Done"/>
    <s v="BBVA"/>
    <s v="Settled BBVA"/>
    <s v="NONE"/>
    <s v="NONE"/>
    <s v="NONE"/>
    <s v="NONE"/>
    <d v="2016-06-17T00:00:00"/>
    <d v="2016-06-24T00:00:00"/>
    <x v="10"/>
    <x v="1"/>
  </r>
  <r>
    <x v="143"/>
    <x v="0"/>
    <x v="0"/>
    <n v="764932"/>
    <x v="0"/>
    <x v="183"/>
    <x v="100"/>
    <m/>
    <n v="1"/>
    <n v="35"/>
    <s v="Done"/>
    <s v="BBVA"/>
    <s v="Settled BBVA"/>
    <s v="NONE"/>
    <s v="NONE"/>
    <s v="NONE"/>
    <s v="NONE"/>
    <d v="2016-06-24T00:00:00"/>
    <d v="2016-07-01T00:00:00"/>
    <x v="10"/>
    <x v="1"/>
  </r>
  <r>
    <x v="144"/>
    <x v="0"/>
    <x v="0"/>
    <m/>
    <x v="0"/>
    <x v="100"/>
    <x v="67"/>
    <m/>
    <s v="NA"/>
    <n v="35.299999999999997"/>
    <s v="Done"/>
    <s v="BBVA"/>
    <s v="Settled BBVA"/>
    <s v="NONE"/>
    <s v="NONE"/>
    <s v="NONE"/>
    <s v="NONE"/>
    <d v="2016-06-24T00:00:00"/>
    <d v="2016-07-01T00:00:00"/>
    <x v="10"/>
    <x v="1"/>
  </r>
  <r>
    <x v="145"/>
    <x v="3"/>
    <x v="0"/>
    <n v="93440504"/>
    <x v="0"/>
    <x v="15"/>
    <x v="101"/>
    <m/>
    <n v="1"/>
    <n v="21"/>
    <s v="Done"/>
    <s v="Arturo"/>
    <s v="Settled BBVA"/>
    <s v="NONE"/>
    <s v="NONE"/>
    <s v="NONE"/>
    <s v="NONE"/>
    <d v="2016-06-24T00:00:00"/>
    <d v="2016-07-01T00:00:00"/>
    <x v="10"/>
    <x v="1"/>
  </r>
  <r>
    <x v="146"/>
    <x v="3"/>
    <x v="0"/>
    <n v="12413"/>
    <x v="0"/>
    <x v="15"/>
    <x v="102"/>
    <m/>
    <n v="1"/>
    <n v="10"/>
    <s v="Done"/>
    <s v="Arturo"/>
    <s v="Settled BBVA"/>
    <s v="NONE"/>
    <s v="NONE"/>
    <s v="NONE"/>
    <s v="NONE"/>
    <d v="2016-06-24T00:00:00"/>
    <d v="2016-07-01T00:00:00"/>
    <x v="10"/>
    <x v="1"/>
  </r>
  <r>
    <x v="146"/>
    <x v="4"/>
    <x v="3"/>
    <n v="28680"/>
    <x v="3"/>
    <x v="184"/>
    <x v="103"/>
    <m/>
    <n v="1"/>
    <n v="1771.43"/>
    <s v="Done"/>
    <s v="BBVA"/>
    <s v="Settled BBVA"/>
    <s v="1GRAA0625XB130354"/>
    <s v="Grate Dane"/>
    <n v="1999"/>
    <s v="DryVan"/>
    <d v="2016-06-24T00:00:00"/>
    <d v="2016-07-01T00:00:00"/>
    <x v="10"/>
    <x v="1"/>
  </r>
  <r>
    <x v="147"/>
    <x v="2"/>
    <x v="3"/>
    <m/>
    <x v="4"/>
    <x v="185"/>
    <x v="88"/>
    <m/>
    <n v="4"/>
    <n v="670"/>
    <s v="Done"/>
    <s v="BBVA"/>
    <s v="Settled BBVA"/>
    <s v="1JJV532V3BL370658"/>
    <s v="Wabash"/>
    <n v="2011"/>
    <s v="DryVan"/>
    <d v="2016-07-01T00:00:00"/>
    <d v="2016-07-08T00:00:00"/>
    <x v="10"/>
    <x v="1"/>
  </r>
  <r>
    <x v="148"/>
    <x v="10"/>
    <x v="0"/>
    <s v="RRS11196"/>
    <x v="0"/>
    <x v="186"/>
    <x v="104"/>
    <m/>
    <n v="1"/>
    <n v="584.35"/>
    <s v="Done"/>
    <s v="Sunny"/>
    <s v="Settled BBVA"/>
    <n v="0"/>
    <n v="0"/>
    <n v="0"/>
    <n v="0"/>
    <d v="2016-07-01T00:00:00"/>
    <d v="2016-07-08T00:00:00"/>
    <x v="10"/>
    <x v="1"/>
  </r>
  <r>
    <x v="148"/>
    <x v="11"/>
    <x v="0"/>
    <s v="RRS11196"/>
    <x v="0"/>
    <x v="186"/>
    <x v="104"/>
    <m/>
    <n v="1"/>
    <n v="584.35"/>
    <s v="Done"/>
    <s v="Sunny"/>
    <s v="Settled BBVA"/>
    <n v="0"/>
    <n v="0"/>
    <n v="0"/>
    <n v="0"/>
    <d v="2016-07-01T00:00:00"/>
    <d v="2016-07-08T00:00:00"/>
    <x v="10"/>
    <x v="1"/>
  </r>
  <r>
    <x v="148"/>
    <x v="5"/>
    <x v="3"/>
    <n v="32609"/>
    <x v="0"/>
    <x v="187"/>
    <x v="105"/>
    <m/>
    <n v="1"/>
    <n v="265"/>
    <s v="Done"/>
    <s v="Amex UB"/>
    <s v="Settled BBVA"/>
    <s v="2HSCUAPR79CO93785"/>
    <s v="International"/>
    <n v="2009"/>
    <s v="Prostar Eagle"/>
    <d v="2016-07-01T00:00:00"/>
    <d v="2016-07-08T00:00:00"/>
    <x v="10"/>
    <x v="1"/>
  </r>
  <r>
    <x v="149"/>
    <x v="5"/>
    <x v="3"/>
    <s v="w3501"/>
    <x v="3"/>
    <x v="188"/>
    <x v="87"/>
    <m/>
    <n v="1"/>
    <n v="611.72"/>
    <s v="Done"/>
    <s v="Amex UB"/>
    <s v="Settled BBVA"/>
    <s v="2HSCUAPR79CO93785"/>
    <s v="International"/>
    <n v="2009"/>
    <s v="Prostar Eagle"/>
    <d v="2016-07-01T00:00:00"/>
    <d v="2016-07-08T00:00:00"/>
    <x v="10"/>
    <x v="1"/>
  </r>
  <r>
    <x v="149"/>
    <x v="0"/>
    <x v="0"/>
    <m/>
    <x v="0"/>
    <x v="100"/>
    <x v="67"/>
    <m/>
    <s v="NA"/>
    <n v="115.9"/>
    <s v="Done"/>
    <s v="BBVA"/>
    <s v="Settled BBVA"/>
    <s v="NONE"/>
    <s v="NONE"/>
    <s v="NONE"/>
    <s v="NONE"/>
    <d v="2016-07-01T00:00:00"/>
    <d v="2016-07-08T00:00:00"/>
    <x v="10"/>
    <x v="1"/>
  </r>
  <r>
    <x v="150"/>
    <x v="1"/>
    <x v="2"/>
    <m/>
    <x v="0"/>
    <x v="6"/>
    <x v="5"/>
    <m/>
    <s v="NA"/>
    <n v="135"/>
    <s v="Done"/>
    <s v="BBVA"/>
    <s v="Settled BBVA"/>
    <s v="2HSCUAPR88C657099"/>
    <s v="International"/>
    <n v="2008"/>
    <s v="Prostar Eagle"/>
    <d v="2016-07-01T00:00:00"/>
    <d v="2016-07-08T00:00:00"/>
    <x v="11"/>
    <x v="1"/>
  </r>
  <r>
    <x v="150"/>
    <x v="5"/>
    <x v="2"/>
    <m/>
    <x v="0"/>
    <x v="6"/>
    <x v="5"/>
    <m/>
    <s v="NA"/>
    <n v="135"/>
    <s v="Done"/>
    <s v="BBVA"/>
    <s v="Settled BBVA"/>
    <s v="2HSCUAPR79CO93785"/>
    <s v="International"/>
    <n v="2009"/>
    <s v="Prostar Eagle"/>
    <d v="2016-07-01T00:00:00"/>
    <d v="2016-07-08T00:00:00"/>
    <x v="11"/>
    <x v="1"/>
  </r>
  <r>
    <x v="150"/>
    <x v="12"/>
    <x v="0"/>
    <n v="91971526"/>
    <x v="0"/>
    <x v="15"/>
    <x v="96"/>
    <m/>
    <n v="1"/>
    <n v="12.5"/>
    <s v="Done"/>
    <s v="Miguel"/>
    <s v="Settled BBVA"/>
    <s v="NONE"/>
    <s v="NONE"/>
    <s v="NONE"/>
    <s v="NONE"/>
    <d v="2016-07-01T00:00:00"/>
    <d v="2016-07-08T00:00:00"/>
    <x v="11"/>
    <x v="1"/>
  </r>
  <r>
    <x v="150"/>
    <x v="3"/>
    <x v="0"/>
    <n v="93304397"/>
    <x v="0"/>
    <x v="15"/>
    <x v="82"/>
    <m/>
    <n v="1"/>
    <n v="10.5"/>
    <s v="Done"/>
    <s v="Arturo"/>
    <s v="Settled BBVA"/>
    <s v="NONE"/>
    <s v="NONE"/>
    <s v="NONE"/>
    <s v="NONE"/>
    <d v="2016-07-01T00:00:00"/>
    <d v="2016-07-08T00:00:00"/>
    <x v="11"/>
    <x v="1"/>
  </r>
  <r>
    <x v="151"/>
    <x v="3"/>
    <x v="0"/>
    <n v="12585"/>
    <x v="0"/>
    <x v="15"/>
    <x v="102"/>
    <m/>
    <n v="1"/>
    <n v="10"/>
    <s v="Done"/>
    <s v="Aurturo"/>
    <s v="Settled BBVA"/>
    <s v="NONE"/>
    <s v="NONE"/>
    <s v="NONE"/>
    <s v="NONE"/>
    <d v="2016-07-08T00:00:00"/>
    <d v="2016-07-15T00:00:00"/>
    <x v="11"/>
    <x v="1"/>
  </r>
  <r>
    <x v="152"/>
    <x v="0"/>
    <x v="1"/>
    <n v="11236465867"/>
    <x v="0"/>
    <x v="189"/>
    <x v="106"/>
    <m/>
    <n v="1"/>
    <n v="10"/>
    <s v="Done"/>
    <s v="BBVA"/>
    <s v="Settled BBVA"/>
    <s v="NONE"/>
    <s v="NONE"/>
    <s v="NONE"/>
    <s v="NONE"/>
    <d v="2016-07-08T00:00:00"/>
    <d v="2016-07-15T00:00:00"/>
    <x v="11"/>
    <x v="1"/>
  </r>
  <r>
    <x v="153"/>
    <x v="1"/>
    <x v="3"/>
    <n v="76899236"/>
    <x v="1"/>
    <x v="190"/>
    <x v="29"/>
    <n v="774800"/>
    <n v="1"/>
    <n v="18.52"/>
    <s v="Done"/>
    <s v="Albel"/>
    <s v="Not Settled"/>
    <s v="2HSCUAPR88C657099"/>
    <s v="International"/>
    <n v="2008"/>
    <s v="Prostar Eagle"/>
    <d v="2016-07-08T00:00:00"/>
    <d v="2016-07-15T00:00:00"/>
    <x v="11"/>
    <x v="1"/>
  </r>
  <r>
    <x v="154"/>
    <x v="13"/>
    <x v="3"/>
    <s v="828159D"/>
    <x v="0"/>
    <x v="7"/>
    <x v="98"/>
    <m/>
    <n v="1"/>
    <n v="5.16"/>
    <s v="Done"/>
    <s v="Albel"/>
    <s v="Not Settled"/>
    <s v="NONE"/>
    <s v="NONE"/>
    <s v="NONE"/>
    <s v="NONE"/>
    <d v="2016-07-15T00:00:00"/>
    <d v="2016-07-22T00:00:00"/>
    <x v="11"/>
    <x v="1"/>
  </r>
  <r>
    <x v="155"/>
    <x v="0"/>
    <x v="0"/>
    <n v="2111328"/>
    <x v="0"/>
    <x v="112"/>
    <x v="22"/>
    <m/>
    <s v="NA"/>
    <n v="34.950000000000003"/>
    <s v="Done"/>
    <s v="BBVA"/>
    <s v="Settled BBVA"/>
    <s v="NONE"/>
    <s v="NONE"/>
    <s v="NONE"/>
    <s v="NONE"/>
    <d v="2016-07-15T00:00:00"/>
    <d v="2016-07-22T00:00:00"/>
    <x v="11"/>
    <x v="1"/>
  </r>
  <r>
    <x v="155"/>
    <x v="0"/>
    <x v="0"/>
    <m/>
    <x v="0"/>
    <x v="109"/>
    <x v="23"/>
    <m/>
    <s v="NA"/>
    <n v="15"/>
    <s v="Done"/>
    <s v="BBVA"/>
    <s v="Settled BBVA"/>
    <s v="NONE"/>
    <s v="NONE"/>
    <s v="NONE"/>
    <s v="NONE"/>
    <d v="2016-07-15T00:00:00"/>
    <d v="2016-07-22T00:00:00"/>
    <x v="11"/>
    <x v="1"/>
  </r>
  <r>
    <x v="155"/>
    <x v="2"/>
    <x v="3"/>
    <n v="28228"/>
    <x v="3"/>
    <x v="18"/>
    <x v="103"/>
    <m/>
    <n v="1"/>
    <n v="232.81"/>
    <s v="Done"/>
    <s v="Amex UB"/>
    <s v="Settled BBVA"/>
    <s v="1JJV532V3BL370658"/>
    <s v="Wabash"/>
    <n v="2011"/>
    <s v="DryVan"/>
    <d v="2016-07-15T00:00:00"/>
    <d v="2016-07-22T00:00:00"/>
    <x v="11"/>
    <x v="1"/>
  </r>
  <r>
    <x v="156"/>
    <x v="14"/>
    <x v="3"/>
    <n v="28264"/>
    <x v="3"/>
    <x v="191"/>
    <x v="103"/>
    <m/>
    <n v="1"/>
    <n v="145.96"/>
    <s v="Done"/>
    <s v="Amex UB"/>
    <s v="Settled BBVA"/>
    <s v="NONE"/>
    <s v="NONE"/>
    <s v="NONE"/>
    <s v="NONE"/>
    <d v="2016-07-15T00:00:00"/>
    <d v="2016-07-22T00:00:00"/>
    <x v="11"/>
    <x v="1"/>
  </r>
  <r>
    <x v="157"/>
    <x v="15"/>
    <x v="0"/>
    <n v="387317"/>
    <x v="0"/>
    <x v="15"/>
    <x v="107"/>
    <m/>
    <n v="1"/>
    <n v="10"/>
    <s v="Done"/>
    <s v="Tejinder"/>
    <s v="Settled BBVA"/>
    <s v="NONE"/>
    <s v="NONE"/>
    <s v="NONE"/>
    <s v="NONE"/>
    <d v="2016-07-15T00:00:00"/>
    <d v="2016-07-22T00:00:00"/>
    <x v="11"/>
    <x v="1"/>
  </r>
  <r>
    <x v="158"/>
    <x v="4"/>
    <x v="3"/>
    <n v="1721035728"/>
    <x v="3"/>
    <x v="192"/>
    <x v="108"/>
    <m/>
    <n v="1"/>
    <n v="42.09"/>
    <s v="Done"/>
    <s v="BBVA"/>
    <s v="Settled BBVA"/>
    <s v="1GRAA0625XB130354"/>
    <s v="Grate Dane"/>
    <n v="1999"/>
    <s v="DryVan"/>
    <d v="2016-07-15T00:00:00"/>
    <d v="2016-07-22T00:00:00"/>
    <x v="11"/>
    <x v="1"/>
  </r>
  <r>
    <x v="158"/>
    <x v="1"/>
    <x v="3"/>
    <n v="3204"/>
    <x v="0"/>
    <x v="10"/>
    <x v="109"/>
    <m/>
    <n v="1"/>
    <n v="30"/>
    <s v="Done"/>
    <s v="BBVA"/>
    <s v="Settled BBVA"/>
    <s v="2HSCUAPR88C657099"/>
    <s v="International"/>
    <n v="2008"/>
    <s v="Prostar Eagle"/>
    <d v="2016-07-15T00:00:00"/>
    <d v="2016-07-22T00:00:00"/>
    <x v="11"/>
    <x v="1"/>
  </r>
  <r>
    <x v="158"/>
    <x v="0"/>
    <x v="1"/>
    <m/>
    <x v="0"/>
    <x v="193"/>
    <x v="14"/>
    <m/>
    <n v="1"/>
    <n v="3.48"/>
    <s v="Done"/>
    <s v="Albel"/>
    <s v="Not Settled"/>
    <s v="NONE"/>
    <s v="NONE"/>
    <s v="NONE"/>
    <s v="NONE"/>
    <d v="2016-07-15T00:00:00"/>
    <d v="2016-07-22T00:00:00"/>
    <x v="11"/>
    <x v="1"/>
  </r>
  <r>
    <x v="158"/>
    <x v="0"/>
    <x v="1"/>
    <n v="53722"/>
    <x v="0"/>
    <x v="194"/>
    <x v="110"/>
    <m/>
    <n v="1"/>
    <n v="14.03"/>
    <s v="Done"/>
    <s v="Albel"/>
    <s v="Settled BBVA"/>
    <s v="NONE"/>
    <s v="NONE"/>
    <s v="NONE"/>
    <s v="NONE"/>
    <d v="2016-07-15T00:00:00"/>
    <d v="2016-07-22T00:00:00"/>
    <x v="11"/>
    <x v="1"/>
  </r>
  <r>
    <x v="159"/>
    <x v="1"/>
    <x v="3"/>
    <n v="16700"/>
    <x v="3"/>
    <x v="195"/>
    <x v="111"/>
    <m/>
    <n v="1"/>
    <n v="958.12"/>
    <s v="Done"/>
    <s v="Amex UB"/>
    <s v="Settled BBVA"/>
    <s v="2HSCUAPR88C657099"/>
    <s v="International"/>
    <n v="2008"/>
    <s v="Prostar Eagle"/>
    <d v="2016-07-22T00:00:00"/>
    <d v="2016-07-29T00:00:00"/>
    <x v="11"/>
    <x v="1"/>
  </r>
  <r>
    <x v="159"/>
    <x v="1"/>
    <x v="3"/>
    <s v="0344609P"/>
    <x v="3"/>
    <x v="196"/>
    <x v="112"/>
    <m/>
    <n v="1"/>
    <n v="42.18"/>
    <s v="Done"/>
    <s v="Amex UB"/>
    <s v="Settled BBVA"/>
    <s v="2HSCUAPR88C657099"/>
    <s v="International"/>
    <n v="2008"/>
    <s v="Prostar Eagle"/>
    <d v="2016-07-22T00:00:00"/>
    <d v="2016-07-29T00:00:00"/>
    <x v="11"/>
    <x v="1"/>
  </r>
  <r>
    <x v="160"/>
    <x v="1"/>
    <x v="3"/>
    <s v="W3598"/>
    <x v="3"/>
    <x v="197"/>
    <x v="87"/>
    <m/>
    <n v="1"/>
    <n v="706"/>
    <s v="Done"/>
    <s v="Amex UB"/>
    <s v="Settled BBVA"/>
    <s v="2HSCUAPR88C657099"/>
    <s v="International"/>
    <n v="2008"/>
    <s v="Prostar Eagle"/>
    <d v="2016-07-22T00:00:00"/>
    <d v="2016-07-29T00:00:00"/>
    <x v="11"/>
    <x v="1"/>
  </r>
  <r>
    <x v="160"/>
    <x v="2"/>
    <x v="3"/>
    <s v="W3598"/>
    <x v="3"/>
    <x v="198"/>
    <x v="87"/>
    <m/>
    <n v="1"/>
    <n v="70"/>
    <s v="Done"/>
    <s v="Amex UB"/>
    <s v="Settled BBVA"/>
    <s v="1JJV532V3BL370658"/>
    <s v="Wabash"/>
    <n v="2011"/>
    <s v="DryVan"/>
    <d v="2016-07-22T00:00:00"/>
    <d v="2016-07-29T00:00:00"/>
    <x v="11"/>
    <x v="1"/>
  </r>
  <r>
    <x v="161"/>
    <x v="1"/>
    <x v="3"/>
    <s v="SP371764"/>
    <x v="3"/>
    <x v="199"/>
    <x v="113"/>
    <m/>
    <n v="6"/>
    <n v="78.55"/>
    <s v="Done"/>
    <s v="BBVA"/>
    <s v="Settled BBVA"/>
    <s v="2HSCUAPR88C657099"/>
    <s v="International"/>
    <n v="2008"/>
    <s v="Prostar Eagle"/>
    <d v="2016-07-22T00:00:00"/>
    <d v="2016-07-29T00:00:00"/>
    <x v="11"/>
    <x v="1"/>
  </r>
  <r>
    <x v="161"/>
    <x v="1"/>
    <x v="3"/>
    <m/>
    <x v="3"/>
    <x v="200"/>
    <x v="114"/>
    <m/>
    <n v="2"/>
    <n v="13.95"/>
    <s v="Done"/>
    <s v="Amex UB"/>
    <s v="Settled BBVA"/>
    <s v="2HSCUAPR88C657099"/>
    <s v="International"/>
    <n v="2008"/>
    <s v="Prostar Eagle"/>
    <d v="2016-07-22T00:00:00"/>
    <d v="2016-07-29T00:00:00"/>
    <x v="11"/>
    <x v="1"/>
  </r>
  <r>
    <x v="161"/>
    <x v="1"/>
    <x v="3"/>
    <s v="828375D"/>
    <x v="3"/>
    <x v="201"/>
    <x v="98"/>
    <m/>
    <n v="1"/>
    <n v="18"/>
    <s v="Done"/>
    <s v="Amex UB"/>
    <s v="Settled BBVA"/>
    <s v="2HSCUAPR88C657099"/>
    <s v="International"/>
    <n v="2008"/>
    <s v="Prostar Eagle"/>
    <d v="2016-07-22T00:00:00"/>
    <d v="2016-07-29T00:00:00"/>
    <x v="11"/>
    <x v="1"/>
  </r>
  <r>
    <x v="162"/>
    <x v="0"/>
    <x v="1"/>
    <n v="4851"/>
    <x v="0"/>
    <x v="202"/>
    <x v="115"/>
    <m/>
    <n v="2"/>
    <n v="53"/>
    <s v="Done"/>
    <s v="BBVA"/>
    <s v="Settled BBVA"/>
    <s v="NONE"/>
    <s v="NONE"/>
    <s v="NONE"/>
    <s v="NONE"/>
    <d v="2016-07-22T00:00:00"/>
    <d v="2016-07-29T00:00:00"/>
    <x v="11"/>
    <x v="1"/>
  </r>
  <r>
    <x v="163"/>
    <x v="10"/>
    <x v="3"/>
    <s v="828515D"/>
    <x v="0"/>
    <x v="203"/>
    <x v="98"/>
    <m/>
    <n v="1"/>
    <n v="38.950000000000003"/>
    <s v="Done"/>
    <s v="BBVA"/>
    <s v="Settled BBVA"/>
    <n v="0"/>
    <n v="0"/>
    <n v="0"/>
    <n v="0"/>
    <d v="2016-07-22T00:00:00"/>
    <d v="2016-07-29T00:00:00"/>
    <x v="11"/>
    <x v="1"/>
  </r>
  <r>
    <x v="163"/>
    <x v="11"/>
    <x v="3"/>
    <s v="828515D"/>
    <x v="0"/>
    <x v="203"/>
    <x v="98"/>
    <m/>
    <n v="1"/>
    <n v="38.950000000000003"/>
    <s v="Done"/>
    <s v="BBVA"/>
    <s v="Settled BBVA"/>
    <n v="0"/>
    <n v="0"/>
    <n v="0"/>
    <n v="0"/>
    <d v="2016-07-22T00:00:00"/>
    <d v="2016-07-29T00:00:00"/>
    <x v="11"/>
    <x v="1"/>
  </r>
  <r>
    <x v="163"/>
    <x v="0"/>
    <x v="0"/>
    <s v="v6"/>
    <x v="0"/>
    <x v="204"/>
    <x v="72"/>
    <m/>
    <n v="1"/>
    <n v="150"/>
    <s v="Done"/>
    <s v="BBVA"/>
    <s v="Settled BBVA"/>
    <s v="NONE"/>
    <s v="NONE"/>
    <s v="NONE"/>
    <s v="NONE"/>
    <d v="2016-07-22T00:00:00"/>
    <d v="2016-07-29T00:00:0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Driver">
  <location ref="Q2:W155" firstHeaderRow="0" firstDataRow="1" firstDataCol="4"/>
  <pivotFields count="16">
    <pivotField axis="axisRow" numFmtId="14" outline="0" showAll="0" defaultSubtotal="0">
      <items count="127">
        <item m="1" x="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2"/>
        <item x="111"/>
        <item x="113"/>
        <item x="114"/>
        <item x="115"/>
        <item x="116"/>
        <item x="117"/>
        <item x="118"/>
        <item x="119"/>
        <item x="120"/>
        <item x="121"/>
        <item x="122"/>
        <item x="123"/>
        <item x="124"/>
        <item x="125"/>
      </items>
    </pivotField>
    <pivotField showAll="0"/>
    <pivotField axis="axisRow" outline="0" showAll="0" defaultSubtotal="0">
      <items count="5">
        <item x="1"/>
        <item x="0"/>
        <item x="2"/>
        <item x="3"/>
        <item x="4"/>
      </items>
    </pivotField>
    <pivotField showAll="0">
      <items count="7">
        <item x="1"/>
        <item x="5"/>
        <item x="0"/>
        <item x="2"/>
        <item x="3"/>
        <item x="4"/>
        <item t="default"/>
      </items>
    </pivotField>
    <pivotField axis="axisRow" compact="0" outline="0" showAll="0" defaultSubtotal="0">
      <items count="12">
        <item x="1"/>
        <item x="6"/>
        <item x="7"/>
        <item m="1" x="11"/>
        <item x="0"/>
        <item x="4"/>
        <item x="5"/>
        <item x="2"/>
        <item x="3"/>
        <item x="9"/>
        <item m="1" x="10"/>
        <item x="8"/>
      </items>
    </pivotField>
    <pivotField outline="0" showAll="0" defaultSubtotal="0"/>
    <pivotField axis="axisRow" outline="0" showAll="0" defaultSubtotal="0">
      <items count="6">
        <item x="3"/>
        <item x="0"/>
        <item x="1"/>
        <item x="4"/>
        <item x="2"/>
        <item x="5"/>
      </items>
    </pivotField>
    <pivotField dataField="1" showAll="0"/>
    <pivotField dataField="1" showAll="0"/>
    <pivotField dataField="1" numFmtId="44" showAll="0"/>
    <pivotField showAll="0"/>
    <pivotField numFmtId="14" showAll="0"/>
    <pivotField numFmtId="14" showAll="0"/>
    <pivotField showAll="0">
      <items count="13">
        <item x="5"/>
        <item x="6"/>
        <item x="7"/>
        <item x="8"/>
        <item x="9"/>
        <item x="10"/>
        <item x="11"/>
        <item x="0"/>
        <item x="1"/>
        <item x="2"/>
        <item x="3"/>
        <item x="4"/>
        <item t="default"/>
      </items>
    </pivotField>
    <pivotField outline="0" showAll="0" defaultSubtotal="0">
      <items count="2">
        <item x="0"/>
        <item x="1"/>
      </items>
    </pivotField>
    <pivotField dragToRow="0" dragToCol="0" dragToPage="0" showAll="0" defaultSubtotal="0"/>
  </pivotFields>
  <rowFields count="4">
    <field x="4"/>
    <field x="2"/>
    <field x="6"/>
    <field x="0"/>
  </rowFields>
  <rowItems count="153">
    <i>
      <x/>
      <x/>
      <x v="1"/>
      <x v="2"/>
    </i>
    <i r="3">
      <x v="3"/>
    </i>
    <i r="3">
      <x v="5"/>
    </i>
    <i r="3">
      <x v="6"/>
    </i>
    <i>
      <x v="1"/>
      <x v="2"/>
      <x v="1"/>
      <x v="61"/>
    </i>
    <i r="3">
      <x v="62"/>
    </i>
    <i r="3">
      <x v="63"/>
    </i>
    <i r="3">
      <x v="64"/>
    </i>
    <i r="3">
      <x v="66"/>
    </i>
    <i r="3">
      <x v="68"/>
    </i>
    <i r="3">
      <x v="70"/>
    </i>
    <i r="3">
      <x v="71"/>
    </i>
    <i r="3">
      <x v="72"/>
    </i>
    <i r="3">
      <x v="75"/>
    </i>
    <i r="3">
      <x v="77"/>
    </i>
    <i r="3">
      <x v="78"/>
    </i>
    <i r="3">
      <x v="79"/>
    </i>
    <i r="3">
      <x v="80"/>
    </i>
    <i r="3">
      <x v="82"/>
    </i>
    <i r="3">
      <x v="84"/>
    </i>
    <i r="3">
      <x v="85"/>
    </i>
    <i r="3">
      <x v="86"/>
    </i>
    <i r="3">
      <x v="87"/>
    </i>
    <i r="3">
      <x v="88"/>
    </i>
    <i r="3">
      <x v="89"/>
    </i>
    <i r="3">
      <x v="91"/>
    </i>
    <i r="3">
      <x v="92"/>
    </i>
    <i r="3">
      <x v="94"/>
    </i>
    <i r="3">
      <x v="95"/>
    </i>
    <i r="3">
      <x v="98"/>
    </i>
    <i r="3">
      <x v="101"/>
    </i>
    <i r="3">
      <x v="106"/>
    </i>
    <i r="3">
      <x v="109"/>
    </i>
    <i r="3">
      <x v="111"/>
    </i>
    <i r="3">
      <x v="112"/>
    </i>
    <i r="3">
      <x v="114"/>
    </i>
    <i r="3">
      <x v="116"/>
    </i>
    <i r="3">
      <x v="119"/>
    </i>
    <i r="3">
      <x v="120"/>
    </i>
    <i r="3">
      <x v="124"/>
    </i>
    <i r="3">
      <x v="125"/>
    </i>
    <i r="2">
      <x v="5"/>
      <x v="126"/>
    </i>
    <i>
      <x v="2"/>
      <x/>
      <x v="2"/>
      <x v="65"/>
    </i>
    <i r="2">
      <x v="3"/>
      <x v="67"/>
    </i>
    <i>
      <x v="4"/>
      <x v="1"/>
      <x v="1"/>
      <x v="1"/>
    </i>
    <i r="3">
      <x v="2"/>
    </i>
    <i r="3">
      <x v="3"/>
    </i>
    <i r="3">
      <x v="7"/>
    </i>
    <i r="3">
      <x v="8"/>
    </i>
    <i r="2">
      <x v="2"/>
      <x v="4"/>
    </i>
    <i r="3">
      <x v="9"/>
    </i>
    <i r="3">
      <x v="11"/>
    </i>
    <i r="2">
      <x v="4"/>
      <x v="10"/>
    </i>
    <i>
      <x v="5"/>
      <x/>
      <x v="1"/>
      <x v="69"/>
    </i>
    <i r="3">
      <x v="71"/>
    </i>
    <i r="3">
      <x v="73"/>
    </i>
    <i r="3">
      <x v="76"/>
    </i>
    <i r="3">
      <x v="79"/>
    </i>
    <i r="3">
      <x v="81"/>
    </i>
    <i r="3">
      <x v="83"/>
    </i>
    <i r="3">
      <x v="85"/>
    </i>
    <i r="3">
      <x v="86"/>
    </i>
    <i r="3">
      <x v="88"/>
    </i>
    <i r="3">
      <x v="91"/>
    </i>
    <i r="3">
      <x v="93"/>
    </i>
    <i r="3">
      <x v="95"/>
    </i>
    <i r="3">
      <x v="97"/>
    </i>
    <i r="3">
      <x v="99"/>
    </i>
    <i r="3">
      <x v="100"/>
    </i>
    <i r="3">
      <x v="101"/>
    </i>
    <i r="3">
      <x v="103"/>
    </i>
    <i r="3">
      <x v="104"/>
    </i>
    <i r="3">
      <x v="105"/>
    </i>
    <i r="3">
      <x v="107"/>
    </i>
    <i r="3">
      <x v="108"/>
    </i>
    <i r="3">
      <x v="110"/>
    </i>
    <i r="3">
      <x v="112"/>
    </i>
    <i r="3">
      <x v="113"/>
    </i>
    <i r="3">
      <x v="114"/>
    </i>
    <i r="3">
      <x v="115"/>
    </i>
    <i r="3">
      <x v="116"/>
    </i>
    <i r="3">
      <x v="117"/>
    </i>
    <i r="3">
      <x v="118"/>
    </i>
    <i r="3">
      <x v="121"/>
    </i>
    <i r="3">
      <x v="123"/>
    </i>
    <i r="3">
      <x v="126"/>
    </i>
    <i r="2">
      <x v="2"/>
      <x v="78"/>
    </i>
    <i r="3">
      <x v="90"/>
    </i>
    <i r="3">
      <x v="96"/>
    </i>
    <i r="3">
      <x v="102"/>
    </i>
    <i r="2">
      <x v="3"/>
      <x v="74"/>
    </i>
    <i r="3">
      <x v="75"/>
    </i>
    <i r="1">
      <x v="3"/>
      <x v="1"/>
      <x v="29"/>
    </i>
    <i r="3">
      <x v="31"/>
    </i>
    <i r="3">
      <x v="32"/>
    </i>
    <i r="3">
      <x v="34"/>
    </i>
    <i r="3">
      <x v="35"/>
    </i>
    <i r="3">
      <x v="38"/>
    </i>
    <i r="3">
      <x v="40"/>
    </i>
    <i r="3">
      <x v="41"/>
    </i>
    <i r="3">
      <x v="43"/>
    </i>
    <i r="3">
      <x v="45"/>
    </i>
    <i r="3">
      <x v="46"/>
    </i>
    <i r="3">
      <x v="47"/>
    </i>
    <i r="3">
      <x v="49"/>
    </i>
    <i r="3">
      <x v="51"/>
    </i>
    <i r="3">
      <x v="52"/>
    </i>
    <i r="3">
      <x v="54"/>
    </i>
    <i r="3">
      <x v="55"/>
    </i>
    <i r="3">
      <x v="56"/>
    </i>
    <i r="2">
      <x v="2"/>
      <x v="28"/>
    </i>
    <i r="3">
      <x v="36"/>
    </i>
    <i>
      <x v="6"/>
      <x v="3"/>
      <x v="1"/>
      <x v="58"/>
    </i>
    <i r="3">
      <x v="61"/>
    </i>
    <i r="2">
      <x v="2"/>
      <x v="59"/>
    </i>
    <i>
      <x v="7"/>
      <x/>
      <x v="1"/>
      <x v="12"/>
    </i>
    <i>
      <x v="8"/>
      <x v="2"/>
      <x/>
      <x v="51"/>
    </i>
    <i r="2">
      <x v="1"/>
      <x v="13"/>
    </i>
    <i r="3">
      <x v="14"/>
    </i>
    <i r="3">
      <x v="15"/>
    </i>
    <i r="3">
      <x v="16"/>
    </i>
    <i r="3">
      <x v="17"/>
    </i>
    <i r="3">
      <x v="18"/>
    </i>
    <i r="3">
      <x v="19"/>
    </i>
    <i r="3">
      <x v="20"/>
    </i>
    <i r="3">
      <x v="21"/>
    </i>
    <i r="3">
      <x v="22"/>
    </i>
    <i r="3">
      <x v="23"/>
    </i>
    <i r="3">
      <x v="24"/>
    </i>
    <i r="3">
      <x v="25"/>
    </i>
    <i r="3">
      <x v="27"/>
    </i>
    <i r="3">
      <x v="29"/>
    </i>
    <i r="3">
      <x v="30"/>
    </i>
    <i r="3">
      <x v="33"/>
    </i>
    <i r="3">
      <x v="37"/>
    </i>
    <i r="3">
      <x v="39"/>
    </i>
    <i r="3">
      <x v="41"/>
    </i>
    <i r="3">
      <x v="42"/>
    </i>
    <i r="3">
      <x v="43"/>
    </i>
    <i r="3">
      <x v="44"/>
    </i>
    <i r="3">
      <x v="47"/>
    </i>
    <i r="3">
      <x v="48"/>
    </i>
    <i r="3">
      <x v="50"/>
    </i>
    <i r="3">
      <x v="53"/>
    </i>
    <i r="3">
      <x v="54"/>
    </i>
    <i r="3">
      <x v="55"/>
    </i>
    <i r="3">
      <x v="57"/>
    </i>
    <i r="3">
      <x v="60"/>
    </i>
    <i r="2">
      <x v="2"/>
      <x v="26"/>
    </i>
    <i>
      <x v="9"/>
      <x v="3"/>
      <x v="1"/>
      <x v="125"/>
    </i>
    <i>
      <x v="11"/>
      <x v="3"/>
      <x v="1"/>
      <x v="122"/>
    </i>
    <i r="1">
      <x v="4"/>
      <x v="2"/>
      <x v="125"/>
    </i>
    <i t="grand">
      <x/>
    </i>
  </rowItems>
  <colFields count="1">
    <field x="-2"/>
  </colFields>
  <colItems count="3">
    <i>
      <x/>
    </i>
    <i i="1">
      <x v="1"/>
    </i>
    <i i="2">
      <x v="2"/>
    </i>
  </colItems>
  <dataFields count="3">
    <dataField name="$PerGallon" fld="8" baseField="4" baseItem="1"/>
    <dataField name="Gallons" fld="7" baseField="4" baseItem="1"/>
    <dataField name="PricePlus.Tax" fld="9" baseField="4" baseItem="1"/>
  </dataFields>
  <formats count="13">
    <format dxfId="1120">
      <pivotArea type="all" dataOnly="0" outline="0" fieldPosition="0"/>
    </format>
    <format dxfId="1119">
      <pivotArea outline="0" collapsedLevelsAreSubtotals="1" fieldPosition="0"/>
    </format>
    <format dxfId="1118">
      <pivotArea dataOnly="0" labelOnly="1" outline="0" fieldPosition="0">
        <references count="1">
          <reference field="4" count="0"/>
        </references>
      </pivotArea>
    </format>
    <format dxfId="1117">
      <pivotArea dataOnly="0" labelOnly="1" grandRow="1" outline="0" fieldPosition="0"/>
    </format>
    <format dxfId="1116">
      <pivotArea dataOnly="0" labelOnly="1" fieldPosition="0">
        <references count="2">
          <reference field="4" count="1" selected="0">
            <x v="0"/>
          </reference>
          <reference field="6" count="1">
            <x v="1"/>
          </reference>
        </references>
      </pivotArea>
    </format>
    <format dxfId="1115">
      <pivotArea dataOnly="0" labelOnly="1" fieldPosition="0">
        <references count="2">
          <reference field="4" count="1" selected="0">
            <x v="1"/>
          </reference>
          <reference field="6" count="1">
            <x v="1"/>
          </reference>
        </references>
      </pivotArea>
    </format>
    <format dxfId="1114">
      <pivotArea dataOnly="0" labelOnly="1" fieldPosition="0">
        <references count="2">
          <reference field="4" count="1" selected="0">
            <x v="2"/>
          </reference>
          <reference field="6" count="2">
            <x v="2"/>
            <x v="3"/>
          </reference>
        </references>
      </pivotArea>
    </format>
    <format dxfId="1113">
      <pivotArea dataOnly="0" labelOnly="1" fieldPosition="0">
        <references count="2">
          <reference field="4" count="1" selected="0">
            <x v="4"/>
          </reference>
          <reference field="6" count="3">
            <x v="1"/>
            <x v="2"/>
            <x v="4"/>
          </reference>
        </references>
      </pivotArea>
    </format>
    <format dxfId="1112">
      <pivotArea dataOnly="0" labelOnly="1" fieldPosition="0">
        <references count="2">
          <reference field="4" count="1" selected="0">
            <x v="5"/>
          </reference>
          <reference field="6" count="3">
            <x v="1"/>
            <x v="2"/>
            <x v="3"/>
          </reference>
        </references>
      </pivotArea>
    </format>
    <format dxfId="1111">
      <pivotArea dataOnly="0" labelOnly="1" fieldPosition="0">
        <references count="2">
          <reference field="4" count="1" selected="0">
            <x v="6"/>
          </reference>
          <reference field="6" count="2">
            <x v="1"/>
            <x v="2"/>
          </reference>
        </references>
      </pivotArea>
    </format>
    <format dxfId="1110">
      <pivotArea dataOnly="0" labelOnly="1" fieldPosition="0">
        <references count="2">
          <reference field="4" count="1" selected="0">
            <x v="7"/>
          </reference>
          <reference field="6" count="1">
            <x v="1"/>
          </reference>
        </references>
      </pivotArea>
    </format>
    <format dxfId="1109">
      <pivotArea dataOnly="0" labelOnly="1" fieldPosition="0">
        <references count="2">
          <reference field="4" count="1" selected="0">
            <x v="8"/>
          </reference>
          <reference field="6" count="3">
            <x v="0"/>
            <x v="1"/>
            <x v="2"/>
          </reference>
        </references>
      </pivotArea>
    </format>
    <format dxfId="1108">
      <pivotArea dataOnly="0" labelOnly="1" outline="0" fieldPosition="0">
        <references count="1">
          <reference field="4294967294" count="3">
            <x v="0"/>
            <x v="1"/>
            <x v="2"/>
          </reference>
        </references>
      </pivotArea>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H84" firstHeaderRow="1" firstDataRow="1" firstDataCol="7"/>
  <pivotFields count="24">
    <pivotField axis="axisRow" outline="0" showAll="0" defaultSubtotal="0">
      <items count="771">
        <item m="1" x="642"/>
        <item m="1" x="658"/>
        <item m="1" x="660"/>
        <item m="1" x="734"/>
        <item m="1" x="679"/>
        <item m="1" x="595"/>
        <item m="1" x="604"/>
        <item m="1" x="634"/>
        <item m="1" x="769"/>
        <item m="1" x="711"/>
        <item m="1" x="719"/>
        <item m="1" x="746"/>
        <item m="1" x="621"/>
        <item m="1" x="616"/>
        <item m="1" x="726"/>
        <item m="1" x="710"/>
        <item m="1" x="651"/>
        <item m="1" x="720"/>
        <item m="1" x="718"/>
        <item m="1" x="704"/>
        <item m="1" x="624"/>
        <item m="1" x="732"/>
        <item m="1" x="696"/>
        <item m="1" x="581"/>
        <item m="1" x="639"/>
        <item m="1" x="636"/>
        <item m="1" x="687"/>
        <item m="1" x="646"/>
        <item m="1" x="770"/>
        <item m="1" x="767"/>
        <item m="1" x="587"/>
        <item m="1" x="653"/>
        <item m="1" x="649"/>
        <item m="1" x="655"/>
        <item m="1" x="626"/>
        <item m="1" x="601"/>
        <item m="1" x="671"/>
        <item m="1" x="600"/>
        <item m="1" x="582"/>
        <item m="1" x="768"/>
        <item m="1" x="686"/>
        <item m="1" x="725"/>
        <item m="1" x="618"/>
        <item m="1" x="667"/>
        <item m="1" x="632"/>
        <item m="1" x="677"/>
        <item m="1" x="589"/>
        <item m="1" x="676"/>
        <item m="1" x="707"/>
        <item m="1" x="754"/>
        <item m="1" x="724"/>
        <item m="1" x="641"/>
        <item m="1" x="657"/>
        <item m="1" x="702"/>
        <item m="1" x="730"/>
        <item m="1" x="619"/>
        <item m="1" x="738"/>
        <item m="1" x="598"/>
        <item m="1" x="756"/>
        <item m="1" x="684"/>
        <item m="1" x="625"/>
        <item m="1" x="663"/>
        <item m="1" x="668"/>
        <item m="1" x="640"/>
        <item m="1" x="751"/>
        <item m="1" x="622"/>
        <item m="1" x="678"/>
        <item m="1" x="614"/>
        <item m="1" x="705"/>
        <item m="1" x="728"/>
        <item m="1" x="729"/>
        <item m="1" x="761"/>
        <item m="1" x="688"/>
        <item m="1" x="695"/>
        <item m="1" x="580"/>
        <item m="1" x="690"/>
        <item m="1" x="591"/>
        <item m="1" x="597"/>
        <item m="1" x="602"/>
        <item m="1" x="713"/>
        <item m="1" x="747"/>
        <item m="1" x="669"/>
        <item m="1" x="583"/>
        <item m="1" x="674"/>
        <item m="1" x="709"/>
        <item m="1" x="615"/>
        <item m="1" x="682"/>
        <item m="1" x="727"/>
        <item m="1" x="666"/>
        <item m="1" x="608"/>
        <item m="1" x="599"/>
        <item m="1" x="721"/>
        <item m="1" x="592"/>
        <item m="1" x="610"/>
        <item m="1" x="652"/>
        <item m="1" x="700"/>
        <item m="1" x="753"/>
        <item m="1" x="764"/>
        <item m="1" x="748"/>
        <item m="1" x="735"/>
        <item m="1" x="741"/>
        <item m="1" x="575"/>
        <item m="1" x="594"/>
        <item m="1" x="654"/>
        <item m="1" x="765"/>
        <item m="1" x="573"/>
        <item m="1" x="596"/>
        <item m="1" x="644"/>
        <item m="1" x="698"/>
        <item m="1" x="762"/>
        <item m="1" x="743"/>
        <item m="1" x="683"/>
        <item m="1" x="685"/>
        <item m="1" x="731"/>
        <item m="1" x="701"/>
        <item m="1" x="648"/>
        <item m="1" x="643"/>
        <item m="1" x="759"/>
        <item m="1" x="620"/>
        <item m="1" x="691"/>
        <item m="1" x="689"/>
        <item m="1" x="585"/>
        <item m="1" x="675"/>
        <item m="1" x="733"/>
        <item m="1" x="609"/>
        <item m="1" x="670"/>
        <item m="1" x="717"/>
        <item m="1" x="606"/>
        <item m="1" x="760"/>
        <item m="1" x="574"/>
        <item m="1" x="633"/>
        <item m="1" x="638"/>
        <item m="1" x="703"/>
        <item m="1" x="611"/>
        <item m="1" x="659"/>
        <item m="1" x="603"/>
        <item m="1" x="665"/>
        <item m="1" x="757"/>
        <item m="1" x="577"/>
        <item m="1" x="631"/>
        <item m="1" x="680"/>
        <item m="1" x="578"/>
        <item m="1" x="706"/>
        <item m="1" x="628"/>
        <item m="1" x="635"/>
        <item m="1" x="745"/>
        <item m="1" x="681"/>
        <item m="1" x="712"/>
        <item m="1" x="694"/>
        <item m="1" x="637"/>
        <item m="1" x="723"/>
        <item m="1" x="645"/>
        <item m="1" x="750"/>
        <item m="1" x="661"/>
        <item m="1" x="605"/>
        <item m="1" x="716"/>
        <item m="1" x="749"/>
        <item m="1" x="629"/>
        <item m="1" x="647"/>
        <item m="1" x="693"/>
        <item m="1" x="708"/>
        <item m="1" x="715"/>
        <item m="1" x="623"/>
        <item m="1" x="752"/>
        <item m="1" x="742"/>
        <item m="1" x="722"/>
        <item m="1" x="766"/>
        <item m="1" x="699"/>
        <item m="1" x="576"/>
        <item m="1" x="590"/>
        <item m="1" x="755"/>
        <item m="1" x="617"/>
        <item m="1" x="612"/>
        <item m="1" x="588"/>
        <item m="1" x="650"/>
        <item m="1" x="697"/>
        <item m="1" x="672"/>
        <item m="1" x="737"/>
        <item m="1" x="739"/>
        <item m="1" x="584"/>
        <item m="1" x="714"/>
        <item m="1" x="656"/>
        <item m="1" x="607"/>
        <item m="1" x="613"/>
        <item m="1" x="664"/>
        <item m="1" x="579"/>
        <item m="1" x="763"/>
        <item m="1" x="673"/>
        <item m="1" x="740"/>
        <item m="1" x="630"/>
        <item m="1" x="593"/>
        <item m="1" x="744"/>
        <item m="1" x="758"/>
        <item m="1" x="627"/>
        <item m="1" x="662"/>
        <item m="1" x="692"/>
        <item m="1" x="586"/>
        <item m="1" x="736"/>
        <item x="294"/>
        <item x="192"/>
        <item x="231"/>
        <item x="178"/>
        <item x="230"/>
        <item x="162"/>
        <item x="164"/>
        <item x="147"/>
        <item x="139"/>
        <item x="255"/>
        <item x="225"/>
        <item x="52"/>
        <item x="271"/>
        <item x="242"/>
        <item x="257"/>
        <item x="182"/>
        <item x="275"/>
        <item x="313"/>
        <item x="173"/>
        <item x="180"/>
        <item x="136"/>
        <item x="142"/>
        <item x="303"/>
        <item x="212"/>
        <item x="200"/>
        <item x="208"/>
        <item x="267"/>
        <item x="7"/>
        <item x="109"/>
        <item x="89"/>
        <item x="213"/>
        <item x="106"/>
        <item x="146"/>
        <item x="138"/>
        <item x="153"/>
        <item x="128"/>
        <item x="209"/>
        <item x="195"/>
        <item x="243"/>
        <item x="317"/>
        <item x="183"/>
        <item x="272"/>
        <item x="169"/>
        <item x="160"/>
        <item x="205"/>
        <item x="289"/>
        <item x="171"/>
        <item x="290"/>
        <item x="193"/>
        <item x="144"/>
        <item x="117"/>
        <item x="238"/>
        <item x="221"/>
        <item x="198"/>
        <item x="302"/>
        <item x="87"/>
        <item x="161"/>
        <item x="197"/>
        <item x="274"/>
        <item x="163"/>
        <item x="256"/>
        <item x="206"/>
        <item x="189"/>
        <item x="320"/>
        <item x="33"/>
        <item x="288"/>
        <item x="148"/>
        <item x="133"/>
        <item x="11"/>
        <item x="157"/>
        <item x="308"/>
        <item x="219"/>
        <item x="130"/>
        <item x="159"/>
        <item x="97"/>
        <item x="107"/>
        <item x="101"/>
        <item x="250"/>
        <item x="199"/>
        <item x="244"/>
        <item x="156"/>
        <item x="304"/>
        <item x="154"/>
        <item x="201"/>
        <item x="166"/>
        <item x="186"/>
        <item x="216"/>
        <item x="187"/>
        <item x="181"/>
        <item x="232"/>
        <item x="14"/>
        <item x="129"/>
        <item x="190"/>
        <item x="83"/>
        <item x="131"/>
        <item x="155"/>
        <item x="204"/>
        <item x="38"/>
        <item x="194"/>
        <item x="168"/>
        <item x="92"/>
        <item x="152"/>
        <item x="285"/>
        <item x="84"/>
        <item x="321"/>
        <item x="291"/>
        <item x="86"/>
        <item x="293"/>
        <item x="0"/>
        <item x="1"/>
        <item x="2"/>
        <item x="4"/>
        <item x="5"/>
        <item x="9"/>
        <item x="8"/>
        <item x="10"/>
        <item x="13"/>
        <item x="15"/>
        <item x="17"/>
        <item x="18"/>
        <item x="19"/>
        <item x="20"/>
        <item x="21"/>
        <item x="22"/>
        <item x="23"/>
        <item x="26"/>
        <item x="3"/>
        <item x="6"/>
        <item x="27"/>
        <item x="24"/>
        <item x="28"/>
        <item x="31"/>
        <item x="30"/>
        <item x="32"/>
        <item x="34"/>
        <item x="35"/>
        <item x="36"/>
        <item x="37"/>
        <item x="39"/>
        <item x="40"/>
        <item x="41"/>
        <item x="42"/>
        <item x="43"/>
        <item x="44"/>
        <item x="46"/>
        <item x="45"/>
        <item x="47"/>
        <item x="48"/>
        <item x="49"/>
        <item x="50"/>
        <item x="51"/>
        <item x="53"/>
        <item x="54"/>
        <item x="55"/>
        <item x="29"/>
        <item x="56"/>
        <item x="58"/>
        <item x="57"/>
        <item x="59"/>
        <item x="60"/>
        <item x="61"/>
        <item x="63"/>
        <item x="62"/>
        <item x="65"/>
        <item x="64"/>
        <item x="68"/>
        <item x="66"/>
        <item x="69"/>
        <item x="67"/>
        <item x="70"/>
        <item x="71"/>
        <item x="72"/>
        <item x="73"/>
        <item x="76"/>
        <item x="74"/>
        <item x="77"/>
        <item x="78"/>
        <item x="79"/>
        <item x="80"/>
        <item x="81"/>
        <item x="82"/>
        <item x="75"/>
        <item x="85"/>
        <item x="88"/>
        <item x="90"/>
        <item x="91"/>
        <item x="93"/>
        <item x="94"/>
        <item x="95"/>
        <item x="96"/>
        <item x="98"/>
        <item x="99"/>
        <item x="100"/>
        <item x="102"/>
        <item x="103"/>
        <item x="104"/>
        <item x="105"/>
        <item x="108"/>
        <item x="111"/>
        <item x="110"/>
        <item x="114"/>
        <item x="115"/>
        <item x="113"/>
        <item x="112"/>
        <item x="116"/>
        <item x="118"/>
        <item x="119"/>
        <item x="120"/>
        <item x="122"/>
        <item x="121"/>
        <item x="123"/>
        <item x="124"/>
        <item x="126"/>
        <item x="125"/>
        <item x="127"/>
        <item x="132"/>
        <item x="135"/>
        <item x="137"/>
        <item x="134"/>
        <item x="140"/>
        <item x="141"/>
        <item x="143"/>
        <item x="145"/>
        <item x="149"/>
        <item x="150"/>
        <item x="151"/>
        <item x="158"/>
        <item x="165"/>
        <item x="167"/>
        <item x="170"/>
        <item x="172"/>
        <item x="175"/>
        <item x="174"/>
        <item x="176"/>
        <item x="177"/>
        <item x="179"/>
        <item x="185"/>
        <item x="184"/>
        <item x="188"/>
        <item x="191"/>
        <item x="196"/>
        <item x="202"/>
        <item x="203"/>
        <item x="207"/>
        <item x="211"/>
        <item x="210"/>
        <item x="214"/>
        <item x="215"/>
        <item x="217"/>
        <item x="218"/>
        <item x="222"/>
        <item x="220"/>
        <item x="223"/>
        <item x="224"/>
        <item x="227"/>
        <item x="226"/>
        <item x="229"/>
        <item x="233"/>
        <item x="234"/>
        <item x="239"/>
        <item x="235"/>
        <item x="236"/>
        <item x="240"/>
        <item x="237"/>
        <item x="241"/>
        <item x="248"/>
        <item x="247"/>
        <item x="245"/>
        <item x="246"/>
        <item x="249"/>
        <item x="252"/>
        <item x="253"/>
        <item x="251"/>
        <item x="254"/>
        <item x="260"/>
        <item x="258"/>
        <item x="261"/>
        <item x="263"/>
        <item x="262"/>
        <item x="264"/>
        <item x="265"/>
        <item x="259"/>
        <item x="266"/>
        <item x="270"/>
        <item x="269"/>
        <item x="273"/>
        <item x="268"/>
        <item x="276"/>
        <item x="277"/>
        <item x="278"/>
        <item x="280"/>
        <item x="281"/>
        <item x="282"/>
        <item x="284"/>
        <item x="283"/>
        <item x="279"/>
        <item x="287"/>
        <item x="286"/>
        <item x="297"/>
        <item x="299"/>
        <item x="295"/>
        <item x="292"/>
        <item x="306"/>
        <item x="307"/>
        <item x="312"/>
        <item x="315"/>
        <item x="319"/>
        <item x="323"/>
        <item x="324"/>
        <item x="322"/>
        <item x="327"/>
        <item x="328"/>
        <item x="330"/>
        <item x="326"/>
        <item x="331"/>
        <item x="335"/>
        <item x="337"/>
        <item x="333"/>
        <item x="325"/>
        <item x="329"/>
        <item x="332"/>
        <item x="334"/>
        <item x="336"/>
        <item x="338"/>
        <item x="339"/>
        <item x="342"/>
        <item x="341"/>
        <item x="343"/>
        <item x="344"/>
        <item x="345"/>
        <item x="348"/>
        <item x="347"/>
        <item x="346"/>
        <item x="349"/>
        <item x="351"/>
        <item x="350"/>
        <item x="353"/>
        <item x="352"/>
        <item x="355"/>
        <item x="354"/>
        <item x="356"/>
        <item x="359"/>
        <item x="361"/>
        <item x="360"/>
        <item x="357"/>
        <item x="358"/>
        <item x="362"/>
        <item x="364"/>
        <item x="366"/>
        <item x="368"/>
        <item x="369"/>
        <item x="371"/>
        <item x="370"/>
        <item x="373"/>
        <item x="372"/>
        <item x="367"/>
        <item x="375"/>
        <item x="376"/>
        <item x="374"/>
        <item x="377"/>
        <item x="388"/>
        <item x="386"/>
        <item x="389"/>
        <item x="392"/>
        <item x="390"/>
        <item x="393"/>
        <item x="394"/>
        <item x="385"/>
        <item x="380"/>
        <item x="379"/>
        <item x="387"/>
        <item x="391"/>
        <item x="378"/>
        <item x="395"/>
        <item x="398"/>
        <item x="397"/>
        <item x="396"/>
        <item x="401"/>
        <item x="399"/>
        <item x="400"/>
        <item x="402"/>
        <item x="12"/>
        <item x="16"/>
        <item x="25"/>
        <item x="228"/>
        <item x="296"/>
        <item x="298"/>
        <item x="300"/>
        <item x="301"/>
        <item x="305"/>
        <item x="310"/>
        <item x="314"/>
        <item x="316"/>
        <item x="318"/>
        <item x="311"/>
        <item x="309"/>
        <item x="365"/>
        <item x="363"/>
        <item x="381"/>
        <item x="383"/>
        <item x="382"/>
        <item x="384"/>
        <item x="413"/>
        <item x="412"/>
        <item x="411"/>
        <item x="414"/>
        <item x="405"/>
        <item x="404"/>
        <item x="406"/>
        <item x="403"/>
        <item x="407"/>
        <item x="409"/>
        <item x="408"/>
        <item x="410"/>
        <item x="418"/>
        <item x="416"/>
        <item x="417"/>
        <item x="415"/>
        <item x="420"/>
        <item x="419"/>
        <item x="421"/>
        <item x="422"/>
        <item x="424"/>
        <item x="423"/>
        <item x="425"/>
        <item x="427"/>
        <item x="426"/>
        <item x="428"/>
        <item x="430"/>
        <item x="431"/>
        <item x="429"/>
        <item x="434"/>
        <item x="433"/>
        <item x="432"/>
        <item x="437"/>
        <item x="438"/>
        <item x="435"/>
        <item x="439"/>
        <item x="436"/>
        <item x="340"/>
        <item x="441"/>
        <item x="445"/>
        <item x="442"/>
        <item x="440"/>
        <item x="443"/>
        <item x="449"/>
        <item x="444"/>
        <item x="448"/>
        <item x="446"/>
        <item x="450"/>
        <item x="452"/>
        <item x="454"/>
        <item x="453"/>
        <item x="451"/>
        <item x="455"/>
        <item x="456"/>
        <item x="459"/>
        <item x="458"/>
        <item x="460"/>
        <item x="457"/>
        <item x="464"/>
        <item x="462"/>
        <item x="461"/>
        <item x="463"/>
        <item x="465"/>
        <item x="447"/>
        <item x="469"/>
        <item x="471"/>
        <item x="468"/>
        <item x="472"/>
        <item x="470"/>
        <item x="467"/>
        <item x="466"/>
        <item x="473"/>
        <item x="475"/>
        <item x="477"/>
        <item x="474"/>
        <item x="476"/>
        <item x="478"/>
        <item x="479"/>
        <item x="480"/>
        <item x="481"/>
        <item x="482"/>
        <item x="483"/>
        <item x="484"/>
        <item x="485"/>
        <item x="486"/>
        <item x="487"/>
        <item x="488"/>
        <item x="489"/>
        <item x="490"/>
        <item x="491"/>
        <item x="492"/>
        <item x="493"/>
        <item x="494"/>
        <item x="495"/>
        <item x="496"/>
        <item x="497"/>
        <item x="498"/>
        <item x="499"/>
        <item x="500"/>
        <item x="501"/>
        <item x="502"/>
        <item x="505"/>
        <item x="516"/>
        <item x="508"/>
        <item x="509"/>
        <item x="510"/>
        <item x="511"/>
        <item x="503"/>
        <item x="504"/>
        <item x="506"/>
        <item x="507"/>
        <item x="512"/>
        <item x="513"/>
        <item x="514"/>
        <item x="515"/>
        <item x="517"/>
        <item x="518"/>
        <item x="519"/>
        <item x="520"/>
        <item x="521"/>
        <item x="524"/>
        <item x="525"/>
        <item x="526"/>
        <item x="527"/>
        <item x="522"/>
        <item x="523"/>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s>
    </pivotField>
    <pivotField axis="axisRow" outline="0" showAll="0" defaultSubtotal="0">
      <items count="568">
        <item x="31"/>
        <item x="298"/>
        <item x="84"/>
        <item x="250"/>
        <item x="62"/>
        <item x="247"/>
        <item x="260"/>
        <item x="257"/>
        <item x="261"/>
        <item x="262"/>
        <item x="281"/>
        <item x="284"/>
        <item x="291"/>
        <item x="293"/>
        <item x="294"/>
        <item x="296"/>
        <item x="306"/>
        <item x="316"/>
        <item x="279"/>
        <item x="302"/>
        <item x="32"/>
        <item x="55"/>
        <item x="58"/>
        <item x="72"/>
        <item x="38"/>
        <item x="73"/>
        <item x="14"/>
        <item x="93"/>
        <item x="111"/>
        <item x="126"/>
        <item x="259"/>
        <item x="211"/>
        <item x="252"/>
        <item x="303"/>
        <item x="292"/>
        <item x="305"/>
        <item x="12"/>
        <item x="272"/>
        <item x="301"/>
        <item x="54"/>
        <item x="57"/>
        <item x="101"/>
        <item x="269"/>
        <item x="286"/>
        <item x="317"/>
        <item x="311"/>
        <item x="43"/>
        <item x="24"/>
        <item x="27"/>
        <item x="49"/>
        <item x="150"/>
        <item x="163"/>
        <item x="318"/>
        <item x="309"/>
        <item x="288"/>
        <item x="274"/>
        <item x="216"/>
        <item x="299"/>
        <item x="304"/>
        <item x="314"/>
        <item x="319"/>
        <item x="268"/>
        <item x="44"/>
        <item x="30"/>
        <item x="34"/>
        <item x="35"/>
        <item x="46"/>
        <item x="48"/>
        <item x="76"/>
        <item x="77"/>
        <item x="50"/>
        <item x="87"/>
        <item x="83"/>
        <item x="53"/>
        <item x="86"/>
        <item x="59"/>
        <item x="92"/>
        <item x="97"/>
        <item x="70"/>
        <item x="65"/>
        <item x="68"/>
        <item x="36"/>
        <item x="107"/>
        <item x="135"/>
        <item x="95"/>
        <item x="96"/>
        <item x="138"/>
        <item x="142"/>
        <item x="144"/>
        <item x="152"/>
        <item x="113"/>
        <item x="194"/>
        <item x="195"/>
        <item x="213"/>
        <item x="232"/>
        <item x="238"/>
        <item x="253"/>
        <item x="267"/>
        <item x="280"/>
        <item x="287"/>
        <item x="315"/>
        <item x="310"/>
        <item x="237"/>
        <item x="278"/>
        <item x="275"/>
        <item x="313"/>
        <item x="297"/>
        <item x="307"/>
        <item x="290"/>
        <item x="295"/>
        <item x="110"/>
        <item x="285"/>
        <item x="6"/>
        <item x="42"/>
        <item x="0"/>
        <item x="11"/>
        <item x="1"/>
        <item x="2"/>
        <item x="4"/>
        <item x="8"/>
        <item x="5"/>
        <item x="7"/>
        <item x="25"/>
        <item x="9"/>
        <item x="10"/>
        <item x="15"/>
        <item x="16"/>
        <item x="18"/>
        <item x="22"/>
        <item x="13"/>
        <item x="17"/>
        <item x="20"/>
        <item x="19"/>
        <item x="23"/>
        <item x="21"/>
        <item x="26"/>
        <item x="28"/>
        <item x="37"/>
        <item x="33"/>
        <item x="39"/>
        <item x="40"/>
        <item x="41"/>
        <item x="45"/>
        <item x="47"/>
        <item x="51"/>
        <item x="52"/>
        <item x="29"/>
        <item x="56"/>
        <item x="69"/>
        <item x="64"/>
        <item x="60"/>
        <item x="63"/>
        <item x="61"/>
        <item x="66"/>
        <item x="67"/>
        <item x="79"/>
        <item x="71"/>
        <item x="78"/>
        <item x="80"/>
        <item x="74"/>
        <item x="88"/>
        <item x="75"/>
        <item x="81"/>
        <item x="82"/>
        <item x="91"/>
        <item x="85"/>
        <item x="90"/>
        <item x="89"/>
        <item x="100"/>
        <item x="94"/>
        <item x="98"/>
        <item x="99"/>
        <item x="108"/>
        <item x="102"/>
        <item x="104"/>
        <item x="103"/>
        <item x="114"/>
        <item x="109"/>
        <item x="106"/>
        <item x="118"/>
        <item x="112"/>
        <item x="116"/>
        <item x="115"/>
        <item x="123"/>
        <item x="117"/>
        <item x="121"/>
        <item x="122"/>
        <item x="120"/>
        <item x="124"/>
        <item x="128"/>
        <item x="127"/>
        <item x="132"/>
        <item x="125"/>
        <item x="130"/>
        <item x="129"/>
        <item x="131"/>
        <item x="140"/>
        <item x="134"/>
        <item x="133"/>
        <item x="136"/>
        <item x="137"/>
        <item x="139"/>
        <item x="141"/>
        <item x="145"/>
        <item x="143"/>
        <item x="148"/>
        <item x="147"/>
        <item x="146"/>
        <item x="153"/>
        <item x="151"/>
        <item x="149"/>
        <item x="154"/>
        <item x="158"/>
        <item x="167"/>
        <item x="155"/>
        <item x="165"/>
        <item x="157"/>
        <item x="156"/>
        <item x="159"/>
        <item x="160"/>
        <item x="161"/>
        <item x="162"/>
        <item x="164"/>
        <item x="166"/>
        <item x="169"/>
        <item x="168"/>
        <item x="170"/>
        <item x="172"/>
        <item x="171"/>
        <item x="175"/>
        <item x="179"/>
        <item x="174"/>
        <item x="173"/>
        <item x="176"/>
        <item x="177"/>
        <item x="186"/>
        <item x="231"/>
        <item x="184"/>
        <item x="178"/>
        <item x="180"/>
        <item x="188"/>
        <item x="181"/>
        <item x="185"/>
        <item x="183"/>
        <item x="182"/>
        <item x="200"/>
        <item x="187"/>
        <item x="191"/>
        <item x="193"/>
        <item x="190"/>
        <item x="189"/>
        <item x="208"/>
        <item x="203"/>
        <item x="192"/>
        <item x="218"/>
        <item x="209"/>
        <item x="196"/>
        <item x="198"/>
        <item x="197"/>
        <item x="199"/>
        <item x="214"/>
        <item x="201"/>
        <item x="202"/>
        <item x="204"/>
        <item x="205"/>
        <item x="207"/>
        <item x="206"/>
        <item x="210"/>
        <item x="212"/>
        <item x="234"/>
        <item x="222"/>
        <item x="215"/>
        <item x="217"/>
        <item x="219"/>
        <item x="220"/>
        <item x="221"/>
        <item x="223"/>
        <item x="226"/>
        <item x="224"/>
        <item x="229"/>
        <item x="225"/>
        <item x="227"/>
        <item x="239"/>
        <item x="230"/>
        <item x="228"/>
        <item x="236"/>
        <item x="246"/>
        <item x="233"/>
        <item x="255"/>
        <item x="235"/>
        <item x="248"/>
        <item x="240"/>
        <item x="241"/>
        <item x="244"/>
        <item x="242"/>
        <item x="254"/>
        <item x="243"/>
        <item x="249"/>
        <item x="256"/>
        <item x="245"/>
        <item x="251"/>
        <item x="271"/>
        <item x="258"/>
        <item x="266"/>
        <item x="264"/>
        <item x="263"/>
        <item x="265"/>
        <item x="276"/>
        <item x="277"/>
        <item x="270"/>
        <item x="273"/>
        <item x="282"/>
        <item x="283"/>
        <item x="300"/>
        <item x="320"/>
        <item x="312"/>
        <item x="105"/>
        <item x="119"/>
        <item x="3"/>
        <item x="289"/>
        <item x="308"/>
        <item x="322"/>
        <item x="323"/>
        <item x="321"/>
        <item x="326"/>
        <item x="327"/>
        <item x="331"/>
        <item x="328"/>
        <item x="329"/>
        <item x="325"/>
        <item x="330"/>
        <item x="333"/>
        <item x="334"/>
        <item x="336"/>
        <item x="332"/>
        <item x="324"/>
        <item x="335"/>
        <item x="337"/>
        <item x="338"/>
        <item x="341"/>
        <item x="340"/>
        <item x="342"/>
        <item x="343"/>
        <item x="344"/>
        <item x="347"/>
        <item x="346"/>
        <item x="345"/>
        <item x="348"/>
        <item x="350"/>
        <item x="349"/>
        <item x="352"/>
        <item x="351"/>
        <item x="354"/>
        <item x="353"/>
        <item x="355"/>
        <item x="358"/>
        <item x="360"/>
        <item x="359"/>
        <item x="356"/>
        <item x="357"/>
        <item x="361"/>
        <item x="363"/>
        <item x="362"/>
        <item x="364"/>
        <item x="365"/>
        <item x="366"/>
        <item x="367"/>
        <item x="369"/>
        <item x="368"/>
        <item x="371"/>
        <item x="370"/>
        <item x="373"/>
        <item x="374"/>
        <item x="372"/>
        <item x="375"/>
        <item x="379"/>
        <item x="380"/>
        <item x="384"/>
        <item x="382"/>
        <item x="385"/>
        <item x="388"/>
        <item x="386"/>
        <item x="389"/>
        <item x="390"/>
        <item x="381"/>
        <item x="378"/>
        <item x="377"/>
        <item x="383"/>
        <item x="387"/>
        <item x="376"/>
        <item x="391"/>
        <item x="394"/>
        <item x="393"/>
        <item x="392"/>
        <item x="397"/>
        <item x="395"/>
        <item x="396"/>
        <item x="398"/>
        <item x="407"/>
        <item x="406"/>
        <item x="410"/>
        <item x="405"/>
        <item x="408"/>
        <item x="409"/>
        <item x="401"/>
        <item x="400"/>
        <item x="399"/>
        <item x="402"/>
        <item x="403"/>
        <item x="404"/>
        <item x="412"/>
        <item x="411"/>
        <item x="413"/>
        <item x="414"/>
        <item x="416"/>
        <item x="415"/>
        <item x="417"/>
        <item x="419"/>
        <item x="418"/>
        <item x="420"/>
        <item x="422"/>
        <item x="423"/>
        <item x="421"/>
        <item x="426"/>
        <item x="425"/>
        <item x="424"/>
        <item x="429"/>
        <item x="430"/>
        <item x="427"/>
        <item x="431"/>
        <item x="428"/>
        <item x="339"/>
        <item x="433"/>
        <item x="437"/>
        <item x="434"/>
        <item x="432"/>
        <item x="435"/>
        <item x="441"/>
        <item x="436"/>
        <item x="439"/>
        <item x="440"/>
        <item x="438"/>
        <item x="442"/>
        <item x="444"/>
        <item x="446"/>
        <item x="445"/>
        <item x="443"/>
        <item x="447"/>
        <item x="448"/>
        <item x="451"/>
        <item x="450"/>
        <item x="452"/>
        <item x="449"/>
        <item x="456"/>
        <item x="454"/>
        <item x="453"/>
        <item x="455"/>
        <item x="457"/>
        <item x="461"/>
        <item x="463"/>
        <item x="460"/>
        <item x="464"/>
        <item x="462"/>
        <item x="459"/>
        <item x="458"/>
        <item x="465"/>
        <item x="467"/>
        <item x="469"/>
        <item x="466"/>
        <item x="468"/>
        <item x="470"/>
        <item x="471"/>
        <item x="472"/>
        <item x="473"/>
        <item x="474"/>
        <item x="475"/>
        <item x="476"/>
        <item m="1" x="565"/>
        <item x="477"/>
        <item x="478"/>
        <item x="479"/>
        <item x="480"/>
        <item x="481"/>
        <item x="482"/>
        <item x="483"/>
        <item x="484"/>
        <item x="485"/>
        <item x="486"/>
        <item x="487"/>
        <item x="488"/>
        <item x="489"/>
        <item x="490"/>
        <item x="491"/>
        <item x="492"/>
        <item x="493"/>
        <item x="494"/>
        <item m="1" x="567"/>
        <item x="497"/>
        <item x="498"/>
        <item x="508"/>
        <item x="500"/>
        <item x="501"/>
        <item x="502"/>
        <item x="503"/>
        <item m="1" x="566"/>
        <item x="509"/>
        <item x="495"/>
        <item x="496"/>
        <item x="499"/>
        <item x="504"/>
        <item x="505"/>
        <item x="506"/>
        <item x="507"/>
        <item x="510"/>
        <item x="511"/>
        <item x="512"/>
        <item x="513"/>
        <item x="516"/>
        <item x="517"/>
        <item x="518"/>
        <item x="519"/>
        <item x="514"/>
        <item x="515"/>
        <item x="520"/>
        <item x="521"/>
        <item x="522"/>
        <item x="523"/>
        <item x="524"/>
        <item x="525"/>
        <item x="526"/>
        <item x="527"/>
        <item x="528"/>
        <item x="529"/>
        <item x="530"/>
        <item x="531"/>
        <item x="532"/>
        <item x="533"/>
        <item x="534"/>
        <item x="535"/>
        <item x="536"/>
        <item x="537"/>
        <item x="538"/>
        <item x="539"/>
        <item x="540"/>
        <item x="542"/>
        <item x="543"/>
        <item x="544"/>
        <item x="545"/>
        <item x="546"/>
        <item x="547"/>
        <item x="548"/>
        <item x="549"/>
        <item x="550"/>
        <item x="551"/>
        <item x="541"/>
        <item x="552"/>
        <item x="553"/>
        <item x="554"/>
        <item x="555"/>
        <item x="556"/>
        <item x="557"/>
        <item x="558"/>
        <item x="559"/>
        <item x="560"/>
        <item x="561"/>
        <item x="562"/>
        <item x="563"/>
        <item x="564"/>
      </items>
    </pivotField>
    <pivotField showAll="0"/>
    <pivotField showAll="0" defaultSubtotal="0"/>
    <pivotField showAll="0"/>
    <pivotField showAll="0"/>
    <pivotField showAll="0"/>
    <pivotField numFmtId="44" showAll="0"/>
    <pivotField showAll="0"/>
    <pivotField numFmtId="44" showAll="0" defaultSubtotal="0"/>
    <pivotField showAll="0"/>
    <pivotField numFmtId="44" showAll="0" defaultSubtotal="0"/>
    <pivotField axis="axisRow" outline="0" showAll="0" defaultSubtotal="0">
      <items count="32">
        <item x="3"/>
        <item m="1" x="16"/>
        <item m="1" x="17"/>
        <item x="9"/>
        <item x="4"/>
        <item x="1"/>
        <item x="7"/>
        <item x="0"/>
        <item x="6"/>
        <item m="1" x="29"/>
        <item x="8"/>
        <item x="5"/>
        <item m="1" x="21"/>
        <item m="1" x="26"/>
        <item m="1" x="13"/>
        <item m="1" x="18"/>
        <item m="1" x="22"/>
        <item m="1" x="14"/>
        <item m="1" x="23"/>
        <item m="1" x="30"/>
        <item m="1" x="19"/>
        <item m="1" x="24"/>
        <item m="1" x="20"/>
        <item m="1" x="27"/>
        <item m="1" x="31"/>
        <item m="1" x="15"/>
        <item m="1" x="28"/>
        <item x="2"/>
        <item x="10"/>
        <item m="1" x="25"/>
        <item x="11"/>
        <item x="12"/>
      </items>
    </pivotField>
    <pivotField axis="axisRow" numFmtId="14" outline="0" showAll="0" defaultSubtota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s>
    </pivotField>
    <pivotField numFmtId="14" showAll="0"/>
    <pivotField axis="axisRow" numFmtId="14" outline="0" showAll="0" defaultSubtotal="0">
      <items count="2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4"/>
        <item x="165"/>
        <item x="167"/>
        <item x="166"/>
        <item x="163"/>
        <item x="168"/>
        <item x="169"/>
        <item x="170"/>
        <item x="171"/>
        <item x="172"/>
        <item x="173"/>
        <item x="175"/>
        <item x="176"/>
        <item x="177"/>
        <item x="178"/>
        <item x="179"/>
        <item x="180"/>
        <item x="181"/>
        <item x="182"/>
        <item x="183"/>
        <item x="184"/>
        <item x="186"/>
        <item x="187"/>
        <item x="185"/>
        <item x="188"/>
        <item x="189"/>
        <item x="190"/>
        <item x="191"/>
        <item x="192"/>
        <item x="193"/>
        <item x="194"/>
        <item x="196"/>
        <item x="195"/>
        <item x="198"/>
        <item x="197"/>
        <item x="199"/>
        <item x="200"/>
        <item x="201"/>
        <item x="202"/>
        <item x="203"/>
        <item x="207"/>
        <item x="208"/>
        <item x="204"/>
        <item x="205"/>
        <item x="206"/>
        <item x="209"/>
        <item x="210"/>
        <item x="211"/>
        <item x="212"/>
        <item x="213"/>
        <item x="214"/>
        <item x="215"/>
        <item x="174"/>
        <item x="216"/>
        <item x="217"/>
        <item x="218"/>
        <item x="219"/>
        <item x="220"/>
        <item x="221"/>
        <item x="222"/>
        <item x="223"/>
        <item x="224"/>
        <item x="225"/>
        <item x="226"/>
        <item x="227"/>
        <item x="228"/>
        <item x="229"/>
        <item x="230"/>
        <item x="231"/>
        <item x="232"/>
        <item x="233"/>
        <item x="234"/>
        <item x="235"/>
        <item x="236"/>
        <item x="237"/>
        <item x="238"/>
        <item x="239"/>
        <item x="240"/>
        <item x="241"/>
        <item x="242"/>
        <item x="244"/>
        <item x="243"/>
        <item x="245"/>
        <item x="246"/>
        <item x="247"/>
        <item x="248"/>
        <item x="249"/>
        <item x="250"/>
        <item x="251"/>
        <item x="252"/>
        <item x="253"/>
        <item x="254"/>
        <item x="255"/>
        <item x="256"/>
        <item x="257"/>
        <item x="258"/>
        <item x="259"/>
        <item x="260"/>
        <item x="261"/>
        <item x="262"/>
        <item x="263"/>
      </items>
    </pivotField>
    <pivotField outline="0" showAll="0" defaultSubtotal="0"/>
    <pivotField outline="0" showAll="0" defaultSubtotal="0"/>
    <pivotField axis="axisRow" outline="0" showAll="0" defaultSubtotal="0">
      <items count="4">
        <item x="1"/>
        <item h="1" x="0"/>
        <item h="1" m="1" x="2"/>
        <item h="1" m="1" x="3"/>
      </items>
    </pivotField>
    <pivotField dataField="1" showAll="0"/>
    <pivotField axis="axisRow" numFmtId="14" outline="0" showAll="0" defaultSubtota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s>
    </pivotField>
    <pivotField showAll="0">
      <items count="13">
        <item x="7"/>
        <item x="8"/>
        <item x="9"/>
        <item x="10"/>
        <item x="11"/>
        <item x="0"/>
        <item x="1"/>
        <item x="2"/>
        <item x="3"/>
        <item x="4"/>
        <item x="5"/>
        <item x="6"/>
        <item t="default"/>
      </items>
    </pivotField>
    <pivotField showAll="0">
      <items count="3">
        <item h="1" x="0"/>
        <item x="1"/>
        <item t="default"/>
      </items>
    </pivotField>
    <pivotField dragToRow="0" dragToCol="0" dragToPage="0" showAll="0" defaultSubtotal="0"/>
  </pivotFields>
  <rowFields count="7">
    <field x="0"/>
    <field x="1"/>
    <field x="12"/>
    <field x="15"/>
    <field x="18"/>
    <field x="13"/>
    <field x="20"/>
  </rowFields>
  <rowItems count="83">
    <i>
      <x v="202"/>
      <x v="283"/>
      <x v="11"/>
      <x v="126"/>
      <x/>
      <x v="29"/>
      <x v="29"/>
    </i>
    <i>
      <x v="207"/>
      <x v="288"/>
      <x v="11"/>
      <x v="135"/>
      <x/>
      <x v="31"/>
      <x v="31"/>
    </i>
    <i>
      <x v="208"/>
      <x v="280"/>
      <x v="11"/>
      <x v="123"/>
      <x/>
      <x v="29"/>
      <x v="29"/>
    </i>
    <i>
      <x v="258"/>
      <x v="298"/>
      <x v="8"/>
      <x v="135"/>
      <x/>
      <x v="31"/>
      <x v="31"/>
    </i>
    <i>
      <x v="277"/>
      <x v="293"/>
      <x v="11"/>
      <x v="131"/>
      <x/>
      <x v="30"/>
      <x v="30"/>
    </i>
    <i>
      <x v="452"/>
      <x v="281"/>
      <x v="11"/>
      <x v="124"/>
      <x/>
      <x v="29"/>
      <x v="29"/>
    </i>
    <i>
      <x v="458"/>
      <x v="289"/>
      <x v="11"/>
      <x v="128"/>
      <x/>
      <x v="30"/>
      <x v="30"/>
    </i>
    <i>
      <x v="459"/>
      <x v="285"/>
      <x v="11"/>
      <x v="129"/>
      <x/>
      <x v="30"/>
      <x v="30"/>
    </i>
    <i>
      <x v="462"/>
      <x v="292"/>
      <x v="11"/>
      <x v="130"/>
      <x/>
      <x v="30"/>
      <x v="30"/>
    </i>
    <i>
      <x v="469"/>
      <x v="96"/>
      <x v="8"/>
      <x v="133"/>
      <x/>
      <x v="31"/>
      <x v="31"/>
    </i>
    <i>
      <x v="470"/>
      <x v="300"/>
      <x v="11"/>
      <x v="133"/>
      <x/>
      <x v="31"/>
      <x v="31"/>
    </i>
    <i>
      <x v="471"/>
      <x v="295"/>
      <x v="8"/>
      <x v="134"/>
      <x/>
      <x v="31"/>
      <x v="31"/>
    </i>
    <i>
      <x v="509"/>
      <x v="325"/>
      <x v="3"/>
      <x v="164"/>
      <x/>
      <x v="37"/>
      <x v="37"/>
    </i>
    <i>
      <x v="510"/>
      <x v="328"/>
      <x v="3"/>
      <x v="165"/>
      <x/>
      <x v="37"/>
      <x v="37"/>
    </i>
    <i>
      <x v="512"/>
      <x v="330"/>
      <x v="3"/>
      <x v="168"/>
      <x/>
      <x v="38"/>
      <x v="38"/>
    </i>
    <i>
      <x v="513"/>
      <x v="332"/>
      <x v="3"/>
      <x v="170"/>
      <x/>
      <x v="38"/>
      <x v="38"/>
    </i>
    <i>
      <x v="514"/>
      <x v="333"/>
      <x v="3"/>
      <x v="171"/>
      <x/>
      <x v="38"/>
      <x v="38"/>
    </i>
    <i>
      <x v="515"/>
      <x v="334"/>
      <x v="3"/>
      <x v="169"/>
      <x/>
      <x v="38"/>
      <x v="38"/>
    </i>
    <i>
      <x v="517"/>
      <x v="327"/>
      <x v="28"/>
      <x v="166"/>
      <x/>
      <x v="37"/>
      <x v="37"/>
    </i>
    <i>
      <x v="518"/>
      <x v="326"/>
      <x v="28"/>
      <x v="168"/>
      <x/>
      <x v="38"/>
      <x v="38"/>
    </i>
    <i>
      <x v="519"/>
      <x v="331"/>
      <x v="28"/>
      <x v="169"/>
      <x/>
      <x v="38"/>
      <x v="38"/>
    </i>
    <i>
      <x v="520"/>
      <x v="336"/>
      <x v="28"/>
      <x v="170"/>
      <x/>
      <x v="38"/>
      <x v="38"/>
    </i>
    <i>
      <x v="521"/>
      <x v="337"/>
      <x v="3"/>
      <x v="172"/>
      <x/>
      <x v="39"/>
      <x v="39"/>
    </i>
    <i>
      <x v="522"/>
      <x v="338"/>
      <x v="3"/>
      <x v="173"/>
      <x/>
      <x v="39"/>
      <x v="39"/>
    </i>
    <i>
      <x v="523"/>
      <x v="339"/>
      <x v="3"/>
      <x v="174"/>
      <x/>
      <x v="39"/>
      <x v="39"/>
    </i>
    <i>
      <x v="524"/>
      <x v="340"/>
      <x v="8"/>
      <x v="174"/>
      <x/>
      <x v="39"/>
      <x v="39"/>
    </i>
    <i>
      <x v="525"/>
      <x v="341"/>
      <x v="3"/>
      <x v="175"/>
      <x/>
      <x v="40"/>
      <x v="40"/>
    </i>
    <i>
      <x v="526"/>
      <x v="342"/>
      <x v="8"/>
      <x v="176"/>
      <x/>
      <x v="40"/>
      <x v="40"/>
    </i>
    <i>
      <x v="527"/>
      <x v="343"/>
      <x v="3"/>
      <x v="177"/>
      <x/>
      <x v="40"/>
      <x v="40"/>
    </i>
    <i>
      <x v="528"/>
      <x v="344"/>
      <x v="8"/>
      <x v="178"/>
      <x/>
      <x v="40"/>
      <x v="40"/>
    </i>
    <i>
      <x v="529"/>
      <x v="345"/>
      <x v="3"/>
      <x v="178"/>
      <x/>
      <x v="40"/>
      <x v="40"/>
    </i>
    <i>
      <x v="530"/>
      <x v="346"/>
      <x v="8"/>
      <x v="177"/>
      <x/>
      <x v="40"/>
      <x v="40"/>
    </i>
    <i>
      <x v="531"/>
      <x v="347"/>
      <x v="3"/>
      <x v="179"/>
      <x/>
      <x v="41"/>
      <x v="41"/>
    </i>
    <i>
      <x v="532"/>
      <x v="348"/>
      <x v="8"/>
      <x v="180"/>
      <x/>
      <x v="41"/>
      <x v="41"/>
    </i>
    <i>
      <x v="533"/>
      <x v="349"/>
      <x v="3"/>
      <x v="180"/>
      <x/>
      <x v="41"/>
      <x v="41"/>
    </i>
    <i>
      <x v="534"/>
      <x v="350"/>
      <x v="3"/>
      <x v="181"/>
      <x/>
      <x v="41"/>
      <x v="41"/>
    </i>
    <i>
      <x v="535"/>
      <x v="351"/>
      <x v="8"/>
      <x v="181"/>
      <x/>
      <x v="41"/>
      <x v="41"/>
    </i>
    <i>
      <x v="536"/>
      <x v="352"/>
      <x v="3"/>
      <x v="182"/>
      <x/>
      <x v="41"/>
      <x v="41"/>
    </i>
    <i>
      <x v="537"/>
      <x v="353"/>
      <x v="3"/>
      <x v="182"/>
      <x/>
      <x v="41"/>
      <x v="41"/>
    </i>
    <i>
      <x v="538"/>
      <x v="354"/>
      <x v="8"/>
      <x v="183"/>
      <x/>
      <x v="41"/>
      <x v="41"/>
    </i>
    <i>
      <x v="539"/>
      <x v="355"/>
      <x v="3"/>
      <x v="184"/>
      <x/>
      <x v="42"/>
      <x v="42"/>
    </i>
    <i>
      <x v="540"/>
      <x v="356"/>
      <x v="8"/>
      <x v="185"/>
      <x/>
      <x v="42"/>
      <x v="42"/>
    </i>
    <i>
      <x v="541"/>
      <x v="357"/>
      <x v="3"/>
      <x v="185"/>
      <x/>
      <x v="42"/>
      <x v="42"/>
    </i>
    <i>
      <x v="542"/>
      <x v="358"/>
      <x/>
      <x v="186"/>
      <x/>
      <x v="42"/>
      <x v="42"/>
    </i>
    <i>
      <x v="543"/>
      <x v="359"/>
      <x v="3"/>
      <x v="186"/>
      <x/>
      <x v="42"/>
      <x v="42"/>
    </i>
    <i>
      <x v="544"/>
      <x v="360"/>
      <x/>
      <x v="185"/>
      <x/>
      <x v="42"/>
      <x v="42"/>
    </i>
    <i>
      <x v="545"/>
      <x v="361"/>
      <x/>
      <x v="187"/>
      <x/>
      <x v="42"/>
      <x v="42"/>
    </i>
    <i>
      <x v="546"/>
      <x v="363"/>
      <x v="3"/>
      <x v="188"/>
      <x/>
      <x v="42"/>
      <x v="42"/>
    </i>
    <i>
      <x v="547"/>
      <x v="365"/>
      <x v="3"/>
      <x v="189"/>
      <x/>
      <x v="43"/>
      <x v="43"/>
    </i>
    <i>
      <x v="548"/>
      <x v="366"/>
      <x/>
      <x v="189"/>
      <x/>
      <x v="43"/>
      <x v="43"/>
    </i>
    <i>
      <x v="549"/>
      <x v="367"/>
      <x/>
      <x v="190"/>
      <x/>
      <x v="43"/>
      <x v="43"/>
    </i>
    <i>
      <x v="550"/>
      <x v="368"/>
      <x v="8"/>
      <x v="190"/>
      <x/>
      <x v="43"/>
      <x v="43"/>
    </i>
    <i>
      <x v="551"/>
      <x v="369"/>
      <x v="3"/>
      <x v="191"/>
      <x/>
      <x v="43"/>
      <x v="43"/>
    </i>
    <i>
      <x v="552"/>
      <x v="370"/>
      <x/>
      <x v="191"/>
      <x/>
      <x v="43"/>
      <x v="43"/>
    </i>
    <i>
      <x v="553"/>
      <x v="364"/>
      <x/>
      <x v="188"/>
      <x/>
      <x v="42"/>
      <x v="42"/>
    </i>
    <i>
      <x v="554"/>
      <x v="371"/>
      <x/>
      <x v="192"/>
      <x/>
      <x v="43"/>
      <x v="43"/>
    </i>
    <i>
      <x v="555"/>
      <x v="372"/>
      <x/>
      <x v="193"/>
      <x/>
      <x v="43"/>
      <x v="43"/>
    </i>
    <i>
      <x v="556"/>
      <x v="373"/>
      <x v="3"/>
      <x v="192"/>
      <x/>
      <x v="43"/>
      <x v="43"/>
    </i>
    <i>
      <x v="557"/>
      <x v="374"/>
      <x v="3"/>
      <x v="193"/>
      <x/>
      <x v="43"/>
      <x v="43"/>
    </i>
    <i>
      <x v="558"/>
      <x v="377"/>
      <x v="3"/>
      <x v="196"/>
      <x/>
      <x v="44"/>
      <x v="44"/>
    </i>
    <i>
      <x v="559"/>
      <x v="378"/>
      <x v="3"/>
      <x v="197"/>
      <x/>
      <x v="44"/>
      <x v="44"/>
    </i>
    <i>
      <x v="560"/>
      <x v="379"/>
      <x v="3"/>
      <x v="198"/>
      <x/>
      <x v="45"/>
      <x v="45"/>
    </i>
    <i>
      <x v="561"/>
      <x v="380"/>
      <x v="3"/>
      <x v="199"/>
      <x/>
      <x v="45"/>
      <x v="45"/>
    </i>
    <i>
      <x v="562"/>
      <x v="381"/>
      <x v="8"/>
      <x v="198"/>
      <x/>
      <x v="45"/>
      <x v="45"/>
    </i>
    <i>
      <x v="563"/>
      <x v="382"/>
      <x v="8"/>
      <x v="199"/>
      <x/>
      <x v="45"/>
      <x v="45"/>
    </i>
    <i>
      <x v="564"/>
      <x v="383"/>
      <x/>
      <x v="199"/>
      <x/>
      <x v="45"/>
      <x v="45"/>
    </i>
    <i>
      <x v="565"/>
      <x v="384"/>
      <x/>
      <x v="197"/>
      <x/>
      <x v="44"/>
      <x v="44"/>
    </i>
    <i>
      <x v="566"/>
      <x v="385"/>
      <x/>
      <x v="194"/>
      <x/>
      <x v="44"/>
      <x v="44"/>
    </i>
    <i>
      <x v="567"/>
      <x v="386"/>
      <x/>
      <x v="195"/>
      <x/>
      <x v="44"/>
      <x v="44"/>
    </i>
    <i>
      <x v="568"/>
      <x v="387"/>
      <x/>
      <x v="196"/>
      <x/>
      <x v="44"/>
      <x v="44"/>
    </i>
    <i>
      <x v="569"/>
      <x v="388"/>
      <x/>
      <x v="198"/>
      <x/>
      <x v="45"/>
      <x v="45"/>
    </i>
    <i>
      <x v="570"/>
      <x v="389"/>
      <x v="3"/>
      <x v="195"/>
      <x/>
      <x v="44"/>
      <x v="44"/>
    </i>
    <i>
      <x v="571"/>
      <x v="390"/>
      <x v="3"/>
      <x v="200"/>
      <x/>
      <x v="45"/>
      <x v="45"/>
    </i>
    <i>
      <x v="573"/>
      <x v="392"/>
      <x v="8"/>
      <x v="201"/>
      <x/>
      <x v="45"/>
      <x v="45"/>
    </i>
    <i>
      <x v="574"/>
      <x v="393"/>
      <x v="8"/>
      <x v="200"/>
      <x/>
      <x v="45"/>
      <x v="45"/>
    </i>
    <i>
      <x v="582"/>
      <x v="284"/>
      <x v="11"/>
      <x v="125"/>
      <x/>
      <x v="29"/>
      <x v="29"/>
    </i>
    <i>
      <x v="594"/>
      <x v="362"/>
      <x v="3"/>
      <x v="187"/>
      <x/>
      <x v="42"/>
      <x v="42"/>
    </i>
    <i>
      <x v="595"/>
      <x v="362"/>
      <x v="8"/>
      <x v="187"/>
      <x/>
      <x v="42"/>
      <x v="42"/>
    </i>
    <i>
      <x v="596"/>
      <x v="375"/>
      <x v="3"/>
      <x v="194"/>
      <x/>
      <x v="44"/>
      <x v="44"/>
    </i>
    <i>
      <x v="597"/>
      <x v="375"/>
      <x v="8"/>
      <x v="194"/>
      <x/>
      <x v="44"/>
      <x v="44"/>
    </i>
    <i>
      <x v="598"/>
      <x v="376"/>
      <x v="3"/>
      <x v="194"/>
      <x/>
      <x v="44"/>
      <x v="44"/>
    </i>
    <i>
      <x v="599"/>
      <x v="376"/>
      <x v="8"/>
      <x v="197"/>
      <x/>
      <x v="44"/>
      <x v="44"/>
    </i>
    <i t="grand">
      <x/>
    </i>
  </rowItems>
  <colItems count="1">
    <i/>
  </colItems>
  <dataFields count="1">
    <dataField name="Sum of DispatchPay" fld="19" baseField="19" baseItem="31" numFmtId="167"/>
  </dataFields>
  <formats count="314">
    <format dxfId="532">
      <pivotArea type="all" dataOnly="0" outline="0" fieldPosition="0"/>
    </format>
    <format dxfId="531">
      <pivotArea field="1" type="button" dataOnly="0" labelOnly="1" outline="0" axis="axisRow" fieldPosition="1"/>
    </format>
    <format dxfId="530">
      <pivotArea dataOnly="0" labelOnly="1" grandRow="1" outline="0" fieldPosition="0"/>
    </format>
    <format dxfId="529">
      <pivotArea dataOnly="0" labelOnly="1" fieldPosition="0">
        <references count="2">
          <reference field="0" count="1" selected="0">
            <x v="0"/>
          </reference>
          <reference field="1" count="1">
            <x v="318"/>
          </reference>
        </references>
      </pivotArea>
    </format>
    <format dxfId="528">
      <pivotArea dataOnly="0" labelOnly="1" fieldPosition="0">
        <references count="2">
          <reference field="0" count="1" selected="0">
            <x v="1"/>
          </reference>
          <reference field="1" count="1">
            <x v="126"/>
          </reference>
        </references>
      </pivotArea>
    </format>
    <format dxfId="527">
      <pivotArea dataOnly="0" labelOnly="1" fieldPosition="0">
        <references count="2">
          <reference field="0" count="1" selected="0">
            <x v="2"/>
          </reference>
          <reference field="1" count="1">
            <x v="122"/>
          </reference>
        </references>
      </pivotArea>
    </format>
    <format dxfId="526">
      <pivotArea dataOnly="0" labelOnly="1" fieldPosition="0">
        <references count="2">
          <reference field="0" count="1" selected="0">
            <x v="3"/>
          </reference>
          <reference field="1" count="1">
            <x v="36"/>
          </reference>
        </references>
      </pivotArea>
    </format>
    <format dxfId="525">
      <pivotArea dataOnly="0" labelOnly="1" fieldPosition="0">
        <references count="2">
          <reference field="0" count="1" selected="0">
            <x v="4"/>
          </reference>
          <reference field="1" count="1">
            <x v="35"/>
          </reference>
        </references>
      </pivotArea>
    </format>
    <format dxfId="524">
      <pivotArea dataOnly="0" labelOnly="1" fieldPosition="0">
        <references count="2">
          <reference field="0" count="1" selected="0">
            <x v="5"/>
          </reference>
          <reference field="1" count="1">
            <x v="180"/>
          </reference>
        </references>
      </pivotArea>
    </format>
    <format dxfId="523">
      <pivotArea dataOnly="0" labelOnly="1" fieldPosition="0">
        <references count="2">
          <reference field="0" count="1" selected="0">
            <x v="6"/>
          </reference>
          <reference field="1" count="1">
            <x v="226"/>
          </reference>
        </references>
      </pivotArea>
    </format>
    <format dxfId="522">
      <pivotArea dataOnly="0" labelOnly="1" fieldPosition="0">
        <references count="2">
          <reference field="0" count="1" selected="0">
            <x v="7"/>
          </reference>
          <reference field="1" count="1">
            <x v="117"/>
          </reference>
        </references>
      </pivotArea>
    </format>
    <format dxfId="521">
      <pivotArea dataOnly="0" labelOnly="1" fieldPosition="0">
        <references count="2">
          <reference field="0" count="1" selected="0">
            <x v="8"/>
          </reference>
          <reference field="1" count="1">
            <x v="75"/>
          </reference>
        </references>
      </pivotArea>
    </format>
    <format dxfId="520">
      <pivotArea dataOnly="0" labelOnly="1" fieldPosition="0">
        <references count="2">
          <reference field="0" count="1" selected="0">
            <x v="9"/>
          </reference>
          <reference field="1" count="1">
            <x v="47"/>
          </reference>
        </references>
      </pivotArea>
    </format>
    <format dxfId="519">
      <pivotArea dataOnly="0" labelOnly="1" fieldPosition="0">
        <references count="2">
          <reference field="0" count="1" selected="0">
            <x v="10"/>
          </reference>
          <reference field="1" count="1">
            <x v="136"/>
          </reference>
        </references>
      </pivotArea>
    </format>
    <format dxfId="518">
      <pivotArea dataOnly="0" labelOnly="1" fieldPosition="0">
        <references count="2">
          <reference field="0" count="1" selected="0">
            <x v="11"/>
          </reference>
          <reference field="1" count="1">
            <x v="317"/>
          </reference>
        </references>
      </pivotArea>
    </format>
    <format dxfId="517">
      <pivotArea dataOnly="0" labelOnly="1" fieldPosition="0">
        <references count="2">
          <reference field="0" count="1" selected="0">
            <x v="12"/>
          </reference>
          <reference field="1" count="1">
            <x v="48"/>
          </reference>
        </references>
      </pivotArea>
    </format>
    <format dxfId="516">
      <pivotArea dataOnly="0" labelOnly="1" fieldPosition="0">
        <references count="2">
          <reference field="0" count="1" selected="0">
            <x v="13"/>
          </reference>
          <reference field="1" count="1">
            <x v="57"/>
          </reference>
        </references>
      </pivotArea>
    </format>
    <format dxfId="515">
      <pivotArea dataOnly="0" labelOnly="1" fieldPosition="0">
        <references count="2">
          <reference field="0" count="1" selected="0">
            <x v="14"/>
          </reference>
          <reference field="1" count="1">
            <x v="32"/>
          </reference>
        </references>
      </pivotArea>
    </format>
    <format dxfId="514">
      <pivotArea dataOnly="0" labelOnly="1" fieldPosition="0">
        <references count="2">
          <reference field="0" count="1" selected="0">
            <x v="15"/>
          </reference>
          <reference field="1" count="1">
            <x v="163"/>
          </reference>
        </references>
      </pivotArea>
    </format>
    <format dxfId="513">
      <pivotArea dataOnly="0" labelOnly="1" fieldPosition="0">
        <references count="2">
          <reference field="0" count="1" selected="0">
            <x v="16"/>
          </reference>
          <reference field="1" count="1">
            <x v="79"/>
          </reference>
        </references>
      </pivotArea>
    </format>
    <format dxfId="512">
      <pivotArea dataOnly="0" labelOnly="1" fieldPosition="0">
        <references count="2">
          <reference field="0" count="1" selected="0">
            <x v="17"/>
          </reference>
          <reference field="1" count="1">
            <x v="311"/>
          </reference>
        </references>
      </pivotArea>
    </format>
    <format dxfId="511">
      <pivotArea dataOnly="0" labelOnly="1" fieldPosition="0">
        <references count="2">
          <reference field="0" count="1" selected="0">
            <x v="18"/>
          </reference>
          <reference field="1" count="1">
            <x v="262"/>
          </reference>
        </references>
      </pivotArea>
    </format>
    <format dxfId="510">
      <pivotArea dataOnly="0" labelOnly="1" fieldPosition="0">
        <references count="2">
          <reference field="0" count="1" selected="0">
            <x v="19"/>
          </reference>
          <reference field="1" count="1">
            <x v="135"/>
          </reference>
        </references>
      </pivotArea>
    </format>
    <format dxfId="509">
      <pivotArea dataOnly="0" labelOnly="1" fieldPosition="0">
        <references count="2">
          <reference field="0" count="1" selected="0">
            <x v="20"/>
          </reference>
          <reference field="1" count="1">
            <x v="123"/>
          </reference>
        </references>
      </pivotArea>
    </format>
    <format dxfId="508">
      <pivotArea dataOnly="0" labelOnly="1" fieldPosition="0">
        <references count="2">
          <reference field="0" count="1" selected="0">
            <x v="21"/>
          </reference>
          <reference field="1" count="1">
            <x v="9"/>
          </reference>
        </references>
      </pivotArea>
    </format>
    <format dxfId="507">
      <pivotArea dataOnly="0" labelOnly="1" fieldPosition="0">
        <references count="2">
          <reference field="0" count="1" selected="0">
            <x v="22"/>
          </reference>
          <reference field="1" count="1">
            <x v="70"/>
          </reference>
        </references>
      </pivotArea>
    </format>
    <format dxfId="506">
      <pivotArea dataOnly="0" labelOnly="1" fieldPosition="0">
        <references count="2">
          <reference field="0" count="1" selected="0">
            <x v="23"/>
          </reference>
          <reference field="1" count="1">
            <x v="63"/>
          </reference>
        </references>
      </pivotArea>
    </format>
    <format dxfId="505">
      <pivotArea dataOnly="0" labelOnly="1" fieldPosition="0">
        <references count="2">
          <reference field="0" count="1" selected="0">
            <x v="24"/>
          </reference>
          <reference field="1" count="1">
            <x v="101"/>
          </reference>
        </references>
      </pivotArea>
    </format>
    <format dxfId="504">
      <pivotArea dataOnly="0" labelOnly="1" fieldPosition="0">
        <references count="2">
          <reference field="0" count="1" selected="0">
            <x v="25"/>
          </reference>
          <reference field="1" count="1">
            <x v="306"/>
          </reference>
        </references>
      </pivotArea>
    </format>
    <format dxfId="503">
      <pivotArea dataOnly="0" labelOnly="1" fieldPosition="0">
        <references count="2">
          <reference field="0" count="1" selected="0">
            <x v="26"/>
          </reference>
          <reference field="1" count="1">
            <x v="159"/>
          </reference>
        </references>
      </pivotArea>
    </format>
    <format dxfId="502">
      <pivotArea dataOnly="0" labelOnly="1" fieldPosition="0">
        <references count="2">
          <reference field="0" count="1" selected="0">
            <x v="27"/>
          </reference>
          <reference field="1" count="1">
            <x v="38"/>
          </reference>
        </references>
      </pivotArea>
    </format>
    <format dxfId="501">
      <pivotArea dataOnly="0" labelOnly="1" fieldPosition="0">
        <references count="2">
          <reference field="0" count="1" selected="0">
            <x v="28"/>
          </reference>
          <reference field="1" count="1">
            <x v="69"/>
          </reference>
        </references>
      </pivotArea>
    </format>
    <format dxfId="500">
      <pivotArea dataOnly="0" labelOnly="1" fieldPosition="0">
        <references count="2">
          <reference field="0" count="1" selected="0">
            <x v="29"/>
          </reference>
          <reference field="1" count="1">
            <x v="188"/>
          </reference>
        </references>
      </pivotArea>
    </format>
    <format dxfId="499">
      <pivotArea dataOnly="0" labelOnly="1" fieldPosition="0">
        <references count="2">
          <reference field="0" count="1" selected="0">
            <x v="30"/>
          </reference>
          <reference field="1" count="1">
            <x v="6"/>
          </reference>
        </references>
      </pivotArea>
    </format>
    <format dxfId="498">
      <pivotArea dataOnly="0" labelOnly="1" fieldPosition="0">
        <references count="2">
          <reference field="0" count="1" selected="0">
            <x v="31"/>
          </reference>
          <reference field="1" count="1">
            <x v="139"/>
          </reference>
        </references>
      </pivotArea>
    </format>
    <format dxfId="497">
      <pivotArea dataOnly="0" labelOnly="1" fieldPosition="0">
        <references count="2">
          <reference field="0" count="1" selected="0">
            <x v="32"/>
          </reference>
          <reference field="1" count="1">
            <x v="110"/>
          </reference>
        </references>
      </pivotArea>
    </format>
    <format dxfId="496">
      <pivotArea dataOnly="0" labelOnly="1" fieldPosition="0">
        <references count="2">
          <reference field="0" count="1" selected="0">
            <x v="33"/>
          </reference>
          <reference field="1" count="1">
            <x v="170"/>
          </reference>
        </references>
      </pivotArea>
    </format>
    <format dxfId="495">
      <pivotArea dataOnly="0" labelOnly="1" fieldPosition="0">
        <references count="2">
          <reference field="0" count="1" selected="0">
            <x v="34"/>
          </reference>
          <reference field="1" count="1">
            <x v="98"/>
          </reference>
        </references>
      </pivotArea>
    </format>
    <format dxfId="494">
      <pivotArea dataOnly="0" labelOnly="1" fieldPosition="0">
        <references count="2">
          <reference field="0" count="1" selected="0">
            <x v="35"/>
          </reference>
          <reference field="1" count="1">
            <x v="169"/>
          </reference>
        </references>
      </pivotArea>
    </format>
    <format dxfId="493">
      <pivotArea dataOnly="0" labelOnly="1" fieldPosition="0">
        <references count="2">
          <reference field="0" count="1" selected="0">
            <x v="36"/>
          </reference>
          <reference field="1" count="1">
            <x v="81"/>
          </reference>
        </references>
      </pivotArea>
    </format>
    <format dxfId="492">
      <pivotArea dataOnly="0" labelOnly="1" fieldPosition="0">
        <references count="2">
          <reference field="0" count="1" selected="0">
            <x v="37"/>
          </reference>
          <reference field="1" count="1">
            <x v="146"/>
          </reference>
        </references>
      </pivotArea>
    </format>
    <format dxfId="491">
      <pivotArea dataOnly="0" labelOnly="1" fieldPosition="0">
        <references count="2">
          <reference field="0" count="1" selected="0">
            <x v="38"/>
          </reference>
          <reference field="1" count="1">
            <x v="227"/>
          </reference>
        </references>
      </pivotArea>
    </format>
    <format dxfId="490">
      <pivotArea dataOnly="0" labelOnly="1" fieldPosition="0">
        <references count="2">
          <reference field="0" count="1" selected="0">
            <x v="39"/>
          </reference>
          <reference field="1" count="1">
            <x v="181"/>
          </reference>
        </references>
      </pivotArea>
    </format>
    <format dxfId="489">
      <pivotArea dataOnly="0" labelOnly="1" fieldPosition="0">
        <references count="2">
          <reference field="0" count="1" selected="0">
            <x v="40"/>
          </reference>
          <reference field="1" count="1">
            <x v="49"/>
          </reference>
        </references>
      </pivotArea>
    </format>
    <format dxfId="488">
      <pivotArea dataOnly="0" labelOnly="1" fieldPosition="0">
        <references count="2">
          <reference field="0" count="1" selected="0">
            <x v="41"/>
          </reference>
          <reference field="1" count="1">
            <x v="183"/>
          </reference>
        </references>
      </pivotArea>
    </format>
    <format dxfId="487">
      <pivotArea dataOnly="0" labelOnly="1" fieldPosition="0">
        <references count="2">
          <reference field="0" count="1" selected="0">
            <x v="42"/>
          </reference>
          <reference field="1" count="1">
            <x v="27"/>
          </reference>
        </references>
      </pivotArea>
    </format>
    <format dxfId="486">
      <pivotArea dataOnly="0" labelOnly="1" fieldPosition="0">
        <references count="2">
          <reference field="0" count="1" selected="0">
            <x v="43"/>
          </reference>
          <reference field="1" count="1">
            <x v="66"/>
          </reference>
        </references>
      </pivotArea>
    </format>
    <format dxfId="485">
      <pivotArea dataOnly="0" labelOnly="1" fieldPosition="0">
        <references count="2">
          <reference field="0" count="1" selected="0">
            <x v="44"/>
          </reference>
          <reference field="1" count="1">
            <x v="308"/>
          </reference>
        </references>
      </pivotArea>
    </format>
    <format dxfId="484">
      <pivotArea dataOnly="0" labelOnly="1" fieldPosition="0">
        <references count="2">
          <reference field="0" count="1" selected="0">
            <x v="45"/>
          </reference>
          <reference field="1" count="1">
            <x v="242"/>
          </reference>
        </references>
      </pivotArea>
    </format>
    <format dxfId="483">
      <pivotArea dataOnly="0" labelOnly="1" fieldPosition="0">
        <references count="2">
          <reference field="0" count="1" selected="0">
            <x v="46"/>
          </reference>
          <reference field="1" count="1">
            <x v="290"/>
          </reference>
        </references>
      </pivotArea>
    </format>
    <format dxfId="482">
      <pivotArea dataOnly="0" labelOnly="1" fieldPosition="0">
        <references count="2">
          <reference field="0" count="1" selected="0">
            <x v="47"/>
          </reference>
          <reference field="1" count="1">
            <x v="125"/>
          </reference>
        </references>
      </pivotArea>
    </format>
    <format dxfId="481">
      <pivotArea dataOnly="0" labelOnly="1" fieldPosition="0">
        <references count="2">
          <reference field="0" count="1" selected="0">
            <x v="48"/>
          </reference>
          <reference field="1" count="1">
            <x v="65"/>
          </reference>
        </references>
      </pivotArea>
    </format>
    <format dxfId="480">
      <pivotArea dataOnly="0" labelOnly="1" fieldPosition="0">
        <references count="2">
          <reference field="0" count="1" selected="0">
            <x v="49"/>
          </reference>
          <reference field="1" count="1">
            <x v="150"/>
          </reference>
        </references>
      </pivotArea>
    </format>
    <format dxfId="479">
      <pivotArea dataOnly="0" labelOnly="1" fieldPosition="0">
        <references count="2">
          <reference field="0" count="1" selected="0">
            <x v="50"/>
          </reference>
          <reference field="1" count="1">
            <x v="28"/>
          </reference>
        </references>
      </pivotArea>
    </format>
    <format dxfId="478">
      <pivotArea dataOnly="0" labelOnly="1" fieldPosition="0">
        <references count="2">
          <reference field="0" count="1" selected="0">
            <x v="51"/>
          </reference>
          <reference field="1" count="1">
            <x v="166"/>
          </reference>
        </references>
      </pivotArea>
    </format>
    <format dxfId="477">
      <pivotArea dataOnly="0" labelOnly="1" fieldPosition="0">
        <references count="2">
          <reference field="0" count="1" selected="0">
            <x v="52"/>
          </reference>
          <reference field="1" count="1">
            <x v="39"/>
          </reference>
        </references>
      </pivotArea>
    </format>
    <format dxfId="476">
      <pivotArea dataOnly="0" labelOnly="1" fieldPosition="0">
        <references count="2">
          <reference field="0" count="1" selected="0">
            <x v="53"/>
          </reference>
          <reference field="1" count="1">
            <x v="73"/>
          </reference>
        </references>
      </pivotArea>
    </format>
    <format dxfId="475">
      <pivotArea dataOnly="0" labelOnly="1" fieldPosition="0">
        <references count="2">
          <reference field="0" count="1" selected="0">
            <x v="54"/>
          </reference>
          <reference field="1" count="1">
            <x v="154"/>
          </reference>
        </references>
      </pivotArea>
    </format>
    <format dxfId="474">
      <pivotArea dataOnly="0" labelOnly="1" fieldPosition="0">
        <references count="2">
          <reference field="0" count="1" selected="0">
            <x v="55"/>
          </reference>
          <reference field="1" count="1">
            <x v="34"/>
          </reference>
        </references>
      </pivotArea>
    </format>
    <format dxfId="473">
      <pivotArea dataOnly="0" labelOnly="1" fieldPosition="0">
        <references count="2">
          <reference field="0" count="1" selected="0">
            <x v="56"/>
          </reference>
          <reference field="1" count="1">
            <x v="112"/>
          </reference>
        </references>
      </pivotArea>
    </format>
    <format dxfId="472">
      <pivotArea dataOnly="0" labelOnly="1" fieldPosition="0">
        <references count="2">
          <reference field="0" count="1" selected="0">
            <x v="57"/>
          </reference>
          <reference field="1" count="1">
            <x v="4"/>
          </reference>
        </references>
      </pivotArea>
    </format>
    <format dxfId="471">
      <pivotArea dataOnly="0" labelOnly="1" fieldPosition="0">
        <references count="2">
          <reference field="0" count="1" selected="0">
            <x v="58"/>
          </reference>
          <reference field="1" count="1">
            <x v="285"/>
          </reference>
        </references>
      </pivotArea>
    </format>
    <format dxfId="470">
      <pivotArea dataOnly="0" labelOnly="1" fieldPosition="0">
        <references count="2">
          <reference field="0" count="1" selected="0">
            <x v="59"/>
          </reference>
          <reference field="1" count="1">
            <x v="187"/>
          </reference>
        </references>
      </pivotArea>
    </format>
    <format dxfId="469">
      <pivotArea dataOnly="0" labelOnly="1" fieldPosition="0">
        <references count="2">
          <reference field="0" count="1" selected="0">
            <x v="60"/>
          </reference>
          <reference field="1" count="1">
            <x v="107"/>
          </reference>
        </references>
      </pivotArea>
    </format>
    <format dxfId="468">
      <pivotArea dataOnly="0" labelOnly="1" fieldPosition="0">
        <references count="2">
          <reference field="0" count="1" selected="0">
            <x v="61"/>
          </reference>
          <reference field="1" count="1">
            <x v="152"/>
          </reference>
        </references>
      </pivotArea>
    </format>
    <format dxfId="467">
      <pivotArea dataOnly="0" labelOnly="1" fieldPosition="0">
        <references count="2">
          <reference field="0" count="1" selected="0">
            <x v="62"/>
          </reference>
          <reference field="1" count="1">
            <x v="274"/>
          </reference>
        </references>
      </pivotArea>
    </format>
    <format dxfId="466">
      <pivotArea dataOnly="0" labelOnly="1" fieldPosition="0">
        <references count="2">
          <reference field="0" count="1" selected="0">
            <x v="63"/>
          </reference>
          <reference field="1" count="1">
            <x v="130"/>
          </reference>
        </references>
      </pivotArea>
    </format>
    <format dxfId="465">
      <pivotArea dataOnly="0" labelOnly="1" fieldPosition="0">
        <references count="2">
          <reference field="0" count="1" selected="0">
            <x v="64"/>
          </reference>
          <reference field="1" count="1">
            <x v="78"/>
          </reference>
        </references>
      </pivotArea>
    </format>
    <format dxfId="464">
      <pivotArea dataOnly="0" labelOnly="1" fieldPosition="0">
        <references count="2">
          <reference field="0" count="1" selected="0">
            <x v="65"/>
          </reference>
          <reference field="1" count="1">
            <x v="151"/>
          </reference>
        </references>
      </pivotArea>
    </format>
    <format dxfId="463">
      <pivotArea dataOnly="0" labelOnly="1" fieldPosition="0">
        <references count="2">
          <reference field="0" count="1" selected="0">
            <x v="66"/>
          </reference>
          <reference field="1" count="1">
            <x v="153"/>
          </reference>
        </references>
      </pivotArea>
    </format>
    <format dxfId="462">
      <pivotArea dataOnly="0" labelOnly="1" fieldPosition="0">
        <references count="2">
          <reference field="0" count="1" selected="0">
            <x v="67"/>
          </reference>
          <reference field="1" count="1">
            <x v="16"/>
          </reference>
        </references>
      </pivotArea>
    </format>
    <format dxfId="461">
      <pivotArea dataOnly="0" labelOnly="1" fieldPosition="0">
        <references count="2">
          <reference field="0" count="1" selected="0">
            <x v="68"/>
          </reference>
          <reference field="1" count="1">
            <x v="307"/>
          </reference>
        </references>
      </pivotArea>
    </format>
    <format dxfId="460">
      <pivotArea dataOnly="0" labelOnly="1" fieldPosition="0">
        <references count="2">
          <reference field="0" count="1" selected="0">
            <x v="69"/>
          </reference>
          <reference field="1" count="1">
            <x v="18"/>
          </reference>
        </references>
      </pivotArea>
    </format>
    <format dxfId="459">
      <pivotArea dataOnly="0" labelOnly="1" fieldPosition="0">
        <references count="2">
          <reference field="0" count="1" selected="0">
            <x v="70"/>
          </reference>
          <reference field="1" count="1">
            <x v="61"/>
          </reference>
        </references>
      </pivotArea>
    </format>
    <format dxfId="458">
      <pivotArea dataOnly="0" labelOnly="1" fieldPosition="0">
        <references count="2">
          <reference field="0" count="1" selected="0">
            <x v="71"/>
          </reference>
          <reference field="1" count="1">
            <x v="168"/>
          </reference>
        </references>
      </pivotArea>
    </format>
    <format dxfId="457">
      <pivotArea dataOnly="0" labelOnly="1" fieldPosition="0">
        <references count="2">
          <reference field="0" count="1" selected="0">
            <x v="72"/>
          </reference>
          <reference field="1" count="1">
            <x v="191"/>
          </reference>
        </references>
      </pivotArea>
    </format>
    <format dxfId="456">
      <pivotArea dataOnly="0" labelOnly="1" fieldPosition="0">
        <references count="2">
          <reference field="0" count="1" selected="0">
            <x v="73"/>
          </reference>
          <reference field="1" count="1">
            <x v="118"/>
          </reference>
        </references>
      </pivotArea>
    </format>
    <format dxfId="455">
      <pivotArea dataOnly="0" labelOnly="1" fieldPosition="0">
        <references count="2">
          <reference field="0" count="1" selected="0">
            <x v="74"/>
          </reference>
          <reference field="1" count="1">
            <x v="64"/>
          </reference>
        </references>
      </pivotArea>
    </format>
    <format dxfId="454">
      <pivotArea dataOnly="0" labelOnly="1" fieldPosition="0">
        <references count="2">
          <reference field="0" count="1" selected="0">
            <x v="75"/>
          </reference>
          <reference field="1" count="1">
            <x v="142"/>
          </reference>
        </references>
      </pivotArea>
    </format>
    <format dxfId="453">
      <pivotArea dataOnly="0" labelOnly="1" fieldPosition="0">
        <references count="2">
          <reference field="0" count="1" selected="0">
            <x v="76"/>
          </reference>
          <reference field="1" count="1">
            <x v="316"/>
          </reference>
        </references>
      </pivotArea>
    </format>
    <format dxfId="452">
      <pivotArea dataOnly="0" labelOnly="1" fieldPosition="0">
        <references count="2">
          <reference field="0" count="1" selected="0">
            <x v="77"/>
          </reference>
          <reference field="1" count="1">
            <x v="173"/>
          </reference>
        </references>
      </pivotArea>
    </format>
    <format dxfId="451">
      <pivotArea dataOnly="0" labelOnly="1" fieldPosition="0">
        <references count="2">
          <reference field="0" count="1" selected="0">
            <x v="78"/>
          </reference>
          <reference field="1" count="1">
            <x v="0"/>
          </reference>
        </references>
      </pivotArea>
    </format>
    <format dxfId="450">
      <pivotArea dataOnly="0" labelOnly="1" fieldPosition="0">
        <references count="2">
          <reference field="0" count="1" selected="0">
            <x v="79"/>
          </reference>
          <reference field="1" count="1">
            <x v="254"/>
          </reference>
        </references>
      </pivotArea>
    </format>
    <format dxfId="449">
      <pivotArea dataOnly="0" labelOnly="1" fieldPosition="0">
        <references count="2">
          <reference field="0" count="1" selected="0">
            <x v="80"/>
          </reference>
          <reference field="1" count="1">
            <x v="237"/>
          </reference>
        </references>
      </pivotArea>
    </format>
    <format dxfId="448">
      <pivotArea dataOnly="0" labelOnly="1" fieldPosition="0">
        <references count="2">
          <reference field="0" count="1" selected="0">
            <x v="81"/>
          </reference>
          <reference field="1" count="1">
            <x v="147"/>
          </reference>
        </references>
      </pivotArea>
    </format>
    <format dxfId="447">
      <pivotArea dataOnly="0" labelOnly="1" fieldPosition="0">
        <references count="2">
          <reference field="0" count="1" selected="0">
            <x v="82"/>
          </reference>
          <reference field="1" count="1">
            <x v="30"/>
          </reference>
        </references>
      </pivotArea>
    </format>
    <format dxfId="446">
      <pivotArea dataOnly="0" labelOnly="1" fieldPosition="0">
        <references count="2">
          <reference field="0" count="1" selected="0">
            <x v="83"/>
          </reference>
          <reference field="1" count="1">
            <x v="157"/>
          </reference>
        </references>
      </pivotArea>
    </format>
    <format dxfId="445">
      <pivotArea dataOnly="0" labelOnly="1" fieldPosition="0">
        <references count="2">
          <reference field="0" count="1" selected="0">
            <x v="84"/>
          </reference>
          <reference field="1" count="1">
            <x v="131"/>
          </reference>
        </references>
      </pivotArea>
    </format>
    <format dxfId="444">
      <pivotArea dataOnly="0" labelOnly="1" fieldPosition="0">
        <references count="2">
          <reference field="0" count="1" selected="0">
            <x v="85"/>
          </reference>
          <reference field="1" count="1">
            <x v="148"/>
          </reference>
        </references>
      </pivotArea>
    </format>
    <format dxfId="443">
      <pivotArea dataOnly="0" labelOnly="1" fieldPosition="0">
        <references count="2">
          <reference field="0" count="1" selected="0">
            <x v="86"/>
          </reference>
          <reference field="1" count="1">
            <x v="174"/>
          </reference>
        </references>
      </pivotArea>
    </format>
    <format dxfId="442">
      <pivotArea dataOnly="0" labelOnly="1" fieldPosition="0">
        <references count="2">
          <reference field="0" count="1" selected="0">
            <x v="87"/>
          </reference>
          <reference field="1" count="1">
            <x v="312"/>
          </reference>
        </references>
      </pivotArea>
    </format>
    <format dxfId="441">
      <pivotArea dataOnly="0" labelOnly="1" fieldPosition="0">
        <references count="2">
          <reference field="0" count="1" selected="0">
            <x v="88"/>
          </reference>
          <reference field="1" count="1">
            <x v="132"/>
          </reference>
        </references>
      </pivotArea>
    </format>
    <format dxfId="440">
      <pivotArea dataOnly="0" labelOnly="1" fieldPosition="0">
        <references count="2">
          <reference field="0" count="1" selected="0">
            <x v="89"/>
          </reference>
          <reference field="1" count="1">
            <x v="62"/>
          </reference>
        </references>
      </pivotArea>
    </format>
    <format dxfId="439">
      <pivotArea dataOnly="0" labelOnly="1" fieldPosition="0">
        <references count="2">
          <reference field="0" count="1" selected="0">
            <x v="90"/>
          </reference>
          <reference field="1" count="1">
            <x v="149"/>
          </reference>
        </references>
      </pivotArea>
    </format>
    <format dxfId="438">
      <pivotArea dataOnly="0" labelOnly="1" fieldPosition="0">
        <references count="2">
          <reference field="0" count="1" selected="0">
            <x v="91"/>
          </reference>
          <reference field="1" count="1">
            <x v="165"/>
          </reference>
        </references>
      </pivotArea>
    </format>
    <format dxfId="437">
      <pivotArea dataOnly="0" labelOnly="1" fieldPosition="0">
        <references count="2">
          <reference field="0" count="1" selected="0">
            <x v="92"/>
          </reference>
          <reference field="1" count="1">
            <x v="140"/>
          </reference>
        </references>
      </pivotArea>
    </format>
    <format dxfId="436">
      <pivotArea dataOnly="0" labelOnly="1" fieldPosition="0">
        <references count="2">
          <reference field="0" count="1" selected="0">
            <x v="93"/>
          </reference>
          <reference field="1" count="1">
            <x v="292"/>
          </reference>
        </references>
      </pivotArea>
    </format>
    <format dxfId="435">
      <pivotArea dataOnly="0" labelOnly="1" fieldPosition="0">
        <references count="2">
          <reference field="0" count="1" selected="0">
            <x v="94"/>
          </reference>
          <reference field="1" count="1">
            <x v="272"/>
          </reference>
        </references>
      </pivotArea>
    </format>
    <format dxfId="434">
      <pivotArea dataOnly="0" labelOnly="1" fieldPosition="0">
        <references count="2">
          <reference field="0" count="1" selected="0">
            <x v="95"/>
          </reference>
          <reference field="1" count="1">
            <x v="282"/>
          </reference>
        </references>
      </pivotArea>
    </format>
    <format dxfId="433">
      <pivotArea dataOnly="0" labelOnly="1" fieldPosition="0">
        <references count="2">
          <reference field="0" count="1" selected="0">
            <x v="96"/>
          </reference>
          <reference field="1" count="1">
            <x v="120"/>
          </reference>
        </references>
      </pivotArea>
    </format>
    <format dxfId="432">
      <pivotArea dataOnly="0" labelOnly="1" fieldPosition="0">
        <references count="2">
          <reference field="0" count="1" selected="0">
            <x v="97"/>
          </reference>
          <reference field="1" count="1">
            <x v="160"/>
          </reference>
        </references>
      </pivotArea>
    </format>
    <format dxfId="431">
      <pivotArea dataOnly="0" labelOnly="1" fieldPosition="0">
        <references count="2">
          <reference field="0" count="1" selected="0">
            <x v="98"/>
          </reference>
          <reference field="1" count="1">
            <x v="213"/>
          </reference>
        </references>
      </pivotArea>
    </format>
    <format dxfId="430">
      <pivotArea dataOnly="0" labelOnly="1" fieldPosition="0">
        <references count="2">
          <reference field="0" count="1" selected="0">
            <x v="99"/>
          </reference>
          <reference field="1" count="1">
            <x v="286"/>
          </reference>
        </references>
      </pivotArea>
    </format>
    <format dxfId="429">
      <pivotArea dataOnly="0" labelOnly="1" fieldPosition="0">
        <references count="2">
          <reference field="0" count="1" selected="0">
            <x v="100"/>
          </reference>
          <reference field="1" count="1">
            <x v="25"/>
          </reference>
        </references>
      </pivotArea>
    </format>
    <format dxfId="428">
      <pivotArea dataOnly="0" labelOnly="1" fieldPosition="0">
        <references count="2">
          <reference field="0" count="1" selected="0">
            <x v="101"/>
          </reference>
          <reference field="1" count="1">
            <x v="300"/>
          </reference>
        </references>
      </pivotArea>
    </format>
    <format dxfId="427">
      <pivotArea dataOnly="0" labelOnly="1" fieldPosition="0">
        <references count="2">
          <reference field="0" count="1" selected="0">
            <x v="102"/>
          </reference>
          <reference field="1" count="1">
            <x v="192"/>
          </reference>
        </references>
      </pivotArea>
    </format>
    <format dxfId="426">
      <pivotArea dataOnly="0" labelOnly="1" fieldPosition="0">
        <references count="2">
          <reference field="0" count="1" selected="0">
            <x v="103"/>
          </reference>
          <reference field="1" count="1">
            <x v="141"/>
          </reference>
        </references>
      </pivotArea>
    </format>
    <format dxfId="425">
      <pivotArea dataOnly="0" labelOnly="1" fieldPosition="0">
        <references count="2">
          <reference field="0" count="1" selected="0">
            <x v="104"/>
          </reference>
          <reference field="1" count="1">
            <x v="260"/>
          </reference>
        </references>
      </pivotArea>
    </format>
    <format dxfId="424">
      <pivotArea dataOnly="0" labelOnly="1" fieldPosition="0">
        <references count="2">
          <reference field="0" count="1" selected="0">
            <x v="105"/>
          </reference>
          <reference field="1" count="1">
            <x v="172"/>
          </reference>
        </references>
      </pivotArea>
    </format>
    <format dxfId="423">
      <pivotArea dataOnly="0" labelOnly="1" fieldPosition="0">
        <references count="2">
          <reference field="0" count="1" selected="0">
            <x v="106"/>
          </reference>
          <reference field="1" count="1">
            <x v="190"/>
          </reference>
        </references>
      </pivotArea>
    </format>
    <format dxfId="422">
      <pivotArea dataOnly="0" labelOnly="1" fieldPosition="0">
        <references count="2">
          <reference field="0" count="1" selected="0">
            <x v="107"/>
          </reference>
          <reference field="1" count="1">
            <x v="124"/>
          </reference>
        </references>
      </pivotArea>
    </format>
    <format dxfId="421">
      <pivotArea dataOnly="0" labelOnly="1" fieldPosition="0">
        <references count="2">
          <reference field="0" count="1" selected="0">
            <x v="108"/>
          </reference>
          <reference field="1" count="1">
            <x v="5"/>
          </reference>
        </references>
      </pivotArea>
    </format>
    <format dxfId="420">
      <pivotArea dataOnly="0" labelOnly="1" fieldPosition="0">
        <references count="2">
          <reference field="0" count="1" selected="0">
            <x v="109"/>
          </reference>
          <reference field="1" count="1">
            <x v="176"/>
          </reference>
        </references>
      </pivotArea>
    </format>
    <format dxfId="419">
      <pivotArea dataOnly="0" labelOnly="1" fieldPosition="0">
        <references count="2">
          <reference field="0" count="1" selected="0">
            <x v="110"/>
          </reference>
          <reference field="1" count="1">
            <x v="68"/>
          </reference>
        </references>
      </pivotArea>
    </format>
    <format dxfId="418">
      <pivotArea dataOnly="0" labelOnly="1" fieldPosition="0">
        <references count="2">
          <reference field="0" count="1" selected="0">
            <x v="111"/>
          </reference>
          <reference field="1" count="1">
            <x v="42"/>
          </reference>
        </references>
      </pivotArea>
    </format>
    <format dxfId="417">
      <pivotArea dataOnly="0" labelOnly="1" fieldPosition="0">
        <references count="2">
          <reference field="0" count="1" selected="0">
            <x v="112"/>
          </reference>
          <reference field="1" count="1">
            <x v="182"/>
          </reference>
        </references>
      </pivotArea>
    </format>
    <format dxfId="416">
      <pivotArea dataOnly="0" labelOnly="1" fieldPosition="0">
        <references count="2">
          <reference field="0" count="1" selected="0">
            <x v="113"/>
          </reference>
          <reference field="1" count="1">
            <x v="46"/>
          </reference>
        </references>
      </pivotArea>
    </format>
    <format dxfId="415">
      <pivotArea dataOnly="0" labelOnly="1" fieldPosition="0">
        <references count="2">
          <reference field="0" count="1" selected="0">
            <x v="114"/>
          </reference>
          <reference field="1" count="1">
            <x v="252"/>
          </reference>
        </references>
      </pivotArea>
    </format>
    <format dxfId="414">
      <pivotArea dataOnly="0" labelOnly="1" fieldPosition="0">
        <references count="2">
          <reference field="0" count="1" selected="0">
            <x v="115"/>
          </reference>
          <reference field="1" count="1">
            <x v="204"/>
          </reference>
        </references>
      </pivotArea>
    </format>
    <format dxfId="413">
      <pivotArea dataOnly="0" labelOnly="1" fieldPosition="0">
        <references count="2">
          <reference field="0" count="1" selected="0">
            <x v="116"/>
          </reference>
          <reference field="1" count="1">
            <x v="11"/>
          </reference>
        </references>
      </pivotArea>
    </format>
    <format dxfId="412">
      <pivotArea dataOnly="0" labelOnly="1" fieldPosition="0">
        <references count="2">
          <reference field="0" count="1" selected="0">
            <x v="117"/>
          </reference>
          <reference field="1" count="1">
            <x v="230"/>
          </reference>
        </references>
      </pivotArea>
    </format>
    <format dxfId="411">
      <pivotArea dataOnly="0" labelOnly="1" fieldPosition="0">
        <references count="2">
          <reference field="0" count="1" selected="0">
            <x v="118"/>
          </reference>
          <reference field="1" count="1">
            <x v="267"/>
          </reference>
        </references>
      </pivotArea>
    </format>
    <format dxfId="410">
      <pivotArea dataOnly="0" labelOnly="1" fieldPosition="0">
        <references count="2">
          <reference field="0" count="1" selected="0">
            <x v="119"/>
          </reference>
          <reference field="1" count="1">
            <x v="265"/>
          </reference>
        </references>
      </pivotArea>
    </format>
    <format dxfId="409">
      <pivotArea dataOnly="0" labelOnly="1" fieldPosition="0">
        <references count="2">
          <reference field="0" count="1" selected="0">
            <x v="120"/>
          </reference>
          <reference field="1" count="1">
            <x v="23"/>
          </reference>
        </references>
      </pivotArea>
    </format>
    <format dxfId="408">
      <pivotArea dataOnly="0" labelOnly="1" fieldPosition="0">
        <references count="2">
          <reference field="0" count="1" selected="0">
            <x v="121"/>
          </reference>
          <reference field="1" count="1">
            <x v="106"/>
          </reference>
        </references>
      </pivotArea>
    </format>
    <format dxfId="407">
      <pivotArea dataOnly="0" labelOnly="1" fieldPosition="0">
        <references count="2">
          <reference field="0" count="1" selected="0">
            <x v="122"/>
          </reference>
          <reference field="1" count="1">
            <x v="203"/>
          </reference>
        </references>
      </pivotArea>
    </format>
    <format dxfId="406">
      <pivotArea dataOnly="0" labelOnly="1" fieldPosition="0">
        <references count="2">
          <reference field="0" count="1" selected="0">
            <x v="123"/>
          </reference>
          <reference field="1" count="1">
            <x v="113"/>
          </reference>
        </references>
      </pivotArea>
    </format>
    <format dxfId="405">
      <pivotArea dataOnly="0" labelOnly="1" fieldPosition="0">
        <references count="2">
          <reference field="0" count="1" selected="0">
            <x v="124"/>
          </reference>
          <reference field="1" count="1">
            <x v="277"/>
          </reference>
        </references>
      </pivotArea>
    </format>
    <format dxfId="404">
      <pivotArea dataOnly="0" labelOnly="1" fieldPosition="0">
        <references count="2">
          <reference field="0" count="1" selected="0">
            <x v="125"/>
          </reference>
          <reference field="1" count="1">
            <x v="84"/>
          </reference>
        </references>
      </pivotArea>
    </format>
    <format dxfId="403">
      <pivotArea dataOnly="0" labelOnly="1" fieldPosition="0">
        <references count="2">
          <reference field="0" count="1" selected="0">
            <x v="126"/>
          </reference>
          <reference field="1" count="1">
            <x v="291"/>
          </reference>
        </references>
      </pivotArea>
    </format>
    <format dxfId="402">
      <pivotArea dataOnly="0" labelOnly="1" fieldPosition="0">
        <references count="2">
          <reference field="0" count="1" selected="0">
            <x v="127"/>
          </reference>
          <reference field="1" count="1">
            <x v="197"/>
          </reference>
        </references>
      </pivotArea>
    </format>
    <format dxfId="401">
      <pivotArea dataOnly="0" labelOnly="1" fieldPosition="0">
        <references count="2">
          <reference field="0" count="1" selected="0">
            <x v="128"/>
          </reference>
          <reference field="1" count="1">
            <x v="43"/>
          </reference>
        </references>
      </pivotArea>
    </format>
    <format dxfId="400">
      <pivotArea dataOnly="0" labelOnly="1" fieldPosition="0">
        <references count="2">
          <reference field="0" count="1" selected="0">
            <x v="129"/>
          </reference>
          <reference field="1" count="1">
            <x v="40"/>
          </reference>
        </references>
      </pivotArea>
    </format>
    <format dxfId="399">
      <pivotArea dataOnly="0" labelOnly="1" fieldPosition="0">
        <references count="2">
          <reference field="0" count="1" selected="0">
            <x v="130"/>
          </reference>
          <reference field="1" count="1">
            <x v="96"/>
          </reference>
        </references>
      </pivotArea>
    </format>
    <format dxfId="398">
      <pivotArea dataOnly="0" labelOnly="1" fieldPosition="0">
        <references count="2">
          <reference field="0" count="1" selected="0">
            <x v="131"/>
          </reference>
          <reference field="1" count="1">
            <x v="164"/>
          </reference>
        </references>
      </pivotArea>
    </format>
    <format dxfId="397">
      <pivotArea dataOnly="0" labelOnly="1" fieldPosition="0">
        <references count="2">
          <reference field="0" count="1" selected="0">
            <x v="132"/>
          </reference>
          <reference field="1" count="1">
            <x v="234"/>
          </reference>
        </references>
      </pivotArea>
    </format>
    <format dxfId="396">
      <pivotArea dataOnly="0" labelOnly="1" fieldPosition="0">
        <references count="2">
          <reference field="0" count="1" selected="0">
            <x v="133"/>
          </reference>
          <reference field="1" count="1">
            <x v="161"/>
          </reference>
        </references>
      </pivotArea>
    </format>
    <format dxfId="395">
      <pivotArea dataOnly="0" labelOnly="1" fieldPosition="0">
        <references count="2">
          <reference field="0" count="1" selected="0">
            <x v="134"/>
          </reference>
          <reference field="1" count="1">
            <x v="133"/>
          </reference>
        </references>
      </pivotArea>
    </format>
    <format dxfId="394">
      <pivotArea dataOnly="0" labelOnly="1" fieldPosition="0">
        <references count="2">
          <reference field="0" count="1" selected="0">
            <x v="135"/>
          </reference>
          <reference field="1" count="1">
            <x v="287"/>
          </reference>
        </references>
      </pivotArea>
    </format>
    <format dxfId="393">
      <pivotArea dataOnly="0" labelOnly="1" fieldPosition="0">
        <references count="2">
          <reference field="0" count="1" selected="0">
            <x v="136"/>
          </reference>
          <reference field="1" count="1">
            <x v="175"/>
          </reference>
        </references>
      </pivotArea>
    </format>
    <format dxfId="392">
      <pivotArea dataOnly="0" labelOnly="1" fieldPosition="0">
        <references count="2">
          <reference field="0" count="1" selected="0">
            <x v="137"/>
          </reference>
          <reference field="1" count="1">
            <x v="247"/>
          </reference>
        </references>
      </pivotArea>
    </format>
    <format dxfId="391">
      <pivotArea dataOnly="0" labelOnly="1" fieldPosition="0">
        <references count="2">
          <reference field="0" count="1" selected="0">
            <x v="138"/>
          </reference>
          <reference field="1" count="1">
            <x v="309"/>
          </reference>
        </references>
      </pivotArea>
    </format>
    <format dxfId="390">
      <pivotArea dataOnly="0" labelOnly="1" fieldPosition="0">
        <references count="2">
          <reference field="0" count="1" selected="0">
            <x v="139"/>
          </reference>
          <reference field="1" count="1">
            <x v="240"/>
          </reference>
        </references>
      </pivotArea>
    </format>
    <format dxfId="389">
      <pivotArea dataOnly="0" labelOnly="1" fieldPosition="0">
        <references count="2">
          <reference field="0" count="1" selected="0">
            <x v="140"/>
          </reference>
          <reference field="1" count="1">
            <x v="269"/>
          </reference>
        </references>
      </pivotArea>
    </format>
    <format dxfId="388">
      <pivotArea dataOnly="0" labelOnly="1" fieldPosition="0">
        <references count="2">
          <reference field="0" count="1" selected="0">
            <x v="141"/>
          </reference>
          <reference field="1" count="1">
            <x v="83"/>
          </reference>
        </references>
      </pivotArea>
    </format>
    <format dxfId="387">
      <pivotArea dataOnly="0" labelOnly="1" fieldPosition="0">
        <references count="2">
          <reference field="0" count="1" selected="0">
            <x v="142"/>
          </reference>
          <reference field="1" count="1">
            <x v="8"/>
          </reference>
        </references>
      </pivotArea>
    </format>
    <format dxfId="386">
      <pivotArea dataOnly="0" labelOnly="1" fieldPosition="0">
        <references count="2">
          <reference field="0" count="1" selected="0">
            <x v="143"/>
          </reference>
          <reference field="1" count="1">
            <x v="158"/>
          </reference>
        </references>
      </pivotArea>
    </format>
    <format dxfId="385">
      <pivotArea dataOnly="0" labelOnly="1" fieldPosition="0">
        <references count="2">
          <reference field="0" count="1" selected="0">
            <x v="144"/>
          </reference>
          <reference field="1" count="1">
            <x v="304"/>
          </reference>
        </references>
      </pivotArea>
    </format>
    <format dxfId="384">
      <pivotArea dataOnly="0" labelOnly="1" fieldPosition="0">
        <references count="2">
          <reference field="0" count="1" selected="0">
            <x v="145"/>
          </reference>
          <reference field="1" count="1">
            <x v="129"/>
          </reference>
        </references>
      </pivotArea>
    </format>
    <format dxfId="383">
      <pivotArea dataOnly="0" labelOnly="1" fieldPosition="0">
        <references count="2">
          <reference field="0" count="1" selected="0">
            <x v="146"/>
          </reference>
          <reference field="1" count="1">
            <x v="90"/>
          </reference>
        </references>
      </pivotArea>
    </format>
    <format dxfId="382">
      <pivotArea dataOnly="0" labelOnly="1" fieldPosition="0">
        <references count="2">
          <reference field="0" count="1" selected="0">
            <x v="147"/>
          </reference>
          <reference field="1" count="1">
            <x v="143"/>
          </reference>
        </references>
      </pivotArea>
    </format>
    <format dxfId="381">
      <pivotArea dataOnly="0" labelOnly="1" fieldPosition="0">
        <references count="2">
          <reference field="0" count="1" selected="0">
            <x v="148"/>
          </reference>
          <reference field="1" count="1">
            <x v="80"/>
          </reference>
        </references>
      </pivotArea>
    </format>
    <format dxfId="380">
      <pivotArea dataOnly="0" labelOnly="1" fieldPosition="0">
        <references count="2">
          <reference field="0" count="1" selected="0">
            <x v="149"/>
          </reference>
          <reference field="1" count="1">
            <x v="299"/>
          </reference>
        </references>
      </pivotArea>
    </format>
    <format dxfId="379">
      <pivotArea dataOnly="0" labelOnly="1" fieldPosition="0">
        <references count="2">
          <reference field="0" count="1" selected="0">
            <x v="150"/>
          </reference>
          <reference field="1" count="1">
            <x v="156"/>
          </reference>
        </references>
      </pivotArea>
    </format>
    <format dxfId="378">
      <pivotArea dataOnly="0" labelOnly="1" fieldPosition="0">
        <references count="2">
          <reference field="0" count="1" selected="0">
            <x v="151"/>
          </reference>
          <reference field="1" count="1">
            <x v="21"/>
          </reference>
        </references>
      </pivotArea>
    </format>
    <format dxfId="377">
      <pivotArea dataOnly="0" labelOnly="1" fieldPosition="0">
        <references count="2">
          <reference field="0" count="1" selected="0">
            <x v="152"/>
          </reference>
          <reference field="1" count="1">
            <x v="303"/>
          </reference>
        </references>
      </pivotArea>
    </format>
    <format dxfId="376">
      <pivotArea dataOnly="0" labelOnly="1" fieldPosition="0">
        <references count="2">
          <reference field="0" count="1" selected="0">
            <x v="153"/>
          </reference>
          <reference field="1" count="1">
            <x v="102"/>
          </reference>
        </references>
      </pivotArea>
    </format>
    <format dxfId="375">
      <pivotArea dataOnly="0" labelOnly="1" fieldPosition="0">
        <references count="2">
          <reference field="0" count="1" selected="0">
            <x v="154"/>
          </reference>
          <reference field="1" count="1">
            <x v="209"/>
          </reference>
        </references>
      </pivotArea>
    </format>
    <format dxfId="374">
      <pivotArea dataOnly="0" labelOnly="1" fieldPosition="0">
        <references count="2">
          <reference field="0" count="1" selected="0">
            <x v="155"/>
          </reference>
          <reference field="1" count="1">
            <x v="128"/>
          </reference>
        </references>
      </pivotArea>
    </format>
    <format dxfId="373">
      <pivotArea dataOnly="0" labelOnly="1" fieldPosition="0">
        <references count="2">
          <reference field="0" count="1" selected="0">
            <x v="156"/>
          </reference>
          <reference field="1" count="1">
            <x v="67"/>
          </reference>
        </references>
      </pivotArea>
    </format>
    <format dxfId="372">
      <pivotArea dataOnly="0" labelOnly="1" fieldPosition="0">
        <references count="2">
          <reference field="0" count="1" selected="0">
            <x v="157"/>
          </reference>
          <reference field="1" count="1">
            <x v="134"/>
          </reference>
        </references>
      </pivotArea>
    </format>
    <format dxfId="371">
      <pivotArea dataOnly="0" labelOnly="1" fieldPosition="0">
        <references count="2">
          <reference field="0" count="1" selected="0">
            <x v="158"/>
          </reference>
          <reference field="1" count="1">
            <x v="233"/>
          </reference>
        </references>
      </pivotArea>
    </format>
    <format dxfId="370">
      <pivotArea dataOnly="0" labelOnly="1" fieldPosition="0">
        <references count="2">
          <reference field="0" count="1" selected="0">
            <x v="159"/>
          </reference>
          <reference field="1" count="1">
            <x v="231"/>
          </reference>
        </references>
      </pivotArea>
    </format>
    <format dxfId="369">
      <pivotArea dataOnly="0" labelOnly="1" fieldPosition="0">
        <references count="2">
          <reference field="0" count="1" selected="0">
            <x v="160"/>
          </reference>
          <reference field="1" count="1">
            <x v="276"/>
          </reference>
        </references>
      </pivotArea>
    </format>
    <format dxfId="368">
      <pivotArea dataOnly="0" labelOnly="1" fieldPosition="0">
        <references count="2">
          <reference field="0" count="1" selected="0">
            <x v="161"/>
          </reference>
          <reference field="1" count="1">
            <x v="99"/>
          </reference>
        </references>
      </pivotArea>
    </format>
    <format dxfId="367">
      <pivotArea dataOnly="0" labelOnly="1" fieldPosition="0">
        <references count="2">
          <reference field="0" count="1" selected="0">
            <x v="162"/>
          </reference>
          <reference field="1" count="1">
            <x v="212"/>
          </reference>
        </references>
      </pivotArea>
    </format>
    <format dxfId="366">
      <pivotArea dataOnly="0" labelOnly="1" fieldPosition="0">
        <references count="2">
          <reference field="0" count="1" selected="0">
            <x v="163"/>
          </reference>
          <reference field="1" count="1">
            <x v="186"/>
          </reference>
        </references>
      </pivotArea>
    </format>
    <format dxfId="365">
      <pivotArea dataOnly="0" labelOnly="1" fieldPosition="0">
        <references count="2">
          <reference field="0" count="1" selected="0">
            <x v="164"/>
          </reference>
          <reference field="1" count="1">
            <x v="256"/>
          </reference>
        </references>
      </pivotArea>
    </format>
    <format dxfId="364">
      <pivotArea dataOnly="0" labelOnly="1" fieldPosition="0">
        <references count="2">
          <reference field="0" count="1" selected="0">
            <x v="165"/>
          </reference>
          <reference field="1" count="1">
            <x v="281"/>
          </reference>
        </references>
      </pivotArea>
    </format>
    <format dxfId="363">
      <pivotArea dataOnly="0" labelOnly="1" fieldPosition="0">
        <references count="2">
          <reference field="0" count="1" selected="0">
            <x v="166"/>
          </reference>
          <reference field="1" count="1">
            <x v="278"/>
          </reference>
        </references>
      </pivotArea>
    </format>
    <format dxfId="362">
      <pivotArea dataOnly="0" labelOnly="1" fieldPosition="0">
        <references count="2">
          <reference field="0" count="1" selected="0">
            <x v="167"/>
          </reference>
          <reference field="1" count="1">
            <x v="297"/>
          </reference>
        </references>
      </pivotArea>
    </format>
    <format dxfId="361">
      <pivotArea dataOnly="0" labelOnly="1" fieldPosition="0">
        <references count="2">
          <reference field="0" count="1" selected="0">
            <x v="168"/>
          </reference>
          <reference field="1" count="1">
            <x v="155"/>
          </reference>
        </references>
      </pivotArea>
    </format>
    <format dxfId="360">
      <pivotArea dataOnly="0" labelOnly="1" fieldPosition="0">
        <references count="2">
          <reference field="0" count="1" selected="0">
            <x v="169"/>
          </reference>
          <reference field="1" count="1">
            <x v="137"/>
          </reference>
        </references>
      </pivotArea>
    </format>
    <format dxfId="359">
      <pivotArea dataOnly="0" labelOnly="1" fieldPosition="0">
        <references count="2">
          <reference field="0" count="1" selected="0">
            <x v="170"/>
          </reference>
          <reference field="1" count="1">
            <x v="85"/>
          </reference>
        </references>
      </pivotArea>
    </format>
    <format dxfId="358">
      <pivotArea dataOnly="0" labelOnly="1" fieldPosition="0">
        <references count="2">
          <reference field="0" count="1" selected="0">
            <x v="171"/>
          </reference>
          <reference field="1" count="1">
            <x v="200"/>
          </reference>
        </references>
      </pivotArea>
    </format>
    <format dxfId="357">
      <pivotArea dataOnly="0" labelOnly="1" fieldPosition="0">
        <references count="2">
          <reference field="0" count="1" selected="0">
            <x v="172"/>
          </reference>
          <reference field="1" count="1">
            <x v="305"/>
          </reference>
        </references>
      </pivotArea>
    </format>
    <format dxfId="356">
      <pivotArea dataOnly="0" labelOnly="1" fieldPosition="0">
        <references count="2">
          <reference field="0" count="1" selected="0">
            <x v="173"/>
          </reference>
          <reference field="1" count="1">
            <x v="229"/>
          </reference>
        </references>
      </pivotArea>
    </format>
    <format dxfId="355">
      <pivotArea dataOnly="0" labelOnly="1" fieldPosition="0">
        <references count="2">
          <reference field="0" count="1" selected="0">
            <x v="174"/>
          </reference>
          <reference field="1" count="1">
            <x v="279"/>
          </reference>
        </references>
      </pivotArea>
    </format>
    <format dxfId="354">
      <pivotArea dataOnly="0" labelOnly="1" fieldPosition="0">
        <references count="2">
          <reference field="0" count="1" selected="0">
            <x v="175"/>
          </reference>
          <reference field="1" count="1">
            <x v="185"/>
          </reference>
        </references>
      </pivotArea>
    </format>
    <format dxfId="353">
      <pivotArea dataOnly="0" labelOnly="1" fieldPosition="0">
        <references count="2">
          <reference field="0" count="1" selected="0">
            <x v="176"/>
          </reference>
          <reference field="1" count="1">
            <x v="10"/>
          </reference>
        </references>
      </pivotArea>
    </format>
    <format dxfId="352">
      <pivotArea dataOnly="0" labelOnly="1" fieldPosition="0">
        <references count="2">
          <reference field="0" count="1" selected="0">
            <x v="177"/>
          </reference>
          <reference field="1" count="1">
            <x v="179"/>
          </reference>
        </references>
      </pivotArea>
    </format>
    <format dxfId="351">
      <pivotArea dataOnly="0" labelOnly="1" fieldPosition="0">
        <references count="2">
          <reference field="0" count="1" selected="0">
            <x v="178"/>
          </reference>
          <reference field="1" count="1">
            <x v="196"/>
          </reference>
        </references>
      </pivotArea>
    </format>
    <format dxfId="350">
      <pivotArea dataOnly="0" labelOnly="1" fieldPosition="0">
        <references count="2">
          <reference field="0" count="1" selected="0">
            <x v="179"/>
          </reference>
          <reference field="1" count="1">
            <x v="50"/>
          </reference>
        </references>
      </pivotArea>
    </format>
    <format dxfId="349">
      <pivotArea dataOnly="0" labelOnly="1" fieldPosition="0">
        <references count="2">
          <reference field="0" count="1" selected="0">
            <x v="180"/>
          </reference>
          <reference field="1" count="1">
            <x v="202"/>
          </reference>
        </references>
      </pivotArea>
    </format>
    <format dxfId="348">
      <pivotArea dataOnly="0" labelOnly="1" fieldPosition="0">
        <references count="2">
          <reference field="0" count="1" selected="0">
            <x v="181"/>
          </reference>
          <reference field="1" count="1">
            <x v="116"/>
          </reference>
        </references>
      </pivotArea>
    </format>
    <format dxfId="347">
      <pivotArea dataOnly="0" labelOnly="1" fieldPosition="0">
        <references count="2">
          <reference field="0" count="1" selected="0">
            <x v="182"/>
          </reference>
          <reference field="1" count="1">
            <x v="310"/>
          </reference>
        </references>
      </pivotArea>
    </format>
    <format dxfId="346">
      <pivotArea dataOnly="0" labelOnly="1" fieldPosition="0">
        <references count="2">
          <reference field="0" count="1" selected="0">
            <x v="183"/>
          </reference>
          <reference field="1" count="1">
            <x v="162"/>
          </reference>
        </references>
      </pivotArea>
    </format>
    <format dxfId="345">
      <pivotArea dataOnly="0" labelOnly="1" fieldPosition="0">
        <references count="2">
          <reference field="0" count="1" selected="0">
            <x v="184"/>
          </reference>
          <reference field="1" count="1">
            <x v="114"/>
          </reference>
        </references>
      </pivotArea>
    </format>
    <format dxfId="344">
      <pivotArea dataOnly="0" labelOnly="1" fieldPosition="0">
        <references count="2">
          <reference field="0" count="1" selected="0">
            <x v="185"/>
          </reference>
          <reference field="1" count="1">
            <x v="144"/>
          </reference>
        </references>
      </pivotArea>
    </format>
    <format dxfId="343">
      <pivotArea dataOnly="0" labelOnly="1" fieldPosition="0">
        <references count="2">
          <reference field="0" count="1" selected="0">
            <x v="186"/>
          </reference>
          <reference field="1" count="1">
            <x v="103"/>
          </reference>
        </references>
      </pivotArea>
    </format>
    <format dxfId="342">
      <pivotArea dataOnly="0" labelOnly="1" fieldPosition="0">
        <references count="2">
          <reference field="0" count="1" selected="0">
            <x v="187"/>
          </reference>
          <reference field="1" count="1">
            <x v="289"/>
          </reference>
        </references>
      </pivotArea>
    </format>
    <format dxfId="341">
      <pivotArea dataOnly="0" labelOnly="1" fieldPosition="0">
        <references count="2">
          <reference field="0" count="1" selected="0">
            <x v="188"/>
          </reference>
          <reference field="1" count="1">
            <x v="171"/>
          </reference>
        </references>
      </pivotArea>
    </format>
    <format dxfId="340">
      <pivotArea dataOnly="0" labelOnly="1" fieldPosition="0">
        <references count="2">
          <reference field="0" count="1" selected="0">
            <x v="189"/>
          </reference>
          <reference field="1" count="1">
            <x v="127"/>
          </reference>
        </references>
      </pivotArea>
    </format>
    <format dxfId="339">
      <pivotArea dataOnly="0" labelOnly="1" fieldPosition="0">
        <references count="2">
          <reference field="0" count="1" selected="0">
            <x v="190"/>
          </reference>
          <reference field="1" count="1">
            <x v="29"/>
          </reference>
        </references>
      </pivotArea>
    </format>
    <format dxfId="338">
      <pivotArea dataOnly="0" labelOnly="1" fieldPosition="0">
        <references count="2">
          <reference field="0" count="1" selected="0">
            <x v="191"/>
          </reference>
          <reference field="1" count="1">
            <x v="20"/>
          </reference>
        </references>
      </pivotArea>
    </format>
    <format dxfId="337">
      <pivotArea dataOnly="0" labelOnly="1" fieldPosition="0">
        <references count="2">
          <reference field="0" count="1" selected="0">
            <x v="192"/>
          </reference>
          <reference field="1" count="1">
            <x v="215"/>
          </reference>
        </references>
      </pivotArea>
    </format>
    <format dxfId="336">
      <pivotArea dataOnly="0" labelOnly="1" fieldPosition="0">
        <references count="2">
          <reference field="0" count="1" selected="0">
            <x v="193"/>
          </reference>
          <reference field="1" count="1">
            <x v="270"/>
          </reference>
        </references>
      </pivotArea>
    </format>
    <format dxfId="335">
      <pivotArea dataOnly="0" labelOnly="1" fieldPosition="0">
        <references count="2">
          <reference field="0" count="1" selected="0">
            <x v="194"/>
          </reference>
          <reference field="1" count="1">
            <x v="271"/>
          </reference>
        </references>
      </pivotArea>
    </format>
    <format dxfId="334">
      <pivotArea dataOnly="0" labelOnly="1" fieldPosition="0">
        <references count="2">
          <reference field="0" count="1" selected="0">
            <x v="195"/>
          </reference>
          <reference field="1" count="1">
            <x v="31"/>
          </reference>
        </references>
      </pivotArea>
    </format>
    <format dxfId="333">
      <pivotArea dataOnly="0" labelOnly="1" fieldPosition="0">
        <references count="2">
          <reference field="0" count="1" selected="0">
            <x v="196"/>
          </reference>
          <reference field="1" count="1">
            <x v="22"/>
          </reference>
        </references>
      </pivotArea>
    </format>
    <format dxfId="332">
      <pivotArea dataOnly="0" labelOnly="1" fieldPosition="0">
        <references count="2">
          <reference field="0" count="1" selected="0">
            <x v="197"/>
          </reference>
          <reference field="1" count="1">
            <x v="119"/>
          </reference>
        </references>
      </pivotArea>
    </format>
    <format dxfId="331">
      <pivotArea dataOnly="0" labelOnly="1" fieldPosition="0">
        <references count="2">
          <reference field="0" count="1" selected="0">
            <x v="198"/>
          </reference>
          <reference field="1" count="1">
            <x v="14"/>
          </reference>
        </references>
      </pivotArea>
    </format>
    <format dxfId="330">
      <pivotArea dataOnly="0" labelOnly="1" fieldPosition="0">
        <references count="2">
          <reference field="0" count="1" selected="0">
            <x v="199"/>
          </reference>
          <reference field="1" count="1">
            <x v="253"/>
          </reference>
        </references>
      </pivotArea>
    </format>
    <format dxfId="329">
      <pivotArea dataOnly="0" labelOnly="1" fieldPosition="0">
        <references count="2">
          <reference field="0" count="1" selected="0">
            <x v="200"/>
          </reference>
          <reference field="1" count="1">
            <x v="236"/>
          </reference>
        </references>
      </pivotArea>
    </format>
    <format dxfId="328">
      <pivotArea dataOnly="0" labelOnly="1" fieldPosition="0">
        <references count="2">
          <reference field="0" count="1" selected="0">
            <x v="201"/>
          </reference>
          <reference field="1" count="1">
            <x v="238"/>
          </reference>
        </references>
      </pivotArea>
    </format>
    <format dxfId="327">
      <pivotArea dataOnly="0" labelOnly="1" fieldPosition="0">
        <references count="2">
          <reference field="0" count="1" selected="0">
            <x v="202"/>
          </reference>
          <reference field="1" count="1">
            <x v="283"/>
          </reference>
        </references>
      </pivotArea>
    </format>
    <format dxfId="326">
      <pivotArea dataOnly="0" labelOnly="1" fieldPosition="0">
        <references count="2">
          <reference field="0" count="1" selected="0">
            <x v="203"/>
          </reference>
          <reference field="1" count="1">
            <x v="221"/>
          </reference>
        </references>
      </pivotArea>
    </format>
    <format dxfId="325">
      <pivotArea dataOnly="0" labelOnly="1" fieldPosition="0">
        <references count="2">
          <reference field="0" count="1" selected="0">
            <x v="204"/>
          </reference>
          <reference field="1" count="1">
            <x v="222"/>
          </reference>
        </references>
      </pivotArea>
    </format>
    <format dxfId="324">
      <pivotArea dataOnly="0" labelOnly="1" fieldPosition="0">
        <references count="2">
          <reference field="0" count="1" selected="0">
            <x v="205"/>
          </reference>
          <reference field="1" count="1">
            <x v="206"/>
          </reference>
        </references>
      </pivotArea>
    </format>
    <format dxfId="323">
      <pivotArea dataOnly="0" labelOnly="1" fieldPosition="0">
        <references count="2">
          <reference field="0" count="1" selected="0">
            <x v="206"/>
          </reference>
          <reference field="1" count="1">
            <x v="201"/>
          </reference>
        </references>
      </pivotArea>
    </format>
    <format dxfId="322">
      <pivotArea dataOnly="0" labelOnly="1" fieldPosition="0">
        <references count="2">
          <reference field="0" count="1" selected="0">
            <x v="207"/>
          </reference>
          <reference field="1" count="1">
            <x v="288"/>
          </reference>
        </references>
      </pivotArea>
    </format>
    <format dxfId="321">
      <pivotArea dataOnly="0" labelOnly="1" fieldPosition="0">
        <references count="2">
          <reference field="0" count="1" selected="0">
            <x v="208"/>
          </reference>
          <reference field="1" count="1">
            <x v="280"/>
          </reference>
        </references>
      </pivotArea>
    </format>
    <format dxfId="320">
      <pivotArea dataOnly="0" labelOnly="1" fieldPosition="0">
        <references count="2">
          <reference field="0" count="1" selected="0">
            <x v="209"/>
          </reference>
          <reference field="1" count="1">
            <x v="145"/>
          </reference>
        </references>
      </pivotArea>
    </format>
    <format dxfId="319">
      <pivotArea dataOnly="0" labelOnly="1" fieldPosition="0">
        <references count="2">
          <reference field="0" count="1" selected="0">
            <x v="210"/>
          </reference>
          <reference field="1" count="1">
            <x v="301"/>
          </reference>
        </references>
      </pivotArea>
    </format>
    <format dxfId="318">
      <pivotArea dataOnly="0" labelOnly="1" fieldPosition="0">
        <references count="2">
          <reference field="0" count="1" selected="0">
            <x v="211"/>
          </reference>
          <reference field="1" count="1">
            <x v="294"/>
          </reference>
        </references>
      </pivotArea>
    </format>
    <format dxfId="317">
      <pivotArea dataOnly="0" labelOnly="1" fieldPosition="0">
        <references count="2">
          <reference field="0" count="1" selected="0">
            <x v="212"/>
          </reference>
          <reference field="1" count="1">
            <x v="7"/>
          </reference>
        </references>
      </pivotArea>
    </format>
    <format dxfId="316">
      <pivotArea dataOnly="0" labelOnly="1" fieldPosition="0">
        <references count="2">
          <reference field="0" count="1" selected="0">
            <x v="213"/>
          </reference>
          <reference field="1" count="1">
            <x v="244"/>
          </reference>
        </references>
      </pivotArea>
    </format>
    <format dxfId="315">
      <pivotArea dataOnly="0" labelOnly="1" fieldPosition="0">
        <references count="2">
          <reference field="0" count="1" selected="0">
            <x v="214"/>
          </reference>
          <reference field="1" count="1">
            <x v="104"/>
          </reference>
        </references>
      </pivotArea>
    </format>
    <format dxfId="314">
      <pivotArea dataOnly="0" labelOnly="1" fieldPosition="0">
        <references count="2">
          <reference field="0" count="1" selected="0">
            <x v="215"/>
          </reference>
          <reference field="1" count="1">
            <x v="315"/>
          </reference>
        </references>
      </pivotArea>
    </format>
    <format dxfId="313">
      <pivotArea dataOnly="0" labelOnly="1" fieldPosition="0">
        <references count="2">
          <reference field="0" count="1" selected="0">
            <x v="216"/>
          </reference>
          <reference field="1" count="1">
            <x v="232"/>
          </reference>
        </references>
      </pivotArea>
    </format>
    <format dxfId="312">
      <pivotArea dataOnly="0" labelOnly="1" fieldPosition="0">
        <references count="2">
          <reference field="0" count="1" selected="0">
            <x v="217"/>
          </reference>
          <reference field="1" count="1">
            <x v="239"/>
          </reference>
        </references>
      </pivotArea>
    </format>
    <format dxfId="311">
      <pivotArea dataOnly="0" labelOnly="1" fieldPosition="0">
        <references count="2">
          <reference field="0" count="1" selected="0">
            <x v="218"/>
          </reference>
          <reference field="1" count="1">
            <x v="199"/>
          </reference>
        </references>
      </pivotArea>
    </format>
    <format dxfId="310">
      <pivotArea dataOnly="0" labelOnly="1" fieldPosition="0">
        <references count="2">
          <reference field="0" count="1" selected="0">
            <x v="219"/>
          </reference>
          <reference field="1" count="1">
            <x v="87"/>
          </reference>
        </references>
      </pivotArea>
    </format>
    <format dxfId="309">
      <pivotArea dataOnly="0" labelOnly="1" fieldPosition="0">
        <references count="2">
          <reference field="0" count="1" selected="0">
            <x v="220"/>
          </reference>
          <reference field="1" count="1">
            <x v="33"/>
          </reference>
        </references>
      </pivotArea>
    </format>
    <format dxfId="308">
      <pivotArea dataOnly="0" labelOnly="1" fieldPosition="0">
        <references count="2">
          <reference field="0" count="1" selected="0">
            <x v="221"/>
          </reference>
          <reference field="1" count="1">
            <x v="268"/>
          </reference>
        </references>
      </pivotArea>
    </format>
    <format dxfId="307">
      <pivotArea dataOnly="0" labelOnly="1" fieldPosition="0">
        <references count="2">
          <reference field="0" count="1" selected="0">
            <x v="222"/>
          </reference>
          <reference field="1" count="1">
            <x v="245"/>
          </reference>
        </references>
      </pivotArea>
    </format>
    <format dxfId="306">
      <pivotArea dataOnly="0" labelOnly="1" fieldPosition="0">
        <references count="2">
          <reference field="0" count="1" selected="0">
            <x v="223"/>
          </reference>
          <reference field="1" count="1">
            <x v="251"/>
          </reference>
        </references>
      </pivotArea>
    </format>
    <format dxfId="305">
      <pivotArea dataOnly="0" labelOnly="1" fieldPosition="0">
        <references count="2">
          <reference field="0" count="1" selected="0">
            <x v="224"/>
          </reference>
          <reference field="1" count="1">
            <x v="97"/>
          </reference>
        </references>
      </pivotArea>
    </format>
    <format dxfId="304">
      <pivotArea dataOnly="0" labelOnly="1" fieldPosition="0">
        <references count="2">
          <reference field="0" count="1" selected="0">
            <x v="225"/>
          </reference>
          <reference field="1" count="1">
            <x v="121"/>
          </reference>
        </references>
      </pivotArea>
    </format>
    <format dxfId="303">
      <pivotArea dataOnly="0" labelOnly="1" fieldPosition="0">
        <references count="2">
          <reference field="0" count="1" selected="0">
            <x v="226"/>
          </reference>
          <reference field="1" count="1">
            <x v="177"/>
          </reference>
        </references>
      </pivotArea>
    </format>
    <format dxfId="302">
      <pivotArea dataOnly="0" labelOnly="1" fieldPosition="0">
        <references count="2">
          <reference field="0" count="1" selected="0">
            <x v="227"/>
          </reference>
          <reference field="1" count="1">
            <x v="167"/>
          </reference>
        </references>
      </pivotArea>
    </format>
    <format dxfId="301">
      <pivotArea dataOnly="0" labelOnly="1" fieldPosition="0">
        <references count="2">
          <reference field="0" count="1" selected="0">
            <x v="228"/>
          </reference>
          <reference field="1" count="1">
            <x v="93"/>
          </reference>
        </references>
      </pivotArea>
    </format>
    <format dxfId="300">
      <pivotArea dataOnly="0" labelOnly="1" fieldPosition="0">
        <references count="2">
          <reference field="0" count="1" selected="0">
            <x v="229"/>
          </reference>
          <reference field="1" count="1">
            <x v="178"/>
          </reference>
        </references>
      </pivotArea>
    </format>
    <format dxfId="299">
      <pivotArea dataOnly="0" labelOnly="1" fieldPosition="0">
        <references count="2">
          <reference field="0" count="1" selected="0">
            <x v="230"/>
          </reference>
          <reference field="1" count="1">
            <x v="207"/>
          </reference>
        </references>
      </pivotArea>
    </format>
    <format dxfId="298">
      <pivotArea dataOnly="0" labelOnly="1" fieldPosition="0">
        <references count="2">
          <reference field="0" count="1" selected="0">
            <x v="231"/>
          </reference>
          <reference field="1" count="1">
            <x v="86"/>
          </reference>
        </references>
      </pivotArea>
    </format>
    <format dxfId="297">
      <pivotArea dataOnly="0" labelOnly="1" fieldPosition="0">
        <references count="2">
          <reference field="0" count="1" selected="0">
            <x v="232"/>
          </reference>
          <reference field="1" count="1">
            <x v="208"/>
          </reference>
        </references>
      </pivotArea>
    </format>
    <format dxfId="296">
      <pivotArea dataOnly="0" labelOnly="1" fieldPosition="0">
        <references count="2">
          <reference field="0" count="1" selected="0">
            <x v="233"/>
          </reference>
          <reference field="1" count="1">
            <x v="189"/>
          </reference>
        </references>
      </pivotArea>
    </format>
    <format dxfId="295">
      <pivotArea dataOnly="0" labelOnly="1" fieldPosition="0">
        <references count="2">
          <reference field="0" count="1" selected="0">
            <x v="234"/>
          </reference>
          <reference field="1" count="1">
            <x v="255"/>
          </reference>
        </references>
      </pivotArea>
    </format>
    <format dxfId="294">
      <pivotArea dataOnly="0" labelOnly="1" fieldPosition="0">
        <references count="2">
          <reference field="0" count="1" selected="0">
            <x v="235"/>
          </reference>
          <reference field="1" count="1">
            <x v="92"/>
          </reference>
        </references>
      </pivotArea>
    </format>
    <format dxfId="293">
      <pivotArea dataOnly="0" labelOnly="1" fieldPosition="0">
        <references count="2">
          <reference field="0" count="1" selected="0">
            <x v="236"/>
          </reference>
          <reference field="1" count="1">
            <x v="296"/>
          </reference>
        </references>
      </pivotArea>
    </format>
    <format dxfId="292">
      <pivotArea dataOnly="0" labelOnly="1" fieldPosition="0">
        <references count="2">
          <reference field="0" count="1" selected="0">
            <x v="237"/>
          </reference>
          <reference field="1" count="1">
            <x v="17"/>
          </reference>
        </references>
      </pivotArea>
    </format>
    <format dxfId="291">
      <pivotArea dataOnly="0" labelOnly="1" fieldPosition="0">
        <references count="2">
          <reference field="0" count="1" selected="0">
            <x v="238"/>
          </reference>
          <reference field="1" count="1">
            <x v="243"/>
          </reference>
        </references>
      </pivotArea>
    </format>
    <format dxfId="290">
      <pivotArea dataOnly="0" labelOnly="1" fieldPosition="0">
        <references count="2">
          <reference field="0" count="1" selected="0">
            <x v="239"/>
          </reference>
          <reference field="1" count="1">
            <x v="37"/>
          </reference>
        </references>
      </pivotArea>
    </format>
    <format dxfId="289">
      <pivotArea dataOnly="0" labelOnly="1" fieldPosition="0">
        <references count="2">
          <reference field="0" count="1" selected="0">
            <x v="240"/>
          </reference>
          <reference field="1" count="1">
            <x v="224"/>
          </reference>
        </references>
      </pivotArea>
    </format>
    <format dxfId="288">
      <pivotArea dataOnly="0" labelOnly="1" fieldPosition="0">
        <references count="2">
          <reference field="0" count="1" selected="0">
            <x v="241"/>
          </reference>
          <reference field="1" count="1">
            <x v="219"/>
          </reference>
        </references>
      </pivotArea>
    </format>
    <format dxfId="287">
      <pivotArea dataOnly="0" labelOnly="1" fieldPosition="0">
        <references count="2">
          <reference field="0" count="1" selected="0">
            <x v="242"/>
          </reference>
          <reference field="1" count="1">
            <x v="264"/>
          </reference>
        </references>
      </pivotArea>
    </format>
    <format dxfId="286">
      <pivotArea dataOnly="0" labelOnly="1" fieldPosition="0">
        <references count="2">
          <reference field="0" count="1" selected="0">
            <x v="243"/>
          </reference>
          <reference field="1" count="1">
            <x v="319"/>
          </reference>
        </references>
      </pivotArea>
    </format>
    <format dxfId="285">
      <pivotArea dataOnly="0" labelOnly="1" fieldPosition="0">
        <references count="2">
          <reference field="0" count="1" selected="0">
            <x v="244"/>
          </reference>
          <reference field="1" count="1">
            <x v="228"/>
          </reference>
        </references>
      </pivotArea>
    </format>
    <format dxfId="284">
      <pivotArea dataOnly="0" labelOnly="1" fieldPosition="0">
        <references count="2">
          <reference field="0" count="1" selected="0">
            <x v="245"/>
          </reference>
          <reference field="1" count="1">
            <x v="108"/>
          </reference>
        </references>
      </pivotArea>
    </format>
    <format dxfId="283">
      <pivotArea dataOnly="0" labelOnly="1" fieldPosition="0">
        <references count="2">
          <reference field="0" count="1" selected="0">
            <x v="246"/>
          </reference>
          <reference field="1" count="1">
            <x v="248"/>
          </reference>
        </references>
      </pivotArea>
    </format>
    <format dxfId="282">
      <pivotArea dataOnly="0" labelOnly="1" fieldPosition="0">
        <references count="2">
          <reference field="0" count="1" selected="0">
            <x v="247"/>
          </reference>
          <reference field="1" count="1">
            <x v="88"/>
          </reference>
        </references>
      </pivotArea>
    </format>
    <format dxfId="281">
      <pivotArea dataOnly="0" labelOnly="1" fieldPosition="0">
        <references count="2">
          <reference field="0" count="1" selected="0">
            <x v="248"/>
          </reference>
          <reference field="1" count="1">
            <x v="184"/>
          </reference>
        </references>
      </pivotArea>
    </format>
    <format dxfId="280">
      <pivotArea dataOnly="0" labelOnly="1" fieldPosition="0">
        <references count="2">
          <reference field="0" count="1" selected="0">
            <x v="249"/>
          </reference>
          <reference field="1" count="1">
            <x v="95"/>
          </reference>
        </references>
      </pivotArea>
    </format>
    <format dxfId="279">
      <pivotArea dataOnly="0" labelOnly="1" fieldPosition="0">
        <references count="2">
          <reference field="0" count="1" selected="0">
            <x v="250"/>
          </reference>
          <reference field="1" count="1">
            <x v="275"/>
          </reference>
        </references>
      </pivotArea>
    </format>
    <format dxfId="278">
      <pivotArea dataOnly="0" labelOnly="1" fieldPosition="0">
        <references count="2">
          <reference field="0" count="1" selected="0">
            <x v="251"/>
          </reference>
          <reference field="1" count="1">
            <x v="257"/>
          </reference>
        </references>
      </pivotArea>
    </format>
    <format dxfId="277">
      <pivotArea dataOnly="0" labelOnly="1" fieldPosition="0">
        <references count="2">
          <reference field="0" count="1" selected="0">
            <x v="252"/>
          </reference>
          <reference field="1" count="1">
            <x v="19"/>
          </reference>
        </references>
      </pivotArea>
    </format>
    <format dxfId="276">
      <pivotArea dataOnly="0" labelOnly="1" fieldPosition="0">
        <references count="2">
          <reference field="0" count="1" selected="0">
            <x v="253"/>
          </reference>
          <reference field="1" count="1">
            <x v="71"/>
          </reference>
        </references>
      </pivotArea>
    </format>
    <format dxfId="275">
      <pivotArea dataOnly="0" labelOnly="1" fieldPosition="0">
        <references count="2">
          <reference field="0" count="1" selected="0">
            <x v="254"/>
          </reference>
          <reference field="1" count="1">
            <x v="220"/>
          </reference>
        </references>
      </pivotArea>
    </format>
    <format dxfId="274">
      <pivotArea dataOnly="0" labelOnly="1" fieldPosition="0">
        <references count="2">
          <reference field="0" count="1" selected="0">
            <x v="255"/>
          </reference>
          <reference field="1" count="1">
            <x v="258"/>
          </reference>
        </references>
      </pivotArea>
    </format>
    <format dxfId="273">
      <pivotArea dataOnly="0" labelOnly="1" fieldPosition="0">
        <references count="2">
          <reference field="0" count="1" selected="0">
            <x v="256"/>
          </reference>
          <reference field="1" count="1">
            <x v="55"/>
          </reference>
        </references>
      </pivotArea>
    </format>
    <format dxfId="272">
      <pivotArea dataOnly="0" labelOnly="1" fieldPosition="0">
        <references count="2">
          <reference field="0" count="1" selected="0">
            <x v="257"/>
          </reference>
          <reference field="1" count="1">
            <x v="51"/>
          </reference>
        </references>
      </pivotArea>
    </format>
    <format dxfId="271">
      <pivotArea dataOnly="0" labelOnly="1" fieldPosition="0">
        <references count="2">
          <reference field="0" count="1" selected="0">
            <x v="258"/>
          </reference>
          <reference field="1" count="1">
            <x v="298"/>
          </reference>
        </references>
      </pivotArea>
    </format>
    <format dxfId="270">
      <pivotArea dataOnly="0" labelOnly="1" fieldPosition="0">
        <references count="2">
          <reference field="0" count="1" selected="0">
            <x v="259"/>
          </reference>
          <reference field="1" count="1">
            <x v="266"/>
          </reference>
        </references>
      </pivotArea>
    </format>
    <format dxfId="269">
      <pivotArea dataOnly="0" labelOnly="1" fieldPosition="0">
        <references count="2">
          <reference field="0" count="1" selected="0">
            <x v="260"/>
          </reference>
          <reference field="1" count="1">
            <x v="250"/>
          </reference>
        </references>
      </pivotArea>
    </format>
    <format dxfId="268">
      <pivotArea dataOnly="0" labelOnly="1" fieldPosition="0">
        <references count="2">
          <reference field="0" count="1" selected="0">
            <x v="261"/>
          </reference>
          <reference field="1" count="1">
            <x v="60"/>
          </reference>
        </references>
      </pivotArea>
    </format>
    <format dxfId="267">
      <pivotArea dataOnly="0" labelOnly="1" fieldPosition="0">
        <references count="2">
          <reference field="0" count="1" selected="0">
            <x v="262"/>
          </reference>
          <reference field="1" count="1">
            <x v="138"/>
          </reference>
        </references>
      </pivotArea>
    </format>
    <format dxfId="266">
      <pivotArea dataOnly="0" labelOnly="1" fieldPosition="0">
        <references count="2">
          <reference field="0" count="1" selected="0">
            <x v="263"/>
          </reference>
          <reference field="1" count="1">
            <x v="54"/>
          </reference>
        </references>
      </pivotArea>
    </format>
    <format dxfId="265">
      <pivotArea dataOnly="0" labelOnly="1" fieldPosition="0">
        <references count="2">
          <reference field="0" count="1" selected="0">
            <x v="264"/>
          </reference>
          <reference field="1" count="1">
            <x v="205"/>
          </reference>
        </references>
      </pivotArea>
    </format>
    <format dxfId="264">
      <pivotArea dataOnly="0" labelOnly="1" fieldPosition="0">
        <references count="2">
          <reference field="0" count="1" selected="0">
            <x v="265"/>
          </reference>
          <reference field="1" count="1">
            <x v="198"/>
          </reference>
        </references>
      </pivotArea>
    </format>
    <format dxfId="263">
      <pivotArea dataOnly="0" labelOnly="1" fieldPosition="0">
        <references count="2">
          <reference field="0" count="1" selected="0">
            <x v="266"/>
          </reference>
          <reference field="1" count="1">
            <x v="115"/>
          </reference>
        </references>
      </pivotArea>
    </format>
    <format dxfId="262">
      <pivotArea dataOnly="0" labelOnly="1" fieldPosition="0">
        <references count="2">
          <reference field="0" count="1" selected="0">
            <x v="267"/>
          </reference>
          <reference field="1" count="1">
            <x v="216"/>
          </reference>
        </references>
      </pivotArea>
    </format>
    <format dxfId="261">
      <pivotArea dataOnly="0" labelOnly="1" fieldPosition="0">
        <references count="2">
          <reference field="0" count="1" selected="0">
            <x v="268"/>
          </reference>
          <reference field="1" count="1">
            <x v="320"/>
          </reference>
        </references>
      </pivotArea>
    </format>
    <format dxfId="260">
      <pivotArea dataOnly="0" labelOnly="1" fieldPosition="0">
        <references count="2">
          <reference field="0" count="1" selected="0">
            <x v="269"/>
          </reference>
          <reference field="1" count="1">
            <x v="273"/>
          </reference>
        </references>
      </pivotArea>
    </format>
    <format dxfId="259">
      <pivotArea dataOnly="0" labelOnly="1" fieldPosition="0">
        <references count="2">
          <reference field="0" count="1" selected="0">
            <x v="270"/>
          </reference>
          <reference field="1" count="1">
            <x v="193"/>
          </reference>
        </references>
      </pivotArea>
    </format>
    <format dxfId="258">
      <pivotArea dataOnly="0" labelOnly="1" fieldPosition="0">
        <references count="2">
          <reference field="0" count="1" selected="0">
            <x v="271"/>
          </reference>
          <reference field="1" count="1">
            <x v="218"/>
          </reference>
        </references>
      </pivotArea>
    </format>
    <format dxfId="257">
      <pivotArea dataOnly="0" labelOnly="1" fieldPosition="0">
        <references count="2">
          <reference field="0" count="1" selected="0">
            <x v="272"/>
          </reference>
          <reference field="1" count="1">
            <x v="77"/>
          </reference>
        </references>
      </pivotArea>
    </format>
    <format dxfId="256">
      <pivotArea dataOnly="0" labelOnly="1" fieldPosition="0">
        <references count="2">
          <reference field="0" count="1" selected="0">
            <x v="273"/>
          </reference>
          <reference field="1" count="1">
            <x v="82"/>
          </reference>
        </references>
      </pivotArea>
    </format>
    <format dxfId="255">
      <pivotArea dataOnly="0" labelOnly="1" fieldPosition="0">
        <references count="2">
          <reference field="0" count="1" selected="0">
            <x v="274"/>
          </reference>
          <reference field="1" count="1">
            <x v="41"/>
          </reference>
        </references>
      </pivotArea>
    </format>
    <format dxfId="254">
      <pivotArea dataOnly="0" labelOnly="1" fieldPosition="0">
        <references count="2">
          <reference field="0" count="1" selected="0">
            <x v="275"/>
          </reference>
          <reference field="1" count="1">
            <x v="3"/>
          </reference>
        </references>
      </pivotArea>
    </format>
    <format dxfId="253">
      <pivotArea dataOnly="0" labelOnly="1" fieldPosition="0">
        <references count="2">
          <reference field="0" count="1" selected="0">
            <x v="276"/>
          </reference>
          <reference field="1" count="1">
            <x v="259"/>
          </reference>
        </references>
      </pivotArea>
    </format>
    <format dxfId="252">
      <pivotArea dataOnly="0" labelOnly="1" fieldPosition="0">
        <references count="2">
          <reference field="0" count="1" selected="0">
            <x v="277"/>
          </reference>
          <reference field="1" count="1">
            <x v="293"/>
          </reference>
        </references>
      </pivotArea>
    </format>
    <format dxfId="251">
      <pivotArea dataOnly="0" labelOnly="1" fieldPosition="0">
        <references count="2">
          <reference field="0" count="1" selected="0">
            <x v="278"/>
          </reference>
          <reference field="1" count="1">
            <x v="217"/>
          </reference>
        </references>
      </pivotArea>
    </format>
    <format dxfId="250">
      <pivotArea dataOnly="0" labelOnly="1" fieldPosition="0">
        <references count="2">
          <reference field="0" count="1" selected="0">
            <x v="279"/>
          </reference>
          <reference field="1" count="1">
            <x v="58"/>
          </reference>
        </references>
      </pivotArea>
    </format>
    <format dxfId="249">
      <pivotArea dataOnly="0" labelOnly="1" fieldPosition="0">
        <references count="2">
          <reference field="0" count="1" selected="0">
            <x v="280"/>
          </reference>
          <reference field="1" count="1">
            <x v="211"/>
          </reference>
        </references>
      </pivotArea>
    </format>
    <format dxfId="248">
      <pivotArea dataOnly="0" labelOnly="1" fieldPosition="0">
        <references count="2">
          <reference field="0" count="1" selected="0">
            <x v="281"/>
          </reference>
          <reference field="1" count="1">
            <x v="261"/>
          </reference>
        </references>
      </pivotArea>
    </format>
    <format dxfId="247">
      <pivotArea dataOnly="0" labelOnly="1" fieldPosition="0">
        <references count="2">
          <reference field="0" count="1" selected="0">
            <x v="282"/>
          </reference>
          <reference field="1" count="1">
            <x v="223"/>
          </reference>
        </references>
      </pivotArea>
    </format>
    <format dxfId="246">
      <pivotArea dataOnly="0" labelOnly="1" fieldPosition="0">
        <references count="2">
          <reference field="0" count="1" selected="0">
            <x v="283"/>
          </reference>
          <reference field="1" count="1">
            <x v="235"/>
          </reference>
        </references>
      </pivotArea>
    </format>
    <format dxfId="245">
      <pivotArea dataOnly="0" labelOnly="1" fieldPosition="0">
        <references count="2">
          <reference field="0" count="1" selected="0">
            <x v="284"/>
          </reference>
          <reference field="1" count="1">
            <x v="56"/>
          </reference>
        </references>
      </pivotArea>
    </format>
    <format dxfId="244">
      <pivotArea dataOnly="0" labelOnly="1" fieldPosition="0">
        <references count="2">
          <reference field="0" count="1" selected="0">
            <x v="285"/>
          </reference>
          <reference field="1" count="1">
            <x v="246"/>
          </reference>
        </references>
      </pivotArea>
    </format>
    <format dxfId="243">
      <pivotArea dataOnly="0" labelOnly="1" fieldPosition="0">
        <references count="2">
          <reference field="0" count="1" selected="0">
            <x v="286"/>
          </reference>
          <reference field="1" count="1">
            <x v="241"/>
          </reference>
        </references>
      </pivotArea>
    </format>
    <format dxfId="242">
      <pivotArea dataOnly="0" labelOnly="1" fieldPosition="0">
        <references count="2">
          <reference field="0" count="1" selected="0">
            <x v="287"/>
          </reference>
          <reference field="1" count="1">
            <x v="94"/>
          </reference>
        </references>
      </pivotArea>
    </format>
    <format dxfId="241">
      <pivotArea dataOnly="0" labelOnly="1" fieldPosition="0">
        <references count="2">
          <reference field="0" count="1" selected="0">
            <x v="288"/>
          </reference>
          <reference field="1" count="1">
            <x v="26"/>
          </reference>
        </references>
      </pivotArea>
    </format>
    <format dxfId="240">
      <pivotArea dataOnly="0" labelOnly="1" fieldPosition="0">
        <references count="2">
          <reference field="0" count="1" selected="0">
            <x v="289"/>
          </reference>
          <reference field="1" count="1">
            <x v="194"/>
          </reference>
        </references>
      </pivotArea>
    </format>
    <format dxfId="239">
      <pivotArea dataOnly="0" labelOnly="1" fieldPosition="0">
        <references count="2">
          <reference field="0" count="1" selected="0">
            <x v="290"/>
          </reference>
          <reference field="1" count="1">
            <x v="249"/>
          </reference>
        </references>
      </pivotArea>
    </format>
    <format dxfId="238">
      <pivotArea dataOnly="0" labelOnly="1" fieldPosition="0">
        <references count="2">
          <reference field="0" count="1" selected="0">
            <x v="291"/>
          </reference>
          <reference field="1" count="1">
            <x v="72"/>
          </reference>
        </references>
      </pivotArea>
    </format>
    <format dxfId="237">
      <pivotArea dataOnly="0" labelOnly="1" fieldPosition="0">
        <references count="2">
          <reference field="0" count="1" selected="0">
            <x v="292"/>
          </reference>
          <reference field="1" count="1">
            <x v="195"/>
          </reference>
        </references>
      </pivotArea>
    </format>
    <format dxfId="236">
      <pivotArea dataOnly="0" labelOnly="1" fieldPosition="0">
        <references count="2">
          <reference field="0" count="1" selected="0">
            <x v="293"/>
          </reference>
          <reference field="1" count="1">
            <x v="214"/>
          </reference>
        </references>
      </pivotArea>
    </format>
    <format dxfId="235">
      <pivotArea dataOnly="0" labelOnly="1" fieldPosition="0">
        <references count="2">
          <reference field="0" count="1" selected="0">
            <x v="294"/>
          </reference>
          <reference field="1" count="1">
            <x v="263"/>
          </reference>
        </references>
      </pivotArea>
    </format>
    <format dxfId="234">
      <pivotArea dataOnly="0" labelOnly="1" fieldPosition="0">
        <references count="2">
          <reference field="0" count="1" selected="0">
            <x v="295"/>
          </reference>
          <reference field="1" count="1">
            <x v="24"/>
          </reference>
        </references>
      </pivotArea>
    </format>
    <format dxfId="233">
      <pivotArea dataOnly="0" labelOnly="1" fieldPosition="0">
        <references count="2">
          <reference field="0" count="1" selected="0">
            <x v="296"/>
          </reference>
          <reference field="1" count="1">
            <x v="91"/>
          </reference>
        </references>
      </pivotArea>
    </format>
    <format dxfId="232">
      <pivotArea dataOnly="0" labelOnly="1" fieldPosition="0">
        <references count="2">
          <reference field="0" count="1" selected="0">
            <x v="297"/>
          </reference>
          <reference field="1" count="1">
            <x v="225"/>
          </reference>
        </references>
      </pivotArea>
    </format>
    <format dxfId="231">
      <pivotArea dataOnly="0" labelOnly="1" fieldPosition="0">
        <references count="2">
          <reference field="0" count="1" selected="0">
            <x v="298"/>
          </reference>
          <reference field="1" count="1">
            <x v="76"/>
          </reference>
        </references>
      </pivotArea>
    </format>
    <format dxfId="230">
      <pivotArea dataOnly="0" labelOnly="1" fieldPosition="0">
        <references count="2">
          <reference field="0" count="1" selected="0">
            <x v="299"/>
          </reference>
          <reference field="1" count="1">
            <x v="89"/>
          </reference>
        </references>
      </pivotArea>
    </format>
    <format dxfId="229">
      <pivotArea dataOnly="0" labelOnly="1" fieldPosition="0">
        <references count="2">
          <reference field="0" count="1" selected="0">
            <x v="300"/>
          </reference>
          <reference field="1" count="1">
            <x v="111"/>
          </reference>
        </references>
      </pivotArea>
    </format>
    <format dxfId="228">
      <pivotArea dataOnly="0" labelOnly="1" fieldPosition="0">
        <references count="2">
          <reference field="0" count="1" selected="0">
            <x v="301"/>
          </reference>
          <reference field="1" count="1">
            <x v="2"/>
          </reference>
        </references>
      </pivotArea>
    </format>
    <format dxfId="227">
      <pivotArea dataOnly="0" labelOnly="1" fieldPosition="0">
        <references count="2">
          <reference field="0" count="1" selected="0">
            <x v="302"/>
          </reference>
          <reference field="1" count="1">
            <x v="314"/>
          </reference>
        </references>
      </pivotArea>
    </format>
    <format dxfId="226">
      <pivotArea dataOnly="0" labelOnly="1" fieldPosition="0">
        <references count="2">
          <reference field="0" count="1" selected="0">
            <x v="303"/>
          </reference>
          <reference field="1" count="1">
            <x v="12"/>
          </reference>
        </references>
      </pivotArea>
    </format>
    <format dxfId="225">
      <pivotArea dataOnly="0" labelOnly="1" fieldPosition="0">
        <references count="2">
          <reference field="0" count="1" selected="0">
            <x v="304"/>
          </reference>
          <reference field="1" count="1">
            <x v="74"/>
          </reference>
        </references>
      </pivotArea>
    </format>
    <format dxfId="224">
      <pivotArea dataOnly="0" labelOnly="1" fieldPosition="0">
        <references count="2">
          <reference field="0" count="1" selected="0">
            <x v="305"/>
          </reference>
          <reference field="1" count="1">
            <x v="13"/>
          </reference>
        </references>
      </pivotArea>
    </format>
    <format dxfId="223">
      <pivotArea type="all" dataOnly="0" outline="0" fieldPosition="0"/>
    </format>
    <format dxfId="222">
      <pivotArea type="all" dataOnly="0" outline="0" fieldPosition="0"/>
    </format>
    <format dxfId="221">
      <pivotArea outline="0" fieldPosition="0">
        <references count="1">
          <reference field="4294967294" count="1">
            <x v="0"/>
          </reference>
        </references>
      </pivotArea>
    </format>
    <format dxfId="220">
      <pivotArea outline="0" collapsedLevelsAreSubtotals="1" fieldPosition="0"/>
    </format>
    <format dxfId="2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4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Z7:AD116" firstHeaderRow="1" firstDataRow="1" firstDataCol="4"/>
  <pivotFields count="21">
    <pivotField axis="axisRow" numFmtId="14" outline="0" showAll="0" defaultSubtotal="0">
      <items count="1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s>
    </pivotField>
    <pivotField axis="axisRow" outline="0" showAll="0" defaultSubtotal="0">
      <items count="16">
        <item x="7"/>
        <item x="0"/>
        <item x="9"/>
        <item x="1"/>
        <item x="3"/>
        <item x="5"/>
        <item x="12"/>
        <item x="8"/>
        <item x="10"/>
        <item x="15"/>
        <item x="11"/>
        <item x="6"/>
        <item x="2"/>
        <item x="4"/>
        <item x="14"/>
        <item x="13"/>
      </items>
    </pivotField>
    <pivotField showAll="0">
      <items count="6">
        <item h="1" x="1"/>
        <item x="0"/>
        <item h="1" x="3"/>
        <item h="1" x="4"/>
        <item h="1" x="2"/>
        <item t="default"/>
      </items>
    </pivotField>
    <pivotField showAll="0"/>
    <pivotField showAll="0">
      <items count="7">
        <item x="2"/>
        <item x="3"/>
        <item x="5"/>
        <item x="1"/>
        <item x="0"/>
        <item x="4"/>
        <item t="default"/>
      </items>
    </pivotField>
    <pivotField axis="axisRow" outline="0" showAll="0" defaultSubtotal="0">
      <items count="205">
        <item x="167"/>
        <item x="11"/>
        <item x="182"/>
        <item x="172"/>
        <item x="179"/>
        <item x="164"/>
        <item x="153"/>
        <item x="37"/>
        <item x="163"/>
        <item x="204"/>
        <item x="203"/>
        <item x="18"/>
        <item x="28"/>
        <item x="59"/>
        <item x="20"/>
        <item x="72"/>
        <item x="180"/>
        <item x="157"/>
        <item x="83"/>
        <item x="176"/>
        <item x="106"/>
        <item x="178"/>
        <item x="2"/>
        <item x="146"/>
        <item x="138"/>
        <item x="141"/>
        <item x="15"/>
        <item x="94"/>
        <item x="99"/>
        <item x="122"/>
        <item x="123"/>
        <item x="116"/>
        <item x="139"/>
        <item x="112"/>
        <item x="95"/>
        <item x="52"/>
        <item x="64"/>
        <item x="66"/>
        <item x="16"/>
        <item x="48"/>
        <item x="186"/>
        <item x="42"/>
        <item x="74"/>
        <item x="169"/>
        <item x="151"/>
        <item x="142"/>
        <item x="109"/>
        <item x="84"/>
        <item x="147"/>
        <item x="97"/>
        <item x="3"/>
        <item x="61"/>
        <item x="34"/>
        <item x="177"/>
        <item x="120"/>
        <item x="195"/>
        <item x="197"/>
        <item x="121"/>
        <item x="194"/>
        <item x="127"/>
        <item x="8"/>
        <item x="168"/>
        <item x="26"/>
        <item x="202"/>
        <item x="43"/>
        <item x="55"/>
        <item x="41"/>
        <item x="183"/>
        <item x="128"/>
        <item x="129"/>
        <item x="140"/>
        <item x="17"/>
        <item x="53"/>
        <item x="36"/>
        <item x="158"/>
        <item x="12"/>
        <item x="47"/>
        <item x="45"/>
        <item x="31"/>
        <item x="58"/>
        <item x="51"/>
        <item x="40"/>
        <item x="32"/>
        <item x="117"/>
        <item x="68"/>
        <item x="77"/>
        <item x="104"/>
        <item x="152"/>
        <item x="155"/>
        <item x="0"/>
        <item x="108"/>
        <item x="82"/>
        <item x="114"/>
        <item x="90"/>
        <item x="187"/>
        <item x="193"/>
        <item x="154"/>
        <item x="165"/>
        <item x="13"/>
        <item x="30"/>
        <item x="1"/>
        <item x="23"/>
        <item x="71"/>
        <item x="144"/>
        <item x="50"/>
        <item x="160"/>
        <item x="56"/>
        <item x="85"/>
        <item x="67"/>
        <item x="148"/>
        <item x="105"/>
        <item x="79"/>
        <item x="96"/>
        <item x="24"/>
        <item x="161"/>
        <item x="166"/>
        <item x="170"/>
        <item x="69"/>
        <item x="134"/>
        <item x="98"/>
        <item x="80"/>
        <item x="25"/>
        <item x="60"/>
        <item x="57"/>
        <item x="132"/>
        <item x="131"/>
        <item x="143"/>
        <item x="73"/>
        <item x="49"/>
        <item x="162"/>
        <item x="137"/>
        <item x="156"/>
        <item x="21"/>
        <item x="89"/>
        <item x="100"/>
        <item x="130"/>
        <item x="199"/>
        <item x="185"/>
        <item x="39"/>
        <item x="125"/>
        <item x="76"/>
        <item x="188"/>
        <item x="173"/>
        <item x="14"/>
        <item x="27"/>
        <item x="75"/>
        <item x="181"/>
        <item x="7"/>
        <item x="191"/>
        <item x="93"/>
        <item x="54"/>
        <item x="113"/>
        <item x="135"/>
        <item x="103"/>
        <item x="190"/>
        <item x="107"/>
        <item x="65"/>
        <item x="145"/>
        <item x="200"/>
        <item x="102"/>
        <item x="70"/>
        <item x="46"/>
        <item x="22"/>
        <item x="159"/>
        <item x="189"/>
        <item x="149"/>
        <item x="115"/>
        <item x="119"/>
        <item x="124"/>
        <item x="196"/>
        <item x="201"/>
        <item x="38"/>
        <item x="192"/>
        <item x="87"/>
        <item x="35"/>
        <item x="62"/>
        <item x="63"/>
        <item x="101"/>
        <item x="19"/>
        <item x="86"/>
        <item x="126"/>
        <item x="9"/>
        <item x="198"/>
        <item x="133"/>
        <item x="4"/>
        <item x="10"/>
        <item x="136"/>
        <item x="150"/>
        <item x="171"/>
        <item x="33"/>
        <item x="175"/>
        <item x="118"/>
        <item x="81"/>
        <item x="44"/>
        <item x="110"/>
        <item x="111"/>
        <item x="88"/>
        <item x="91"/>
        <item x="29"/>
        <item x="174"/>
        <item x="92"/>
        <item x="78"/>
        <item x="184"/>
        <item x="5"/>
        <item x="6"/>
      </items>
    </pivotField>
    <pivotField axis="axisRow" outline="0" showAll="0" defaultSubtotal="0">
      <items count="116">
        <item x="77"/>
        <item x="45"/>
        <item x="55"/>
        <item x="52"/>
        <item x="43"/>
        <item x="25"/>
        <item x="91"/>
        <item x="114"/>
        <item x="90"/>
        <item x="110"/>
        <item x="56"/>
        <item x="1"/>
        <item x="19"/>
        <item x="44"/>
        <item x="109"/>
        <item x="33"/>
        <item x="71"/>
        <item x="103"/>
        <item x="13"/>
        <item x="62"/>
        <item x="94"/>
        <item x="112"/>
        <item x="16"/>
        <item x="23"/>
        <item x="111"/>
        <item x="22"/>
        <item x="6"/>
        <item x="31"/>
        <item x="36"/>
        <item x="53"/>
        <item x="86"/>
        <item x="32"/>
        <item x="28"/>
        <item x="68"/>
        <item x="10"/>
        <item x="27"/>
        <item x="78"/>
        <item x="97"/>
        <item x="65"/>
        <item x="99"/>
        <item x="21"/>
        <item x="0"/>
        <item x="72"/>
        <item x="60"/>
        <item x="108"/>
        <item x="17"/>
        <item x="24"/>
        <item x="41"/>
        <item x="39"/>
        <item x="49"/>
        <item x="42"/>
        <item x="83"/>
        <item x="74"/>
        <item x="107"/>
        <item x="18"/>
        <item x="61"/>
        <item x="76"/>
        <item x="38"/>
        <item x="82"/>
        <item x="20"/>
        <item x="46"/>
        <item x="106"/>
        <item x="89"/>
        <item x="101"/>
        <item x="92"/>
        <item x="57"/>
        <item x="93"/>
        <item x="48"/>
        <item x="26"/>
        <item x="80"/>
        <item x="35"/>
        <item x="40"/>
        <item x="81"/>
        <item x="79"/>
        <item x="15"/>
        <item x="67"/>
        <item x="7"/>
        <item x="3"/>
        <item x="84"/>
        <item x="4"/>
        <item x="30"/>
        <item x="104"/>
        <item x="105"/>
        <item x="87"/>
        <item x="12"/>
        <item x="54"/>
        <item x="8"/>
        <item x="58"/>
        <item x="102"/>
        <item x="66"/>
        <item x="100"/>
        <item x="113"/>
        <item x="69"/>
        <item x="34"/>
        <item x="96"/>
        <item x="95"/>
        <item x="75"/>
        <item x="2"/>
        <item x="85"/>
        <item x="98"/>
        <item x="70"/>
        <item x="88"/>
        <item x="115"/>
        <item x="37"/>
        <item x="63"/>
        <item x="64"/>
        <item x="50"/>
        <item x="11"/>
        <item x="9"/>
        <item x="51"/>
        <item x="47"/>
        <item x="29"/>
        <item x="14"/>
        <item x="59"/>
        <item x="5"/>
        <item x="73"/>
      </items>
    </pivotField>
    <pivotField showAll="0"/>
    <pivotField showAll="0"/>
    <pivotField dataField="1" numFmtId="44" showAll="0"/>
    <pivotField showAll="0"/>
    <pivotField showAll="0"/>
    <pivotField showAll="0"/>
    <pivotField showAll="0"/>
    <pivotField showAll="0"/>
    <pivotField showAll="0"/>
    <pivotField showAll="0"/>
    <pivotField numFmtId="14" showAll="0"/>
    <pivotField numFmtId="14" showAll="0"/>
    <pivotField outline="0" showAll="0" defaultSubtotal="0">
      <items count="12">
        <item x="0"/>
        <item x="6"/>
        <item x="7"/>
        <item x="8"/>
        <item x="9"/>
        <item x="10"/>
        <item x="11"/>
        <item x="1"/>
        <item x="2"/>
        <item x="3"/>
        <item x="4"/>
        <item x="5"/>
      </items>
    </pivotField>
    <pivotField outline="0" showAll="0" defaultSubtotal="0">
      <items count="2">
        <item x="0"/>
        <item x="1"/>
      </items>
    </pivotField>
  </pivotFields>
  <rowFields count="4">
    <field x="1"/>
    <field x="0"/>
    <field x="6"/>
    <field x="5"/>
  </rowFields>
  <rowItems count="109">
    <i>
      <x/>
      <x v="40"/>
      <x v="80"/>
      <x v="176"/>
    </i>
    <i>
      <x v="1"/>
      <x/>
      <x v="41"/>
      <x v="89"/>
    </i>
    <i r="1">
      <x v="1"/>
      <x v="11"/>
      <x v="100"/>
    </i>
    <i r="1">
      <x v="2"/>
      <x v="77"/>
      <x v="50"/>
    </i>
    <i r="2">
      <x v="79"/>
      <x v="184"/>
    </i>
    <i r="1">
      <x v="13"/>
      <x v="12"/>
      <x v="121"/>
    </i>
    <i r="1">
      <x v="15"/>
      <x v="12"/>
      <x v="12"/>
    </i>
    <i r="1">
      <x v="16"/>
      <x v="25"/>
      <x v="99"/>
    </i>
    <i r="1">
      <x v="20"/>
      <x v="5"/>
      <x v="52"/>
    </i>
    <i r="1">
      <x v="21"/>
      <x v="35"/>
      <x v="73"/>
    </i>
    <i r="1">
      <x v="22"/>
      <x v="32"/>
      <x v="7"/>
    </i>
    <i r="1">
      <x v="23"/>
      <x v="25"/>
      <x v="99"/>
    </i>
    <i r="1">
      <x v="27"/>
      <x v="31"/>
      <x v="66"/>
    </i>
    <i r="1">
      <x v="29"/>
      <x v="15"/>
      <x v="64"/>
    </i>
    <i r="1">
      <x v="32"/>
      <x v="28"/>
      <x v="39"/>
    </i>
    <i r="1">
      <x v="33"/>
      <x v="103"/>
      <x v="128"/>
    </i>
    <i r="1">
      <x v="35"/>
      <x v="25"/>
      <x v="99"/>
    </i>
    <i r="1">
      <x v="37"/>
      <x v="12"/>
      <x v="65"/>
    </i>
    <i r="3">
      <x v="123"/>
    </i>
    <i r="2">
      <x v="50"/>
      <x v="106"/>
    </i>
    <i r="1">
      <x v="40"/>
      <x v="5"/>
      <x v="51"/>
    </i>
    <i r="1">
      <x v="47"/>
      <x v="31"/>
      <x v="66"/>
    </i>
    <i r="1">
      <x v="50"/>
      <x v="15"/>
      <x v="64"/>
    </i>
    <i r="1">
      <x v="52"/>
      <x v="25"/>
      <x v="99"/>
    </i>
    <i r="1">
      <x v="53"/>
      <x v="12"/>
      <x v="120"/>
    </i>
    <i r="2">
      <x v="29"/>
      <x v="111"/>
    </i>
    <i r="1">
      <x v="61"/>
      <x v="87"/>
      <x v="73"/>
    </i>
    <i r="1">
      <x v="63"/>
      <x v="31"/>
      <x v="66"/>
    </i>
    <i r="1">
      <x v="67"/>
      <x v="25"/>
      <x v="99"/>
    </i>
    <i r="1">
      <x v="68"/>
      <x v="19"/>
      <x v="27"/>
    </i>
    <i r="1">
      <x v="69"/>
      <x v="12"/>
      <x v="34"/>
    </i>
    <i r="1">
      <x v="70"/>
      <x v="104"/>
      <x v="112"/>
    </i>
    <i r="2">
      <x v="105"/>
      <x v="112"/>
    </i>
    <i r="1">
      <x v="71"/>
      <x v="5"/>
      <x v="49"/>
    </i>
    <i r="1">
      <x v="72"/>
      <x v="5"/>
      <x v="28"/>
    </i>
    <i r="2">
      <x v="12"/>
      <x v="119"/>
    </i>
    <i r="1">
      <x v="73"/>
      <x v="75"/>
      <x v="134"/>
    </i>
    <i r="1">
      <x v="74"/>
      <x v="92"/>
      <x v="159"/>
    </i>
    <i r="1">
      <x v="76"/>
      <x v="16"/>
      <x v="86"/>
    </i>
    <i r="1">
      <x v="78"/>
      <x v="31"/>
      <x v="66"/>
    </i>
    <i r="1">
      <x v="79"/>
      <x v="42"/>
      <x v="90"/>
    </i>
    <i r="1">
      <x v="80"/>
      <x v="23"/>
      <x v="46"/>
    </i>
    <i r="1">
      <x v="82"/>
      <x v="25"/>
      <x v="33"/>
    </i>
    <i r="1">
      <x v="84"/>
      <x v="5"/>
      <x v="166"/>
    </i>
    <i r="2">
      <x v="12"/>
      <x v="92"/>
    </i>
    <i r="1">
      <x v="88"/>
      <x v="5"/>
      <x v="167"/>
    </i>
    <i r="1">
      <x v="89"/>
      <x v="75"/>
      <x v="134"/>
    </i>
    <i r="1">
      <x v="93"/>
      <x v="58"/>
      <x v="168"/>
    </i>
    <i r="1">
      <x v="95"/>
      <x v="31"/>
      <x v="66"/>
    </i>
    <i r="1">
      <x v="96"/>
      <x v="28"/>
      <x v="39"/>
    </i>
    <i r="1">
      <x v="97"/>
      <x v="25"/>
      <x v="33"/>
    </i>
    <i r="1">
      <x v="98"/>
      <x v="12"/>
      <x v="68"/>
    </i>
    <i r="3">
      <x v="69"/>
    </i>
    <i r="1">
      <x v="100"/>
      <x v="75"/>
      <x v="134"/>
    </i>
    <i r="1">
      <x v="105"/>
      <x v="103"/>
      <x v="130"/>
    </i>
    <i r="1">
      <x v="107"/>
      <x v="28"/>
      <x v="39"/>
    </i>
    <i r="1">
      <x v="108"/>
      <x v="31"/>
      <x v="66"/>
    </i>
    <i r="1">
      <x v="110"/>
      <x v="25"/>
      <x v="33"/>
    </i>
    <i r="1">
      <x v="111"/>
      <x v="12"/>
      <x v="103"/>
    </i>
    <i r="2">
      <x v="25"/>
      <x v="33"/>
    </i>
    <i r="1">
      <x v="113"/>
      <x v="75"/>
      <x v="134"/>
    </i>
    <i r="1">
      <x v="116"/>
      <x v="42"/>
      <x v="88"/>
    </i>
    <i r="1">
      <x v="119"/>
      <x v="20"/>
      <x v="105"/>
    </i>
    <i r="1">
      <x v="121"/>
      <x v="103"/>
      <x v="129"/>
    </i>
    <i r="1">
      <x v="125"/>
      <x v="28"/>
      <x v="39"/>
    </i>
    <i r="1">
      <x v="126"/>
      <x v="31"/>
      <x v="66"/>
    </i>
    <i r="1">
      <x v="128"/>
      <x v="25"/>
      <x v="33"/>
    </i>
    <i r="1">
      <x v="129"/>
      <x v="25"/>
      <x v="33"/>
    </i>
    <i r="1">
      <x v="131"/>
      <x v="75"/>
      <x v="134"/>
    </i>
    <i r="1">
      <x v="141"/>
      <x v="100"/>
      <x v="2"/>
    </i>
    <i r="1">
      <x v="142"/>
      <x v="25"/>
      <x v="33"/>
    </i>
    <i r="2">
      <x v="31"/>
      <x v="66"/>
    </i>
    <i r="1">
      <x v="143"/>
      <x v="90"/>
      <x v="67"/>
    </i>
    <i r="1">
      <x v="144"/>
      <x v="75"/>
      <x v="134"/>
    </i>
    <i r="1">
      <x v="149"/>
      <x v="75"/>
      <x v="134"/>
    </i>
    <i r="1">
      <x v="155"/>
      <x v="23"/>
      <x v="46"/>
    </i>
    <i r="2">
      <x v="25"/>
      <x v="33"/>
    </i>
    <i r="1">
      <x v="163"/>
      <x v="42"/>
      <x v="9"/>
    </i>
    <i>
      <x v="2"/>
      <x v="134"/>
      <x v="94"/>
      <x v="26"/>
    </i>
    <i>
      <x v="3"/>
      <x v="6"/>
      <x v="84"/>
      <x v="143"/>
    </i>
    <i r="1">
      <x v="10"/>
      <x v="45"/>
      <x v="101"/>
    </i>
    <i r="1">
      <x v="18"/>
      <x v="46"/>
      <x v="82"/>
    </i>
    <i r="1">
      <x v="39"/>
      <x v="46"/>
      <x v="82"/>
    </i>
    <i r="1">
      <x v="75"/>
      <x v="46"/>
      <x v="82"/>
    </i>
    <i r="1">
      <x v="103"/>
      <x v="40"/>
      <x v="183"/>
    </i>
    <i>
      <x v="4"/>
      <x v="6"/>
      <x v="18"/>
      <x v="26"/>
    </i>
    <i r="1">
      <x v="10"/>
      <x v="54"/>
      <x v="26"/>
    </i>
    <i r="1">
      <x v="25"/>
      <x v="111"/>
      <x v="26"/>
    </i>
    <i r="1">
      <x v="40"/>
      <x v="60"/>
      <x v="26"/>
    </i>
    <i r="1">
      <x v="127"/>
      <x v="94"/>
      <x v="26"/>
    </i>
    <i r="1">
      <x v="145"/>
      <x v="63"/>
      <x v="26"/>
    </i>
    <i r="1">
      <x v="146"/>
      <x v="88"/>
      <x v="26"/>
    </i>
    <i r="1">
      <x v="150"/>
      <x v="58"/>
      <x v="26"/>
    </i>
    <i r="1">
      <x v="151"/>
      <x v="88"/>
      <x v="26"/>
    </i>
    <i>
      <x v="5"/>
      <x v="28"/>
      <x v="79"/>
      <x v="41"/>
    </i>
    <i r="1">
      <x v="31"/>
      <x v="112"/>
      <x v="161"/>
    </i>
    <i r="1">
      <x v="40"/>
      <x v="80"/>
      <x v="175"/>
    </i>
    <i r="1">
      <x v="141"/>
      <x v="94"/>
      <x v="26"/>
    </i>
    <i>
      <x v="6"/>
      <x v="150"/>
      <x v="94"/>
      <x v="26"/>
    </i>
    <i>
      <x v="7"/>
      <x v="71"/>
      <x v="38"/>
      <x v="26"/>
    </i>
    <i r="2">
      <x v="89"/>
      <x v="26"/>
    </i>
    <i r="1">
      <x v="86"/>
      <x/>
      <x v="26"/>
    </i>
    <i r="1">
      <x v="88"/>
      <x v="36"/>
      <x v="26"/>
    </i>
    <i r="1">
      <x v="120"/>
      <x v="95"/>
      <x v="26"/>
    </i>
    <i>
      <x v="8"/>
      <x v="148"/>
      <x v="81"/>
      <x v="40"/>
    </i>
    <i>
      <x v="9"/>
      <x v="157"/>
      <x v="53"/>
      <x v="26"/>
    </i>
    <i>
      <x v="10"/>
      <x v="148"/>
      <x v="81"/>
      <x v="40"/>
    </i>
    <i>
      <x v="11"/>
      <x v="25"/>
      <x v="80"/>
      <x v="138"/>
    </i>
    <i t="grand">
      <x/>
    </i>
  </rowItems>
  <colItems count="1">
    <i/>
  </colItems>
  <dataFields count="1">
    <dataField name="Sum of Price" fld="9" baseField="0" baseItem="0" numFmtId="44"/>
  </dataFields>
  <formats count="2">
    <format dxfId="35">
      <pivotArea outline="0" collapsedLevelsAreSubtotals="1" fieldPosition="0"/>
    </format>
    <format dxfId="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8"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rowHeaderCaption="DieselFillDate">
  <location ref="A16:D19" firstHeaderRow="1" firstDataRow="1" firstDataCol="3" rowPageCount="2" colPageCount="1"/>
  <pivotFields count="16">
    <pivotField axis="axisRow" numFmtId="14" outline="0" showAll="0" defaultSubtotal="0">
      <items count="127">
        <item m="1" x="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51"/>
        <item x="52"/>
        <item x="49"/>
        <item x="50"/>
        <item x="53"/>
        <item x="54"/>
        <item x="55"/>
        <item x="56"/>
        <item x="57"/>
        <item x="58"/>
        <item x="59"/>
        <item x="60"/>
        <item x="61"/>
        <item x="63"/>
        <item x="62"/>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2"/>
        <item x="111"/>
        <item x="113"/>
        <item x="114"/>
        <item x="115"/>
        <item x="116"/>
        <item x="117"/>
        <item x="118"/>
        <item x="119"/>
        <item x="120"/>
        <item x="121"/>
        <item x="122"/>
        <item x="123"/>
        <item x="124"/>
        <item x="125"/>
      </items>
    </pivotField>
    <pivotField showAll="0"/>
    <pivotField axis="axisRow" outline="0" showAll="0" defaultSubtotal="0">
      <items count="5">
        <item x="1"/>
        <item x="0"/>
        <item x="2"/>
        <item x="3"/>
        <item x="4"/>
      </items>
    </pivotField>
    <pivotField showAll="0"/>
    <pivotField axis="axisPage" outline="0" multipleItemSelectionAllowed="1" showAll="0" defaultSubtotal="0">
      <items count="12">
        <item h="1" x="1"/>
        <item h="1" x="0"/>
        <item x="4"/>
        <item h="1" x="2"/>
        <item h="1" x="3"/>
        <item h="1" x="5"/>
        <item h="1" x="6"/>
        <item h="1" x="9"/>
        <item h="1" m="1" x="11"/>
        <item h="1" x="7"/>
        <item h="1" m="1" x="10"/>
        <item h="1" x="8"/>
      </items>
    </pivotField>
    <pivotField name="Pump" axis="axisRow" outline="0" showAll="0" defaultSubtotal="0">
      <items count="79">
        <item x="5"/>
        <item x="1"/>
        <item x="18"/>
        <item x="13"/>
        <item x="0"/>
        <item x="16"/>
        <item x="24"/>
        <item x="26"/>
        <item x="3"/>
        <item x="10"/>
        <item x="25"/>
        <item x="11"/>
        <item x="9"/>
        <item x="7"/>
        <item x="8"/>
        <item x="12"/>
        <item x="29"/>
        <item x="4"/>
        <item x="14"/>
        <item x="19"/>
        <item x="27"/>
        <item x="17"/>
        <item x="6"/>
        <item x="22"/>
        <item x="21"/>
        <item x="15"/>
        <item x="20"/>
        <item x="23"/>
        <item x="2"/>
        <item x="28"/>
        <item x="31"/>
        <item x="32"/>
        <item x="30"/>
        <item x="33"/>
        <item x="34"/>
        <item x="35"/>
        <item x="36"/>
        <item x="37"/>
        <item x="38"/>
        <item x="39"/>
        <item x="40"/>
        <item x="41"/>
        <item x="42"/>
        <item x="43"/>
        <item m="1" x="77"/>
        <item x="44"/>
        <item x="45"/>
        <item x="46"/>
        <item x="47"/>
        <item x="48"/>
        <item x="49"/>
        <item x="50"/>
        <item x="51"/>
        <item x="52"/>
        <item x="53"/>
        <item x="54"/>
        <item x="55"/>
        <item x="56"/>
        <item x="57"/>
        <item x="58"/>
        <item x="59"/>
        <item x="61"/>
        <item x="62"/>
        <item x="63"/>
        <item x="64"/>
        <item x="65"/>
        <item x="66"/>
        <item x="67"/>
        <item x="68"/>
        <item x="69"/>
        <item x="60"/>
        <item x="70"/>
        <item m="1" x="78"/>
        <item x="71"/>
        <item x="72"/>
        <item x="73"/>
        <item x="74"/>
        <item x="75"/>
        <item x="76"/>
      </items>
    </pivotField>
    <pivotField showAll="0" defaultSubtotal="0"/>
    <pivotField showAll="0"/>
    <pivotField showAll="0"/>
    <pivotField dataField="1" outline="0" showAll="0" defaultSubtotal="0"/>
    <pivotField multipleItemSelectionAllowed="1" showAll="0"/>
    <pivotField numFmtId="14" outline="0" showAll="0" defaultSubtotal="0"/>
    <pivotField axis="axisPage" multipleItemSelectionAllowed="1" showAll="0">
      <items count="4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x="44"/>
        <item h="1" x="45"/>
        <item t="default"/>
      </items>
    </pivotField>
    <pivotField showAll="0" defaultSubtotal="0"/>
    <pivotField showAll="0" defaultSubtotal="0"/>
    <pivotField dragToRow="0" dragToCol="0" dragToPage="0" showAll="0" defaultSubtotal="0"/>
  </pivotFields>
  <rowFields count="3">
    <field x="0"/>
    <field x="2"/>
    <field x="5"/>
  </rowFields>
  <rowItems count="3">
    <i>
      <x v="121"/>
      <x/>
      <x v="74"/>
    </i>
    <i>
      <x v="123"/>
      <x/>
      <x v="67"/>
    </i>
    <i t="grand">
      <x/>
    </i>
  </rowItems>
  <colItems count="1">
    <i/>
  </colItems>
  <pageFields count="2">
    <pageField fld="12" hier="-1"/>
    <pageField fld="4" hier="-1"/>
  </pageFields>
  <dataFields count="1">
    <dataField name="$TotalFuel" fld="9" baseField="0" baseItem="0"/>
  </dataFields>
  <formats count="38">
    <format dxfId="842">
      <pivotArea outline="0" collapsedLevelsAreSubtotals="1" fieldPosition="0"/>
    </format>
    <format dxfId="841">
      <pivotArea type="all" dataOnly="0" outline="0" fieldPosition="0"/>
    </format>
    <format dxfId="840">
      <pivotArea outline="0" collapsedLevelsAreSubtotals="1" fieldPosition="0"/>
    </format>
    <format dxfId="839">
      <pivotArea dataOnly="0" labelOnly="1" outline="0" axis="axisValues" fieldPosition="0"/>
    </format>
    <format dxfId="838">
      <pivotArea dataOnly="0" labelOnly="1" grandRow="1" outline="0" fieldPosition="0"/>
    </format>
    <format dxfId="837">
      <pivotArea grandRow="1" outline="0" collapsedLevelsAreSubtotals="1" fieldPosition="0"/>
    </format>
    <format dxfId="836">
      <pivotArea dataOnly="0" labelOnly="1" grandRow="1" outline="0" fieldPosition="0"/>
    </format>
    <format dxfId="835">
      <pivotArea dataOnly="0" labelOnly="1" grandRow="1" outline="0" offset="A256" fieldPosition="0"/>
    </format>
    <format dxfId="834">
      <pivotArea dataOnly="0" labelOnly="1" outline="0" axis="axisValues" fieldPosition="0"/>
    </format>
    <format dxfId="833">
      <pivotArea dataOnly="0" labelOnly="1" outline="0" axis="axisValues" fieldPosition="0"/>
    </format>
    <format dxfId="832">
      <pivotArea dataOnly="0" grandRow="1" outline="0" fieldPosition="0"/>
    </format>
    <format dxfId="831">
      <pivotArea type="all" dataOnly="0" outline="0" fieldPosition="0"/>
    </format>
    <format dxfId="830">
      <pivotArea dataOnly="0" labelOnly="1" fieldPosition="0">
        <references count="1">
          <reference field="0" count="2">
            <x v="43"/>
            <x v="44"/>
          </reference>
        </references>
      </pivotArea>
    </format>
    <format dxfId="829">
      <pivotArea dataOnly="0" labelOnly="1" fieldPosition="0">
        <references count="2">
          <reference field="0" count="1" selected="0">
            <x v="43"/>
          </reference>
          <reference field="5" count="1">
            <x v="5"/>
          </reference>
        </references>
      </pivotArea>
    </format>
    <format dxfId="828">
      <pivotArea dataOnly="0" labelOnly="1" fieldPosition="0">
        <references count="2">
          <reference field="0" count="1" selected="0">
            <x v="44"/>
          </reference>
          <reference field="5" count="1">
            <x v="5"/>
          </reference>
        </references>
      </pivotArea>
    </format>
    <format dxfId="827">
      <pivotArea type="all" dataOnly="0" outline="0" fieldPosition="0"/>
    </format>
    <format dxfId="826">
      <pivotArea dataOnly="0" labelOnly="1" fieldPosition="0">
        <references count="1">
          <reference field="0" count="2">
            <x v="43"/>
            <x v="44"/>
          </reference>
        </references>
      </pivotArea>
    </format>
    <format dxfId="825">
      <pivotArea dataOnly="0" labelOnly="1" fieldPosition="0">
        <references count="2">
          <reference field="0" count="1" selected="0">
            <x v="43"/>
          </reference>
          <reference field="5" count="1">
            <x v="5"/>
          </reference>
        </references>
      </pivotArea>
    </format>
    <format dxfId="824">
      <pivotArea dataOnly="0" labelOnly="1" fieldPosition="0">
        <references count="2">
          <reference field="0" count="1" selected="0">
            <x v="44"/>
          </reference>
          <reference field="5" count="1">
            <x v="5"/>
          </reference>
        </references>
      </pivotArea>
    </format>
    <format dxfId="823">
      <pivotArea type="all" dataOnly="0" outline="0" fieldPosition="0"/>
    </format>
    <format dxfId="822">
      <pivotArea type="all" dataOnly="0" outline="0" fieldPosition="0"/>
    </format>
    <format dxfId="821">
      <pivotArea dataOnly="0" labelOnly="1" fieldPosition="0">
        <references count="2">
          <reference field="0" count="1" selected="0">
            <x v="63"/>
          </reference>
          <reference field="5" count="1">
            <x v="32"/>
          </reference>
        </references>
      </pivotArea>
    </format>
    <format dxfId="820">
      <pivotArea dataOnly="0" outline="0" axis="axisValues" fieldPosition="0"/>
    </format>
    <format dxfId="819">
      <pivotArea type="all" dataOnly="0" outline="0" fieldPosition="0"/>
    </format>
    <format dxfId="818">
      <pivotArea outline="0" collapsedLevelsAreSubtotals="1" fieldPosition="0"/>
    </format>
    <format dxfId="817">
      <pivotArea dataOnly="0" labelOnly="1" outline="0" axis="axisValues" fieldPosition="0"/>
    </format>
    <format dxfId="816">
      <pivotArea dataOnly="0" labelOnly="1" fieldPosition="0">
        <references count="1">
          <reference field="0" count="1">
            <x v="98"/>
          </reference>
        </references>
      </pivotArea>
    </format>
    <format dxfId="815">
      <pivotArea dataOnly="0" labelOnly="1" grandRow="1" outline="0" fieldPosition="0"/>
    </format>
    <format dxfId="814">
      <pivotArea dataOnly="0" labelOnly="1" fieldPosition="0">
        <references count="2">
          <reference field="0" count="1" selected="0">
            <x v="98"/>
          </reference>
          <reference field="5" count="1">
            <x v="66"/>
          </reference>
        </references>
      </pivotArea>
    </format>
    <format dxfId="813">
      <pivotArea type="all" dataOnly="0" outline="0" fieldPosition="0"/>
    </format>
    <format dxfId="812">
      <pivotArea outline="0" collapsedLevelsAreSubtotals="1" fieldPosition="0"/>
    </format>
    <format dxfId="811">
      <pivotArea field="0" type="button" dataOnly="0" labelOnly="1" outline="0" axis="axisRow" fieldPosition="0"/>
    </format>
    <format dxfId="810">
      <pivotArea field="5" type="button" dataOnly="0" labelOnly="1" outline="0" axis="axisRow" fieldPosition="2"/>
    </format>
    <format dxfId="809">
      <pivotArea dataOnly="0" labelOnly="1" outline="0" axis="axisValues" fieldPosition="0"/>
    </format>
    <format dxfId="808">
      <pivotArea dataOnly="0" labelOnly="1" fieldPosition="0">
        <references count="1">
          <reference field="0" count="1">
            <x v="101"/>
          </reference>
        </references>
      </pivotArea>
    </format>
    <format dxfId="807">
      <pivotArea dataOnly="0" labelOnly="1" grandRow="1" outline="0" fieldPosition="0"/>
    </format>
    <format dxfId="806">
      <pivotArea dataOnly="0" labelOnly="1" fieldPosition="0">
        <references count="2">
          <reference field="0" count="1" selected="0">
            <x v="101"/>
          </reference>
          <reference field="5" count="1">
            <x v="69"/>
          </reference>
        </references>
      </pivotArea>
    </format>
    <format dxfId="80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rowHeaderCaption="UBOrderNo.">
  <location ref="A4:F10" firstHeaderRow="1" firstDataRow="1" firstDataCol="5" rowPageCount="2" colPageCount="1"/>
  <pivotFields count="24">
    <pivotField axis="axisRow" outline="0" showAll="0" defaultSubtotal="0">
      <items count="771">
        <item m="1" x="590"/>
        <item x="52"/>
        <item x="7"/>
        <item x="33"/>
        <item x="11"/>
        <item x="14"/>
        <item x="38"/>
        <item m="1" x="754"/>
        <item x="83"/>
        <item x="84"/>
        <item m="1" x="642"/>
        <item m="1" x="738"/>
        <item x="86"/>
        <item x="87"/>
        <item x="89"/>
        <item x="92"/>
        <item x="97"/>
        <item x="101"/>
        <item x="107"/>
        <item m="1" x="597"/>
        <item x="106"/>
        <item x="109"/>
        <item x="117"/>
        <item x="128"/>
        <item x="129"/>
        <item x="130"/>
        <item x="131"/>
        <item x="133"/>
        <item x="136"/>
        <item x="138"/>
        <item x="139"/>
        <item x="142"/>
        <item x="144"/>
        <item x="146"/>
        <item x="147"/>
        <item x="148"/>
        <item x="152"/>
        <item x="153"/>
        <item x="154"/>
        <item x="156"/>
        <item x="157"/>
        <item x="159"/>
        <item x="160"/>
        <item x="155"/>
        <item x="161"/>
        <item x="162"/>
        <item x="163"/>
        <item x="164"/>
        <item x="166"/>
        <item x="168"/>
        <item x="169"/>
        <item x="171"/>
        <item x="173"/>
        <item x="178"/>
        <item x="180"/>
        <item x="181"/>
        <item x="182"/>
        <item x="183"/>
        <item x="186"/>
        <item x="187"/>
        <item x="189"/>
        <item x="190"/>
        <item x="192"/>
        <item x="193"/>
        <item x="194"/>
        <item x="197"/>
        <item x="198"/>
        <item x="200"/>
        <item x="199"/>
        <item x="195"/>
        <item x="201"/>
        <item x="204"/>
        <item x="205"/>
        <item x="208"/>
        <item x="206"/>
        <item x="209"/>
        <item x="212"/>
        <item x="213"/>
        <item x="216"/>
        <item x="219"/>
        <item x="221"/>
        <item m="1" x="647"/>
        <item m="1" x="703"/>
        <item m="1" x="759"/>
        <item m="1" x="677"/>
        <item m="1" x="747"/>
        <item m="1" x="631"/>
        <item m="1" x="757"/>
        <item m="1" x="742"/>
        <item m="1" x="718"/>
        <item m="1" x="701"/>
        <item m="1" x="691"/>
        <item m="1" x="692"/>
        <item m="1" x="620"/>
        <item m="1" x="765"/>
        <item m="1" x="662"/>
        <item m="1" x="652"/>
        <item m="1" x="713"/>
        <item m="1" x="627"/>
        <item m="1" x="668"/>
        <item m="1" x="708"/>
        <item m="1" x="766"/>
        <item m="1" x="722"/>
        <item x="225"/>
        <item x="230"/>
        <item m="1" x="609"/>
        <item m="1" x="650"/>
        <item x="231"/>
        <item x="232"/>
        <item m="1" x="603"/>
        <item x="238"/>
        <item m="1" x="680"/>
        <item m="1" x="700"/>
        <item m="1" x="673"/>
        <item m="1" x="756"/>
        <item m="1" x="717"/>
        <item m="1" x="661"/>
        <item m="1" x="610"/>
        <item x="243"/>
        <item x="244"/>
        <item x="242"/>
        <item x="250"/>
        <item m="1" x="633"/>
        <item m="1" x="575"/>
        <item x="255"/>
        <item m="1" x="587"/>
        <item x="256"/>
        <item x="257"/>
        <item m="1" x="706"/>
        <item m="1" x="612"/>
        <item m="1" x="732"/>
        <item m="1" x="635"/>
        <item m="1" x="636"/>
        <item m="1" x="583"/>
        <item m="1" x="750"/>
        <item x="272"/>
        <item m="1" x="577"/>
        <item m="1" x="683"/>
        <item x="267"/>
        <item m="1" x="607"/>
        <item m="1" x="729"/>
        <item x="271"/>
        <item x="275"/>
        <item m="1" x="705"/>
        <item m="1" x="632"/>
        <item x="274"/>
        <item m="1" x="763"/>
        <item m="1" x="626"/>
        <item m="1" x="672"/>
        <item x="285"/>
        <item m="1" x="720"/>
        <item m="1" x="643"/>
        <item m="1" x="727"/>
        <item m="1" x="728"/>
        <item m="1" x="715"/>
        <item m="1" x="760"/>
        <item m="1" x="664"/>
        <item m="1" x="656"/>
        <item m="1" x="634"/>
        <item m="1" x="695"/>
        <item m="1" x="753"/>
        <item m="1" x="624"/>
        <item m="1" x="736"/>
        <item m="1" x="644"/>
        <item m="1" x="745"/>
        <item m="1" x="676"/>
        <item m="1" x="658"/>
        <item m="1" x="640"/>
        <item m="1" x="630"/>
        <item m="1" x="666"/>
        <item m="1" x="709"/>
        <item m="1" x="629"/>
        <item m="1" x="716"/>
        <item m="1" x="659"/>
        <item m="1" x="660"/>
        <item m="1" x="704"/>
        <item m="1" x="734"/>
        <item m="1" x="621"/>
        <item m="1" x="711"/>
        <item m="1" x="719"/>
        <item m="1" x="602"/>
        <item m="1" x="581"/>
        <item m="1" x="744"/>
        <item m="1" x="580"/>
        <item m="1" x="707"/>
        <item m="1" x="671"/>
        <item m="1" x="653"/>
        <item m="1" x="592"/>
        <item m="1" x="654"/>
        <item m="1" x="733"/>
        <item m="1" x="731"/>
        <item m="1" x="608"/>
        <item m="1" x="667"/>
        <item m="1" x="690"/>
        <item m="1" x="712"/>
        <item m="1" x="749"/>
        <item m="1" x="686"/>
        <item m="1" x="696"/>
        <item m="1" x="579"/>
        <item m="1" x="702"/>
        <item m="1" x="657"/>
        <item m="1" x="645"/>
        <item m="1" x="600"/>
        <item m="1" x="669"/>
        <item m="1" x="586"/>
        <item m="1" x="574"/>
        <item m="1" x="769"/>
        <item m="1" x="663"/>
        <item m="1" x="622"/>
        <item m="1" x="598"/>
        <item m="1" x="651"/>
        <item m="1" x="599"/>
        <item m="1" x="694"/>
        <item m="1" x="678"/>
        <item m="1" x="615"/>
        <item m="1" x="730"/>
        <item m="1" x="751"/>
        <item m="1" x="723"/>
        <item m="1" x="689"/>
        <item m="1" x="741"/>
        <item m="1" x="743"/>
        <item m="1" x="687"/>
        <item m="1" x="770"/>
        <item m="1" x="674"/>
        <item m="1" x="576"/>
        <item m="1" x="628"/>
        <item m="1" x="613"/>
        <item m="1" x="710"/>
        <item m="1" x="611"/>
        <item m="1" x="721"/>
        <item m="1" x="764"/>
        <item m="1" x="641"/>
        <item m="1" x="638"/>
        <item m="1" x="618"/>
        <item m="1" x="601"/>
        <item m="1" x="670"/>
        <item m="1" x="755"/>
        <item m="1" x="655"/>
        <item m="1" x="740"/>
        <item m="1" x="761"/>
        <item m="1" x="665"/>
        <item m="1" x="682"/>
        <item m="1" x="591"/>
        <item m="1" x="573"/>
        <item m="1" x="724"/>
        <item m="1" x="649"/>
        <item m="1" x="762"/>
        <item m="1" x="685"/>
        <item m="1" x="681"/>
        <item m="1" x="595"/>
        <item m="1" x="768"/>
        <item m="1" x="737"/>
        <item m="1" x="746"/>
        <item m="1" x="684"/>
        <item m="1" x="752"/>
        <item m="1" x="697"/>
        <item m="1" x="725"/>
        <item m="1" x="767"/>
        <item m="1" x="593"/>
        <item m="1" x="594"/>
        <item m="1" x="596"/>
        <item m="1" x="688"/>
        <item m="1" x="578"/>
        <item m="1" x="617"/>
        <item m="1" x="606"/>
        <item m="1" x="739"/>
        <item m="1" x="714"/>
        <item m="1" x="648"/>
        <item m="1" x="675"/>
        <item m="1" x="584"/>
        <item m="1" x="605"/>
        <item m="1" x="623"/>
        <item m="1" x="758"/>
        <item m="1" x="748"/>
        <item m="1" x="604"/>
        <item m="1" x="582"/>
        <item m="1" x="588"/>
        <item m="1" x="693"/>
        <item m="1" x="589"/>
        <item m="1" x="698"/>
        <item m="1" x="637"/>
        <item m="1" x="735"/>
        <item m="1" x="699"/>
        <item m="1" x="726"/>
        <item x="293"/>
        <item x="291"/>
        <item x="294"/>
        <item m="1" x="585"/>
        <item m="1" x="616"/>
        <item x="290"/>
        <item x="302"/>
        <item x="303"/>
        <item x="289"/>
        <item x="288"/>
        <item x="304"/>
        <item m="1" x="619"/>
        <item m="1" x="646"/>
        <item m="1" x="679"/>
        <item m="1" x="614"/>
        <item m="1" x="625"/>
        <item m="1" x="639"/>
        <item x="308"/>
        <item x="313"/>
        <item x="317"/>
        <item x="320"/>
        <item x="321"/>
        <item x="0"/>
        <item x="1"/>
        <item x="2"/>
        <item x="4"/>
        <item x="5"/>
        <item x="9"/>
        <item x="8"/>
        <item x="10"/>
        <item x="13"/>
        <item x="15"/>
        <item x="17"/>
        <item x="18"/>
        <item x="19"/>
        <item x="20"/>
        <item x="21"/>
        <item x="22"/>
        <item x="23"/>
        <item x="26"/>
        <item x="3"/>
        <item x="6"/>
        <item x="27"/>
        <item x="24"/>
        <item x="28"/>
        <item x="31"/>
        <item x="30"/>
        <item x="32"/>
        <item x="34"/>
        <item x="35"/>
        <item x="36"/>
        <item x="37"/>
        <item x="39"/>
        <item x="40"/>
        <item x="41"/>
        <item x="42"/>
        <item x="43"/>
        <item x="44"/>
        <item x="46"/>
        <item x="45"/>
        <item x="47"/>
        <item x="48"/>
        <item x="49"/>
        <item x="50"/>
        <item x="51"/>
        <item x="53"/>
        <item x="54"/>
        <item x="55"/>
        <item x="29"/>
        <item x="56"/>
        <item x="58"/>
        <item x="57"/>
        <item x="59"/>
        <item x="60"/>
        <item x="61"/>
        <item x="63"/>
        <item x="62"/>
        <item x="65"/>
        <item x="64"/>
        <item x="68"/>
        <item x="66"/>
        <item x="69"/>
        <item x="67"/>
        <item x="70"/>
        <item x="71"/>
        <item x="72"/>
        <item x="73"/>
        <item x="76"/>
        <item x="74"/>
        <item x="77"/>
        <item x="78"/>
        <item x="79"/>
        <item x="80"/>
        <item x="81"/>
        <item x="82"/>
        <item x="75"/>
        <item x="85"/>
        <item x="88"/>
        <item x="90"/>
        <item x="91"/>
        <item x="93"/>
        <item x="94"/>
        <item x="95"/>
        <item x="96"/>
        <item x="98"/>
        <item x="99"/>
        <item x="100"/>
        <item x="102"/>
        <item x="103"/>
        <item x="104"/>
        <item x="105"/>
        <item x="108"/>
        <item x="111"/>
        <item x="110"/>
        <item x="114"/>
        <item x="115"/>
        <item x="113"/>
        <item x="112"/>
        <item x="116"/>
        <item x="118"/>
        <item x="119"/>
        <item x="120"/>
        <item x="122"/>
        <item x="121"/>
        <item x="123"/>
        <item x="124"/>
        <item x="126"/>
        <item x="125"/>
        <item x="127"/>
        <item x="132"/>
        <item x="135"/>
        <item x="137"/>
        <item x="134"/>
        <item x="140"/>
        <item x="141"/>
        <item x="143"/>
        <item x="145"/>
        <item x="149"/>
        <item x="150"/>
        <item x="151"/>
        <item x="158"/>
        <item x="165"/>
        <item x="167"/>
        <item x="170"/>
        <item x="172"/>
        <item x="175"/>
        <item x="174"/>
        <item x="176"/>
        <item x="177"/>
        <item x="179"/>
        <item x="185"/>
        <item x="184"/>
        <item x="188"/>
        <item x="191"/>
        <item x="196"/>
        <item x="202"/>
        <item x="203"/>
        <item x="207"/>
        <item x="211"/>
        <item x="210"/>
        <item x="214"/>
        <item x="215"/>
        <item x="217"/>
        <item x="218"/>
        <item x="222"/>
        <item x="220"/>
        <item x="223"/>
        <item x="224"/>
        <item x="227"/>
        <item x="226"/>
        <item x="229"/>
        <item x="233"/>
        <item x="234"/>
        <item x="239"/>
        <item x="235"/>
        <item x="236"/>
        <item x="240"/>
        <item x="237"/>
        <item x="241"/>
        <item x="248"/>
        <item x="247"/>
        <item x="245"/>
        <item x="246"/>
        <item x="249"/>
        <item x="252"/>
        <item x="253"/>
        <item x="251"/>
        <item x="254"/>
        <item x="260"/>
        <item x="258"/>
        <item x="261"/>
        <item x="263"/>
        <item x="262"/>
        <item x="264"/>
        <item x="265"/>
        <item x="259"/>
        <item x="266"/>
        <item x="270"/>
        <item x="269"/>
        <item x="273"/>
        <item x="268"/>
        <item x="276"/>
        <item x="277"/>
        <item x="278"/>
        <item x="280"/>
        <item x="281"/>
        <item x="282"/>
        <item x="284"/>
        <item x="283"/>
        <item x="279"/>
        <item x="287"/>
        <item x="286"/>
        <item x="297"/>
        <item x="299"/>
        <item x="295"/>
        <item x="292"/>
        <item x="306"/>
        <item x="307"/>
        <item x="312"/>
        <item x="315"/>
        <item x="319"/>
        <item x="323"/>
        <item x="324"/>
        <item x="322"/>
        <item x="327"/>
        <item x="328"/>
        <item x="330"/>
        <item x="326"/>
        <item x="331"/>
        <item x="335"/>
        <item x="337"/>
        <item x="333"/>
        <item x="325"/>
        <item x="329"/>
        <item x="332"/>
        <item x="334"/>
        <item x="336"/>
        <item x="338"/>
        <item x="339"/>
        <item x="342"/>
        <item x="341"/>
        <item x="343"/>
        <item x="344"/>
        <item x="345"/>
        <item x="348"/>
        <item x="347"/>
        <item x="346"/>
        <item x="349"/>
        <item x="351"/>
        <item x="350"/>
        <item x="353"/>
        <item x="352"/>
        <item x="355"/>
        <item x="354"/>
        <item x="356"/>
        <item x="359"/>
        <item x="361"/>
        <item x="360"/>
        <item x="357"/>
        <item x="358"/>
        <item x="362"/>
        <item x="364"/>
        <item x="366"/>
        <item x="368"/>
        <item x="369"/>
        <item x="371"/>
        <item x="370"/>
        <item x="373"/>
        <item x="372"/>
        <item x="367"/>
        <item x="375"/>
        <item x="376"/>
        <item x="374"/>
        <item x="377"/>
        <item x="388"/>
        <item x="386"/>
        <item x="389"/>
        <item x="392"/>
        <item x="390"/>
        <item x="393"/>
        <item x="394"/>
        <item x="385"/>
        <item x="380"/>
        <item x="379"/>
        <item x="387"/>
        <item x="391"/>
        <item x="378"/>
        <item x="395"/>
        <item x="398"/>
        <item x="397"/>
        <item x="396"/>
        <item x="401"/>
        <item x="399"/>
        <item x="400"/>
        <item x="402"/>
        <item x="12"/>
        <item x="16"/>
        <item x="25"/>
        <item x="228"/>
        <item x="296"/>
        <item x="298"/>
        <item x="300"/>
        <item x="301"/>
        <item x="305"/>
        <item x="310"/>
        <item x="314"/>
        <item x="316"/>
        <item x="318"/>
        <item x="311"/>
        <item x="309"/>
        <item x="365"/>
        <item x="363"/>
        <item x="381"/>
        <item x="383"/>
        <item x="382"/>
        <item x="384"/>
        <item x="413"/>
        <item x="412"/>
        <item x="411"/>
        <item x="414"/>
        <item x="405"/>
        <item x="404"/>
        <item x="406"/>
        <item x="403"/>
        <item x="407"/>
        <item x="409"/>
        <item x="408"/>
        <item x="410"/>
        <item x="418"/>
        <item x="416"/>
        <item x="417"/>
        <item x="415"/>
        <item x="420"/>
        <item x="419"/>
        <item x="421"/>
        <item x="422"/>
        <item x="424"/>
        <item x="423"/>
        <item x="425"/>
        <item x="427"/>
        <item x="426"/>
        <item x="428"/>
        <item x="430"/>
        <item x="431"/>
        <item x="429"/>
        <item x="434"/>
        <item x="433"/>
        <item x="432"/>
        <item x="437"/>
        <item x="438"/>
        <item x="435"/>
        <item x="439"/>
        <item x="436"/>
        <item x="340"/>
        <item x="441"/>
        <item x="445"/>
        <item x="442"/>
        <item x="440"/>
        <item x="443"/>
        <item x="449"/>
        <item x="444"/>
        <item x="448"/>
        <item x="446"/>
        <item x="450"/>
        <item x="452"/>
        <item x="454"/>
        <item x="453"/>
        <item x="451"/>
        <item x="455"/>
        <item x="456"/>
        <item x="459"/>
        <item x="458"/>
        <item x="460"/>
        <item x="457"/>
        <item x="464"/>
        <item x="462"/>
        <item x="461"/>
        <item x="463"/>
        <item x="465"/>
        <item x="447"/>
        <item x="469"/>
        <item x="471"/>
        <item x="468"/>
        <item x="472"/>
        <item x="470"/>
        <item x="467"/>
        <item x="466"/>
        <item x="473"/>
        <item x="475"/>
        <item x="477"/>
        <item x="474"/>
        <item x="476"/>
        <item x="478"/>
        <item x="479"/>
        <item x="480"/>
        <item x="481"/>
        <item x="482"/>
        <item x="483"/>
        <item x="484"/>
        <item x="485"/>
        <item x="486"/>
        <item x="487"/>
        <item x="488"/>
        <item x="489"/>
        <item x="490"/>
        <item x="491"/>
        <item x="492"/>
        <item x="493"/>
        <item x="494"/>
        <item x="495"/>
        <item x="496"/>
        <item x="497"/>
        <item x="498"/>
        <item x="499"/>
        <item x="500"/>
        <item x="501"/>
        <item x="502"/>
        <item x="505"/>
        <item x="516"/>
        <item x="508"/>
        <item x="509"/>
        <item x="510"/>
        <item x="511"/>
        <item x="503"/>
        <item x="504"/>
        <item x="506"/>
        <item x="507"/>
        <item x="512"/>
        <item x="513"/>
        <item x="514"/>
        <item x="515"/>
        <item x="517"/>
        <item x="518"/>
        <item x="519"/>
        <item x="520"/>
        <item x="521"/>
        <item x="524"/>
        <item x="525"/>
        <item x="526"/>
        <item x="527"/>
        <item x="522"/>
        <item x="523"/>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s>
    </pivotField>
    <pivotField axis="axisRow" outline="0" showAll="0" defaultSubtotal="0">
      <items count="568">
        <item x="31"/>
        <item x="84"/>
        <item x="62"/>
        <item x="32"/>
        <item x="55"/>
        <item x="58"/>
        <item x="72"/>
        <item x="38"/>
        <item x="73"/>
        <item x="14"/>
        <item x="93"/>
        <item x="111"/>
        <item x="12"/>
        <item x="54"/>
        <item x="57"/>
        <item x="101"/>
        <item x="43"/>
        <item x="24"/>
        <item x="27"/>
        <item x="49"/>
        <item x="44"/>
        <item x="30"/>
        <item x="34"/>
        <item x="35"/>
        <item x="46"/>
        <item x="48"/>
        <item x="76"/>
        <item x="77"/>
        <item x="50"/>
        <item x="87"/>
        <item x="83"/>
        <item x="53"/>
        <item x="86"/>
        <item x="59"/>
        <item x="92"/>
        <item x="97"/>
        <item x="70"/>
        <item x="65"/>
        <item x="68"/>
        <item x="36"/>
        <item x="107"/>
        <item x="95"/>
        <item x="96"/>
        <item x="113"/>
        <item x="110"/>
        <item x="6"/>
        <item x="42"/>
        <item x="0"/>
        <item x="11"/>
        <item x="1"/>
        <item x="2"/>
        <item x="4"/>
        <item x="8"/>
        <item x="5"/>
        <item x="7"/>
        <item x="25"/>
        <item x="9"/>
        <item x="10"/>
        <item x="15"/>
        <item x="16"/>
        <item x="18"/>
        <item x="22"/>
        <item x="13"/>
        <item x="17"/>
        <item x="20"/>
        <item x="19"/>
        <item x="23"/>
        <item x="21"/>
        <item x="26"/>
        <item x="28"/>
        <item x="37"/>
        <item x="33"/>
        <item x="39"/>
        <item x="40"/>
        <item x="41"/>
        <item x="45"/>
        <item x="47"/>
        <item x="51"/>
        <item x="52"/>
        <item x="29"/>
        <item x="56"/>
        <item x="69"/>
        <item x="64"/>
        <item x="60"/>
        <item x="63"/>
        <item x="61"/>
        <item x="66"/>
        <item x="67"/>
        <item x="79"/>
        <item x="71"/>
        <item x="78"/>
        <item x="80"/>
        <item x="74"/>
        <item x="88"/>
        <item x="75"/>
        <item x="81"/>
        <item x="82"/>
        <item x="91"/>
        <item x="85"/>
        <item x="90"/>
        <item x="89"/>
        <item x="100"/>
        <item x="94"/>
        <item x="98"/>
        <item x="99"/>
        <item x="108"/>
        <item x="102"/>
        <item x="104"/>
        <item x="103"/>
        <item x="114"/>
        <item x="109"/>
        <item x="106"/>
        <item x="118"/>
        <item x="112"/>
        <item x="116"/>
        <item x="115"/>
        <item x="117"/>
        <item x="105"/>
        <item x="119"/>
        <item x="3"/>
        <item x="120"/>
        <item x="122"/>
        <item x="121"/>
        <item x="123"/>
        <item x="124"/>
        <item x="126"/>
        <item x="125"/>
        <item x="127"/>
        <item x="128"/>
        <item x="129"/>
        <item x="130"/>
        <item x="132"/>
        <item x="131"/>
        <item x="133"/>
        <item x="135"/>
        <item x="136"/>
        <item x="137"/>
        <item x="134"/>
        <item x="138"/>
        <item x="139"/>
        <item x="140"/>
        <item x="141"/>
        <item x="142"/>
        <item x="143"/>
        <item x="145"/>
        <item x="144"/>
        <item x="146"/>
        <item x="147"/>
        <item x="148"/>
        <item x="149"/>
        <item x="150"/>
        <item x="152"/>
        <item x="151"/>
        <item x="153"/>
        <item x="154"/>
        <item x="156"/>
        <item x="157"/>
        <item x="158"/>
        <item x="159"/>
        <item x="160"/>
        <item x="155"/>
        <item x="161"/>
        <item x="162"/>
        <item x="163"/>
        <item x="164"/>
        <item x="165"/>
        <item x="166"/>
        <item x="167"/>
        <item x="168"/>
        <item x="169"/>
        <item x="170"/>
        <item x="171"/>
        <item x="172"/>
        <item x="175"/>
        <item x="173"/>
        <item x="174"/>
        <item x="176"/>
        <item x="177"/>
        <item x="178"/>
        <item x="179"/>
        <item x="180"/>
        <item x="181"/>
        <item x="185"/>
        <item x="182"/>
        <item x="183"/>
        <item x="184"/>
        <item x="186"/>
        <item x="187"/>
        <item x="188"/>
        <item x="189"/>
        <item x="190"/>
        <item x="191"/>
        <item x="192"/>
        <item x="193"/>
        <item x="194"/>
        <item x="196"/>
        <item x="197"/>
        <item x="198"/>
        <item x="200"/>
        <item x="199"/>
        <item x="195"/>
        <item x="201"/>
        <item x="202"/>
        <item x="203"/>
        <item x="204"/>
        <item x="205"/>
        <item x="208"/>
        <item x="206"/>
        <item x="207"/>
        <item x="211"/>
        <item x="209"/>
        <item x="210"/>
        <item x="212"/>
        <item x="213"/>
        <item x="214"/>
        <item x="215"/>
        <item x="216"/>
        <item x="217"/>
        <item x="218"/>
        <item x="219"/>
        <item x="222"/>
        <item x="220"/>
        <item x="221"/>
        <item x="223"/>
        <item x="224"/>
        <item x="227"/>
        <item x="225"/>
        <item x="228"/>
        <item x="230"/>
        <item x="231"/>
        <item x="226"/>
        <item x="229"/>
        <item x="232"/>
        <item x="233"/>
        <item x="238"/>
        <item x="234"/>
        <item x="239"/>
        <item x="235"/>
        <item x="236"/>
        <item x="240"/>
        <item x="237"/>
        <item x="241"/>
        <item x="243"/>
        <item x="244"/>
        <item x="242"/>
        <item x="248"/>
        <item x="247"/>
        <item x="245"/>
        <item x="246"/>
        <item x="249"/>
        <item x="252"/>
        <item x="250"/>
        <item x="253"/>
        <item x="251"/>
        <item x="254"/>
        <item x="255"/>
        <item x="260"/>
        <item x="258"/>
        <item x="256"/>
        <item x="257"/>
        <item x="261"/>
        <item x="263"/>
        <item x="262"/>
        <item x="264"/>
        <item x="265"/>
        <item x="259"/>
        <item x="266"/>
        <item x="272"/>
        <item x="270"/>
        <item x="269"/>
        <item x="267"/>
        <item x="273"/>
        <item x="268"/>
        <item x="271"/>
        <item x="275"/>
        <item x="276"/>
        <item x="277"/>
        <item x="274"/>
        <item x="278"/>
        <item x="280"/>
        <item x="281"/>
        <item x="285"/>
        <item x="282"/>
        <item x="284"/>
        <item x="283"/>
        <item x="279"/>
        <item x="286"/>
        <item x="287"/>
        <item x="293"/>
        <item x="291"/>
        <item x="294"/>
        <item x="297"/>
        <item x="296"/>
        <item x="299"/>
        <item x="295"/>
        <item x="290"/>
        <item x="292"/>
        <item x="298"/>
        <item x="300"/>
        <item x="302"/>
        <item x="303"/>
        <item x="301"/>
        <item x="289"/>
        <item x="288"/>
        <item x="304"/>
        <item x="305"/>
        <item x="306"/>
        <item x="307"/>
        <item x="310"/>
        <item x="309"/>
        <item x="308"/>
        <item x="313"/>
        <item x="312"/>
        <item x="315"/>
        <item x="311"/>
        <item x="314"/>
        <item x="318"/>
        <item x="316"/>
        <item x="317"/>
        <item x="319"/>
        <item x="320"/>
        <item x="322"/>
        <item x="323"/>
        <item x="321"/>
        <item x="326"/>
        <item x="327"/>
        <item x="331"/>
        <item x="328"/>
        <item x="329"/>
        <item x="325"/>
        <item x="330"/>
        <item x="333"/>
        <item x="334"/>
        <item x="336"/>
        <item x="332"/>
        <item x="324"/>
        <item x="335"/>
        <item x="337"/>
        <item x="338"/>
        <item x="341"/>
        <item x="340"/>
        <item x="342"/>
        <item x="343"/>
        <item x="344"/>
        <item x="347"/>
        <item x="346"/>
        <item x="345"/>
        <item x="348"/>
        <item x="350"/>
        <item x="349"/>
        <item x="352"/>
        <item x="351"/>
        <item x="354"/>
        <item x="353"/>
        <item x="355"/>
        <item x="358"/>
        <item x="360"/>
        <item x="359"/>
        <item x="356"/>
        <item x="357"/>
        <item x="361"/>
        <item x="363"/>
        <item x="362"/>
        <item x="364"/>
        <item x="365"/>
        <item x="366"/>
        <item x="367"/>
        <item x="369"/>
        <item x="368"/>
        <item x="371"/>
        <item x="370"/>
        <item x="373"/>
        <item x="374"/>
        <item x="372"/>
        <item x="375"/>
        <item x="379"/>
        <item x="380"/>
        <item x="384"/>
        <item x="382"/>
        <item x="385"/>
        <item x="388"/>
        <item x="386"/>
        <item x="389"/>
        <item x="390"/>
        <item x="381"/>
        <item x="378"/>
        <item x="377"/>
        <item x="383"/>
        <item x="387"/>
        <item x="376"/>
        <item x="391"/>
        <item x="394"/>
        <item x="393"/>
        <item x="392"/>
        <item x="397"/>
        <item x="395"/>
        <item x="396"/>
        <item x="398"/>
        <item x="407"/>
        <item x="406"/>
        <item x="410"/>
        <item x="405"/>
        <item x="408"/>
        <item x="409"/>
        <item x="401"/>
        <item x="400"/>
        <item x="399"/>
        <item x="402"/>
        <item x="403"/>
        <item x="404"/>
        <item x="412"/>
        <item x="411"/>
        <item x="413"/>
        <item x="414"/>
        <item x="416"/>
        <item x="415"/>
        <item x="417"/>
        <item x="419"/>
        <item x="418"/>
        <item x="420"/>
        <item x="422"/>
        <item x="423"/>
        <item x="421"/>
        <item x="426"/>
        <item x="425"/>
        <item x="424"/>
        <item x="429"/>
        <item x="430"/>
        <item x="427"/>
        <item x="431"/>
        <item x="428"/>
        <item x="339"/>
        <item x="433"/>
        <item x="437"/>
        <item x="434"/>
        <item x="432"/>
        <item x="435"/>
        <item x="441"/>
        <item x="436"/>
        <item x="439"/>
        <item x="440"/>
        <item x="438"/>
        <item x="442"/>
        <item x="444"/>
        <item x="446"/>
        <item x="445"/>
        <item x="443"/>
        <item x="447"/>
        <item x="448"/>
        <item x="451"/>
        <item x="450"/>
        <item x="452"/>
        <item x="449"/>
        <item x="456"/>
        <item x="454"/>
        <item x="453"/>
        <item x="455"/>
        <item x="457"/>
        <item x="461"/>
        <item x="463"/>
        <item x="460"/>
        <item x="464"/>
        <item x="462"/>
        <item x="459"/>
        <item x="458"/>
        <item x="465"/>
        <item x="467"/>
        <item x="469"/>
        <item x="466"/>
        <item x="468"/>
        <item x="470"/>
        <item x="471"/>
        <item x="472"/>
        <item x="473"/>
        <item x="474"/>
        <item x="475"/>
        <item x="476"/>
        <item m="1" x="565"/>
        <item x="477"/>
        <item x="478"/>
        <item x="479"/>
        <item x="480"/>
        <item x="481"/>
        <item x="482"/>
        <item x="483"/>
        <item x="484"/>
        <item x="485"/>
        <item x="486"/>
        <item x="487"/>
        <item x="488"/>
        <item x="489"/>
        <item x="490"/>
        <item x="491"/>
        <item x="492"/>
        <item x="493"/>
        <item x="494"/>
        <item m="1" x="567"/>
        <item x="497"/>
        <item x="498"/>
        <item x="508"/>
        <item x="500"/>
        <item x="501"/>
        <item x="502"/>
        <item x="503"/>
        <item m="1" x="566"/>
        <item x="509"/>
        <item x="495"/>
        <item x="496"/>
        <item x="499"/>
        <item x="504"/>
        <item x="505"/>
        <item x="506"/>
        <item x="507"/>
        <item x="510"/>
        <item x="511"/>
        <item x="512"/>
        <item x="513"/>
        <item x="516"/>
        <item x="517"/>
        <item x="518"/>
        <item x="519"/>
        <item x="514"/>
        <item x="515"/>
        <item x="520"/>
        <item x="521"/>
        <item x="522"/>
        <item x="523"/>
        <item x="524"/>
        <item x="525"/>
        <item x="526"/>
        <item x="527"/>
        <item x="528"/>
        <item x="529"/>
        <item x="530"/>
        <item x="531"/>
        <item x="532"/>
        <item x="533"/>
        <item x="534"/>
        <item x="535"/>
        <item x="536"/>
        <item x="537"/>
        <item x="538"/>
        <item x="539"/>
        <item x="540"/>
        <item x="542"/>
        <item x="543"/>
        <item x="544"/>
        <item x="545"/>
        <item x="546"/>
        <item x="547"/>
        <item x="548"/>
        <item x="549"/>
        <item x="550"/>
        <item x="551"/>
        <item x="541"/>
        <item x="552"/>
        <item x="553"/>
        <item x="554"/>
        <item x="555"/>
        <item x="556"/>
        <item x="557"/>
        <item x="558"/>
        <item x="559"/>
        <item x="560"/>
        <item x="561"/>
        <item x="562"/>
        <item x="563"/>
        <item x="564"/>
      </items>
    </pivotField>
    <pivotField showAll="0" defaultSubtotal="0"/>
    <pivotField showAll="0" defaultSubtotal="0"/>
    <pivotField showAll="0">
      <items count="6">
        <item x="0"/>
        <item x="2"/>
        <item m="1" x="3"/>
        <item m="1" x="4"/>
        <item x="1"/>
        <item t="default"/>
      </items>
    </pivotField>
    <pivotField numFmtId="44" showAll="0" defaultSubtotal="0"/>
    <pivotField numFmtId="44" showAll="0" defaultSubtotal="0"/>
    <pivotField outline="0" showAll="0" defaultSubtotal="0"/>
    <pivotField showAll="0"/>
    <pivotField dataField="1" numFmtId="44" showAll="0" defaultSubtotal="0"/>
    <pivotField showAll="0" defaultSubtotal="0"/>
    <pivotField numFmtId="44" showAll="0" defaultSubtotal="0"/>
    <pivotField axis="axisPage" multipleItemSelectionAllowed="1" showAll="0">
      <items count="33">
        <item h="1" x="3"/>
        <item h="1" x="1"/>
        <item h="1" x="0"/>
        <item h="1" m="1" x="29"/>
        <item h="1" m="1" x="16"/>
        <item h="1" x="4"/>
        <item h="1" x="5"/>
        <item h="1" m="1" x="21"/>
        <item x="6"/>
        <item h="1" m="1" x="17"/>
        <item h="1" x="7"/>
        <item h="1" x="8"/>
        <item h="1" m="1" x="13"/>
        <item h="1" m="1" x="26"/>
        <item h="1" x="9"/>
        <item h="1" m="1" x="18"/>
        <item h="1" m="1" x="22"/>
        <item h="1" m="1" x="14"/>
        <item h="1" m="1" x="23"/>
        <item h="1" m="1" x="30"/>
        <item h="1" m="1" x="19"/>
        <item h="1" m="1" x="24"/>
        <item h="1" m="1" x="20"/>
        <item h="1" m="1" x="27"/>
        <item h="1" m="1" x="31"/>
        <item h="1" m="1" x="15"/>
        <item h="1" m="1" x="28"/>
        <item h="1" x="2"/>
        <item h="1" x="10"/>
        <item h="1" m="1" x="25"/>
        <item h="1" x="11"/>
        <item h="1" x="12"/>
        <item t="default"/>
      </items>
    </pivotField>
    <pivotField axis="axisPage" numFmtId="14" multipleItemSelectionAllowed="1" showAll="0" defaultSubtotal="0">
      <items count="5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x="56"/>
        <item h="1" x="57"/>
      </items>
    </pivotField>
    <pivotField numFmtId="14" outline="0" multipleItemSelectionAllowed="1" showAll="0" defaultSubtotal="0">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3"/>
        <item x="42"/>
        <item x="44"/>
        <item x="45"/>
        <item x="46"/>
        <item x="47"/>
        <item x="48"/>
        <item x="49"/>
        <item x="50"/>
        <item x="51"/>
        <item x="52"/>
        <item x="53"/>
        <item x="54"/>
        <item x="55"/>
        <item x="56"/>
        <item x="57"/>
        <item x="58"/>
      </items>
    </pivotField>
    <pivotField axis="axisRow" outline="0" showAll="0" defaultSubtotal="0">
      <items count="264">
        <item x="0"/>
        <item x="1"/>
        <item x="2"/>
        <item x="3"/>
        <item x="4"/>
        <item x="5"/>
        <item x="6"/>
        <item x="7"/>
        <item x="8"/>
        <item x="9"/>
        <item x="10"/>
        <item x="11"/>
        <item x="12"/>
        <item x="13"/>
        <item x="14"/>
        <item x="15"/>
        <item x="16"/>
        <item x="17"/>
        <item x="18"/>
        <item x="19"/>
        <item x="20"/>
        <item x="21"/>
        <item x="22"/>
        <item x="23"/>
        <item x="24"/>
        <item x="25"/>
        <item x="26"/>
        <item x="28"/>
        <item x="29"/>
        <item x="30"/>
        <item x="31"/>
        <item x="32"/>
        <item x="33"/>
        <item x="34"/>
        <item x="35"/>
        <item x="36"/>
        <item x="37"/>
        <item x="38"/>
        <item x="39"/>
        <item x="40"/>
        <item x="41"/>
        <item x="42"/>
        <item x="43"/>
        <item x="44"/>
        <item x="45"/>
        <item x="46"/>
        <item x="47"/>
        <item x="48"/>
        <item x="50"/>
        <item x="51"/>
        <item x="52"/>
        <item x="53"/>
        <item x="54"/>
        <item x="55"/>
        <item x="56"/>
        <item x="57"/>
        <item x="58"/>
        <item x="59"/>
        <item x="60"/>
        <item x="61"/>
        <item x="62"/>
        <item x="63"/>
        <item x="64"/>
        <item x="49"/>
        <item x="65"/>
        <item x="67"/>
        <item x="66"/>
        <item x="27"/>
        <item x="69"/>
        <item x="68"/>
        <item x="71"/>
        <item x="70"/>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3"/>
        <item x="102"/>
        <item x="104"/>
        <item x="105"/>
        <item x="107"/>
        <item x="106"/>
        <item x="108"/>
        <item x="109"/>
        <item x="110"/>
        <item x="111"/>
        <item x="112"/>
        <item x="113"/>
        <item x="114"/>
        <item x="115"/>
        <item x="116"/>
        <item x="117"/>
        <item x="118"/>
        <item x="119"/>
        <item x="120"/>
        <item x="122"/>
        <item x="121"/>
        <item x="123"/>
        <item x="124"/>
        <item x="125"/>
        <item x="127"/>
        <item x="126"/>
        <item x="128"/>
        <item x="129"/>
        <item x="130"/>
        <item x="131"/>
        <item x="132"/>
        <item x="133"/>
        <item x="134"/>
        <item x="135"/>
        <item x="137"/>
        <item x="136"/>
        <item x="138"/>
        <item x="139"/>
        <item x="140"/>
        <item x="142"/>
        <item x="141"/>
        <item x="143"/>
        <item x="144"/>
        <item x="145"/>
        <item x="146"/>
        <item x="148"/>
        <item x="147"/>
        <item x="149"/>
        <item x="152"/>
        <item x="151"/>
        <item x="153"/>
        <item x="150"/>
        <item x="154"/>
        <item x="155"/>
        <item x="156"/>
        <item x="157"/>
        <item x="158"/>
        <item x="159"/>
        <item x="160"/>
        <item x="161"/>
        <item x="162"/>
        <item x="164"/>
        <item x="165"/>
        <item x="167"/>
        <item x="166"/>
        <item x="163"/>
        <item x="168"/>
        <item x="169"/>
        <item x="170"/>
        <item x="171"/>
        <item x="172"/>
        <item x="173"/>
        <item x="175"/>
        <item x="176"/>
        <item x="177"/>
        <item x="178"/>
        <item x="179"/>
        <item x="180"/>
        <item x="181"/>
        <item x="182"/>
        <item x="183"/>
        <item x="184"/>
        <item x="186"/>
        <item x="187"/>
        <item x="185"/>
        <item x="188"/>
        <item x="189"/>
        <item x="190"/>
        <item x="191"/>
        <item x="192"/>
        <item x="193"/>
        <item x="194"/>
        <item x="196"/>
        <item x="195"/>
        <item x="198"/>
        <item x="197"/>
        <item x="199"/>
        <item x="200"/>
        <item x="201"/>
        <item x="202"/>
        <item x="203"/>
        <item x="207"/>
        <item x="208"/>
        <item x="204"/>
        <item x="205"/>
        <item x="206"/>
        <item x="209"/>
        <item x="210"/>
        <item x="211"/>
        <item x="212"/>
        <item x="213"/>
        <item x="214"/>
        <item x="215"/>
        <item x="174"/>
        <item x="216"/>
        <item x="217"/>
        <item x="218"/>
        <item x="219"/>
        <item x="220"/>
        <item x="221"/>
        <item x="222"/>
        <item x="223"/>
        <item x="224"/>
        <item x="225"/>
        <item x="226"/>
        <item x="227"/>
        <item x="228"/>
        <item x="229"/>
        <item x="230"/>
        <item x="231"/>
        <item x="232"/>
        <item x="233"/>
        <item x="234"/>
        <item x="235"/>
        <item x="236"/>
        <item x="237"/>
        <item x="238"/>
        <item x="239"/>
        <item x="240"/>
        <item x="241"/>
        <item x="242"/>
        <item x="244"/>
        <item x="243"/>
        <item x="245"/>
        <item x="246"/>
        <item x="247"/>
        <item x="248"/>
        <item x="249"/>
        <item x="250"/>
        <item x="251"/>
        <item x="252"/>
        <item x="253"/>
        <item x="254"/>
        <item x="255"/>
        <item x="256"/>
        <item x="257"/>
        <item x="258"/>
        <item x="259"/>
        <item x="260"/>
        <item x="261"/>
        <item x="262"/>
        <item x="263"/>
      </items>
    </pivotField>
    <pivotField axis="axisRow" outline="0" showAll="0" defaultSubtotal="0">
      <items count="156">
        <item x="31"/>
        <item x="2"/>
        <item x="17"/>
        <item x="11"/>
        <item x="13"/>
        <item x="35"/>
        <item x="25"/>
        <item x="30"/>
        <item x="16"/>
        <item x="4"/>
        <item x="27"/>
        <item x="0"/>
        <item x="1"/>
        <item x="7"/>
        <item x="6"/>
        <item x="15"/>
        <item x="9"/>
        <item x="23"/>
        <item x="10"/>
        <item x="19"/>
        <item x="14"/>
        <item x="12"/>
        <item x="32"/>
        <item x="34"/>
        <item x="28"/>
        <item x="33"/>
        <item x="29"/>
        <item x="21"/>
        <item x="22"/>
        <item x="8"/>
        <item x="5"/>
        <item x="24"/>
        <item x="26"/>
        <item x="20"/>
        <item x="3"/>
        <item x="18"/>
        <item x="36"/>
        <item x="38"/>
        <item x="37"/>
        <item x="39"/>
        <item x="40"/>
        <item x="42"/>
        <item x="43"/>
        <item x="44"/>
        <item x="41"/>
        <item x="45"/>
        <item x="46"/>
        <item x="47"/>
        <item x="48"/>
        <item x="49"/>
        <item x="50"/>
        <item x="51"/>
        <item x="52"/>
        <item x="54"/>
        <item x="53"/>
        <item x="57"/>
        <item x="58"/>
        <item x="56"/>
        <item x="55"/>
        <item x="59"/>
        <item x="60"/>
        <item x="61"/>
        <item x="62"/>
        <item x="63"/>
        <item x="64"/>
        <item x="65"/>
        <item x="66"/>
        <item x="68"/>
        <item x="67"/>
        <item x="69"/>
        <item x="70"/>
        <item x="71"/>
        <item x="72"/>
        <item x="73"/>
        <item x="74"/>
        <item x="76"/>
        <item x="75"/>
        <item x="77"/>
        <item x="78"/>
        <item x="81"/>
        <item x="79"/>
        <item x="80"/>
        <item x="82"/>
        <item x="84"/>
        <item x="83"/>
        <item x="85"/>
        <item x="86"/>
        <item x="87"/>
        <item x="88"/>
        <item x="89"/>
        <item x="90"/>
        <item x="91"/>
        <item x="92"/>
        <item x="93"/>
        <item x="94"/>
        <item x="95"/>
        <item x="98"/>
        <item x="96"/>
        <item x="97"/>
        <item x="100"/>
        <item x="99"/>
        <item x="102"/>
        <item x="101"/>
        <item x="103"/>
        <item x="105"/>
        <item x="106"/>
        <item x="104"/>
        <item x="107"/>
        <item x="108"/>
        <item m="1" x="154"/>
        <item x="109"/>
        <item x="110"/>
        <item x="111"/>
        <item x="113"/>
        <item x="112"/>
        <item x="114"/>
        <item x="115"/>
        <item x="118"/>
        <item x="117"/>
        <item x="119"/>
        <item x="120"/>
        <item x="121"/>
        <item x="122"/>
        <item x="123"/>
        <item x="124"/>
        <item x="116"/>
        <item x="125"/>
        <item x="126"/>
        <item x="128"/>
        <item x="127"/>
        <item x="129"/>
        <item x="130"/>
        <item x="131"/>
        <item x="132"/>
        <item x="133"/>
        <item x="134"/>
        <item x="136"/>
        <item x="137"/>
        <item x="135"/>
        <item x="139"/>
        <item x="138"/>
        <item x="141"/>
        <item x="140"/>
        <item x="142"/>
        <item x="143"/>
        <item m="1" x="155"/>
        <item x="144"/>
        <item x="145"/>
        <item x="146"/>
        <item x="147"/>
        <item x="148"/>
        <item x="149"/>
        <item x="150"/>
        <item x="151"/>
        <item x="152"/>
        <item x="153"/>
      </items>
    </pivotField>
    <pivotField axis="axisRow" outline="0" showAll="0" defaultSubtotal="0">
      <items count="202">
        <item x="7"/>
        <item x="15"/>
        <item x="5"/>
        <item x="25"/>
        <item x="0"/>
        <item x="29"/>
        <item x="33"/>
        <item x="2"/>
        <item x="11"/>
        <item x="19"/>
        <item x="22"/>
        <item x="34"/>
        <item x="4"/>
        <item x="14"/>
        <item x="30"/>
        <item x="20"/>
        <item x="23"/>
        <item x="31"/>
        <item x="17"/>
        <item x="21"/>
        <item x="18"/>
        <item x="6"/>
        <item x="8"/>
        <item x="24"/>
        <item x="28"/>
        <item x="32"/>
        <item x="35"/>
        <item x="10"/>
        <item x="12"/>
        <item x="26"/>
        <item x="3"/>
        <item x="16"/>
        <item x="13"/>
        <item x="9"/>
        <item x="27"/>
        <item x="1"/>
        <item x="36"/>
        <item x="37"/>
        <item x="38"/>
        <item x="39"/>
        <item x="40"/>
        <item x="41"/>
        <item x="43"/>
        <item x="44"/>
        <item x="45"/>
        <item x="46"/>
        <item x="47"/>
        <item x="48"/>
        <item x="42"/>
        <item x="49"/>
        <item x="50"/>
        <item x="51"/>
        <item x="52"/>
        <item x="53"/>
        <item x="54"/>
        <item x="55"/>
        <item x="56"/>
        <item x="57"/>
        <item x="58"/>
        <item x="59"/>
        <item x="60"/>
        <item x="61"/>
        <item x="62"/>
        <item x="64"/>
        <item x="63"/>
        <item x="67"/>
        <item x="66"/>
        <item x="65"/>
        <item x="68"/>
        <item x="70"/>
        <item m="1" x="199"/>
        <item x="71"/>
        <item x="72"/>
        <item x="73"/>
        <item x="75"/>
        <item m="1" x="197"/>
        <item x="74"/>
        <item x="77"/>
        <item m="1" x="194"/>
        <item x="79"/>
        <item x="80"/>
        <item x="81"/>
        <item x="83"/>
        <item x="84"/>
        <item x="82"/>
        <item x="85"/>
        <item x="86"/>
        <item x="87"/>
        <item x="88"/>
        <item x="89"/>
        <item x="90"/>
        <item x="91"/>
        <item x="93"/>
        <item x="92"/>
        <item x="94"/>
        <item x="95"/>
        <item x="96"/>
        <item x="97"/>
        <item x="98"/>
        <item x="99"/>
        <item x="100"/>
        <item x="101"/>
        <item x="102"/>
        <item x="103"/>
        <item x="104"/>
        <item x="105"/>
        <item x="106"/>
        <item x="107"/>
        <item x="108"/>
        <item x="109"/>
        <item x="110"/>
        <item x="112"/>
        <item x="111"/>
        <item x="114"/>
        <item x="115"/>
        <item x="113"/>
        <item x="116"/>
        <item x="117"/>
        <item x="119"/>
        <item x="118"/>
        <item x="121"/>
        <item x="120"/>
        <item x="122"/>
        <item x="124"/>
        <item x="123"/>
        <item x="125"/>
        <item x="126"/>
        <item x="127"/>
        <item x="128"/>
        <item x="129"/>
        <item x="130"/>
        <item x="131"/>
        <item x="132"/>
        <item x="133"/>
        <item x="134"/>
        <item x="135"/>
        <item x="136"/>
        <item x="137"/>
        <item x="138"/>
        <item x="139"/>
        <item x="140"/>
        <item m="1" x="193"/>
        <item x="141"/>
        <item m="1" x="201"/>
        <item m="1" x="198"/>
        <item m="1" x="195"/>
        <item x="142"/>
        <item x="144"/>
        <item x="145"/>
        <item x="147"/>
        <item m="1" x="200"/>
        <item x="146"/>
        <item x="143"/>
        <item x="148"/>
        <item x="149"/>
        <item x="151"/>
        <item x="150"/>
        <item x="153"/>
        <item x="152"/>
        <item x="154"/>
        <item x="155"/>
        <item x="156"/>
        <item x="158"/>
        <item x="160"/>
        <item x="159"/>
        <item x="157"/>
        <item x="161"/>
        <item x="69"/>
        <item x="76"/>
        <item x="78"/>
        <item x="164"/>
        <item x="165"/>
        <item x="162"/>
        <item x="163"/>
        <item x="166"/>
        <item x="167"/>
        <item x="168"/>
        <item x="169"/>
        <item x="171"/>
        <item x="170"/>
        <item x="172"/>
        <item x="173"/>
        <item x="177"/>
        <item x="175"/>
        <item x="174"/>
        <item x="176"/>
        <item x="179"/>
        <item x="178"/>
        <item x="180"/>
        <item x="181"/>
        <item m="1" x="196"/>
        <item x="182"/>
        <item x="183"/>
        <item x="187"/>
        <item x="184"/>
        <item x="185"/>
        <item x="186"/>
        <item x="188"/>
        <item x="189"/>
        <item x="190"/>
        <item x="191"/>
        <item x="192"/>
      </items>
    </pivotField>
    <pivotField showAll="0" defaultSubtotal="0"/>
    <pivotField showAll="0" defaultSubtotal="0"/>
    <pivotField numFmtId="14" showAll="0" defaultSubtotal="0"/>
    <pivotField showAll="0" defaultSubtotal="0"/>
    <pivotField showAll="0" defaultSubtotal="0"/>
    <pivotField dragToRow="0" dragToCol="0" dragToPage="0" showAll="0" defaultSubtotal="0"/>
  </pivotFields>
  <rowFields count="5">
    <field x="0"/>
    <field x="1"/>
    <field x="15"/>
    <field x="16"/>
    <field x="17"/>
  </rowFields>
  <rowItems count="6">
    <i>
      <x v="733"/>
      <x v="530"/>
      <x v="253"/>
      <x v="22"/>
      <x v="188"/>
    </i>
    <i>
      <x v="736"/>
      <x v="533"/>
      <x v="254"/>
      <x v="96"/>
      <x v="46"/>
    </i>
    <i>
      <x v="743"/>
      <x v="540"/>
      <x v="257"/>
      <x v="19"/>
      <x v="198"/>
    </i>
    <i>
      <x v="745"/>
      <x v="542"/>
      <x v="257"/>
      <x v="152"/>
      <x v="33"/>
    </i>
    <i>
      <x v="748"/>
      <x v="544"/>
      <x v="258"/>
      <x v="9"/>
      <x v="28"/>
    </i>
    <i t="grand">
      <x/>
    </i>
  </rowItems>
  <colItems count="1">
    <i/>
  </colItems>
  <pageFields count="2">
    <pageField fld="12" hier="-1"/>
    <pageField fld="13" hier="-1"/>
  </pageFields>
  <dataFields count="1">
    <dataField name=" PayDriver" fld="9" baseField="17" baseItem="188"/>
  </dataFields>
  <formats count="143">
    <format dxfId="985">
      <pivotArea outline="0" collapsedLevelsAreSubtotals="1" fieldPosition="0"/>
    </format>
    <format dxfId="984">
      <pivotArea dataOnly="0" labelOnly="1" outline="0" axis="axisValues" fieldPosition="0"/>
    </format>
    <format dxfId="983">
      <pivotArea grandRow="1" outline="0" collapsedLevelsAreSubtotals="1" fieldPosition="0"/>
    </format>
    <format dxfId="982">
      <pivotArea dataOnly="0" labelOnly="1" grandRow="1" outline="0" fieldPosition="0"/>
    </format>
    <format dxfId="981">
      <pivotArea field="4" type="button" dataOnly="0" labelOnly="1" outline="0"/>
    </format>
    <format dxfId="980">
      <pivotArea dataOnly="0" labelOnly="1" fieldPosition="0">
        <references count="1">
          <reference field="0" count="1">
            <x v="1"/>
          </reference>
        </references>
      </pivotArea>
    </format>
    <format dxfId="979">
      <pivotArea dataOnly="0" labelOnly="1" fieldPosition="0">
        <references count="2">
          <reference field="0" count="1" selected="0">
            <x v="1"/>
          </reference>
          <reference field="15" count="1">
            <x v="31"/>
          </reference>
        </references>
      </pivotArea>
    </format>
    <format dxfId="978">
      <pivotArea dataOnly="0" labelOnly="1" fieldPosition="0">
        <references count="3">
          <reference field="0" count="1" selected="0">
            <x v="1"/>
          </reference>
          <reference field="15" count="1" selected="0">
            <x v="31"/>
          </reference>
          <reference field="16" count="1">
            <x v="5"/>
          </reference>
        </references>
      </pivotArea>
    </format>
    <format dxfId="977">
      <pivotArea dataOnly="0" labelOnly="1" fieldPosition="0">
        <references count="1">
          <reference field="0" count="1">
            <x v="7"/>
          </reference>
        </references>
      </pivotArea>
    </format>
    <format dxfId="976">
      <pivotArea dataOnly="0" labelOnly="1" fieldPosition="0">
        <references count="1">
          <reference field="0" count="8">
            <x v="0"/>
            <x v="1"/>
            <x v="2"/>
            <x v="3"/>
            <x v="4"/>
            <x v="5"/>
            <x v="6"/>
            <x v="7"/>
          </reference>
        </references>
      </pivotArea>
    </format>
    <format dxfId="975">
      <pivotArea dataOnly="0" labelOnly="1" fieldPosition="0">
        <references count="2">
          <reference field="0" count="1" selected="0">
            <x v="0"/>
          </reference>
          <reference field="15" count="1">
            <x v="20"/>
          </reference>
        </references>
      </pivotArea>
    </format>
    <format dxfId="974">
      <pivotArea dataOnly="0" labelOnly="1" fieldPosition="0">
        <references count="2">
          <reference field="0" count="1" selected="0">
            <x v="1"/>
          </reference>
          <reference field="15" count="1">
            <x v="31"/>
          </reference>
        </references>
      </pivotArea>
    </format>
    <format dxfId="973">
      <pivotArea dataOnly="0" labelOnly="1" fieldPosition="0">
        <references count="2">
          <reference field="0" count="1" selected="0">
            <x v="2"/>
          </reference>
          <reference field="15" count="1">
            <x v="4"/>
          </reference>
        </references>
      </pivotArea>
    </format>
    <format dxfId="972">
      <pivotArea dataOnly="0" labelOnly="1" fieldPosition="0">
        <references count="2">
          <reference field="0" count="1" selected="0">
            <x v="3"/>
          </reference>
          <reference field="15" count="1">
            <x v="17"/>
          </reference>
        </references>
      </pivotArea>
    </format>
    <format dxfId="971">
      <pivotArea dataOnly="0" labelOnly="1" fieldPosition="0">
        <references count="2">
          <reference field="0" count="1" selected="0">
            <x v="4"/>
          </reference>
          <reference field="15" count="1">
            <x v="6"/>
          </reference>
        </references>
      </pivotArea>
    </format>
    <format dxfId="970">
      <pivotArea dataOnly="0" labelOnly="1" fieldPosition="0">
        <references count="2">
          <reference field="0" count="1" selected="0">
            <x v="5"/>
          </reference>
          <reference field="15" count="1">
            <x v="7"/>
          </reference>
        </references>
      </pivotArea>
    </format>
    <format dxfId="969">
      <pivotArea dataOnly="0" labelOnly="1" fieldPosition="0">
        <references count="2">
          <reference field="0" count="1" selected="0">
            <x v="6"/>
          </reference>
          <reference field="15" count="1">
            <x v="20"/>
          </reference>
        </references>
      </pivotArea>
    </format>
    <format dxfId="968">
      <pivotArea dataOnly="0" labelOnly="1" fieldPosition="0">
        <references count="2">
          <reference field="0" count="1" selected="0">
            <x v="7"/>
          </reference>
          <reference field="15" count="1">
            <x v="36"/>
          </reference>
        </references>
      </pivotArea>
    </format>
    <format dxfId="967">
      <pivotArea dataOnly="0" labelOnly="1" fieldPosition="0">
        <references count="3">
          <reference field="0" count="1" selected="0">
            <x v="0"/>
          </reference>
          <reference field="15" count="1" selected="0">
            <x v="20"/>
          </reference>
          <reference field="16" count="1">
            <x v="10"/>
          </reference>
        </references>
      </pivotArea>
    </format>
    <format dxfId="966">
      <pivotArea dataOnly="0" labelOnly="1" fieldPosition="0">
        <references count="3">
          <reference field="0" count="1" selected="0">
            <x v="1"/>
          </reference>
          <reference field="15" count="1" selected="0">
            <x v="31"/>
          </reference>
          <reference field="16" count="1">
            <x v="5"/>
          </reference>
        </references>
      </pivotArea>
    </format>
    <format dxfId="965">
      <pivotArea dataOnly="0" labelOnly="1" fieldPosition="0">
        <references count="3">
          <reference field="0" count="1" selected="0">
            <x v="2"/>
          </reference>
          <reference field="15" count="1" selected="0">
            <x v="4"/>
          </reference>
          <reference field="16" count="1">
            <x v="13"/>
          </reference>
        </references>
      </pivotArea>
    </format>
    <format dxfId="964">
      <pivotArea dataOnly="0" labelOnly="1" fieldPosition="0">
        <references count="3">
          <reference field="0" count="1" selected="0">
            <x v="3"/>
          </reference>
          <reference field="15" count="1" selected="0">
            <x v="17"/>
          </reference>
          <reference field="16" count="1">
            <x v="31"/>
          </reference>
        </references>
      </pivotArea>
    </format>
    <format dxfId="963">
      <pivotArea dataOnly="0" labelOnly="1" fieldPosition="0">
        <references count="3">
          <reference field="0" count="1" selected="0">
            <x v="4"/>
          </reference>
          <reference field="15" count="1" selected="0">
            <x v="6"/>
          </reference>
          <reference field="16" count="1">
            <x v="18"/>
          </reference>
        </references>
      </pivotArea>
    </format>
    <format dxfId="962">
      <pivotArea dataOnly="0" labelOnly="1" fieldPosition="0">
        <references count="3">
          <reference field="0" count="1" selected="0">
            <x v="5"/>
          </reference>
          <reference field="15" count="1" selected="0">
            <x v="7"/>
          </reference>
          <reference field="16" count="1">
            <x v="21"/>
          </reference>
        </references>
      </pivotArea>
    </format>
    <format dxfId="961">
      <pivotArea dataOnly="0" labelOnly="1" fieldPosition="0">
        <references count="3">
          <reference field="0" count="1" selected="0">
            <x v="6"/>
          </reference>
          <reference field="15" count="1" selected="0">
            <x v="20"/>
          </reference>
          <reference field="16" count="1">
            <x v="8"/>
          </reference>
        </references>
      </pivotArea>
    </format>
    <format dxfId="960">
      <pivotArea dataOnly="0" labelOnly="1" fieldPosition="0">
        <references count="3">
          <reference field="0" count="1" selected="0">
            <x v="7"/>
          </reference>
          <reference field="15" count="1" selected="0">
            <x v="36"/>
          </reference>
          <reference field="16" count="1">
            <x v="16"/>
          </reference>
        </references>
      </pivotArea>
    </format>
    <format dxfId="959">
      <pivotArea grandRow="1" outline="0" collapsedLevelsAreSubtotals="1" fieldPosition="0"/>
    </format>
    <format dxfId="958">
      <pivotArea dataOnly="0" labelOnly="1" grandRow="1" outline="0" fieldPosition="0"/>
    </format>
    <format dxfId="957">
      <pivotArea dataOnly="0" outline="0" axis="axisValues" fieldPosition="0"/>
    </format>
    <format dxfId="956">
      <pivotArea outline="0" collapsedLevelsAreSubtotals="1" fieldPosition="0"/>
    </format>
    <format dxfId="955">
      <pivotArea dataOnly="0" labelOnly="1" outline="0" axis="axisValues" fieldPosition="0"/>
    </format>
    <format dxfId="954">
      <pivotArea type="all" dataOnly="0" outline="0" fieldPosition="0"/>
    </format>
    <format dxfId="953">
      <pivotArea outline="0" collapsedLevelsAreSubtotals="1" fieldPosition="0"/>
    </format>
    <format dxfId="952">
      <pivotArea dataOnly="0" labelOnly="1" outline="0" axis="axisValues" fieldPosition="0"/>
    </format>
    <format dxfId="951">
      <pivotArea dataOnly="0" labelOnly="1" grandRow="1" outline="0" fieldPosition="0"/>
    </format>
    <format dxfId="950">
      <pivotArea type="all" dataOnly="0" outline="0" fieldPosition="0"/>
    </format>
    <format dxfId="949">
      <pivotArea outline="0" collapsedLevelsAreSubtotals="1" fieldPosition="0"/>
    </format>
    <format dxfId="948">
      <pivotArea field="0" type="button" dataOnly="0" labelOnly="1" outline="0" axis="axisRow" fieldPosition="0"/>
    </format>
    <format dxfId="947">
      <pivotArea field="15" type="button" dataOnly="0" labelOnly="1" outline="0" axis="axisRow" fieldPosition="2"/>
    </format>
    <format dxfId="946">
      <pivotArea field="14" type="button" dataOnly="0" labelOnly="1" outline="0"/>
    </format>
    <format dxfId="945">
      <pivotArea field="16" type="button" dataOnly="0" labelOnly="1" outline="0" axis="axisRow" fieldPosition="3"/>
    </format>
    <format dxfId="944">
      <pivotArea field="17" type="button" dataOnly="0" labelOnly="1" outline="0" axis="axisRow" fieldPosition="4"/>
    </format>
    <format dxfId="943">
      <pivotArea dataOnly="0" labelOnly="1" outline="0" axis="axisValues" fieldPosition="0"/>
    </format>
    <format dxfId="942">
      <pivotArea dataOnly="0" labelOnly="1" fieldPosition="0">
        <references count="1">
          <reference field="0" count="4">
            <x v="9"/>
            <x v="17"/>
            <x v="18"/>
            <x v="21"/>
          </reference>
        </references>
      </pivotArea>
    </format>
    <format dxfId="941">
      <pivotArea dataOnly="0" labelOnly="1" grandRow="1" outline="0" fieldPosition="0"/>
    </format>
    <format dxfId="940">
      <pivotArea dataOnly="0" labelOnly="1" fieldPosition="0">
        <references count="2">
          <reference field="0" count="1" selected="0">
            <x v="9"/>
          </reference>
          <reference field="15" count="1">
            <x v="63"/>
          </reference>
        </references>
      </pivotArea>
    </format>
    <format dxfId="939">
      <pivotArea dataOnly="0" labelOnly="1" fieldPosition="0">
        <references count="2">
          <reference field="0" count="1" selected="0">
            <x v="17"/>
          </reference>
          <reference field="15" count="1">
            <x v="61"/>
          </reference>
        </references>
      </pivotArea>
    </format>
    <format dxfId="938">
      <pivotArea dataOnly="0" labelOnly="1" fieldPosition="0">
        <references count="2">
          <reference field="0" count="1" selected="0">
            <x v="18"/>
          </reference>
          <reference field="15" count="1">
            <x v="66"/>
          </reference>
        </references>
      </pivotArea>
    </format>
    <format dxfId="937">
      <pivotArea dataOnly="0" labelOnly="1" outline="0" axis="axisValues" fieldPosition="0"/>
    </format>
    <format dxfId="936">
      <pivotArea type="all" dataOnly="0" outline="0" fieldPosition="0"/>
    </format>
    <format dxfId="935">
      <pivotArea outline="0" collapsedLevelsAreSubtotals="1" fieldPosition="0"/>
    </format>
    <format dxfId="934">
      <pivotArea field="0" type="button" dataOnly="0" labelOnly="1" outline="0" axis="axisRow" fieldPosition="0"/>
    </format>
    <format dxfId="933">
      <pivotArea field="15" type="button" dataOnly="0" labelOnly="1" outline="0" axis="axisRow" fieldPosition="2"/>
    </format>
    <format dxfId="932">
      <pivotArea field="14" type="button" dataOnly="0" labelOnly="1" outline="0"/>
    </format>
    <format dxfId="931">
      <pivotArea field="16" type="button" dataOnly="0" labelOnly="1" outline="0" axis="axisRow" fieldPosition="3"/>
    </format>
    <format dxfId="930">
      <pivotArea field="17" type="button" dataOnly="0" labelOnly="1" outline="0" axis="axisRow" fieldPosition="4"/>
    </format>
    <format dxfId="929">
      <pivotArea dataOnly="0" labelOnly="1" outline="0" axis="axisValues" fieldPosition="0"/>
    </format>
    <format dxfId="928">
      <pivotArea dataOnly="0" labelOnly="1" fieldPosition="0">
        <references count="1">
          <reference field="0" count="4">
            <x v="9"/>
            <x v="17"/>
            <x v="18"/>
            <x v="21"/>
          </reference>
        </references>
      </pivotArea>
    </format>
    <format dxfId="927">
      <pivotArea dataOnly="0" labelOnly="1" grandRow="1" outline="0" fieldPosition="0"/>
    </format>
    <format dxfId="926">
      <pivotArea dataOnly="0" labelOnly="1" fieldPosition="0">
        <references count="2">
          <reference field="0" count="1" selected="0">
            <x v="9"/>
          </reference>
          <reference field="15" count="1">
            <x v="63"/>
          </reference>
        </references>
      </pivotArea>
    </format>
    <format dxfId="925">
      <pivotArea dataOnly="0" labelOnly="1" fieldPosition="0">
        <references count="2">
          <reference field="0" count="1" selected="0">
            <x v="17"/>
          </reference>
          <reference field="15" count="1">
            <x v="61"/>
          </reference>
        </references>
      </pivotArea>
    </format>
    <format dxfId="924">
      <pivotArea dataOnly="0" labelOnly="1" fieldPosition="0">
        <references count="2">
          <reference field="0" count="1" selected="0">
            <x v="18"/>
          </reference>
          <reference field="15" count="1">
            <x v="66"/>
          </reference>
        </references>
      </pivotArea>
    </format>
    <format dxfId="923">
      <pivotArea dataOnly="0" labelOnly="1" outline="0" axis="axisValues" fieldPosition="0"/>
    </format>
    <format dxfId="922">
      <pivotArea type="all" dataOnly="0" outline="0" fieldPosition="0"/>
    </format>
    <format dxfId="921">
      <pivotArea outline="0" collapsedLevelsAreSubtotals="1" fieldPosition="0"/>
    </format>
    <format dxfId="920">
      <pivotArea field="0" type="button" dataOnly="0" labelOnly="1" outline="0" axis="axisRow" fieldPosition="0"/>
    </format>
    <format dxfId="919">
      <pivotArea field="15" type="button" dataOnly="0" labelOnly="1" outline="0" axis="axisRow" fieldPosition="2"/>
    </format>
    <format dxfId="918">
      <pivotArea field="14" type="button" dataOnly="0" labelOnly="1" outline="0"/>
    </format>
    <format dxfId="917">
      <pivotArea field="16" type="button" dataOnly="0" labelOnly="1" outline="0" axis="axisRow" fieldPosition="3"/>
    </format>
    <format dxfId="916">
      <pivotArea field="17" type="button" dataOnly="0" labelOnly="1" outline="0" axis="axisRow" fieldPosition="4"/>
    </format>
    <format dxfId="915">
      <pivotArea dataOnly="0" labelOnly="1" outline="0" axis="axisValues" fieldPosition="0"/>
    </format>
    <format dxfId="914">
      <pivotArea dataOnly="0" labelOnly="1" fieldPosition="0">
        <references count="1">
          <reference field="0" count="4">
            <x v="9"/>
            <x v="17"/>
            <x v="18"/>
            <x v="21"/>
          </reference>
        </references>
      </pivotArea>
    </format>
    <format dxfId="913">
      <pivotArea dataOnly="0" labelOnly="1" grandRow="1" outline="0" fieldPosition="0"/>
    </format>
    <format dxfId="912">
      <pivotArea dataOnly="0" labelOnly="1" fieldPosition="0">
        <references count="2">
          <reference field="0" count="1" selected="0">
            <x v="9"/>
          </reference>
          <reference field="15" count="1">
            <x v="63"/>
          </reference>
        </references>
      </pivotArea>
    </format>
    <format dxfId="911">
      <pivotArea dataOnly="0" labelOnly="1" fieldPosition="0">
        <references count="2">
          <reference field="0" count="1" selected="0">
            <x v="17"/>
          </reference>
          <reference field="15" count="1">
            <x v="61"/>
          </reference>
        </references>
      </pivotArea>
    </format>
    <format dxfId="910">
      <pivotArea dataOnly="0" labelOnly="1" fieldPosition="0">
        <references count="2">
          <reference field="0" count="1" selected="0">
            <x v="18"/>
          </reference>
          <reference field="15" count="1">
            <x v="66"/>
          </reference>
        </references>
      </pivotArea>
    </format>
    <format dxfId="909">
      <pivotArea dataOnly="0" labelOnly="1" outline="0" axis="axisValues" fieldPosition="0"/>
    </format>
    <format dxfId="908">
      <pivotArea dataOnly="0" labelOnly="1" fieldPosition="0">
        <references count="2">
          <reference field="0" count="1" selected="0">
            <x v="20"/>
          </reference>
          <reference field="1" count="1">
            <x v="111"/>
          </reference>
        </references>
      </pivotArea>
    </format>
    <format dxfId="907">
      <pivotArea type="all" dataOnly="0" outline="0" fieldPosition="0"/>
    </format>
    <format dxfId="906">
      <pivotArea outline="0" collapsedLevelsAreSubtotals="1" fieldPosition="0"/>
    </format>
    <format dxfId="905">
      <pivotArea field="0" type="button" dataOnly="0" labelOnly="1" outline="0" axis="axisRow" fieldPosition="0"/>
    </format>
    <format dxfId="904">
      <pivotArea field="1" type="button" dataOnly="0" labelOnly="1" outline="0" axis="axisRow" fieldPosition="1"/>
    </format>
    <format dxfId="903">
      <pivotArea field="15" type="button" dataOnly="0" labelOnly="1" outline="0" axis="axisRow" fieldPosition="2"/>
    </format>
    <format dxfId="902">
      <pivotArea field="14" type="button" dataOnly="0" labelOnly="1" outline="0"/>
    </format>
    <format dxfId="901">
      <pivotArea field="16" type="button" dataOnly="0" labelOnly="1" outline="0" axis="axisRow" fieldPosition="3"/>
    </format>
    <format dxfId="900">
      <pivotArea field="17" type="button" dataOnly="0" labelOnly="1" outline="0" axis="axisRow" fieldPosition="4"/>
    </format>
    <format dxfId="899">
      <pivotArea dataOnly="0" labelOnly="1" outline="0" axis="axisValues" fieldPosition="0"/>
    </format>
    <format dxfId="898">
      <pivotArea dataOnly="0" labelOnly="1" grandRow="1" outline="0" fieldPosition="0"/>
    </format>
    <format dxfId="897">
      <pivotArea dataOnly="0" labelOnly="1" outline="0" axis="axisValues" fieldPosition="0"/>
    </format>
    <format dxfId="896">
      <pivotArea dataOnly="0" labelOnly="1" fieldPosition="0">
        <references count="2">
          <reference field="0" count="1" selected="0">
            <x v="24"/>
          </reference>
          <reference field="1" count="1">
            <x v="129"/>
          </reference>
        </references>
      </pivotArea>
    </format>
    <format dxfId="895">
      <pivotArea dataOnly="0" labelOnly="1" fieldPosition="0">
        <references count="2">
          <reference field="0" count="1" selected="0">
            <x v="25"/>
          </reference>
          <reference field="1" count="1">
            <x v="130"/>
          </reference>
        </references>
      </pivotArea>
    </format>
    <format dxfId="894">
      <pivotArea dataOnly="0" labelOnly="1" fieldPosition="0">
        <references count="2">
          <reference field="0" count="1" selected="0">
            <x v="24"/>
          </reference>
          <reference field="1" count="1">
            <x v="129"/>
          </reference>
        </references>
      </pivotArea>
    </format>
    <format dxfId="893">
      <pivotArea dataOnly="0" labelOnly="1" fieldPosition="0">
        <references count="2">
          <reference field="0" count="1" selected="0">
            <x v="25"/>
          </reference>
          <reference field="1" count="1">
            <x v="130"/>
          </reference>
        </references>
      </pivotArea>
    </format>
    <format dxfId="892">
      <pivotArea dataOnly="0" labelOnly="1" fieldPosition="0">
        <references count="2">
          <reference field="0" count="1" selected="0">
            <x v="24"/>
          </reference>
          <reference field="1" count="1">
            <x v="129"/>
          </reference>
        </references>
      </pivotArea>
    </format>
    <format dxfId="891">
      <pivotArea dataOnly="0" labelOnly="1" fieldPosition="0">
        <references count="2">
          <reference field="0" count="1" selected="0">
            <x v="25"/>
          </reference>
          <reference field="1" count="1">
            <x v="130"/>
          </reference>
        </references>
      </pivotArea>
    </format>
    <format dxfId="890">
      <pivotArea type="all" dataOnly="0" outline="0" fieldPosition="0"/>
    </format>
    <format dxfId="889">
      <pivotArea outline="0" collapsedLevelsAreSubtotals="1" fieldPosition="0"/>
    </format>
    <format dxfId="888">
      <pivotArea dataOnly="0" labelOnly="1" outline="0" axis="axisValues" fieldPosition="0"/>
    </format>
    <format dxfId="887">
      <pivotArea dataOnly="0" labelOnly="1" fieldPosition="0">
        <references count="1">
          <reference field="0" count="4">
            <x v="63"/>
            <x v="65"/>
            <x v="66"/>
            <x v="67"/>
          </reference>
        </references>
      </pivotArea>
    </format>
    <format dxfId="886">
      <pivotArea dataOnly="0" labelOnly="1" grandRow="1" outline="0" fieldPosition="0"/>
    </format>
    <format dxfId="885">
      <pivotArea dataOnly="0" labelOnly="1" fieldPosition="0">
        <references count="2">
          <reference field="0" count="1" selected="0">
            <x v="63"/>
          </reference>
          <reference field="1" count="1">
            <x v="193"/>
          </reference>
        </references>
      </pivotArea>
    </format>
    <format dxfId="884">
      <pivotArea dataOnly="0" labelOnly="1" fieldPosition="0">
        <references count="2">
          <reference field="0" count="1" selected="0">
            <x v="65"/>
          </reference>
          <reference field="1" count="1">
            <x v="196"/>
          </reference>
        </references>
      </pivotArea>
    </format>
    <format dxfId="883">
      <pivotArea dataOnly="0" labelOnly="1" fieldPosition="0">
        <references count="2">
          <reference field="0" count="1" selected="0">
            <x v="66"/>
          </reference>
          <reference field="1" count="1">
            <x v="197"/>
          </reference>
        </references>
      </pivotArea>
    </format>
    <format dxfId="882">
      <pivotArea dataOnly="0" labelOnly="1" fieldPosition="0">
        <references count="2">
          <reference field="0" count="1" selected="0">
            <x v="67"/>
          </reference>
          <reference field="1" count="1">
            <x v="198"/>
          </reference>
        </references>
      </pivotArea>
    </format>
    <format dxfId="881">
      <pivotArea type="all" dataOnly="0" outline="0" fieldPosition="0"/>
    </format>
    <format dxfId="880">
      <pivotArea dataOnly="0" labelOnly="1" outline="0" axis="axisValues" fieldPosition="0"/>
    </format>
    <format dxfId="879">
      <pivotArea dataOnly="0" labelOnly="1" fieldPosition="0">
        <references count="1">
          <reference field="0" count="3">
            <x v="102"/>
            <x v="103"/>
            <x v="104"/>
          </reference>
        </references>
      </pivotArea>
    </format>
    <format dxfId="878">
      <pivotArea dataOnly="0" labelOnly="1" fieldPosition="0">
        <references count="2">
          <reference field="0" count="1" selected="0">
            <x v="102"/>
          </reference>
          <reference field="1" count="1">
            <x v="225"/>
          </reference>
        </references>
      </pivotArea>
    </format>
    <format dxfId="877">
      <pivotArea dataOnly="0" labelOnly="1" fieldPosition="0">
        <references count="2">
          <reference field="0" count="1" selected="0">
            <x v="103"/>
          </reference>
          <reference field="1" count="1">
            <x v="226"/>
          </reference>
        </references>
      </pivotArea>
    </format>
    <format dxfId="876">
      <pivotArea dataOnly="0" labelOnly="1" fieldPosition="0">
        <references count="2">
          <reference field="0" count="1" selected="0">
            <x v="104"/>
          </reference>
          <reference field="1" count="1">
            <x v="228"/>
          </reference>
        </references>
      </pivotArea>
    </format>
    <format dxfId="875">
      <pivotArea type="all" dataOnly="0" outline="0" fieldPosition="0"/>
    </format>
    <format dxfId="874">
      <pivotArea dataOnly="0" labelOnly="1" outline="0" axis="axisValues" fieldPosition="0"/>
    </format>
    <format dxfId="873">
      <pivotArea dataOnly="0" labelOnly="1" fieldPosition="0">
        <references count="1">
          <reference field="0" count="3">
            <x v="102"/>
            <x v="103"/>
            <x v="104"/>
          </reference>
        </references>
      </pivotArea>
    </format>
    <format dxfId="872">
      <pivotArea dataOnly="0" labelOnly="1" fieldPosition="0">
        <references count="2">
          <reference field="0" count="1" selected="0">
            <x v="102"/>
          </reference>
          <reference field="1" count="1">
            <x v="225"/>
          </reference>
        </references>
      </pivotArea>
    </format>
    <format dxfId="871">
      <pivotArea dataOnly="0" labelOnly="1" fieldPosition="0">
        <references count="2">
          <reference field="0" count="1" selected="0">
            <x v="103"/>
          </reference>
          <reference field="1" count="1">
            <x v="226"/>
          </reference>
        </references>
      </pivotArea>
    </format>
    <format dxfId="870">
      <pivotArea dataOnly="0" labelOnly="1" fieldPosition="0">
        <references count="2">
          <reference field="0" count="1" selected="0">
            <x v="104"/>
          </reference>
          <reference field="1" count="1">
            <x v="228"/>
          </reference>
        </references>
      </pivotArea>
    </format>
    <format dxfId="869">
      <pivotArea dataOnly="0" labelOnly="1" outline="0" axis="axisValues" fieldPosition="0"/>
    </format>
    <format dxfId="868">
      <pivotArea type="all" dataOnly="0" outline="0" fieldPosition="0"/>
    </format>
    <format dxfId="867">
      <pivotArea type="all" dataOnly="0" outline="0" fieldPosition="0"/>
    </format>
    <format dxfId="866">
      <pivotArea type="all" dataOnly="0" outline="0" fieldPosition="0"/>
    </format>
    <format dxfId="865">
      <pivotArea outline="0" collapsedLevelsAreSubtotals="1" fieldPosition="0"/>
    </format>
    <format dxfId="864">
      <pivotArea dataOnly="0" labelOnly="1" outline="0" axis="axisValues" fieldPosition="0"/>
    </format>
    <format dxfId="863">
      <pivotArea dataOnly="0" labelOnly="1" fieldPosition="0">
        <references count="1">
          <reference field="0" count="5">
            <x v="647"/>
            <x v="652"/>
            <x v="655"/>
            <x v="658"/>
            <x v="661"/>
          </reference>
        </references>
      </pivotArea>
    </format>
    <format dxfId="862">
      <pivotArea dataOnly="0" labelOnly="1" grandRow="1" outline="0" fieldPosition="0"/>
    </format>
    <format dxfId="861">
      <pivotArea dataOnly="0" labelOnly="1" fieldPosition="0">
        <references count="2">
          <reference field="0" count="1" selected="0">
            <x v="647"/>
          </reference>
          <reference field="1" count="1">
            <x v="442"/>
          </reference>
        </references>
      </pivotArea>
    </format>
    <format dxfId="860">
      <pivotArea dataOnly="0" labelOnly="1" fieldPosition="0">
        <references count="2">
          <reference field="0" count="1" selected="0">
            <x v="652"/>
          </reference>
          <reference field="1" count="1">
            <x v="447"/>
          </reference>
        </references>
      </pivotArea>
    </format>
    <format dxfId="859">
      <pivotArea dataOnly="0" labelOnly="1" fieldPosition="0">
        <references count="2">
          <reference field="0" count="1" selected="0">
            <x v="655"/>
          </reference>
          <reference field="1" count="1">
            <x v="450"/>
          </reference>
        </references>
      </pivotArea>
    </format>
    <format dxfId="858">
      <pivotArea dataOnly="0" labelOnly="1" fieldPosition="0">
        <references count="2">
          <reference field="0" count="1" selected="0">
            <x v="658"/>
          </reference>
          <reference field="1" count="1">
            <x v="453"/>
          </reference>
        </references>
      </pivotArea>
    </format>
    <format dxfId="857">
      <pivotArea dataOnly="0" labelOnly="1" fieldPosition="0">
        <references count="2">
          <reference field="0" count="1" selected="0">
            <x v="661"/>
          </reference>
          <reference field="1" count="1">
            <x v="456"/>
          </reference>
        </references>
      </pivotArea>
    </format>
    <format dxfId="856">
      <pivotArea type="all" dataOnly="0" outline="0" fieldPosition="0"/>
    </format>
    <format dxfId="855">
      <pivotArea outline="0" collapsedLevelsAreSubtotals="1" fieldPosition="0"/>
    </format>
    <format dxfId="854">
      <pivotArea field="0" type="button" dataOnly="0" labelOnly="1" outline="0" axis="axisRow" fieldPosition="0"/>
    </format>
    <format dxfId="853">
      <pivotArea field="1" type="button" dataOnly="0" labelOnly="1" outline="0" axis="axisRow" fieldPosition="1"/>
    </format>
    <format dxfId="852">
      <pivotArea field="14" type="button" dataOnly="0" labelOnly="1" outline="0"/>
    </format>
    <format dxfId="851">
      <pivotArea field="15" type="button" dataOnly="0" labelOnly="1" outline="0" axis="axisRow" fieldPosition="2"/>
    </format>
    <format dxfId="850">
      <pivotArea field="16" type="button" dataOnly="0" labelOnly="1" outline="0" axis="axisRow" fieldPosition="3"/>
    </format>
    <format dxfId="849">
      <pivotArea field="17" type="button" dataOnly="0" labelOnly="1" outline="0" axis="axisRow" fieldPosition="4"/>
    </format>
    <format dxfId="848">
      <pivotArea dataOnly="0" labelOnly="1" outline="0" axis="axisValues" fieldPosition="0"/>
    </format>
    <format dxfId="847">
      <pivotArea dataOnly="0" labelOnly="1" fieldPosition="0">
        <references count="1">
          <reference field="0" count="1">
            <x v="666"/>
          </reference>
        </references>
      </pivotArea>
    </format>
    <format dxfId="846">
      <pivotArea dataOnly="0" labelOnly="1" grandRow="1" outline="0" fieldPosition="0"/>
    </format>
    <format dxfId="845">
      <pivotArea dataOnly="0" labelOnly="1" fieldPosition="0">
        <references count="2">
          <reference field="0" count="1" selected="0">
            <x v="666"/>
          </reference>
          <reference field="1" count="1">
            <x v="460"/>
          </reference>
        </references>
      </pivotArea>
    </format>
    <format dxfId="844">
      <pivotArea dataOnly="0" labelOnly="1" outline="0" axis="axisValues" fieldPosition="0"/>
    </format>
    <format dxfId="843">
      <pivotArea dataOnly="0" labelOnly="1" fieldPosition="0">
        <references count="2">
          <reference field="0" count="1" selected="0">
            <x v="708"/>
          </reference>
          <reference field="1" count="1">
            <x v="50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3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Insurance Provider">
  <location ref="A23:B25" firstHeaderRow="1" firstDataRow="1" firstDataCol="1" rowPageCount="1" colPageCount="1"/>
  <pivotFields count="43">
    <pivotField outline="0" multipleItemSelectionAllowed="1" showAll="0" defaultSubtotal="0"/>
    <pivotField showAll="0"/>
    <pivotField axis="axisPage" outline="0" multipleItemSelectionAllowed="1" showAll="0" defaultSubtotal="0">
      <items count="13">
        <item h="1" x="12"/>
        <item h="1" x="3"/>
        <item h="1" x="11"/>
        <item h="1" x="9"/>
        <item h="1" x="10"/>
        <item h="1" x="4"/>
        <item h="1" x="1"/>
        <item h="1" x="7"/>
        <item h="1" x="0"/>
        <item x="6"/>
        <item h="1" x="2"/>
        <item h="1" x="8"/>
        <item h="1" x="5"/>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m="1" x="5"/>
        <item x="4"/>
        <item x="2"/>
        <item x="0"/>
        <item x="1"/>
        <item x="3"/>
        <item t="default"/>
      </items>
    </pivotField>
    <pivotField showAll="0"/>
    <pivotField showAll="0"/>
    <pivotField showAll="0"/>
    <pivotField numFmtId="14" showAll="0"/>
    <pivotField numFmtId="14" showAll="0"/>
    <pivotField numFmtId="14" showAll="0"/>
    <pivotField showAll="0"/>
    <pivotField showAll="0"/>
    <pivotField showAll="0"/>
  </pivotFields>
  <rowFields count="1">
    <field x="33"/>
  </rowFields>
  <rowItems count="2">
    <i>
      <x v="5"/>
    </i>
    <i t="grand">
      <x/>
    </i>
  </rowItems>
  <colItems count="1">
    <i/>
  </colItems>
  <pageFields count="1">
    <pageField fld="2" hier="-1"/>
  </pageFields>
  <dataFields count="1">
    <dataField name="Insurance Premium" fld="11" baseField="0" baseItem="0"/>
  </dataFields>
  <formats count="2">
    <format dxfId="987">
      <pivotArea grandRow="1" outline="0" collapsedLevelsAreSubtotals="1" fieldPosition="0"/>
    </format>
    <format dxfId="986">
      <pivotArea dataOnly="0" grandRow="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Fill Date">
  <location ref="A17:D20" firstHeaderRow="1" firstDataRow="1" firstDataCol="3" rowPageCount="2" colPageCount="1"/>
  <pivotFields count="16">
    <pivotField axis="axisRow" numFmtId="14" outline="0" showAll="0" defaultSubtotal="0">
      <items count="127">
        <item m="1" x="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2"/>
        <item x="111"/>
        <item x="113"/>
        <item x="114"/>
        <item x="115"/>
        <item x="116"/>
        <item x="117"/>
        <item x="118"/>
        <item x="119"/>
        <item x="120"/>
        <item x="121"/>
        <item x="122"/>
        <item x="123"/>
        <item x="124"/>
        <item x="125"/>
      </items>
    </pivotField>
    <pivotField showAll="0"/>
    <pivotField axis="axisRow" showAll="0">
      <items count="6">
        <item x="1"/>
        <item x="0"/>
        <item x="2"/>
        <item x="3"/>
        <item x="4"/>
        <item t="default"/>
      </items>
    </pivotField>
    <pivotField showAll="0"/>
    <pivotField axis="axisPage" multipleItemSelectionAllowed="1" showAll="0">
      <items count="13">
        <item h="1" x="1"/>
        <item x="6"/>
        <item h="1" x="7"/>
        <item m="1" x="11"/>
        <item h="1" x="0"/>
        <item h="1" x="4"/>
        <item h="1" x="5"/>
        <item h="1" x="2"/>
        <item h="1" x="3"/>
        <item x="9"/>
        <item h="1" m="1" x="10"/>
        <item h="1" x="8"/>
        <item t="default"/>
      </items>
    </pivotField>
    <pivotField axis="axisRow" outline="0" showAll="0" defaultSubtotal="0">
      <items count="79">
        <item x="37"/>
        <item x="5"/>
        <item x="1"/>
        <item x="46"/>
        <item x="18"/>
        <item x="45"/>
        <item x="13"/>
        <item x="41"/>
        <item x="0"/>
        <item x="16"/>
        <item x="24"/>
        <item x="26"/>
        <item x="32"/>
        <item x="3"/>
        <item x="10"/>
        <item x="25"/>
        <item x="11"/>
        <item x="9"/>
        <item x="7"/>
        <item x="39"/>
        <item x="35"/>
        <item x="44"/>
        <item x="8"/>
        <item x="47"/>
        <item x="12"/>
        <item x="36"/>
        <item x="29"/>
        <item x="4"/>
        <item x="31"/>
        <item x="14"/>
        <item x="38"/>
        <item x="19"/>
        <item x="27"/>
        <item x="17"/>
        <item x="49"/>
        <item x="34"/>
        <item x="50"/>
        <item x="6"/>
        <item x="48"/>
        <item x="22"/>
        <item x="42"/>
        <item x="21"/>
        <item x="43"/>
        <item x="15"/>
        <item x="20"/>
        <item x="40"/>
        <item x="23"/>
        <item x="30"/>
        <item x="33"/>
        <item x="2"/>
        <item x="28"/>
        <item m="1" x="77"/>
        <item x="51"/>
        <item x="52"/>
        <item x="53"/>
        <item x="54"/>
        <item x="55"/>
        <item x="56"/>
        <item x="57"/>
        <item x="58"/>
        <item x="59"/>
        <item x="61"/>
        <item x="62"/>
        <item x="63"/>
        <item x="64"/>
        <item x="65"/>
        <item x="66"/>
        <item x="67"/>
        <item x="68"/>
        <item x="69"/>
        <item x="60"/>
        <item x="70"/>
        <item m="1" x="78"/>
        <item x="71"/>
        <item x="72"/>
        <item x="73"/>
        <item x="74"/>
        <item x="75"/>
        <item x="76"/>
      </items>
    </pivotField>
    <pivotField showAll="0" defaultSubtotal="0"/>
    <pivotField showAll="0"/>
    <pivotField showAll="0"/>
    <pivotField dataField="1" numFmtId="44" showAll="0"/>
    <pivotField multipleItemSelectionAllowed="1" showAll="0"/>
    <pivotField numFmtId="14" outline="0" showAll="0" defaultSubtotal="0"/>
    <pivotField axis="axisPage" numFmtId="14" multipleItemSelectionAllowed="1" showAll="0">
      <items count="4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x="44"/>
        <item h="1" x="45"/>
        <item t="default"/>
      </items>
    </pivotField>
    <pivotField showAll="0" defaultSubtotal="0"/>
    <pivotField showAll="0"/>
    <pivotField dragToRow="0" dragToCol="0" dragToPage="0" showAll="0" defaultSubtotal="0"/>
  </pivotFields>
  <rowFields count="3">
    <field x="0"/>
    <field x="5"/>
    <field x="2"/>
  </rowFields>
  <rowItems count="3">
    <i>
      <x v="119"/>
      <x v="58"/>
      <x v="2"/>
    </i>
    <i>
      <x v="120"/>
      <x v="23"/>
      <x v="2"/>
    </i>
    <i t="grand">
      <x/>
    </i>
  </rowItems>
  <colItems count="1">
    <i/>
  </colItems>
  <pageFields count="2">
    <pageField fld="4" hier="-1"/>
    <pageField fld="12" hier="-1"/>
  </pageFields>
  <dataFields count="1">
    <dataField name="Price" fld="9" baseField="11" baseItem="27" numFmtId="44"/>
  </dataFields>
  <formats count="9">
    <format dxfId="753">
      <pivotArea type="all" dataOnly="0" outline="0" fieldPosition="0"/>
    </format>
    <format dxfId="752">
      <pivotArea outline="0" collapsedLevelsAreSubtotals="1" fieldPosition="0"/>
    </format>
    <format dxfId="751">
      <pivotArea dataOnly="0" labelOnly="1" outline="0" axis="axisValues" fieldPosition="0"/>
    </format>
    <format dxfId="750">
      <pivotArea dataOnly="0" labelOnly="1" fieldPosition="0">
        <references count="1">
          <reference field="0" count="1">
            <x v="69"/>
          </reference>
        </references>
      </pivotArea>
    </format>
    <format dxfId="749">
      <pivotArea dataOnly="0" labelOnly="1" grandRow="1" outline="0" fieldPosition="0"/>
    </format>
    <format dxfId="748">
      <pivotArea dataOnly="0" labelOnly="1" fieldPosition="0">
        <references count="2">
          <reference field="0" count="1" selected="0">
            <x v="69"/>
          </reference>
          <reference field="5" count="1">
            <x v="47"/>
          </reference>
        </references>
      </pivotArea>
    </format>
    <format dxfId="747">
      <pivotArea outline="0" collapsedLevelsAreSubtotals="1" fieldPosition="0"/>
    </format>
    <format dxfId="746">
      <pivotArea grandRow="1" outline="0" collapsedLevelsAreSubtotals="1" fieldPosition="0"/>
    </format>
    <format dxfId="74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rowHeaderCaption="UBOrderNo.">
  <location ref="A4:G8" firstHeaderRow="1" firstDataRow="1" firstDataCol="6" rowPageCount="2" colPageCount="1"/>
  <pivotFields count="24">
    <pivotField axis="axisRow" outline="0" showAll="0" defaultSubtotal="0">
      <items count="771">
        <item m="1" x="642"/>
        <item m="1" x="718"/>
        <item m="1" x="677"/>
        <item m="1" x="754"/>
        <item m="1" x="738"/>
        <item m="1" x="756"/>
        <item m="1" x="668"/>
        <item m="1" x="597"/>
        <item m="1" x="713"/>
        <item m="1" x="747"/>
        <item m="1" x="610"/>
        <item m="1" x="652"/>
        <item m="1" x="700"/>
        <item m="1" x="765"/>
        <item m="1" x="701"/>
        <item m="1" x="759"/>
        <item m="1" x="620"/>
        <item m="1" x="691"/>
        <item m="1" x="609"/>
        <item m="1" x="717"/>
        <item m="1" x="703"/>
        <item m="1" x="603"/>
        <item m="1" x="757"/>
        <item m="1" x="631"/>
        <item m="1" x="680"/>
        <item m="1" x="661"/>
        <item m="1" x="647"/>
        <item m="1" x="708"/>
        <item m="1" x="742"/>
        <item m="1" x="722"/>
        <item m="1" x="766"/>
        <item m="1" x="590"/>
        <item m="1" x="650"/>
        <item m="1" x="673"/>
        <item m="1" x="627"/>
        <item m="1" x="662"/>
        <item m="1" x="692"/>
        <item x="192"/>
        <item x="231"/>
        <item x="178"/>
        <item x="230"/>
        <item x="162"/>
        <item x="164"/>
        <item x="147"/>
        <item x="139"/>
        <item x="225"/>
        <item x="52"/>
        <item x="182"/>
        <item x="173"/>
        <item x="180"/>
        <item x="136"/>
        <item x="142"/>
        <item x="212"/>
        <item x="200"/>
        <item x="208"/>
        <item x="7"/>
        <item x="109"/>
        <item x="89"/>
        <item x="213"/>
        <item x="106"/>
        <item x="146"/>
        <item x="138"/>
        <item x="153"/>
        <item x="128"/>
        <item x="209"/>
        <item x="195"/>
        <item x="243"/>
        <item x="183"/>
        <item x="169"/>
        <item x="160"/>
        <item x="205"/>
        <item x="171"/>
        <item x="193"/>
        <item x="144"/>
        <item x="117"/>
        <item x="238"/>
        <item x="221"/>
        <item x="198"/>
        <item x="87"/>
        <item x="161"/>
        <item x="197"/>
        <item x="163"/>
        <item x="206"/>
        <item x="189"/>
        <item x="33"/>
        <item x="148"/>
        <item x="133"/>
        <item x="11"/>
        <item x="157"/>
        <item x="219"/>
        <item x="130"/>
        <item x="159"/>
        <item x="97"/>
        <item x="107"/>
        <item x="101"/>
        <item x="199"/>
        <item x="156"/>
        <item x="154"/>
        <item x="201"/>
        <item x="166"/>
        <item x="186"/>
        <item x="216"/>
        <item x="187"/>
        <item x="181"/>
        <item x="232"/>
        <item x="14"/>
        <item x="129"/>
        <item x="190"/>
        <item x="83"/>
        <item x="131"/>
        <item x="155"/>
        <item x="204"/>
        <item x="38"/>
        <item x="194"/>
        <item x="168"/>
        <item x="92"/>
        <item x="152"/>
        <item x="84"/>
        <item x="86"/>
        <item x="244"/>
        <item x="242"/>
        <item x="250"/>
        <item m="1" x="633"/>
        <item m="1" x="575"/>
        <item x="255"/>
        <item m="1" x="587"/>
        <item x="256"/>
        <item x="257"/>
        <item m="1" x="706"/>
        <item m="1" x="612"/>
        <item m="1" x="732"/>
        <item m="1" x="635"/>
        <item m="1" x="636"/>
        <item m="1" x="583"/>
        <item m="1" x="750"/>
        <item x="272"/>
        <item m="1" x="577"/>
        <item m="1" x="683"/>
        <item x="267"/>
        <item m="1" x="607"/>
        <item m="1" x="729"/>
        <item x="271"/>
        <item x="275"/>
        <item m="1" x="705"/>
        <item m="1" x="632"/>
        <item x="274"/>
        <item m="1" x="763"/>
        <item m="1" x="626"/>
        <item m="1" x="672"/>
        <item x="285"/>
        <item m="1" x="720"/>
        <item m="1" x="643"/>
        <item m="1" x="727"/>
        <item m="1" x="728"/>
        <item m="1" x="715"/>
        <item m="1" x="760"/>
        <item m="1" x="664"/>
        <item m="1" x="656"/>
        <item m="1" x="634"/>
        <item m="1" x="695"/>
        <item m="1" x="753"/>
        <item m="1" x="624"/>
        <item m="1" x="736"/>
        <item m="1" x="644"/>
        <item m="1" x="745"/>
        <item m="1" x="676"/>
        <item m="1" x="658"/>
        <item m="1" x="640"/>
        <item m="1" x="630"/>
        <item m="1" x="666"/>
        <item m="1" x="709"/>
        <item m="1" x="629"/>
        <item m="1" x="716"/>
        <item m="1" x="659"/>
        <item m="1" x="660"/>
        <item m="1" x="704"/>
        <item m="1" x="734"/>
        <item m="1" x="621"/>
        <item m="1" x="711"/>
        <item m="1" x="719"/>
        <item m="1" x="602"/>
        <item m="1" x="581"/>
        <item m="1" x="744"/>
        <item m="1" x="580"/>
        <item m="1" x="707"/>
        <item m="1" x="671"/>
        <item m="1" x="653"/>
        <item m="1" x="592"/>
        <item m="1" x="654"/>
        <item m="1" x="733"/>
        <item m="1" x="731"/>
        <item m="1" x="608"/>
        <item m="1" x="667"/>
        <item m="1" x="690"/>
        <item m="1" x="712"/>
        <item m="1" x="749"/>
        <item m="1" x="686"/>
        <item m="1" x="696"/>
        <item m="1" x="579"/>
        <item m="1" x="702"/>
        <item m="1" x="657"/>
        <item m="1" x="645"/>
        <item m="1" x="600"/>
        <item m="1" x="669"/>
        <item m="1" x="586"/>
        <item m="1" x="574"/>
        <item m="1" x="769"/>
        <item m="1" x="663"/>
        <item m="1" x="622"/>
        <item m="1" x="598"/>
        <item m="1" x="651"/>
        <item m="1" x="599"/>
        <item m="1" x="694"/>
        <item m="1" x="678"/>
        <item m="1" x="615"/>
        <item m="1" x="730"/>
        <item m="1" x="751"/>
        <item m="1" x="723"/>
        <item m="1" x="689"/>
        <item m="1" x="741"/>
        <item m="1" x="743"/>
        <item m="1" x="687"/>
        <item m="1" x="770"/>
        <item m="1" x="674"/>
        <item m="1" x="576"/>
        <item m="1" x="628"/>
        <item m="1" x="613"/>
        <item m="1" x="710"/>
        <item m="1" x="611"/>
        <item m="1" x="721"/>
        <item m="1" x="764"/>
        <item m="1" x="641"/>
        <item m="1" x="638"/>
        <item m="1" x="618"/>
        <item m="1" x="601"/>
        <item m="1" x="670"/>
        <item m="1" x="755"/>
        <item m="1" x="655"/>
        <item m="1" x="740"/>
        <item m="1" x="761"/>
        <item m="1" x="665"/>
        <item m="1" x="682"/>
        <item m="1" x="591"/>
        <item m="1" x="573"/>
        <item m="1" x="724"/>
        <item m="1" x="649"/>
        <item m="1" x="762"/>
        <item m="1" x="685"/>
        <item m="1" x="681"/>
        <item m="1" x="595"/>
        <item m="1" x="768"/>
        <item m="1" x="737"/>
        <item m="1" x="746"/>
        <item m="1" x="684"/>
        <item m="1" x="752"/>
        <item m="1" x="697"/>
        <item m="1" x="725"/>
        <item m="1" x="767"/>
        <item m="1" x="593"/>
        <item m="1" x="594"/>
        <item m="1" x="596"/>
        <item m="1" x="688"/>
        <item m="1" x="578"/>
        <item m="1" x="617"/>
        <item m="1" x="606"/>
        <item m="1" x="739"/>
        <item m="1" x="714"/>
        <item m="1" x="648"/>
        <item m="1" x="675"/>
        <item m="1" x="584"/>
        <item m="1" x="605"/>
        <item m="1" x="623"/>
        <item m="1" x="758"/>
        <item m="1" x="748"/>
        <item m="1" x="604"/>
        <item m="1" x="582"/>
        <item m="1" x="588"/>
        <item m="1" x="693"/>
        <item m="1" x="589"/>
        <item m="1" x="698"/>
        <item m="1" x="637"/>
        <item m="1" x="735"/>
        <item m="1" x="699"/>
        <item m="1" x="726"/>
        <item x="293"/>
        <item x="291"/>
        <item x="294"/>
        <item m="1" x="585"/>
        <item m="1" x="616"/>
        <item x="290"/>
        <item x="302"/>
        <item x="303"/>
        <item x="289"/>
        <item x="288"/>
        <item x="304"/>
        <item m="1" x="619"/>
        <item m="1" x="646"/>
        <item m="1" x="679"/>
        <item m="1" x="614"/>
        <item m="1" x="625"/>
        <item m="1" x="639"/>
        <item x="308"/>
        <item x="313"/>
        <item x="317"/>
        <item x="320"/>
        <item x="321"/>
        <item x="0"/>
        <item x="1"/>
        <item x="2"/>
        <item x="4"/>
        <item x="5"/>
        <item x="9"/>
        <item x="8"/>
        <item x="10"/>
        <item x="13"/>
        <item x="15"/>
        <item x="17"/>
        <item x="18"/>
        <item x="19"/>
        <item x="20"/>
        <item x="21"/>
        <item x="22"/>
        <item x="23"/>
        <item x="26"/>
        <item x="3"/>
        <item x="6"/>
        <item x="27"/>
        <item x="24"/>
        <item x="28"/>
        <item x="31"/>
        <item x="30"/>
        <item x="32"/>
        <item x="34"/>
        <item x="35"/>
        <item x="36"/>
        <item x="37"/>
        <item x="39"/>
        <item x="40"/>
        <item x="41"/>
        <item x="42"/>
        <item x="43"/>
        <item x="44"/>
        <item x="46"/>
        <item x="45"/>
        <item x="47"/>
        <item x="48"/>
        <item x="49"/>
        <item x="50"/>
        <item x="51"/>
        <item x="53"/>
        <item x="54"/>
        <item x="55"/>
        <item x="29"/>
        <item x="56"/>
        <item x="58"/>
        <item x="57"/>
        <item x="59"/>
        <item x="60"/>
        <item x="61"/>
        <item x="63"/>
        <item x="62"/>
        <item x="65"/>
        <item x="64"/>
        <item x="68"/>
        <item x="66"/>
        <item x="69"/>
        <item x="67"/>
        <item x="70"/>
        <item x="71"/>
        <item x="72"/>
        <item x="73"/>
        <item x="76"/>
        <item x="74"/>
        <item x="77"/>
        <item x="78"/>
        <item x="79"/>
        <item x="80"/>
        <item x="81"/>
        <item x="82"/>
        <item x="75"/>
        <item x="85"/>
        <item x="88"/>
        <item x="90"/>
        <item x="91"/>
        <item x="93"/>
        <item x="94"/>
        <item x="95"/>
        <item x="96"/>
        <item x="98"/>
        <item x="99"/>
        <item x="100"/>
        <item x="102"/>
        <item x="103"/>
        <item x="104"/>
        <item x="105"/>
        <item x="108"/>
        <item x="111"/>
        <item x="110"/>
        <item x="114"/>
        <item x="115"/>
        <item x="113"/>
        <item x="112"/>
        <item x="116"/>
        <item x="118"/>
        <item x="119"/>
        <item x="120"/>
        <item x="122"/>
        <item x="121"/>
        <item x="123"/>
        <item x="124"/>
        <item x="126"/>
        <item x="125"/>
        <item x="127"/>
        <item x="132"/>
        <item x="135"/>
        <item x="137"/>
        <item x="134"/>
        <item x="140"/>
        <item x="141"/>
        <item x="143"/>
        <item x="145"/>
        <item x="149"/>
        <item x="150"/>
        <item x="151"/>
        <item x="158"/>
        <item x="165"/>
        <item x="167"/>
        <item x="170"/>
        <item x="172"/>
        <item x="175"/>
        <item x="174"/>
        <item x="176"/>
        <item x="177"/>
        <item x="179"/>
        <item x="185"/>
        <item x="184"/>
        <item x="188"/>
        <item x="191"/>
        <item x="196"/>
        <item x="202"/>
        <item x="203"/>
        <item x="207"/>
        <item x="211"/>
        <item x="210"/>
        <item x="214"/>
        <item x="215"/>
        <item x="217"/>
        <item x="218"/>
        <item x="222"/>
        <item x="220"/>
        <item x="223"/>
        <item x="224"/>
        <item x="227"/>
        <item x="226"/>
        <item x="229"/>
        <item x="233"/>
        <item x="234"/>
        <item x="239"/>
        <item x="235"/>
        <item x="236"/>
        <item x="240"/>
        <item x="237"/>
        <item x="241"/>
        <item x="248"/>
        <item x="247"/>
        <item x="245"/>
        <item x="246"/>
        <item x="249"/>
        <item x="252"/>
        <item x="253"/>
        <item x="251"/>
        <item x="254"/>
        <item x="260"/>
        <item x="258"/>
        <item x="261"/>
        <item x="263"/>
        <item x="262"/>
        <item x="264"/>
        <item x="265"/>
        <item x="259"/>
        <item x="266"/>
        <item x="270"/>
        <item x="269"/>
        <item x="273"/>
        <item x="268"/>
        <item x="276"/>
        <item x="277"/>
        <item x="278"/>
        <item x="280"/>
        <item x="281"/>
        <item x="282"/>
        <item x="284"/>
        <item x="283"/>
        <item x="279"/>
        <item x="287"/>
        <item x="286"/>
        <item x="297"/>
        <item x="299"/>
        <item x="295"/>
        <item x="292"/>
        <item x="306"/>
        <item x="307"/>
        <item x="312"/>
        <item x="315"/>
        <item x="319"/>
        <item x="323"/>
        <item x="324"/>
        <item x="322"/>
        <item x="327"/>
        <item x="328"/>
        <item x="330"/>
        <item x="326"/>
        <item x="331"/>
        <item x="335"/>
        <item x="337"/>
        <item x="333"/>
        <item x="325"/>
        <item x="329"/>
        <item x="332"/>
        <item x="334"/>
        <item x="336"/>
        <item x="338"/>
        <item x="339"/>
        <item x="342"/>
        <item x="341"/>
        <item x="343"/>
        <item x="344"/>
        <item x="345"/>
        <item x="348"/>
        <item x="347"/>
        <item x="346"/>
        <item x="349"/>
        <item x="351"/>
        <item x="350"/>
        <item x="353"/>
        <item x="352"/>
        <item x="355"/>
        <item x="354"/>
        <item x="356"/>
        <item x="359"/>
        <item x="361"/>
        <item x="360"/>
        <item x="357"/>
        <item x="358"/>
        <item x="362"/>
        <item x="364"/>
        <item x="366"/>
        <item x="368"/>
        <item x="369"/>
        <item x="371"/>
        <item x="370"/>
        <item x="373"/>
        <item x="372"/>
        <item x="367"/>
        <item x="375"/>
        <item x="376"/>
        <item x="374"/>
        <item x="377"/>
        <item x="388"/>
        <item x="386"/>
        <item x="389"/>
        <item x="392"/>
        <item x="390"/>
        <item x="393"/>
        <item x="394"/>
        <item x="385"/>
        <item x="380"/>
        <item x="379"/>
        <item x="387"/>
        <item x="391"/>
        <item x="378"/>
        <item x="395"/>
        <item x="398"/>
        <item x="397"/>
        <item x="396"/>
        <item x="401"/>
        <item x="399"/>
        <item x="400"/>
        <item x="402"/>
        <item x="12"/>
        <item x="16"/>
        <item x="25"/>
        <item x="228"/>
        <item x="296"/>
        <item x="298"/>
        <item x="300"/>
        <item x="301"/>
        <item x="305"/>
        <item x="310"/>
        <item x="314"/>
        <item x="316"/>
        <item x="318"/>
        <item x="311"/>
        <item x="309"/>
        <item x="365"/>
        <item x="363"/>
        <item x="381"/>
        <item x="383"/>
        <item x="382"/>
        <item x="384"/>
        <item x="413"/>
        <item x="412"/>
        <item x="411"/>
        <item x="414"/>
        <item x="405"/>
        <item x="404"/>
        <item x="406"/>
        <item x="403"/>
        <item x="407"/>
        <item x="409"/>
        <item x="408"/>
        <item x="410"/>
        <item x="418"/>
        <item x="416"/>
        <item x="417"/>
        <item x="415"/>
        <item x="420"/>
        <item x="419"/>
        <item x="421"/>
        <item x="422"/>
        <item x="424"/>
        <item x="423"/>
        <item x="425"/>
        <item x="427"/>
        <item x="426"/>
        <item x="428"/>
        <item x="430"/>
        <item x="431"/>
        <item x="429"/>
        <item x="434"/>
        <item x="433"/>
        <item x="432"/>
        <item x="437"/>
        <item x="438"/>
        <item x="435"/>
        <item x="439"/>
        <item x="436"/>
        <item x="340"/>
        <item x="441"/>
        <item x="445"/>
        <item x="442"/>
        <item x="440"/>
        <item x="443"/>
        <item x="449"/>
        <item x="444"/>
        <item x="448"/>
        <item x="446"/>
        <item x="450"/>
        <item x="452"/>
        <item x="454"/>
        <item x="453"/>
        <item x="451"/>
        <item x="455"/>
        <item x="456"/>
        <item x="459"/>
        <item x="458"/>
        <item x="460"/>
        <item x="457"/>
        <item x="464"/>
        <item x="462"/>
        <item x="461"/>
        <item x="463"/>
        <item x="465"/>
        <item x="447"/>
        <item x="469"/>
        <item x="471"/>
        <item x="468"/>
        <item x="472"/>
        <item x="470"/>
        <item x="467"/>
        <item x="466"/>
        <item x="473"/>
        <item x="475"/>
        <item x="477"/>
        <item x="474"/>
        <item x="476"/>
        <item x="478"/>
        <item x="479"/>
        <item x="480"/>
        <item x="481"/>
        <item x="482"/>
        <item x="483"/>
        <item x="484"/>
        <item x="485"/>
        <item x="486"/>
        <item x="487"/>
        <item x="488"/>
        <item x="489"/>
        <item x="490"/>
        <item x="491"/>
        <item x="492"/>
        <item x="493"/>
        <item x="494"/>
        <item x="495"/>
        <item x="496"/>
        <item x="497"/>
        <item x="498"/>
        <item x="499"/>
        <item x="500"/>
        <item x="501"/>
        <item x="502"/>
        <item x="505"/>
        <item x="516"/>
        <item x="508"/>
        <item x="509"/>
        <item x="510"/>
        <item x="511"/>
        <item x="503"/>
        <item x="504"/>
        <item x="506"/>
        <item x="507"/>
        <item x="512"/>
        <item x="513"/>
        <item x="514"/>
        <item x="515"/>
        <item x="517"/>
        <item x="518"/>
        <item x="519"/>
        <item x="520"/>
        <item x="521"/>
        <item x="524"/>
        <item x="525"/>
        <item x="526"/>
        <item x="527"/>
        <item x="522"/>
        <item x="523"/>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s>
    </pivotField>
    <pivotField axis="axisRow" outline="0" showAll="0" defaultSubtotal="0">
      <items count="568">
        <item x="31"/>
        <item x="84"/>
        <item x="62"/>
        <item x="32"/>
        <item x="55"/>
        <item x="58"/>
        <item x="72"/>
        <item x="38"/>
        <item x="73"/>
        <item x="14"/>
        <item x="93"/>
        <item x="111"/>
        <item x="126"/>
        <item x="211"/>
        <item x="12"/>
        <item x="54"/>
        <item x="57"/>
        <item x="101"/>
        <item x="43"/>
        <item x="24"/>
        <item x="27"/>
        <item x="49"/>
        <item x="150"/>
        <item x="163"/>
        <item x="216"/>
        <item x="44"/>
        <item x="30"/>
        <item x="34"/>
        <item x="35"/>
        <item x="46"/>
        <item x="48"/>
        <item x="76"/>
        <item x="77"/>
        <item x="50"/>
        <item x="87"/>
        <item x="83"/>
        <item x="53"/>
        <item x="86"/>
        <item x="59"/>
        <item x="92"/>
        <item x="97"/>
        <item x="70"/>
        <item x="65"/>
        <item x="68"/>
        <item x="36"/>
        <item x="107"/>
        <item x="135"/>
        <item x="95"/>
        <item x="96"/>
        <item x="138"/>
        <item x="142"/>
        <item x="144"/>
        <item x="152"/>
        <item x="113"/>
        <item x="194"/>
        <item x="195"/>
        <item x="213"/>
        <item x="232"/>
        <item x="238"/>
        <item x="237"/>
        <item x="110"/>
        <item x="6"/>
        <item x="42"/>
        <item x="0"/>
        <item x="11"/>
        <item x="1"/>
        <item x="2"/>
        <item x="4"/>
        <item x="8"/>
        <item x="5"/>
        <item x="7"/>
        <item x="25"/>
        <item x="9"/>
        <item x="10"/>
        <item x="15"/>
        <item x="16"/>
        <item x="18"/>
        <item x="22"/>
        <item x="13"/>
        <item x="17"/>
        <item x="20"/>
        <item x="19"/>
        <item x="23"/>
        <item x="21"/>
        <item x="26"/>
        <item x="28"/>
        <item x="37"/>
        <item x="33"/>
        <item x="39"/>
        <item x="40"/>
        <item x="41"/>
        <item x="45"/>
        <item x="47"/>
        <item x="51"/>
        <item x="52"/>
        <item x="29"/>
        <item x="56"/>
        <item x="69"/>
        <item x="64"/>
        <item x="60"/>
        <item x="63"/>
        <item x="61"/>
        <item x="66"/>
        <item x="67"/>
        <item x="79"/>
        <item x="71"/>
        <item x="78"/>
        <item x="80"/>
        <item x="74"/>
        <item x="88"/>
        <item x="75"/>
        <item x="81"/>
        <item x="82"/>
        <item x="91"/>
        <item x="85"/>
        <item x="90"/>
        <item x="89"/>
        <item x="100"/>
        <item x="94"/>
        <item x="98"/>
        <item x="99"/>
        <item x="108"/>
        <item x="102"/>
        <item x="104"/>
        <item x="103"/>
        <item x="114"/>
        <item x="109"/>
        <item x="106"/>
        <item x="118"/>
        <item x="112"/>
        <item x="116"/>
        <item x="115"/>
        <item x="123"/>
        <item x="117"/>
        <item x="121"/>
        <item x="122"/>
        <item x="120"/>
        <item x="124"/>
        <item x="128"/>
        <item x="127"/>
        <item x="132"/>
        <item x="125"/>
        <item x="130"/>
        <item x="129"/>
        <item x="131"/>
        <item x="140"/>
        <item x="134"/>
        <item x="133"/>
        <item x="136"/>
        <item x="137"/>
        <item x="139"/>
        <item x="141"/>
        <item x="145"/>
        <item x="143"/>
        <item x="148"/>
        <item x="147"/>
        <item x="146"/>
        <item x="153"/>
        <item x="151"/>
        <item x="149"/>
        <item x="154"/>
        <item x="158"/>
        <item x="167"/>
        <item x="155"/>
        <item x="165"/>
        <item x="157"/>
        <item x="156"/>
        <item x="159"/>
        <item x="160"/>
        <item x="161"/>
        <item x="162"/>
        <item x="164"/>
        <item x="166"/>
        <item x="169"/>
        <item x="168"/>
        <item x="170"/>
        <item x="172"/>
        <item x="171"/>
        <item x="175"/>
        <item x="179"/>
        <item x="174"/>
        <item x="173"/>
        <item x="176"/>
        <item x="177"/>
        <item x="186"/>
        <item x="231"/>
        <item x="184"/>
        <item x="178"/>
        <item x="180"/>
        <item x="188"/>
        <item x="181"/>
        <item x="185"/>
        <item x="183"/>
        <item x="182"/>
        <item x="200"/>
        <item x="187"/>
        <item x="191"/>
        <item x="193"/>
        <item x="190"/>
        <item x="189"/>
        <item x="208"/>
        <item x="203"/>
        <item x="192"/>
        <item x="218"/>
        <item x="209"/>
        <item x="196"/>
        <item x="198"/>
        <item x="197"/>
        <item x="199"/>
        <item x="214"/>
        <item x="201"/>
        <item x="202"/>
        <item x="204"/>
        <item x="205"/>
        <item x="207"/>
        <item x="206"/>
        <item x="210"/>
        <item x="212"/>
        <item x="234"/>
        <item x="222"/>
        <item x="215"/>
        <item x="217"/>
        <item x="219"/>
        <item x="220"/>
        <item x="221"/>
        <item x="223"/>
        <item x="226"/>
        <item x="224"/>
        <item x="229"/>
        <item x="225"/>
        <item x="227"/>
        <item x="239"/>
        <item x="230"/>
        <item x="228"/>
        <item x="236"/>
        <item x="233"/>
        <item x="235"/>
        <item x="240"/>
        <item x="241"/>
        <item x="243"/>
        <item x="105"/>
        <item x="119"/>
        <item x="3"/>
        <item x="244"/>
        <item x="242"/>
        <item x="248"/>
        <item x="247"/>
        <item x="245"/>
        <item x="246"/>
        <item x="249"/>
        <item x="252"/>
        <item x="250"/>
        <item x="253"/>
        <item x="251"/>
        <item x="254"/>
        <item x="255"/>
        <item x="260"/>
        <item x="258"/>
        <item x="256"/>
        <item x="257"/>
        <item x="261"/>
        <item x="263"/>
        <item x="262"/>
        <item x="264"/>
        <item x="265"/>
        <item x="259"/>
        <item x="266"/>
        <item x="272"/>
        <item x="270"/>
        <item x="269"/>
        <item x="267"/>
        <item x="273"/>
        <item x="268"/>
        <item x="271"/>
        <item x="275"/>
        <item x="276"/>
        <item x="277"/>
        <item x="274"/>
        <item x="278"/>
        <item x="280"/>
        <item x="281"/>
        <item x="285"/>
        <item x="282"/>
        <item x="284"/>
        <item x="283"/>
        <item x="279"/>
        <item x="286"/>
        <item x="287"/>
        <item x="293"/>
        <item x="291"/>
        <item x="294"/>
        <item x="297"/>
        <item x="296"/>
        <item x="299"/>
        <item x="295"/>
        <item x="290"/>
        <item x="292"/>
        <item x="298"/>
        <item x="300"/>
        <item x="302"/>
        <item x="303"/>
        <item x="301"/>
        <item x="289"/>
        <item x="288"/>
        <item x="304"/>
        <item x="305"/>
        <item x="306"/>
        <item x="307"/>
        <item x="310"/>
        <item x="309"/>
        <item x="308"/>
        <item x="313"/>
        <item x="312"/>
        <item x="315"/>
        <item x="311"/>
        <item x="314"/>
        <item x="318"/>
        <item x="316"/>
        <item x="317"/>
        <item x="319"/>
        <item x="320"/>
        <item x="322"/>
        <item x="323"/>
        <item x="321"/>
        <item x="326"/>
        <item x="327"/>
        <item x="331"/>
        <item x="328"/>
        <item x="329"/>
        <item x="325"/>
        <item x="330"/>
        <item x="333"/>
        <item x="334"/>
        <item x="336"/>
        <item x="332"/>
        <item x="324"/>
        <item x="335"/>
        <item x="337"/>
        <item x="338"/>
        <item x="341"/>
        <item x="340"/>
        <item x="342"/>
        <item x="343"/>
        <item x="344"/>
        <item x="347"/>
        <item x="346"/>
        <item x="345"/>
        <item x="348"/>
        <item x="350"/>
        <item x="349"/>
        <item x="352"/>
        <item x="351"/>
        <item x="354"/>
        <item x="353"/>
        <item x="355"/>
        <item x="358"/>
        <item x="360"/>
        <item x="359"/>
        <item x="356"/>
        <item x="357"/>
        <item x="361"/>
        <item x="363"/>
        <item x="362"/>
        <item x="364"/>
        <item x="365"/>
        <item x="366"/>
        <item x="367"/>
        <item x="369"/>
        <item x="368"/>
        <item x="371"/>
        <item x="370"/>
        <item x="373"/>
        <item x="374"/>
        <item x="372"/>
        <item x="375"/>
        <item x="379"/>
        <item x="380"/>
        <item x="384"/>
        <item x="382"/>
        <item x="385"/>
        <item x="388"/>
        <item x="386"/>
        <item x="389"/>
        <item x="390"/>
        <item x="381"/>
        <item x="378"/>
        <item x="377"/>
        <item x="383"/>
        <item x="387"/>
        <item x="376"/>
        <item x="391"/>
        <item x="394"/>
        <item x="393"/>
        <item x="392"/>
        <item x="397"/>
        <item x="395"/>
        <item x="396"/>
        <item x="398"/>
        <item x="407"/>
        <item x="406"/>
        <item x="410"/>
        <item x="405"/>
        <item x="408"/>
        <item x="409"/>
        <item x="401"/>
        <item x="400"/>
        <item x="399"/>
        <item x="402"/>
        <item x="403"/>
        <item x="404"/>
        <item x="412"/>
        <item x="411"/>
        <item x="413"/>
        <item x="414"/>
        <item x="416"/>
        <item x="415"/>
        <item x="417"/>
        <item x="419"/>
        <item x="418"/>
        <item x="420"/>
        <item x="422"/>
        <item x="423"/>
        <item x="421"/>
        <item x="426"/>
        <item x="425"/>
        <item x="424"/>
        <item x="429"/>
        <item x="430"/>
        <item x="427"/>
        <item x="431"/>
        <item x="428"/>
        <item x="339"/>
        <item x="433"/>
        <item x="437"/>
        <item x="434"/>
        <item x="432"/>
        <item x="435"/>
        <item x="441"/>
        <item x="436"/>
        <item x="439"/>
        <item x="440"/>
        <item x="438"/>
        <item x="442"/>
        <item x="444"/>
        <item x="446"/>
        <item x="445"/>
        <item x="443"/>
        <item x="447"/>
        <item x="448"/>
        <item x="451"/>
        <item x="450"/>
        <item x="452"/>
        <item x="449"/>
        <item x="456"/>
        <item x="454"/>
        <item x="453"/>
        <item x="455"/>
        <item x="457"/>
        <item x="461"/>
        <item x="463"/>
        <item x="460"/>
        <item x="464"/>
        <item x="462"/>
        <item x="459"/>
        <item x="458"/>
        <item x="465"/>
        <item x="467"/>
        <item x="469"/>
        <item x="466"/>
        <item x="468"/>
        <item x="470"/>
        <item x="471"/>
        <item x="472"/>
        <item x="473"/>
        <item x="474"/>
        <item x="475"/>
        <item x="476"/>
        <item m="1" x="565"/>
        <item x="477"/>
        <item x="478"/>
        <item x="479"/>
        <item x="480"/>
        <item x="481"/>
        <item x="482"/>
        <item x="483"/>
        <item x="484"/>
        <item x="485"/>
        <item x="486"/>
        <item x="487"/>
        <item x="488"/>
        <item x="489"/>
        <item x="490"/>
        <item x="491"/>
        <item x="492"/>
        <item x="493"/>
        <item x="494"/>
        <item m="1" x="567"/>
        <item x="497"/>
        <item x="498"/>
        <item x="508"/>
        <item x="500"/>
        <item x="501"/>
        <item x="502"/>
        <item x="503"/>
        <item m="1" x="566"/>
        <item x="509"/>
        <item x="495"/>
        <item x="496"/>
        <item x="499"/>
        <item x="504"/>
        <item x="505"/>
        <item x="506"/>
        <item x="507"/>
        <item x="510"/>
        <item x="511"/>
        <item x="512"/>
        <item x="513"/>
        <item x="516"/>
        <item x="517"/>
        <item x="518"/>
        <item x="519"/>
        <item x="514"/>
        <item x="515"/>
        <item x="520"/>
        <item x="521"/>
        <item x="522"/>
        <item x="523"/>
        <item x="524"/>
        <item x="525"/>
        <item x="526"/>
        <item x="527"/>
        <item x="528"/>
        <item x="529"/>
        <item x="530"/>
        <item x="531"/>
        <item x="532"/>
        <item x="533"/>
        <item x="534"/>
        <item x="535"/>
        <item x="536"/>
        <item x="537"/>
        <item x="538"/>
        <item x="539"/>
        <item x="540"/>
        <item x="542"/>
        <item x="543"/>
        <item x="544"/>
        <item x="545"/>
        <item x="546"/>
        <item x="547"/>
        <item x="548"/>
        <item x="549"/>
        <item x="550"/>
        <item x="551"/>
        <item x="541"/>
        <item x="552"/>
        <item x="553"/>
        <item x="554"/>
        <item x="555"/>
        <item x="556"/>
        <item x="557"/>
        <item x="558"/>
        <item x="559"/>
        <item x="560"/>
        <item x="561"/>
        <item x="562"/>
        <item x="563"/>
        <item x="564"/>
      </items>
    </pivotField>
    <pivotField showAll="0" defaultSubtotal="0"/>
    <pivotField showAll="0" defaultSubtotal="0"/>
    <pivotField showAll="0"/>
    <pivotField numFmtId="44" showAll="0"/>
    <pivotField numFmtId="44" showAll="0"/>
    <pivotField numFmtId="44" showAll="0"/>
    <pivotField showAll="0"/>
    <pivotField dataField="1" numFmtId="44" showAll="0" defaultSubtotal="0"/>
    <pivotField showAll="0"/>
    <pivotField numFmtId="44" showAll="0" defaultSubtotal="0"/>
    <pivotField axis="axisPage" multipleItemSelectionAllowed="1" showAll="0">
      <items count="33">
        <item h="1" x="3"/>
        <item h="1" m="1" x="16"/>
        <item h="1" m="1" x="17"/>
        <item h="1" x="4"/>
        <item h="1" x="1"/>
        <item h="1" x="7"/>
        <item h="1" x="0"/>
        <item h="1" x="6"/>
        <item h="1" m="1" x="29"/>
        <item h="1" x="5"/>
        <item h="1" m="1" x="21"/>
        <item h="1" x="8"/>
        <item h="1" m="1" x="13"/>
        <item h="1" m="1" x="26"/>
        <item x="9"/>
        <item h="1" m="1" x="18"/>
        <item h="1" m="1" x="22"/>
        <item h="1" m="1" x="14"/>
        <item h="1" m="1" x="23"/>
        <item h="1" m="1" x="30"/>
        <item h="1" m="1" x="19"/>
        <item h="1" m="1" x="24"/>
        <item h="1" m="1" x="20"/>
        <item h="1" m="1" x="27"/>
        <item h="1" m="1" x="31"/>
        <item h="1" m="1" x="15"/>
        <item h="1" m="1" x="28"/>
        <item h="1" x="2"/>
        <item h="1" x="10"/>
        <item h="1" m="1" x="25"/>
        <item h="1" x="11"/>
        <item h="1" x="12"/>
        <item t="default"/>
      </items>
    </pivotField>
    <pivotField axis="axisPage" numFmtId="14" multipleItemSelectionAllowed="1" showAll="0">
      <items count="5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x="56"/>
        <item h="1" x="57"/>
        <item t="default"/>
      </items>
    </pivotField>
    <pivotField axis="axisRow" numFmtId="14" outline="0" showAll="0" defaultSubtotal="0">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sd="0" x="37"/>
        <item x="38"/>
        <item x="39"/>
        <item x="40"/>
        <item x="41"/>
        <item x="43"/>
        <item sd="0" x="42"/>
        <item x="44"/>
        <item x="45"/>
        <item x="46"/>
        <item x="47"/>
        <item x="48"/>
        <item x="49"/>
        <item x="50"/>
        <item x="51"/>
        <item x="52"/>
        <item x="53"/>
        <item x="54"/>
        <item x="55"/>
        <item x="56"/>
        <item x="57"/>
        <item x="58"/>
      </items>
    </pivotField>
    <pivotField axis="axisRow" numFmtId="14" outline="0" showAll="0" defaultSubtotal="0">
      <items count="2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7"/>
        <item x="136"/>
        <item x="138"/>
        <item x="139"/>
        <item x="140"/>
        <item x="142"/>
        <item x="141"/>
        <item x="143"/>
        <item x="144"/>
        <item x="145"/>
        <item x="146"/>
        <item x="148"/>
        <item x="147"/>
        <item x="149"/>
        <item x="152"/>
        <item x="151"/>
        <item x="153"/>
        <item x="150"/>
        <item x="154"/>
        <item x="155"/>
        <item x="156"/>
        <item x="157"/>
        <item x="158"/>
        <item x="159"/>
        <item x="160"/>
        <item x="161"/>
        <item x="162"/>
        <item x="164"/>
        <item x="165"/>
        <item x="167"/>
        <item x="166"/>
        <item x="163"/>
        <item x="168"/>
        <item x="169"/>
        <item x="170"/>
        <item x="171"/>
        <item x="172"/>
        <item x="173"/>
        <item x="175"/>
        <item x="176"/>
        <item x="177"/>
        <item x="178"/>
        <item x="179"/>
        <item x="180"/>
        <item x="181"/>
        <item x="182"/>
        <item x="183"/>
        <item x="184"/>
        <item x="186"/>
        <item x="187"/>
        <item x="185"/>
        <item x="188"/>
        <item x="189"/>
        <item x="190"/>
        <item x="191"/>
        <item x="192"/>
        <item x="193"/>
        <item x="194"/>
        <item x="196"/>
        <item x="195"/>
        <item x="198"/>
        <item x="197"/>
        <item x="199"/>
        <item x="200"/>
        <item x="201"/>
        <item x="202"/>
        <item x="203"/>
        <item x="207"/>
        <item x="208"/>
        <item x="204"/>
        <item x="205"/>
        <item x="206"/>
        <item x="209"/>
        <item x="210"/>
        <item x="211"/>
        <item x="212"/>
        <item x="213"/>
        <item x="214"/>
        <item x="215"/>
        <item x="174"/>
        <item x="216"/>
        <item x="217"/>
        <item x="218"/>
        <item x="219"/>
        <item x="220"/>
        <item x="221"/>
        <item x="222"/>
        <item x="223"/>
        <item x="224"/>
        <item x="225"/>
        <item x="226"/>
        <item x="227"/>
        <item x="228"/>
        <item x="229"/>
        <item x="230"/>
        <item x="231"/>
        <item x="232"/>
        <item x="233"/>
        <item x="234"/>
        <item x="235"/>
        <item x="236"/>
        <item x="237"/>
        <item x="238"/>
        <item x="239"/>
        <item x="240"/>
        <item x="241"/>
        <item x="242"/>
        <item x="244"/>
        <item x="243"/>
        <item x="245"/>
        <item x="246"/>
        <item x="247"/>
        <item x="248"/>
        <item x="249"/>
        <item x="250"/>
        <item x="251"/>
        <item x="252"/>
        <item x="253"/>
        <item x="254"/>
        <item x="255"/>
        <item x="256"/>
        <item x="257"/>
        <item x="258"/>
        <item x="259"/>
        <item x="260"/>
        <item x="261"/>
        <item x="262"/>
        <item x="263"/>
      </items>
    </pivotField>
    <pivotField axis="axisRow" outline="0" showAll="0" defaultSubtotal="0">
      <items count="156">
        <item x="45"/>
        <item x="54"/>
        <item x="56"/>
        <item x="31"/>
        <item x="2"/>
        <item x="17"/>
        <item x="11"/>
        <item x="13"/>
        <item x="89"/>
        <item x="88"/>
        <item x="72"/>
        <item x="35"/>
        <item x="62"/>
        <item x="76"/>
        <item x="57"/>
        <item x="64"/>
        <item x="69"/>
        <item x="25"/>
        <item x="30"/>
        <item x="16"/>
        <item x="78"/>
        <item x="47"/>
        <item x="84"/>
        <item x="36"/>
        <item x="4"/>
        <item x="87"/>
        <item x="27"/>
        <item x="44"/>
        <item x="0"/>
        <item x="1"/>
        <item x="7"/>
        <item x="6"/>
        <item x="58"/>
        <item x="77"/>
        <item x="80"/>
        <item x="74"/>
        <item x="49"/>
        <item x="79"/>
        <item x="15"/>
        <item x="59"/>
        <item x="9"/>
        <item x="23"/>
        <item x="53"/>
        <item x="51"/>
        <item x="10"/>
        <item x="48"/>
        <item x="75"/>
        <item x="19"/>
        <item x="85"/>
        <item x="46"/>
        <item x="14"/>
        <item x="42"/>
        <item x="83"/>
        <item x="12"/>
        <item x="65"/>
        <item x="40"/>
        <item x="32"/>
        <item x="86"/>
        <item x="55"/>
        <item x="60"/>
        <item x="34"/>
        <item x="63"/>
        <item x="41"/>
        <item x="68"/>
        <item x="43"/>
        <item x="28"/>
        <item x="66"/>
        <item x="37"/>
        <item x="81"/>
        <item x="33"/>
        <item x="29"/>
        <item x="82"/>
        <item x="67"/>
        <item x="21"/>
        <item x="50"/>
        <item x="52"/>
        <item x="73"/>
        <item x="38"/>
        <item x="22"/>
        <item x="8"/>
        <item x="5"/>
        <item x="24"/>
        <item x="90"/>
        <item x="71"/>
        <item x="70"/>
        <item x="61"/>
        <item x="26"/>
        <item x="20"/>
        <item x="3"/>
        <item x="39"/>
        <item x="18"/>
        <item x="91"/>
        <item x="92"/>
        <item x="93"/>
        <item x="94"/>
        <item x="95"/>
        <item x="98"/>
        <item x="96"/>
        <item x="97"/>
        <item x="100"/>
        <item x="99"/>
        <item x="102"/>
        <item x="101"/>
        <item x="103"/>
        <item x="105"/>
        <item x="106"/>
        <item x="104"/>
        <item x="107"/>
        <item x="108"/>
        <item m="1" x="154"/>
        <item x="109"/>
        <item x="110"/>
        <item x="111"/>
        <item x="113"/>
        <item x="112"/>
        <item x="114"/>
        <item x="115"/>
        <item x="118"/>
        <item x="117"/>
        <item x="119"/>
        <item x="120"/>
        <item x="121"/>
        <item x="122"/>
        <item x="123"/>
        <item x="124"/>
        <item x="116"/>
        <item x="125"/>
        <item x="126"/>
        <item x="128"/>
        <item x="127"/>
        <item x="129"/>
        <item x="130"/>
        <item x="131"/>
        <item x="132"/>
        <item x="133"/>
        <item x="134"/>
        <item x="136"/>
        <item x="137"/>
        <item x="135"/>
        <item x="139"/>
        <item x="138"/>
        <item x="141"/>
        <item x="140"/>
        <item x="142"/>
        <item x="143"/>
        <item m="1" x="155"/>
        <item x="144"/>
        <item x="145"/>
        <item x="146"/>
        <item x="147"/>
        <item x="148"/>
        <item x="149"/>
        <item x="150"/>
        <item x="151"/>
        <item x="152"/>
        <item x="153"/>
      </items>
    </pivotField>
    <pivotField axis="axisRow" outline="0" showAll="0" defaultSubtotal="0">
      <items count="202">
        <item x="62"/>
        <item x="63"/>
        <item x="97"/>
        <item x="7"/>
        <item x="15"/>
        <item x="86"/>
        <item x="5"/>
        <item x="25"/>
        <item x="84"/>
        <item x="93"/>
        <item x="39"/>
        <item x="59"/>
        <item x="117"/>
        <item x="60"/>
        <item x="0"/>
        <item x="44"/>
        <item x="29"/>
        <item x="33"/>
        <item x="2"/>
        <item x="55"/>
        <item x="79"/>
        <item x="45"/>
        <item x="70"/>
        <item x="105"/>
        <item x="11"/>
        <item x="19"/>
        <item x="68"/>
        <item x="22"/>
        <item x="80"/>
        <item x="37"/>
        <item x="64"/>
        <item x="53"/>
        <item x="110"/>
        <item x="115"/>
        <item x="58"/>
        <item x="83"/>
        <item x="81"/>
        <item x="104"/>
        <item x="91"/>
        <item x="34"/>
        <item x="49"/>
        <item x="4"/>
        <item x="92"/>
        <item x="90"/>
        <item x="114"/>
        <item x="65"/>
        <item x="116"/>
        <item x="66"/>
        <item x="40"/>
        <item x="14"/>
        <item x="102"/>
        <item x="71"/>
        <item x="107"/>
        <item x="57"/>
        <item x="42"/>
        <item x="72"/>
        <item x="30"/>
        <item x="67"/>
        <item x="106"/>
        <item x="20"/>
        <item x="36"/>
        <item x="23"/>
        <item x="111"/>
        <item x="31"/>
        <item x="108"/>
        <item x="88"/>
        <item x="17"/>
        <item x="94"/>
        <item x="103"/>
        <item x="99"/>
        <item x="109"/>
        <item x="113"/>
        <item x="98"/>
        <item x="87"/>
        <item x="21"/>
        <item x="18"/>
        <item x="6"/>
        <item x="8"/>
        <item x="24"/>
        <item x="89"/>
        <item x="96"/>
        <item x="56"/>
        <item x="46"/>
        <item x="28"/>
        <item x="32"/>
        <item m="1" x="197"/>
        <item x="85"/>
        <item x="100"/>
        <item x="75"/>
        <item x="77"/>
        <item x="74"/>
        <item m="1" x="199"/>
        <item x="35"/>
        <item x="52"/>
        <item x="50"/>
        <item x="10"/>
        <item x="101"/>
        <item x="54"/>
        <item x="41"/>
        <item x="48"/>
        <item x="12"/>
        <item x="26"/>
        <item x="38"/>
        <item x="3"/>
        <item m="1" x="194"/>
        <item x="16"/>
        <item x="51"/>
        <item x="13"/>
        <item x="82"/>
        <item x="112"/>
        <item x="61"/>
        <item x="9"/>
        <item x="73"/>
        <item x="95"/>
        <item x="47"/>
        <item x="27"/>
        <item x="43"/>
        <item x="1"/>
        <item x="119"/>
        <item x="118"/>
        <item x="121"/>
        <item x="120"/>
        <item x="122"/>
        <item x="124"/>
        <item x="123"/>
        <item x="125"/>
        <item x="126"/>
        <item x="127"/>
        <item x="128"/>
        <item x="129"/>
        <item x="130"/>
        <item x="131"/>
        <item x="132"/>
        <item x="133"/>
        <item x="134"/>
        <item x="135"/>
        <item x="136"/>
        <item x="137"/>
        <item x="138"/>
        <item x="139"/>
        <item x="140"/>
        <item m="1" x="193"/>
        <item x="141"/>
        <item m="1" x="201"/>
        <item m="1" x="198"/>
        <item m="1" x="195"/>
        <item x="142"/>
        <item x="144"/>
        <item x="145"/>
        <item x="147"/>
        <item m="1" x="200"/>
        <item x="146"/>
        <item x="143"/>
        <item x="148"/>
        <item x="149"/>
        <item x="151"/>
        <item x="150"/>
        <item x="153"/>
        <item x="152"/>
        <item x="154"/>
        <item x="155"/>
        <item x="156"/>
        <item x="158"/>
        <item x="160"/>
        <item x="159"/>
        <item x="157"/>
        <item x="161"/>
        <item x="69"/>
        <item x="76"/>
        <item x="78"/>
        <item x="164"/>
        <item x="165"/>
        <item x="162"/>
        <item x="163"/>
        <item x="166"/>
        <item x="167"/>
        <item x="168"/>
        <item x="169"/>
        <item x="171"/>
        <item x="170"/>
        <item x="172"/>
        <item x="173"/>
        <item x="177"/>
        <item x="175"/>
        <item x="174"/>
        <item x="176"/>
        <item x="179"/>
        <item x="178"/>
        <item x="180"/>
        <item x="181"/>
        <item m="1" x="196"/>
        <item x="182"/>
        <item x="183"/>
        <item x="187"/>
        <item x="184"/>
        <item x="185"/>
        <item x="186"/>
        <item x="188"/>
        <item x="189"/>
        <item x="190"/>
        <item x="191"/>
        <item x="192"/>
      </items>
    </pivotField>
    <pivotField showAll="0" defaultSubtotal="0"/>
    <pivotField showAll="0" defaultSubtotal="0"/>
    <pivotField numFmtId="14" showAll="0" defaultSubtotal="0"/>
    <pivotField showAll="0" defaultSubtotal="0"/>
    <pivotField showAll="0" defaultSubtotal="0"/>
    <pivotField dragToRow="0" dragToCol="0" dragToPage="0" showAll="0" defaultSubtotal="0"/>
  </pivotFields>
  <rowFields count="6">
    <field x="0"/>
    <field x="1"/>
    <field x="14"/>
    <field x="15"/>
    <field x="16"/>
    <field x="17"/>
  </rowFields>
  <rowItems count="4">
    <i>
      <x v="732"/>
      <x v="529"/>
      <x v="56"/>
      <x v="253"/>
      <x v="62"/>
      <x v="173"/>
    </i>
    <i>
      <x v="734"/>
      <x v="531"/>
      <x v="56"/>
      <x v="254"/>
      <x v="70"/>
      <x v="193"/>
    </i>
    <i>
      <x v="735"/>
      <x v="532"/>
      <x v="56"/>
      <x v="254"/>
      <x v="73"/>
      <x v="100"/>
    </i>
    <i t="grand">
      <x/>
    </i>
  </rowItems>
  <colItems count="1">
    <i/>
  </colItems>
  <pageFields count="2">
    <pageField fld="12" hier="-1"/>
    <pageField fld="13" hier="-1"/>
  </pageFields>
  <dataFields count="1">
    <dataField name="Pay.Driver" fld="9" baseField="17" baseItem="173"/>
  </dataFields>
  <formats count="48">
    <format dxfId="801">
      <pivotArea type="all" dataOnly="0" outline="0" fieldPosition="0"/>
    </format>
    <format dxfId="800">
      <pivotArea dataOnly="0" labelOnly="1" fieldPosition="0">
        <references count="1">
          <reference field="0" count="24">
            <x v="1"/>
            <x v="2"/>
            <x v="12"/>
            <x v="18"/>
            <x v="21"/>
            <x v="26"/>
            <x v="30"/>
            <x v="32"/>
            <x v="35"/>
            <x v="38"/>
            <x v="47"/>
            <x v="49"/>
            <x v="53"/>
            <x v="54"/>
            <x v="66"/>
            <x v="72"/>
            <x v="75"/>
            <x v="76"/>
            <x v="77"/>
            <x v="80"/>
            <x v="82"/>
            <x v="89"/>
            <x v="101"/>
            <x v="104"/>
          </reference>
        </references>
      </pivotArea>
    </format>
    <format dxfId="799">
      <pivotArea dataOnly="0" labelOnly="1" fieldPosition="0">
        <references count="2">
          <reference field="0" count="1" selected="0">
            <x v="1"/>
          </reference>
          <reference field="1" count="1">
            <x v="211"/>
          </reference>
        </references>
      </pivotArea>
    </format>
    <format dxfId="798">
      <pivotArea dataOnly="0" labelOnly="1" fieldPosition="0">
        <references count="2">
          <reference field="0" count="1" selected="0">
            <x v="2"/>
          </reference>
          <reference field="1" count="1">
            <x v="191"/>
          </reference>
        </references>
      </pivotArea>
    </format>
    <format dxfId="797">
      <pivotArea dataOnly="0" labelOnly="1" fieldPosition="0">
        <references count="2">
          <reference field="0" count="1" selected="0">
            <x v="26"/>
          </reference>
          <reference field="1" count="1">
            <x v="182"/>
          </reference>
        </references>
      </pivotArea>
    </format>
    <format dxfId="796">
      <pivotArea dataOnly="0" labelOnly="1" fieldPosition="0">
        <references count="2">
          <reference field="0" count="1" selected="0">
            <x v="35"/>
          </reference>
          <reference field="1" count="1">
            <x v="220"/>
          </reference>
        </references>
      </pivotArea>
    </format>
    <format dxfId="795">
      <pivotArea dataOnly="0" labelOnly="1" fieldPosition="0">
        <references count="2">
          <reference field="0" count="1" selected="0">
            <x v="47"/>
          </reference>
          <reference field="1" count="1">
            <x v="193"/>
          </reference>
        </references>
      </pivotArea>
    </format>
    <format dxfId="794">
      <pivotArea dataOnly="0" labelOnly="1" fieldPosition="0">
        <references count="2">
          <reference field="0" count="1" selected="0">
            <x v="49"/>
          </reference>
          <reference field="1" count="1">
            <x v="188"/>
          </reference>
        </references>
      </pivotArea>
    </format>
    <format dxfId="793">
      <pivotArea dataOnly="0" labelOnly="1" fieldPosition="0">
        <references count="2">
          <reference field="0" count="1" selected="0">
            <x v="53"/>
          </reference>
          <reference field="1" count="1">
            <x v="194"/>
          </reference>
        </references>
      </pivotArea>
    </format>
    <format dxfId="792">
      <pivotArea dataOnly="0" labelOnly="1" fieldPosition="0">
        <references count="2">
          <reference field="0" count="1" selected="0">
            <x v="54"/>
          </reference>
          <reference field="1" count="1">
            <x v="200"/>
          </reference>
        </references>
      </pivotArea>
    </format>
    <format dxfId="791">
      <pivotArea dataOnly="0" labelOnly="1" fieldPosition="0">
        <references count="2">
          <reference field="0" count="1" selected="0">
            <x v="72"/>
          </reference>
          <reference field="1" count="1">
            <x v="197"/>
          </reference>
        </references>
      </pivotArea>
    </format>
    <format dxfId="790">
      <pivotArea dataOnly="0" labelOnly="1" fieldPosition="0">
        <references count="2">
          <reference field="0" count="1" selected="0">
            <x v="76"/>
          </reference>
          <reference field="1" count="1">
            <x v="224"/>
          </reference>
        </references>
      </pivotArea>
    </format>
    <format dxfId="789">
      <pivotArea dataOnly="0" labelOnly="1" fieldPosition="0">
        <references count="2">
          <reference field="0" count="1" selected="0">
            <x v="77"/>
          </reference>
          <reference field="1" count="1">
            <x v="206"/>
          </reference>
        </references>
      </pivotArea>
    </format>
    <format dxfId="788">
      <pivotArea dataOnly="0" labelOnly="1" fieldPosition="0">
        <references count="2">
          <reference field="0" count="1" selected="0">
            <x v="80"/>
          </reference>
          <reference field="1" count="1">
            <x v="207"/>
          </reference>
        </references>
      </pivotArea>
    </format>
    <format dxfId="787">
      <pivotArea dataOnly="0" labelOnly="1" fieldPosition="0">
        <references count="2">
          <reference field="0" count="1" selected="0">
            <x v="82"/>
          </reference>
          <reference field="1" count="1">
            <x v="215"/>
          </reference>
        </references>
      </pivotArea>
    </format>
    <format dxfId="786">
      <pivotArea dataOnly="0" labelOnly="1" fieldPosition="0">
        <references count="2">
          <reference field="0" count="1" selected="0">
            <x v="89"/>
          </reference>
          <reference field="1" count="1">
            <x v="222"/>
          </reference>
        </references>
      </pivotArea>
    </format>
    <format dxfId="785">
      <pivotArea dataOnly="0" labelOnly="1" fieldPosition="0">
        <references count="2">
          <reference field="0" count="1" selected="0">
            <x v="101"/>
          </reference>
          <reference field="1" count="1">
            <x v="24"/>
          </reference>
        </references>
      </pivotArea>
    </format>
    <format dxfId="784">
      <pivotArea dataOnly="0" labelOnly="1" outline="0" axis="axisValues" fieldPosition="0"/>
    </format>
    <format dxfId="783">
      <pivotArea dataOnly="0" labelOnly="1" outline="0" fieldPosition="0">
        <references count="1">
          <reference field="1" count="0"/>
        </references>
      </pivotArea>
    </format>
    <format dxfId="782">
      <pivotArea dataOnly="0" labelOnly="1" fieldPosition="0">
        <references count="2">
          <reference field="0" count="1" selected="0">
            <x v="18"/>
          </reference>
          <reference field="1" count="1">
            <x v="226"/>
          </reference>
        </references>
      </pivotArea>
    </format>
    <format dxfId="781">
      <pivotArea dataOnly="0" labelOnly="1" fieldPosition="0">
        <references count="2">
          <reference field="0" count="1" selected="0">
            <x v="30"/>
          </reference>
          <reference field="1" count="1">
            <x v="227"/>
          </reference>
        </references>
      </pivotArea>
    </format>
    <format dxfId="780">
      <pivotArea dataOnly="0" labelOnly="1" fieldPosition="0">
        <references count="2">
          <reference field="0" count="1" selected="0">
            <x v="32"/>
          </reference>
          <reference field="1" count="1">
            <x v="228"/>
          </reference>
        </references>
      </pivotArea>
    </format>
    <format dxfId="779">
      <pivotArea dataOnly="0" labelOnly="1" fieldPosition="0">
        <references count="2">
          <reference field="0" count="1" selected="0">
            <x v="38"/>
          </reference>
          <reference field="1" count="1">
            <x v="185"/>
          </reference>
        </references>
      </pivotArea>
    </format>
    <format dxfId="778">
      <pivotArea dataOnly="0" labelOnly="1" fieldPosition="0">
        <references count="2">
          <reference field="0" count="1" selected="0">
            <x v="104"/>
          </reference>
          <reference field="1" count="1">
            <x v="57"/>
          </reference>
        </references>
      </pivotArea>
    </format>
    <format dxfId="777">
      <pivotArea dataOnly="0" labelOnly="1" outline="0" axis="axisValues" fieldPosition="0"/>
    </format>
    <format dxfId="776">
      <pivotArea type="all" dataOnly="0" outline="0" fieldPosition="0"/>
    </format>
    <format dxfId="775">
      <pivotArea outline="0" collapsedLevelsAreSubtotals="1" fieldPosition="0"/>
    </format>
    <format dxfId="774">
      <pivotArea dataOnly="0" labelOnly="1" outline="0" axis="axisValues" fieldPosition="0"/>
    </format>
    <format dxfId="773">
      <pivotArea dataOnly="0" labelOnly="1" fieldPosition="0">
        <references count="1">
          <reference field="0" count="5">
            <x v="12"/>
            <x v="21"/>
            <x v="66"/>
            <x v="75"/>
            <x v="121"/>
          </reference>
        </references>
      </pivotArea>
    </format>
    <format dxfId="772">
      <pivotArea dataOnly="0" labelOnly="1" fieldPosition="0">
        <references count="2">
          <reference field="0" count="1" selected="0">
            <x v="12"/>
          </reference>
          <reference field="1" count="1">
            <x v="231"/>
          </reference>
        </references>
      </pivotArea>
    </format>
    <format dxfId="771">
      <pivotArea dataOnly="0" labelOnly="1" fieldPosition="0">
        <references count="2">
          <reference field="0" count="1" selected="0">
            <x v="21"/>
          </reference>
          <reference field="1" count="1">
            <x v="235"/>
          </reference>
        </references>
      </pivotArea>
    </format>
    <format dxfId="770">
      <pivotArea dataOnly="0" labelOnly="1" fieldPosition="0">
        <references count="2">
          <reference field="0" count="1" selected="0">
            <x v="66"/>
          </reference>
          <reference field="1" count="1">
            <x v="239"/>
          </reference>
        </references>
      </pivotArea>
    </format>
    <format dxfId="769">
      <pivotArea dataOnly="0" labelOnly="1" fieldPosition="0">
        <references count="2">
          <reference field="0" count="1" selected="0">
            <x v="75"/>
          </reference>
          <reference field="1" count="1">
            <x v="58"/>
          </reference>
        </references>
      </pivotArea>
    </format>
    <format dxfId="768">
      <pivotArea dataOnly="0" labelOnly="1" fieldPosition="0">
        <references count="2">
          <reference field="0" count="1" selected="0">
            <x v="121"/>
          </reference>
          <reference field="1" count="1">
            <x v="251"/>
          </reference>
        </references>
      </pivotArea>
    </format>
    <format dxfId="767">
      <pivotArea outline="0" collapsedLevelsAreSubtotals="1" fieldPosition="0"/>
    </format>
    <format dxfId="766">
      <pivotArea dataOnly="0" labelOnly="1" outline="0" axis="axisValues" fieldPosition="0"/>
    </format>
    <format dxfId="765">
      <pivotArea type="all" dataOnly="0" outline="0" fieldPosition="0"/>
    </format>
    <format dxfId="764">
      <pivotArea outline="0" collapsedLevelsAreSubtotals="1" fieldPosition="0"/>
    </format>
    <format dxfId="763">
      <pivotArea dataOnly="0" labelOnly="1" outline="0" axis="axisValues" fieldPosition="0"/>
    </format>
    <format dxfId="762">
      <pivotArea dataOnly="0" labelOnly="1" fieldPosition="0">
        <references count="1">
          <reference field="0" count="1">
            <x v="524"/>
          </reference>
        </references>
      </pivotArea>
    </format>
    <format dxfId="761">
      <pivotArea dataOnly="0" labelOnly="1" grandRow="1" outline="0" fieldPosition="0"/>
    </format>
    <format dxfId="760">
      <pivotArea dataOnly="0" labelOnly="1" fieldPosition="0">
        <references count="2">
          <reference field="0" count="1" selected="0">
            <x v="524"/>
          </reference>
          <reference field="1" count="1">
            <x v="340"/>
          </reference>
        </references>
      </pivotArea>
    </format>
    <format dxfId="759">
      <pivotArea dataOnly="0" labelOnly="1" fieldPosition="0">
        <references count="3">
          <reference field="0" count="1" selected="0">
            <x v="524"/>
          </reference>
          <reference field="1" count="1" selected="0">
            <x v="340"/>
          </reference>
          <reference field="14" count="1">
            <x v="39"/>
          </reference>
        </references>
      </pivotArea>
    </format>
    <format dxfId="758">
      <pivotArea dataOnly="0" labelOnly="1" fieldPosition="0">
        <references count="4">
          <reference field="0" count="1" selected="0">
            <x v="524"/>
          </reference>
          <reference field="1" count="1" selected="0">
            <x v="340"/>
          </reference>
          <reference field="14" count="1" selected="0">
            <x v="39"/>
          </reference>
          <reference field="15" count="1">
            <x v="174"/>
          </reference>
        </references>
      </pivotArea>
    </format>
    <format dxfId="757">
      <pivotArea dataOnly="0" labelOnly="1" fieldPosition="0">
        <references count="5">
          <reference field="0" count="1" selected="0">
            <x v="524"/>
          </reference>
          <reference field="1" count="1" selected="0">
            <x v="340"/>
          </reference>
          <reference field="14" count="1" selected="0">
            <x v="39"/>
          </reference>
          <reference field="15" count="1" selected="0">
            <x v="174"/>
          </reference>
          <reference field="16" count="1">
            <x v="118"/>
          </reference>
        </references>
      </pivotArea>
    </format>
    <format dxfId="756">
      <pivotArea dataOnly="0" labelOnly="1" fieldPosition="0">
        <references count="6">
          <reference field="0" count="1" selected="0">
            <x v="524"/>
          </reference>
          <reference field="1" count="1" selected="0">
            <x v="340"/>
          </reference>
          <reference field="14" count="1" selected="0">
            <x v="39"/>
          </reference>
          <reference field="15" count="1" selected="0">
            <x v="174"/>
          </reference>
          <reference field="16" count="1" selected="0">
            <x v="118"/>
          </reference>
          <reference field="17" count="1">
            <x v="59"/>
          </reference>
        </references>
      </pivotArea>
    </format>
    <format dxfId="755">
      <pivotArea outline="0" collapsedLevelsAreSubtotals="1" fieldPosition="0"/>
    </format>
    <format dxfId="75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3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Insurance Provicer">
  <location ref="A24:B26" firstHeaderRow="1" firstDataRow="1" firstDataCol="1" rowPageCount="1" colPageCount="1"/>
  <pivotFields count="43">
    <pivotField showAll="0"/>
    <pivotField showAll="0"/>
    <pivotField axis="axisPage" multipleItemSelectionAllowed="1" showAll="0">
      <items count="14">
        <item h="1" x="12"/>
        <item h="1" x="3"/>
        <item h="1" x="11"/>
        <item x="9"/>
        <item h="1" x="10"/>
        <item h="1" x="4"/>
        <item h="1" x="1"/>
        <item h="1" x="7"/>
        <item h="1" x="0"/>
        <item h="1" x="6"/>
        <item h="1" x="2"/>
        <item h="1" x="8"/>
        <item h="1" x="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m="1" x="5"/>
        <item x="4"/>
        <item x="2"/>
        <item x="0"/>
        <item x="1"/>
        <item x="3"/>
        <item t="default"/>
      </items>
    </pivotField>
    <pivotField showAll="0"/>
    <pivotField showAll="0"/>
    <pivotField showAll="0"/>
    <pivotField numFmtId="14" showAll="0"/>
    <pivotField numFmtId="14" showAll="0"/>
    <pivotField numFmtId="14" showAll="0"/>
    <pivotField showAll="0"/>
    <pivotField showAll="0"/>
    <pivotField showAll="0"/>
  </pivotFields>
  <rowFields count="1">
    <field x="33"/>
  </rowFields>
  <rowItems count="2">
    <i>
      <x v="5"/>
    </i>
    <i t="grand">
      <x/>
    </i>
  </rowItems>
  <colItems count="1">
    <i/>
  </colItems>
  <pageFields count="1">
    <pageField fld="2" hier="-1"/>
  </pageFields>
  <dataFields count="1">
    <dataField name="Insurance Premium" fld="11" baseField="33" baseItem="0" numFmtId="44"/>
  </dataFields>
  <formats count="3">
    <format dxfId="804">
      <pivotArea grandRow="1" outline="0" collapsedLevelsAreSubtotals="1" fieldPosition="0"/>
    </format>
    <format dxfId="803">
      <pivotArea dataOnly="0" labelOnly="1" grandRow="1" outline="0" fieldPosition="0"/>
    </format>
    <format dxfId="80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rowHeaderCaption="UBOrderNo.">
  <location ref="A6:F13" firstHeaderRow="1" firstDataRow="1" firstDataCol="5" rowPageCount="2" colPageCount="1"/>
  <pivotFields count="24">
    <pivotField axis="axisRow" outline="0" showAll="0" defaultSubtotal="0">
      <items count="771">
        <item m="1" x="590"/>
        <item x="52"/>
        <item x="7"/>
        <item x="33"/>
        <item x="11"/>
        <item x="14"/>
        <item x="38"/>
        <item m="1" x="754"/>
        <item x="83"/>
        <item x="84"/>
        <item m="1" x="642"/>
        <item m="1" x="738"/>
        <item x="86"/>
        <item x="87"/>
        <item x="89"/>
        <item x="92"/>
        <item x="97"/>
        <item x="101"/>
        <item x="107"/>
        <item m="1" x="597"/>
        <item x="106"/>
        <item x="109"/>
        <item x="117"/>
        <item x="128"/>
        <item x="129"/>
        <item x="130"/>
        <item x="131"/>
        <item x="133"/>
        <item x="136"/>
        <item x="138"/>
        <item x="139"/>
        <item x="142"/>
        <item x="144"/>
        <item x="146"/>
        <item x="147"/>
        <item x="148"/>
        <item x="152"/>
        <item x="153"/>
        <item x="154"/>
        <item x="156"/>
        <item x="157"/>
        <item x="159"/>
        <item x="160"/>
        <item x="155"/>
        <item x="161"/>
        <item x="162"/>
        <item x="163"/>
        <item x="164"/>
        <item x="166"/>
        <item x="168"/>
        <item x="169"/>
        <item x="171"/>
        <item x="173"/>
        <item x="178"/>
        <item x="180"/>
        <item x="181"/>
        <item x="182"/>
        <item x="183"/>
        <item x="186"/>
        <item x="187"/>
        <item x="189"/>
        <item x="190"/>
        <item x="192"/>
        <item x="193"/>
        <item x="194"/>
        <item x="197"/>
        <item x="198"/>
        <item x="200"/>
        <item x="199"/>
        <item x="195"/>
        <item x="201"/>
        <item x="204"/>
        <item x="205"/>
        <item x="208"/>
        <item x="206"/>
        <item x="209"/>
        <item x="212"/>
        <item x="213"/>
        <item x="216"/>
        <item x="219"/>
        <item x="221"/>
        <item m="1" x="647"/>
        <item m="1" x="703"/>
        <item m="1" x="759"/>
        <item m="1" x="677"/>
        <item m="1" x="747"/>
        <item m="1" x="631"/>
        <item m="1" x="757"/>
        <item m="1" x="742"/>
        <item m="1" x="718"/>
        <item m="1" x="701"/>
        <item m="1" x="691"/>
        <item m="1" x="692"/>
        <item m="1" x="620"/>
        <item m="1" x="765"/>
        <item m="1" x="662"/>
        <item m="1" x="652"/>
        <item m="1" x="713"/>
        <item m="1" x="627"/>
        <item m="1" x="668"/>
        <item m="1" x="708"/>
        <item m="1" x="766"/>
        <item m="1" x="722"/>
        <item x="225"/>
        <item x="230"/>
        <item m="1" x="609"/>
        <item m="1" x="650"/>
        <item x="231"/>
        <item x="232"/>
        <item m="1" x="603"/>
        <item x="238"/>
        <item m="1" x="680"/>
        <item m="1" x="700"/>
        <item m="1" x="673"/>
        <item m="1" x="756"/>
        <item m="1" x="717"/>
        <item m="1" x="661"/>
        <item m="1" x="610"/>
        <item x="243"/>
        <item x="244"/>
        <item x="242"/>
        <item x="250"/>
        <item m="1" x="633"/>
        <item m="1" x="575"/>
        <item x="255"/>
        <item m="1" x="587"/>
        <item x="256"/>
        <item x="257"/>
        <item m="1" x="706"/>
        <item m="1" x="612"/>
        <item m="1" x="732"/>
        <item m="1" x="635"/>
        <item m="1" x="636"/>
        <item m="1" x="583"/>
        <item m="1" x="750"/>
        <item x="272"/>
        <item m="1" x="577"/>
        <item m="1" x="683"/>
        <item x="267"/>
        <item m="1" x="607"/>
        <item m="1" x="729"/>
        <item x="271"/>
        <item x="275"/>
        <item m="1" x="705"/>
        <item m="1" x="632"/>
        <item m="1" x="664"/>
        <item m="1" x="656"/>
        <item m="1" x="634"/>
        <item m="1" x="695"/>
        <item m="1" x="753"/>
        <item m="1" x="624"/>
        <item m="1" x="736"/>
        <item m="1" x="644"/>
        <item m="1" x="745"/>
        <item m="1" x="676"/>
        <item m="1" x="658"/>
        <item m="1" x="640"/>
        <item m="1" x="630"/>
        <item m="1" x="666"/>
        <item m="1" x="709"/>
        <item m="1" x="629"/>
        <item m="1" x="716"/>
        <item m="1" x="659"/>
        <item m="1" x="660"/>
        <item m="1" x="704"/>
        <item m="1" x="734"/>
        <item m="1" x="621"/>
        <item m="1" x="711"/>
        <item m="1" x="719"/>
        <item m="1" x="602"/>
        <item m="1" x="581"/>
        <item m="1" x="744"/>
        <item m="1" x="580"/>
        <item m="1" x="707"/>
        <item m="1" x="671"/>
        <item m="1" x="653"/>
        <item m="1" x="592"/>
        <item m="1" x="654"/>
        <item m="1" x="733"/>
        <item m="1" x="731"/>
        <item m="1" x="608"/>
        <item m="1" x="667"/>
        <item m="1" x="690"/>
        <item m="1" x="712"/>
        <item m="1" x="749"/>
        <item m="1" x="686"/>
        <item m="1" x="696"/>
        <item m="1" x="579"/>
        <item m="1" x="702"/>
        <item m="1" x="657"/>
        <item m="1" x="645"/>
        <item m="1" x="600"/>
        <item m="1" x="669"/>
        <item m="1" x="586"/>
        <item m="1" x="574"/>
        <item m="1" x="769"/>
        <item m="1" x="663"/>
        <item m="1" x="622"/>
        <item m="1" x="598"/>
        <item m="1" x="651"/>
        <item m="1" x="599"/>
        <item m="1" x="694"/>
        <item m="1" x="678"/>
        <item m="1" x="615"/>
        <item m="1" x="730"/>
        <item m="1" x="751"/>
        <item m="1" x="723"/>
        <item m="1" x="689"/>
        <item m="1" x="741"/>
        <item m="1" x="743"/>
        <item m="1" x="687"/>
        <item m="1" x="770"/>
        <item m="1" x="674"/>
        <item m="1" x="576"/>
        <item m="1" x="628"/>
        <item m="1" x="613"/>
        <item m="1" x="710"/>
        <item m="1" x="611"/>
        <item m="1" x="721"/>
        <item m="1" x="764"/>
        <item m="1" x="641"/>
        <item m="1" x="638"/>
        <item m="1" x="618"/>
        <item m="1" x="601"/>
        <item m="1" x="670"/>
        <item m="1" x="755"/>
        <item m="1" x="655"/>
        <item m="1" x="740"/>
        <item m="1" x="761"/>
        <item m="1" x="665"/>
        <item m="1" x="682"/>
        <item m="1" x="591"/>
        <item m="1" x="573"/>
        <item m="1" x="724"/>
        <item m="1" x="649"/>
        <item m="1" x="762"/>
        <item m="1" x="685"/>
        <item m="1" x="681"/>
        <item m="1" x="595"/>
        <item m="1" x="768"/>
        <item m="1" x="737"/>
        <item m="1" x="746"/>
        <item m="1" x="684"/>
        <item m="1" x="752"/>
        <item m="1" x="697"/>
        <item m="1" x="725"/>
        <item m="1" x="767"/>
        <item m="1" x="593"/>
        <item m="1" x="594"/>
        <item m="1" x="596"/>
        <item m="1" x="688"/>
        <item m="1" x="578"/>
        <item m="1" x="617"/>
        <item m="1" x="606"/>
        <item m="1" x="739"/>
        <item m="1" x="714"/>
        <item m="1" x="648"/>
        <item m="1" x="675"/>
        <item m="1" x="584"/>
        <item m="1" x="605"/>
        <item m="1" x="623"/>
        <item m="1" x="758"/>
        <item m="1" x="748"/>
        <item m="1" x="604"/>
        <item m="1" x="582"/>
        <item m="1" x="588"/>
        <item m="1" x="693"/>
        <item m="1" x="589"/>
        <item m="1" x="698"/>
        <item m="1" x="637"/>
        <item m="1" x="735"/>
        <item m="1" x="699"/>
        <item m="1" x="726"/>
        <item x="274"/>
        <item m="1" x="763"/>
        <item m="1" x="626"/>
        <item m="1" x="672"/>
        <item x="285"/>
        <item m="1" x="720"/>
        <item m="1" x="643"/>
        <item m="1" x="727"/>
        <item m="1" x="728"/>
        <item m="1" x="715"/>
        <item m="1" x="760"/>
        <item x="293"/>
        <item x="291"/>
        <item x="294"/>
        <item m="1" x="585"/>
        <item m="1" x="616"/>
        <item x="290"/>
        <item x="302"/>
        <item x="303"/>
        <item x="289"/>
        <item x="288"/>
        <item x="304"/>
        <item m="1" x="619"/>
        <item m="1" x="646"/>
        <item m="1" x="679"/>
        <item m="1" x="614"/>
        <item m="1" x="625"/>
        <item m="1" x="639"/>
        <item x="308"/>
        <item x="313"/>
        <item x="317"/>
        <item x="320"/>
        <item x="321"/>
        <item x="0"/>
        <item x="1"/>
        <item x="2"/>
        <item x="4"/>
        <item x="5"/>
        <item x="9"/>
        <item x="8"/>
        <item x="10"/>
        <item x="13"/>
        <item x="15"/>
        <item x="17"/>
        <item x="18"/>
        <item x="19"/>
        <item x="20"/>
        <item x="21"/>
        <item x="22"/>
        <item x="23"/>
        <item x="26"/>
        <item x="3"/>
        <item x="6"/>
        <item x="27"/>
        <item x="24"/>
        <item x="28"/>
        <item x="31"/>
        <item x="30"/>
        <item x="32"/>
        <item x="34"/>
        <item x="35"/>
        <item x="36"/>
        <item x="37"/>
        <item x="39"/>
        <item x="40"/>
        <item x="41"/>
        <item x="42"/>
        <item x="43"/>
        <item x="44"/>
        <item x="46"/>
        <item x="45"/>
        <item x="47"/>
        <item x="48"/>
        <item x="49"/>
        <item x="50"/>
        <item x="51"/>
        <item x="53"/>
        <item x="54"/>
        <item x="55"/>
        <item x="29"/>
        <item x="56"/>
        <item x="58"/>
        <item x="57"/>
        <item x="59"/>
        <item x="60"/>
        <item x="61"/>
        <item x="63"/>
        <item x="62"/>
        <item x="65"/>
        <item x="64"/>
        <item x="68"/>
        <item x="66"/>
        <item x="69"/>
        <item x="67"/>
        <item x="70"/>
        <item x="71"/>
        <item x="72"/>
        <item x="73"/>
        <item x="76"/>
        <item x="74"/>
        <item x="77"/>
        <item x="78"/>
        <item x="79"/>
        <item x="80"/>
        <item x="81"/>
        <item x="82"/>
        <item x="75"/>
        <item x="85"/>
        <item x="88"/>
        <item x="90"/>
        <item x="91"/>
        <item x="93"/>
        <item x="94"/>
        <item x="95"/>
        <item x="96"/>
        <item x="98"/>
        <item x="99"/>
        <item x="100"/>
        <item x="102"/>
        <item x="103"/>
        <item x="104"/>
        <item x="105"/>
        <item x="108"/>
        <item x="111"/>
        <item x="110"/>
        <item x="114"/>
        <item x="115"/>
        <item x="113"/>
        <item x="112"/>
        <item x="116"/>
        <item x="118"/>
        <item x="119"/>
        <item x="120"/>
        <item x="122"/>
        <item x="121"/>
        <item x="123"/>
        <item x="124"/>
        <item x="126"/>
        <item x="125"/>
        <item x="127"/>
        <item x="132"/>
        <item x="135"/>
        <item x="137"/>
        <item x="134"/>
        <item x="140"/>
        <item x="141"/>
        <item x="143"/>
        <item x="145"/>
        <item x="149"/>
        <item x="150"/>
        <item x="151"/>
        <item x="158"/>
        <item x="165"/>
        <item x="167"/>
        <item x="170"/>
        <item x="172"/>
        <item x="175"/>
        <item x="174"/>
        <item x="176"/>
        <item x="177"/>
        <item x="179"/>
        <item x="185"/>
        <item x="184"/>
        <item x="188"/>
        <item x="191"/>
        <item x="196"/>
        <item x="202"/>
        <item x="203"/>
        <item x="207"/>
        <item x="211"/>
        <item x="210"/>
        <item x="214"/>
        <item x="215"/>
        <item x="217"/>
        <item x="218"/>
        <item x="222"/>
        <item x="220"/>
        <item x="223"/>
        <item x="224"/>
        <item x="227"/>
        <item x="226"/>
        <item x="229"/>
        <item x="233"/>
        <item x="234"/>
        <item x="239"/>
        <item x="235"/>
        <item x="236"/>
        <item x="240"/>
        <item x="237"/>
        <item x="241"/>
        <item x="248"/>
        <item x="247"/>
        <item x="245"/>
        <item x="246"/>
        <item x="249"/>
        <item x="252"/>
        <item x="253"/>
        <item x="251"/>
        <item x="254"/>
        <item x="260"/>
        <item x="258"/>
        <item x="261"/>
        <item x="263"/>
        <item x="262"/>
        <item x="264"/>
        <item x="265"/>
        <item x="259"/>
        <item x="266"/>
        <item x="270"/>
        <item x="269"/>
        <item x="273"/>
        <item x="268"/>
        <item x="276"/>
        <item x="277"/>
        <item x="278"/>
        <item x="280"/>
        <item x="281"/>
        <item x="282"/>
        <item x="284"/>
        <item x="283"/>
        <item x="279"/>
        <item x="287"/>
        <item x="286"/>
        <item x="297"/>
        <item x="299"/>
        <item x="295"/>
        <item x="292"/>
        <item x="306"/>
        <item x="307"/>
        <item x="312"/>
        <item x="315"/>
        <item x="319"/>
        <item x="323"/>
        <item x="324"/>
        <item x="322"/>
        <item x="327"/>
        <item x="328"/>
        <item x="330"/>
        <item x="326"/>
        <item x="331"/>
        <item x="335"/>
        <item x="337"/>
        <item x="333"/>
        <item x="325"/>
        <item x="329"/>
        <item x="332"/>
        <item x="334"/>
        <item x="336"/>
        <item x="338"/>
        <item x="339"/>
        <item x="342"/>
        <item x="341"/>
        <item x="343"/>
        <item x="344"/>
        <item x="345"/>
        <item x="348"/>
        <item x="347"/>
        <item x="346"/>
        <item x="349"/>
        <item x="351"/>
        <item x="350"/>
        <item x="353"/>
        <item x="352"/>
        <item x="355"/>
        <item x="354"/>
        <item x="356"/>
        <item x="359"/>
        <item x="361"/>
        <item x="360"/>
        <item x="357"/>
        <item x="358"/>
        <item x="362"/>
        <item x="364"/>
        <item x="366"/>
        <item x="368"/>
        <item x="369"/>
        <item x="371"/>
        <item x="370"/>
        <item x="373"/>
        <item x="372"/>
        <item x="367"/>
        <item x="375"/>
        <item x="376"/>
        <item x="374"/>
        <item x="377"/>
        <item x="388"/>
        <item x="386"/>
        <item x="389"/>
        <item x="392"/>
        <item x="390"/>
        <item x="393"/>
        <item x="394"/>
        <item x="385"/>
        <item x="380"/>
        <item x="379"/>
        <item x="387"/>
        <item x="391"/>
        <item x="378"/>
        <item x="395"/>
        <item x="398"/>
        <item x="397"/>
        <item x="396"/>
        <item x="401"/>
        <item x="399"/>
        <item x="400"/>
        <item x="402"/>
        <item x="12"/>
        <item x="16"/>
        <item x="25"/>
        <item x="228"/>
        <item x="296"/>
        <item x="298"/>
        <item x="300"/>
        <item x="301"/>
        <item x="305"/>
        <item x="310"/>
        <item x="314"/>
        <item x="316"/>
        <item x="318"/>
        <item x="311"/>
        <item x="309"/>
        <item x="365"/>
        <item x="363"/>
        <item x="381"/>
        <item x="383"/>
        <item x="382"/>
        <item x="384"/>
        <item x="413"/>
        <item x="412"/>
        <item x="411"/>
        <item x="414"/>
        <item x="405"/>
        <item x="404"/>
        <item x="406"/>
        <item x="403"/>
        <item x="407"/>
        <item x="409"/>
        <item x="408"/>
        <item x="410"/>
        <item x="418"/>
        <item x="416"/>
        <item x="417"/>
        <item x="415"/>
        <item x="420"/>
        <item x="419"/>
        <item x="421"/>
        <item x="422"/>
        <item x="424"/>
        <item x="423"/>
        <item x="425"/>
        <item x="427"/>
        <item x="426"/>
        <item x="428"/>
        <item x="430"/>
        <item x="431"/>
        <item x="429"/>
        <item x="434"/>
        <item x="433"/>
        <item x="432"/>
        <item x="437"/>
        <item x="438"/>
        <item x="435"/>
        <item x="439"/>
        <item x="436"/>
        <item x="340"/>
        <item x="441"/>
        <item x="445"/>
        <item x="442"/>
        <item x="440"/>
        <item x="443"/>
        <item x="449"/>
        <item x="444"/>
        <item x="448"/>
        <item x="446"/>
        <item x="450"/>
        <item x="452"/>
        <item x="454"/>
        <item x="453"/>
        <item x="451"/>
        <item x="455"/>
        <item x="456"/>
        <item x="459"/>
        <item x="458"/>
        <item x="460"/>
        <item x="457"/>
        <item x="464"/>
        <item x="462"/>
        <item x="461"/>
        <item x="463"/>
        <item x="465"/>
        <item x="447"/>
        <item x="469"/>
        <item x="471"/>
        <item x="468"/>
        <item x="472"/>
        <item x="470"/>
        <item x="467"/>
        <item x="466"/>
        <item x="473"/>
        <item x="475"/>
        <item x="477"/>
        <item x="474"/>
        <item x="476"/>
        <item x="478"/>
        <item x="479"/>
        <item x="480"/>
        <item x="481"/>
        <item x="482"/>
        <item x="483"/>
        <item x="484"/>
        <item x="485"/>
        <item x="486"/>
        <item x="487"/>
        <item x="488"/>
        <item x="489"/>
        <item x="490"/>
        <item x="491"/>
        <item x="492"/>
        <item x="493"/>
        <item x="494"/>
        <item x="495"/>
        <item x="496"/>
        <item x="497"/>
        <item x="498"/>
        <item x="499"/>
        <item x="500"/>
        <item x="501"/>
        <item x="502"/>
        <item x="505"/>
        <item x="516"/>
        <item x="508"/>
        <item x="509"/>
        <item x="510"/>
        <item x="511"/>
        <item x="503"/>
        <item x="504"/>
        <item x="506"/>
        <item x="507"/>
        <item x="512"/>
        <item x="513"/>
        <item x="514"/>
        <item x="515"/>
        <item x="517"/>
        <item x="518"/>
        <item x="519"/>
        <item x="520"/>
        <item x="521"/>
        <item x="524"/>
        <item x="525"/>
        <item x="526"/>
        <item x="527"/>
        <item x="522"/>
        <item x="523"/>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s>
    </pivotField>
    <pivotField axis="axisRow" outline="0" showAll="0" defaultSubtotal="0">
      <items count="568">
        <item x="31"/>
        <item x="84"/>
        <item x="62"/>
        <item x="32"/>
        <item x="55"/>
        <item x="58"/>
        <item x="72"/>
        <item x="38"/>
        <item x="73"/>
        <item x="14"/>
        <item x="93"/>
        <item x="111"/>
        <item x="12"/>
        <item x="54"/>
        <item x="57"/>
        <item x="101"/>
        <item x="43"/>
        <item x="24"/>
        <item x="27"/>
        <item x="49"/>
        <item x="44"/>
        <item x="30"/>
        <item x="34"/>
        <item x="35"/>
        <item x="46"/>
        <item x="48"/>
        <item x="76"/>
        <item x="77"/>
        <item x="50"/>
        <item x="87"/>
        <item x="83"/>
        <item x="53"/>
        <item x="86"/>
        <item x="59"/>
        <item x="92"/>
        <item x="97"/>
        <item x="70"/>
        <item x="65"/>
        <item x="68"/>
        <item x="36"/>
        <item x="107"/>
        <item x="95"/>
        <item x="96"/>
        <item x="113"/>
        <item x="110"/>
        <item x="6"/>
        <item x="42"/>
        <item x="0"/>
        <item x="11"/>
        <item x="1"/>
        <item x="2"/>
        <item x="4"/>
        <item x="8"/>
        <item x="5"/>
        <item x="7"/>
        <item x="25"/>
        <item x="9"/>
        <item x="10"/>
        <item x="15"/>
        <item x="16"/>
        <item x="18"/>
        <item x="22"/>
        <item x="13"/>
        <item x="17"/>
        <item x="20"/>
        <item x="19"/>
        <item x="23"/>
        <item x="21"/>
        <item x="26"/>
        <item x="28"/>
        <item x="37"/>
        <item x="33"/>
        <item x="39"/>
        <item x="40"/>
        <item x="41"/>
        <item x="45"/>
        <item x="47"/>
        <item x="51"/>
        <item x="52"/>
        <item x="29"/>
        <item x="56"/>
        <item x="69"/>
        <item x="64"/>
        <item x="60"/>
        <item x="63"/>
        <item x="61"/>
        <item x="66"/>
        <item x="67"/>
        <item x="79"/>
        <item x="71"/>
        <item x="78"/>
        <item x="80"/>
        <item x="74"/>
        <item x="88"/>
        <item x="75"/>
        <item x="81"/>
        <item x="82"/>
        <item x="91"/>
        <item x="85"/>
        <item x="90"/>
        <item x="89"/>
        <item x="100"/>
        <item x="94"/>
        <item x="98"/>
        <item x="99"/>
        <item x="108"/>
        <item x="102"/>
        <item x="104"/>
        <item x="103"/>
        <item x="114"/>
        <item x="109"/>
        <item x="106"/>
        <item x="118"/>
        <item x="112"/>
        <item x="116"/>
        <item x="115"/>
        <item x="117"/>
        <item x="105"/>
        <item x="119"/>
        <item x="3"/>
        <item x="120"/>
        <item x="122"/>
        <item x="121"/>
        <item x="123"/>
        <item x="124"/>
        <item x="126"/>
        <item x="125"/>
        <item x="127"/>
        <item x="128"/>
        <item x="129"/>
        <item x="130"/>
        <item x="132"/>
        <item x="131"/>
        <item x="133"/>
        <item x="135"/>
        <item x="136"/>
        <item x="137"/>
        <item x="134"/>
        <item x="138"/>
        <item x="139"/>
        <item x="140"/>
        <item x="141"/>
        <item x="142"/>
        <item x="143"/>
        <item x="145"/>
        <item x="144"/>
        <item x="146"/>
        <item x="147"/>
        <item x="148"/>
        <item x="149"/>
        <item x="150"/>
        <item x="152"/>
        <item x="151"/>
        <item x="153"/>
        <item x="154"/>
        <item x="156"/>
        <item x="157"/>
        <item x="158"/>
        <item x="159"/>
        <item x="160"/>
        <item x="155"/>
        <item x="161"/>
        <item x="162"/>
        <item x="163"/>
        <item x="164"/>
        <item x="165"/>
        <item x="166"/>
        <item x="167"/>
        <item x="168"/>
        <item x="169"/>
        <item x="170"/>
        <item x="171"/>
        <item x="172"/>
        <item x="175"/>
        <item x="173"/>
        <item x="174"/>
        <item x="176"/>
        <item x="177"/>
        <item x="178"/>
        <item x="179"/>
        <item x="180"/>
        <item x="181"/>
        <item x="185"/>
        <item x="182"/>
        <item x="183"/>
        <item x="184"/>
        <item x="186"/>
        <item x="187"/>
        <item x="188"/>
        <item x="189"/>
        <item x="190"/>
        <item x="191"/>
        <item x="192"/>
        <item x="193"/>
        <item x="194"/>
        <item x="196"/>
        <item x="197"/>
        <item x="198"/>
        <item x="200"/>
        <item x="199"/>
        <item x="195"/>
        <item x="201"/>
        <item x="202"/>
        <item x="203"/>
        <item x="204"/>
        <item x="205"/>
        <item x="208"/>
        <item x="206"/>
        <item x="207"/>
        <item x="211"/>
        <item x="209"/>
        <item x="210"/>
        <item x="212"/>
        <item x="213"/>
        <item x="214"/>
        <item x="215"/>
        <item x="216"/>
        <item x="217"/>
        <item x="218"/>
        <item x="219"/>
        <item x="222"/>
        <item x="220"/>
        <item x="221"/>
        <item x="223"/>
        <item x="224"/>
        <item x="227"/>
        <item x="225"/>
        <item x="228"/>
        <item x="230"/>
        <item x="231"/>
        <item x="226"/>
        <item x="229"/>
        <item x="232"/>
        <item x="233"/>
        <item x="238"/>
        <item x="234"/>
        <item x="239"/>
        <item x="235"/>
        <item x="236"/>
        <item x="240"/>
        <item x="237"/>
        <item x="241"/>
        <item x="243"/>
        <item x="244"/>
        <item x="242"/>
        <item x="248"/>
        <item x="247"/>
        <item x="245"/>
        <item x="246"/>
        <item x="249"/>
        <item x="252"/>
        <item x="250"/>
        <item x="253"/>
        <item x="251"/>
        <item x="254"/>
        <item x="255"/>
        <item x="260"/>
        <item x="258"/>
        <item x="256"/>
        <item x="257"/>
        <item x="261"/>
        <item x="263"/>
        <item x="262"/>
        <item x="264"/>
        <item x="265"/>
        <item x="259"/>
        <item x="266"/>
        <item x="272"/>
        <item x="270"/>
        <item x="269"/>
        <item x="267"/>
        <item x="273"/>
        <item x="268"/>
        <item x="271"/>
        <item x="275"/>
        <item x="276"/>
        <item x="277"/>
        <item x="274"/>
        <item x="278"/>
        <item x="280"/>
        <item x="281"/>
        <item x="285"/>
        <item x="282"/>
        <item x="284"/>
        <item x="283"/>
        <item x="279"/>
        <item x="287"/>
        <item x="286"/>
        <item x="293"/>
        <item x="291"/>
        <item x="294"/>
        <item x="297"/>
        <item x="296"/>
        <item x="299"/>
        <item x="295"/>
        <item x="290"/>
        <item x="292"/>
        <item x="298"/>
        <item x="300"/>
        <item x="302"/>
        <item x="303"/>
        <item x="301"/>
        <item x="289"/>
        <item x="288"/>
        <item x="304"/>
        <item x="305"/>
        <item x="306"/>
        <item x="307"/>
        <item x="310"/>
        <item x="309"/>
        <item x="308"/>
        <item x="313"/>
        <item x="312"/>
        <item x="315"/>
        <item x="311"/>
        <item x="314"/>
        <item x="318"/>
        <item x="316"/>
        <item x="317"/>
        <item x="319"/>
        <item x="320"/>
        <item x="322"/>
        <item x="323"/>
        <item x="321"/>
        <item x="326"/>
        <item x="327"/>
        <item x="331"/>
        <item x="328"/>
        <item x="329"/>
        <item x="325"/>
        <item x="330"/>
        <item x="333"/>
        <item x="334"/>
        <item x="336"/>
        <item x="332"/>
        <item x="324"/>
        <item x="335"/>
        <item x="337"/>
        <item x="338"/>
        <item x="341"/>
        <item x="340"/>
        <item x="342"/>
        <item x="343"/>
        <item x="344"/>
        <item x="347"/>
        <item x="346"/>
        <item x="345"/>
        <item x="348"/>
        <item x="350"/>
        <item x="349"/>
        <item x="352"/>
        <item x="351"/>
        <item x="354"/>
        <item x="353"/>
        <item x="355"/>
        <item x="358"/>
        <item x="360"/>
        <item x="359"/>
        <item x="356"/>
        <item x="357"/>
        <item x="361"/>
        <item x="363"/>
        <item x="362"/>
        <item x="364"/>
        <item x="365"/>
        <item x="366"/>
        <item x="367"/>
        <item x="369"/>
        <item x="368"/>
        <item x="371"/>
        <item x="370"/>
        <item x="373"/>
        <item x="374"/>
        <item x="372"/>
        <item x="375"/>
        <item x="379"/>
        <item x="380"/>
        <item x="384"/>
        <item x="382"/>
        <item x="385"/>
        <item x="388"/>
        <item x="386"/>
        <item x="389"/>
        <item x="390"/>
        <item x="381"/>
        <item x="378"/>
        <item x="377"/>
        <item x="383"/>
        <item x="387"/>
        <item x="376"/>
        <item x="391"/>
        <item x="394"/>
        <item x="393"/>
        <item x="392"/>
        <item x="397"/>
        <item x="395"/>
        <item x="396"/>
        <item x="398"/>
        <item x="407"/>
        <item x="406"/>
        <item x="410"/>
        <item x="405"/>
        <item x="408"/>
        <item x="409"/>
        <item x="401"/>
        <item x="400"/>
        <item x="399"/>
        <item x="402"/>
        <item x="403"/>
        <item x="404"/>
        <item x="412"/>
        <item x="411"/>
        <item x="413"/>
        <item x="414"/>
        <item x="416"/>
        <item x="415"/>
        <item x="417"/>
        <item x="419"/>
        <item x="418"/>
        <item x="420"/>
        <item x="422"/>
        <item x="423"/>
        <item x="421"/>
        <item x="426"/>
        <item x="425"/>
        <item x="424"/>
        <item x="429"/>
        <item x="430"/>
        <item x="427"/>
        <item x="431"/>
        <item x="428"/>
        <item x="339"/>
        <item x="433"/>
        <item x="437"/>
        <item x="434"/>
        <item x="432"/>
        <item x="435"/>
        <item x="441"/>
        <item x="436"/>
        <item x="439"/>
        <item x="440"/>
        <item x="438"/>
        <item x="442"/>
        <item x="444"/>
        <item x="446"/>
        <item x="445"/>
        <item x="443"/>
        <item x="447"/>
        <item x="448"/>
        <item x="451"/>
        <item x="450"/>
        <item x="452"/>
        <item x="449"/>
        <item x="456"/>
        <item x="454"/>
        <item x="453"/>
        <item x="455"/>
        <item x="457"/>
        <item x="461"/>
        <item x="463"/>
        <item x="460"/>
        <item x="464"/>
        <item x="462"/>
        <item x="459"/>
        <item x="458"/>
        <item x="465"/>
        <item x="467"/>
        <item x="469"/>
        <item x="466"/>
        <item x="468"/>
        <item x="470"/>
        <item x="471"/>
        <item x="472"/>
        <item x="473"/>
        <item x="474"/>
        <item x="475"/>
        <item x="476"/>
        <item m="1" x="565"/>
        <item x="477"/>
        <item x="478"/>
        <item x="479"/>
        <item x="480"/>
        <item x="481"/>
        <item x="482"/>
        <item x="483"/>
        <item x="484"/>
        <item x="485"/>
        <item x="486"/>
        <item x="487"/>
        <item x="488"/>
        <item x="489"/>
        <item x="490"/>
        <item x="491"/>
        <item x="492"/>
        <item x="493"/>
        <item x="494"/>
        <item m="1" x="567"/>
        <item x="497"/>
        <item x="498"/>
        <item x="508"/>
        <item x="500"/>
        <item x="501"/>
        <item x="502"/>
        <item x="503"/>
        <item m="1" x="566"/>
        <item x="509"/>
        <item x="495"/>
        <item x="496"/>
        <item x="499"/>
        <item x="504"/>
        <item x="505"/>
        <item x="506"/>
        <item x="507"/>
        <item x="510"/>
        <item x="511"/>
        <item x="512"/>
        <item x="513"/>
        <item x="516"/>
        <item x="517"/>
        <item x="518"/>
        <item x="519"/>
        <item x="514"/>
        <item x="515"/>
        <item x="520"/>
        <item x="521"/>
        <item x="522"/>
        <item x="523"/>
        <item x="524"/>
        <item x="525"/>
        <item x="526"/>
        <item x="527"/>
        <item x="528"/>
        <item x="529"/>
        <item x="530"/>
        <item x="531"/>
        <item x="532"/>
        <item x="533"/>
        <item x="534"/>
        <item x="535"/>
        <item x="536"/>
        <item x="537"/>
        <item x="538"/>
        <item x="539"/>
        <item x="540"/>
        <item x="542"/>
        <item x="543"/>
        <item x="544"/>
        <item x="545"/>
        <item x="546"/>
        <item x="547"/>
        <item x="548"/>
        <item x="549"/>
        <item x="550"/>
        <item x="551"/>
        <item x="541"/>
        <item x="552"/>
        <item x="553"/>
        <item x="554"/>
        <item x="555"/>
        <item x="556"/>
        <item x="557"/>
        <item x="558"/>
        <item x="559"/>
        <item x="560"/>
        <item x="561"/>
        <item x="562"/>
        <item x="563"/>
        <item x="564"/>
      </items>
    </pivotField>
    <pivotField showAll="0" defaultSubtotal="0"/>
    <pivotField showAll="0" defaultSubtotal="0"/>
    <pivotField showAll="0">
      <items count="6">
        <item x="0"/>
        <item x="2"/>
        <item m="1" x="3"/>
        <item m="1" x="4"/>
        <item x="1"/>
        <item t="default"/>
      </items>
    </pivotField>
    <pivotField numFmtId="44" showAll="0" defaultSubtotal="0"/>
    <pivotField numFmtId="44" showAll="0" defaultSubtotal="0"/>
    <pivotField outline="0" showAll="0" defaultSubtotal="0"/>
    <pivotField showAll="0"/>
    <pivotField numFmtId="44" showAll="0" defaultSubtotal="0"/>
    <pivotField showAll="0" defaultSubtotal="0"/>
    <pivotField numFmtId="44" showAll="0" defaultSubtotal="0"/>
    <pivotField axis="axisPage" multipleItemSelectionAllowed="1" showAll="0">
      <items count="33">
        <item x="3"/>
        <item h="1" x="1"/>
        <item h="1" x="0"/>
        <item h="1" m="1" x="29"/>
        <item h="1" m="1" x="16"/>
        <item h="1" x="4"/>
        <item h="1" x="5"/>
        <item h="1" m="1" x="21"/>
        <item h="1" x="6"/>
        <item h="1" m="1" x="17"/>
        <item h="1" x="7"/>
        <item h="1" x="8"/>
        <item h="1" m="1" x="13"/>
        <item h="1" m="1" x="26"/>
        <item h="1" x="9"/>
        <item h="1" m="1" x="18"/>
        <item h="1" m="1" x="22"/>
        <item h="1" m="1" x="14"/>
        <item h="1" m="1" x="23"/>
        <item h="1" m="1" x="30"/>
        <item h="1" m="1" x="19"/>
        <item h="1" m="1" x="24"/>
        <item h="1" m="1" x="20"/>
        <item h="1" m="1" x="27"/>
        <item h="1" m="1" x="31"/>
        <item h="1" m="1" x="15"/>
        <item h="1" m="1" x="28"/>
        <item h="1" x="2"/>
        <item h="1" x="10"/>
        <item h="1" m="1" x="25"/>
        <item h="1" x="11"/>
        <item h="1" x="12"/>
        <item t="default"/>
      </items>
    </pivotField>
    <pivotField axis="axisPage" numFmtId="14" multipleItemSelectionAllowed="1" showAll="0" defaultSubtotal="0">
      <items count="5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x="54"/>
        <item x="55"/>
        <item h="1" x="56"/>
        <item h="1" x="57"/>
      </items>
    </pivotField>
    <pivotField numFmtId="14" outline="0" multipleItemSelectionAllowed="1" showAll="0" defaultSubtotal="0">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3"/>
        <item x="42"/>
        <item x="44"/>
        <item x="45"/>
        <item x="46"/>
        <item x="47"/>
        <item x="48"/>
        <item x="49"/>
        <item x="50"/>
        <item x="51"/>
        <item x="52"/>
        <item x="53"/>
        <item x="54"/>
        <item x="55"/>
        <item x="56"/>
        <item x="57"/>
        <item x="58"/>
      </items>
    </pivotField>
    <pivotField axis="axisRow" outline="0" showAll="0" defaultSubtotal="0">
      <items count="264">
        <item x="0"/>
        <item x="1"/>
        <item x="2"/>
        <item x="3"/>
        <item x="4"/>
        <item x="5"/>
        <item x="6"/>
        <item x="7"/>
        <item x="8"/>
        <item x="9"/>
        <item x="10"/>
        <item x="11"/>
        <item x="12"/>
        <item x="13"/>
        <item x="14"/>
        <item x="15"/>
        <item x="16"/>
        <item x="17"/>
        <item x="18"/>
        <item x="19"/>
        <item x="20"/>
        <item x="21"/>
        <item x="22"/>
        <item x="23"/>
        <item x="24"/>
        <item x="25"/>
        <item x="26"/>
        <item x="28"/>
        <item x="29"/>
        <item x="30"/>
        <item x="31"/>
        <item x="32"/>
        <item x="33"/>
        <item x="34"/>
        <item x="35"/>
        <item x="36"/>
        <item x="37"/>
        <item x="38"/>
        <item x="39"/>
        <item x="40"/>
        <item x="41"/>
        <item x="42"/>
        <item x="43"/>
        <item x="44"/>
        <item x="45"/>
        <item x="46"/>
        <item x="47"/>
        <item x="48"/>
        <item x="50"/>
        <item x="51"/>
        <item x="52"/>
        <item x="53"/>
        <item x="54"/>
        <item x="55"/>
        <item x="56"/>
        <item x="57"/>
        <item x="58"/>
        <item x="59"/>
        <item x="60"/>
        <item x="61"/>
        <item x="62"/>
        <item x="63"/>
        <item x="64"/>
        <item x="49"/>
        <item x="65"/>
        <item x="67"/>
        <item x="66"/>
        <item x="27"/>
        <item x="69"/>
        <item x="68"/>
        <item x="71"/>
        <item x="70"/>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3"/>
        <item x="102"/>
        <item x="104"/>
        <item x="105"/>
        <item x="107"/>
        <item x="106"/>
        <item x="108"/>
        <item x="109"/>
        <item x="110"/>
        <item x="111"/>
        <item x="112"/>
        <item x="113"/>
        <item x="114"/>
        <item x="115"/>
        <item x="116"/>
        <item x="117"/>
        <item x="118"/>
        <item x="119"/>
        <item x="120"/>
        <item x="122"/>
        <item x="121"/>
        <item x="123"/>
        <item x="124"/>
        <item x="125"/>
        <item x="127"/>
        <item x="126"/>
        <item x="128"/>
        <item x="129"/>
        <item x="130"/>
        <item x="131"/>
        <item x="132"/>
        <item x="133"/>
        <item x="134"/>
        <item x="135"/>
        <item x="137"/>
        <item x="136"/>
        <item x="138"/>
        <item x="139"/>
        <item x="140"/>
        <item x="142"/>
        <item x="141"/>
        <item x="143"/>
        <item x="144"/>
        <item x="145"/>
        <item x="146"/>
        <item x="148"/>
        <item x="147"/>
        <item x="149"/>
        <item x="152"/>
        <item x="151"/>
        <item x="153"/>
        <item x="150"/>
        <item x="154"/>
        <item x="155"/>
        <item x="156"/>
        <item x="157"/>
        <item x="158"/>
        <item x="159"/>
        <item x="160"/>
        <item x="161"/>
        <item x="162"/>
        <item x="164"/>
        <item x="165"/>
        <item x="167"/>
        <item x="166"/>
        <item x="163"/>
        <item x="168"/>
        <item x="169"/>
        <item x="170"/>
        <item x="171"/>
        <item x="172"/>
        <item x="173"/>
        <item x="175"/>
        <item x="176"/>
        <item x="177"/>
        <item x="178"/>
        <item x="179"/>
        <item x="180"/>
        <item x="181"/>
        <item x="182"/>
        <item x="183"/>
        <item x="184"/>
        <item x="186"/>
        <item x="187"/>
        <item x="185"/>
        <item x="188"/>
        <item x="189"/>
        <item x="190"/>
        <item x="191"/>
        <item x="192"/>
        <item x="193"/>
        <item x="194"/>
        <item x="196"/>
        <item x="195"/>
        <item x="198"/>
        <item x="197"/>
        <item x="199"/>
        <item x="200"/>
        <item x="201"/>
        <item x="202"/>
        <item x="203"/>
        <item x="207"/>
        <item x="208"/>
        <item x="204"/>
        <item x="205"/>
        <item x="206"/>
        <item x="209"/>
        <item x="210"/>
        <item x="211"/>
        <item x="212"/>
        <item x="213"/>
        <item x="214"/>
        <item x="215"/>
        <item x="174"/>
        <item x="216"/>
        <item x="217"/>
        <item x="218"/>
        <item x="219"/>
        <item x="220"/>
        <item x="221"/>
        <item x="222"/>
        <item x="223"/>
        <item x="224"/>
        <item x="225"/>
        <item x="226"/>
        <item x="227"/>
        <item x="228"/>
        <item x="229"/>
        <item x="230"/>
        <item x="231"/>
        <item x="232"/>
        <item x="233"/>
        <item x="234"/>
        <item x="235"/>
        <item x="236"/>
        <item x="237"/>
        <item x="238"/>
        <item x="239"/>
        <item x="240"/>
        <item x="241"/>
        <item x="242"/>
        <item x="244"/>
        <item x="243"/>
        <item x="245"/>
        <item x="246"/>
        <item x="247"/>
        <item x="248"/>
        <item x="249"/>
        <item x="250"/>
        <item x="251"/>
        <item x="252"/>
        <item x="253"/>
        <item x="254"/>
        <item x="255"/>
        <item x="256"/>
        <item x="257"/>
        <item x="258"/>
        <item x="259"/>
        <item x="260"/>
        <item x="261"/>
        <item x="262"/>
        <item x="263"/>
      </items>
    </pivotField>
    <pivotField axis="axisRow" outline="0" showAll="0" defaultSubtotal="0">
      <items count="156">
        <item x="31"/>
        <item x="2"/>
        <item x="17"/>
        <item x="11"/>
        <item x="13"/>
        <item x="35"/>
        <item x="25"/>
        <item x="30"/>
        <item x="16"/>
        <item x="4"/>
        <item x="27"/>
        <item x="0"/>
        <item x="1"/>
        <item x="7"/>
        <item x="6"/>
        <item x="15"/>
        <item x="9"/>
        <item x="23"/>
        <item x="10"/>
        <item x="19"/>
        <item x="14"/>
        <item x="12"/>
        <item x="32"/>
        <item x="34"/>
        <item x="28"/>
        <item x="33"/>
        <item x="29"/>
        <item x="21"/>
        <item x="22"/>
        <item x="8"/>
        <item x="5"/>
        <item x="24"/>
        <item x="26"/>
        <item x="20"/>
        <item x="3"/>
        <item x="18"/>
        <item x="36"/>
        <item x="38"/>
        <item x="37"/>
        <item x="39"/>
        <item x="40"/>
        <item x="42"/>
        <item x="43"/>
        <item x="44"/>
        <item x="41"/>
        <item x="45"/>
        <item x="46"/>
        <item x="47"/>
        <item x="48"/>
        <item x="49"/>
        <item x="50"/>
        <item x="51"/>
        <item x="52"/>
        <item x="54"/>
        <item x="53"/>
        <item x="57"/>
        <item x="58"/>
        <item x="56"/>
        <item x="55"/>
        <item x="59"/>
        <item x="60"/>
        <item x="61"/>
        <item x="62"/>
        <item x="63"/>
        <item x="64"/>
        <item x="65"/>
        <item x="66"/>
        <item x="68"/>
        <item x="67"/>
        <item x="69"/>
        <item x="70"/>
        <item x="71"/>
        <item x="72"/>
        <item x="73"/>
        <item x="74"/>
        <item x="76"/>
        <item x="75"/>
        <item x="77"/>
        <item x="78"/>
        <item x="81"/>
        <item x="79"/>
        <item x="80"/>
        <item x="82"/>
        <item x="84"/>
        <item x="83"/>
        <item x="85"/>
        <item x="86"/>
        <item x="87"/>
        <item x="88"/>
        <item x="89"/>
        <item x="90"/>
        <item x="91"/>
        <item x="92"/>
        <item x="93"/>
        <item x="94"/>
        <item x="95"/>
        <item x="98"/>
        <item x="96"/>
        <item x="97"/>
        <item x="100"/>
        <item x="99"/>
        <item x="102"/>
        <item x="101"/>
        <item x="103"/>
        <item x="105"/>
        <item x="106"/>
        <item x="104"/>
        <item x="107"/>
        <item x="108"/>
        <item m="1" x="154"/>
        <item x="109"/>
        <item x="110"/>
        <item x="111"/>
        <item x="113"/>
        <item x="112"/>
        <item x="114"/>
        <item x="115"/>
        <item x="118"/>
        <item x="117"/>
        <item x="119"/>
        <item x="120"/>
        <item x="121"/>
        <item x="122"/>
        <item x="123"/>
        <item x="124"/>
        <item x="116"/>
        <item x="125"/>
        <item x="126"/>
        <item x="128"/>
        <item x="127"/>
        <item x="129"/>
        <item x="130"/>
        <item x="131"/>
        <item x="132"/>
        <item x="133"/>
        <item x="134"/>
        <item x="136"/>
        <item x="137"/>
        <item x="135"/>
        <item x="139"/>
        <item x="138"/>
        <item x="141"/>
        <item x="140"/>
        <item x="142"/>
        <item x="143"/>
        <item m="1" x="155"/>
        <item x="144"/>
        <item x="145"/>
        <item x="146"/>
        <item x="147"/>
        <item x="148"/>
        <item x="149"/>
        <item x="150"/>
        <item x="151"/>
        <item x="152"/>
        <item x="153"/>
      </items>
    </pivotField>
    <pivotField axis="axisRow" outline="0" showAll="0" defaultSubtotal="0">
      <items count="202">
        <item x="7"/>
        <item x="15"/>
        <item x="5"/>
        <item x="25"/>
        <item x="0"/>
        <item x="29"/>
        <item x="33"/>
        <item x="2"/>
        <item x="11"/>
        <item x="19"/>
        <item x="22"/>
        <item x="34"/>
        <item x="4"/>
        <item x="14"/>
        <item x="30"/>
        <item x="20"/>
        <item x="23"/>
        <item x="31"/>
        <item x="17"/>
        <item x="21"/>
        <item x="18"/>
        <item x="6"/>
        <item x="8"/>
        <item x="24"/>
        <item x="28"/>
        <item x="32"/>
        <item x="35"/>
        <item x="10"/>
        <item x="12"/>
        <item x="26"/>
        <item x="3"/>
        <item x="16"/>
        <item x="13"/>
        <item x="9"/>
        <item x="27"/>
        <item x="1"/>
        <item x="36"/>
        <item x="37"/>
        <item x="38"/>
        <item x="39"/>
        <item x="40"/>
        <item x="41"/>
        <item x="43"/>
        <item x="44"/>
        <item x="45"/>
        <item x="46"/>
        <item x="47"/>
        <item x="48"/>
        <item x="42"/>
        <item x="49"/>
        <item x="50"/>
        <item x="51"/>
        <item x="52"/>
        <item x="53"/>
        <item x="54"/>
        <item x="55"/>
        <item x="56"/>
        <item x="57"/>
        <item x="58"/>
        <item x="59"/>
        <item x="60"/>
        <item x="61"/>
        <item x="62"/>
        <item x="64"/>
        <item x="63"/>
        <item x="67"/>
        <item x="66"/>
        <item x="65"/>
        <item x="68"/>
        <item x="70"/>
        <item m="1" x="199"/>
        <item x="71"/>
        <item x="72"/>
        <item x="73"/>
        <item x="75"/>
        <item m="1" x="197"/>
        <item x="74"/>
        <item x="77"/>
        <item m="1" x="194"/>
        <item x="79"/>
        <item x="80"/>
        <item x="81"/>
        <item x="83"/>
        <item x="84"/>
        <item x="82"/>
        <item x="85"/>
        <item x="86"/>
        <item x="87"/>
        <item x="88"/>
        <item x="89"/>
        <item x="90"/>
        <item x="91"/>
        <item x="93"/>
        <item x="92"/>
        <item x="94"/>
        <item x="95"/>
        <item x="96"/>
        <item x="97"/>
        <item x="98"/>
        <item x="99"/>
        <item x="100"/>
        <item x="101"/>
        <item x="102"/>
        <item x="103"/>
        <item x="104"/>
        <item x="105"/>
        <item x="106"/>
        <item x="107"/>
        <item x="108"/>
        <item x="109"/>
        <item x="110"/>
        <item x="112"/>
        <item x="111"/>
        <item x="114"/>
        <item x="115"/>
        <item x="113"/>
        <item x="116"/>
        <item x="117"/>
        <item x="119"/>
        <item x="118"/>
        <item x="121"/>
        <item x="120"/>
        <item x="122"/>
        <item x="124"/>
        <item x="123"/>
        <item x="125"/>
        <item x="126"/>
        <item x="127"/>
        <item x="128"/>
        <item x="129"/>
        <item x="136"/>
        <item x="130"/>
        <item x="131"/>
        <item x="132"/>
        <item x="133"/>
        <item x="134"/>
        <item x="135"/>
        <item x="137"/>
        <item x="138"/>
        <item x="139"/>
        <item x="140"/>
        <item m="1" x="193"/>
        <item x="141"/>
        <item m="1" x="201"/>
        <item m="1" x="198"/>
        <item m="1" x="195"/>
        <item x="142"/>
        <item x="144"/>
        <item x="145"/>
        <item x="147"/>
        <item m="1" x="200"/>
        <item x="146"/>
        <item x="143"/>
        <item x="148"/>
        <item x="149"/>
        <item x="151"/>
        <item x="150"/>
        <item x="153"/>
        <item x="152"/>
        <item x="154"/>
        <item x="155"/>
        <item x="156"/>
        <item x="158"/>
        <item x="160"/>
        <item x="159"/>
        <item x="157"/>
        <item x="161"/>
        <item x="69"/>
        <item x="76"/>
        <item x="78"/>
        <item x="164"/>
        <item x="165"/>
        <item x="162"/>
        <item x="163"/>
        <item x="166"/>
        <item x="167"/>
        <item x="168"/>
        <item x="169"/>
        <item x="171"/>
        <item x="170"/>
        <item x="172"/>
        <item x="173"/>
        <item x="177"/>
        <item x="175"/>
        <item x="174"/>
        <item x="176"/>
        <item x="179"/>
        <item x="178"/>
        <item x="180"/>
        <item x="181"/>
        <item m="1" x="196"/>
        <item x="182"/>
        <item x="183"/>
        <item x="187"/>
        <item x="184"/>
        <item x="185"/>
        <item x="186"/>
        <item x="188"/>
        <item x="189"/>
        <item x="190"/>
        <item x="191"/>
        <item x="192"/>
      </items>
    </pivotField>
    <pivotField showAll="0" defaultSubtotal="0"/>
    <pivotField showAll="0" defaultSubtotal="0"/>
    <pivotField numFmtId="14" showAll="0" defaultSubtotal="0"/>
    <pivotField showAll="0" defaultSubtotal="0"/>
    <pivotField multipleItemSelectionAllowed="1" showAll="0" defaultSubtotal="0"/>
    <pivotField dataField="1" dragToRow="0" dragToCol="0" dragToPage="0" showAll="0" defaultSubtotal="0"/>
  </pivotFields>
  <rowFields count="5">
    <field x="0"/>
    <field x="1"/>
    <field x="15"/>
    <field x="16"/>
    <field x="17"/>
  </rowFields>
  <rowItems count="7">
    <i>
      <x v="716"/>
      <x v="513"/>
      <x v="245"/>
      <x v="91"/>
      <x v="195"/>
    </i>
    <i>
      <x v="722"/>
      <x v="519"/>
      <x v="251"/>
      <x v="49"/>
      <x v="31"/>
    </i>
    <i>
      <x v="726"/>
      <x v="523"/>
      <x v="251"/>
      <x v="117"/>
      <x v="94"/>
    </i>
    <i>
      <x v="729"/>
      <x v="526"/>
      <x v="252"/>
      <x v="150"/>
      <x v="26"/>
    </i>
    <i>
      <x v="731"/>
      <x v="528"/>
      <x v="252"/>
      <x v="21"/>
      <x v="46"/>
    </i>
    <i>
      <x v="738"/>
      <x v="535"/>
      <x v="255"/>
      <x v="44"/>
      <x v="173"/>
    </i>
    <i t="grand">
      <x/>
    </i>
  </rowItems>
  <colItems count="1">
    <i/>
  </colItems>
  <pageFields count="2">
    <pageField fld="12" hier="-1"/>
    <pageField fld="13" hier="-1"/>
  </pageFields>
  <dataFields count="1">
    <dataField name="PayCarrier(-Dispatch)" fld="23" baseField="13" baseItem="31" numFmtId="44"/>
  </dataFields>
  <formats count="212">
    <format dxfId="744">
      <pivotArea outline="0" collapsedLevelsAreSubtotals="1" fieldPosition="0"/>
    </format>
    <format dxfId="743">
      <pivotArea dataOnly="0" labelOnly="1" outline="0" axis="axisValues" fieldPosition="0"/>
    </format>
    <format dxfId="742">
      <pivotArea grandRow="1" outline="0" collapsedLevelsAreSubtotals="1" fieldPosition="0"/>
    </format>
    <format dxfId="741">
      <pivotArea dataOnly="0" labelOnly="1" grandRow="1" outline="0" fieldPosition="0"/>
    </format>
    <format dxfId="740">
      <pivotArea field="4" type="button" dataOnly="0" labelOnly="1" outline="0"/>
    </format>
    <format dxfId="739">
      <pivotArea outline="0" collapsedLevelsAreSubtotals="1" fieldPosition="0">
        <references count="4">
          <reference field="0" count="1" selected="0">
            <x v="1"/>
          </reference>
          <reference field="15" count="6" selected="0">
            <x v="10"/>
            <x v="19"/>
            <x v="24"/>
            <x v="28"/>
            <x v="30"/>
            <x v="31"/>
          </reference>
          <reference field="16" count="6" selected="0">
            <x v="5"/>
            <x v="16"/>
            <x v="22"/>
            <x v="23"/>
            <x v="30"/>
            <x v="32"/>
          </reference>
          <reference field="17" count="5" selected="0">
            <x v="3"/>
            <x v="7"/>
            <x v="11"/>
            <x v="23"/>
            <x v="32"/>
          </reference>
        </references>
      </pivotArea>
    </format>
    <format dxfId="738">
      <pivotArea dataOnly="0" labelOnly="1" fieldPosition="0">
        <references count="1">
          <reference field="0" count="1">
            <x v="1"/>
          </reference>
        </references>
      </pivotArea>
    </format>
    <format dxfId="737">
      <pivotArea dataOnly="0" labelOnly="1" fieldPosition="0">
        <references count="2">
          <reference field="0" count="1" selected="0">
            <x v="1"/>
          </reference>
          <reference field="15" count="1">
            <x v="31"/>
          </reference>
        </references>
      </pivotArea>
    </format>
    <format dxfId="736">
      <pivotArea dataOnly="0" labelOnly="1" fieldPosition="0">
        <references count="3">
          <reference field="0" count="1" selected="0">
            <x v="1"/>
          </reference>
          <reference field="15" count="1" selected="0">
            <x v="31"/>
          </reference>
          <reference field="16" count="1">
            <x v="5"/>
          </reference>
        </references>
      </pivotArea>
    </format>
    <format dxfId="735">
      <pivotArea dataOnly="0" labelOnly="1" fieldPosition="0">
        <references count="4">
          <reference field="0" count="1" selected="0">
            <x v="1"/>
          </reference>
          <reference field="15" count="1" selected="0">
            <x v="31"/>
          </reference>
          <reference field="16" count="1" selected="0">
            <x v="5"/>
          </reference>
          <reference field="17" count="1">
            <x v="11"/>
          </reference>
        </references>
      </pivotArea>
    </format>
    <format dxfId="734">
      <pivotArea dataOnly="0" labelOnly="1" fieldPosition="0">
        <references count="1">
          <reference field="0" count="1">
            <x v="7"/>
          </reference>
        </references>
      </pivotArea>
    </format>
    <format dxfId="733">
      <pivotArea dataOnly="0" labelOnly="1" fieldPosition="0">
        <references count="1">
          <reference field="0" count="8">
            <x v="0"/>
            <x v="1"/>
            <x v="2"/>
            <x v="3"/>
            <x v="4"/>
            <x v="5"/>
            <x v="6"/>
            <x v="7"/>
          </reference>
        </references>
      </pivotArea>
    </format>
    <format dxfId="732">
      <pivotArea dataOnly="0" labelOnly="1" fieldPosition="0">
        <references count="2">
          <reference field="0" count="1" selected="0">
            <x v="0"/>
          </reference>
          <reference field="15" count="1">
            <x v="20"/>
          </reference>
        </references>
      </pivotArea>
    </format>
    <format dxfId="731">
      <pivotArea dataOnly="0" labelOnly="1" fieldPosition="0">
        <references count="2">
          <reference field="0" count="1" selected="0">
            <x v="1"/>
          </reference>
          <reference field="15" count="1">
            <x v="31"/>
          </reference>
        </references>
      </pivotArea>
    </format>
    <format dxfId="730">
      <pivotArea dataOnly="0" labelOnly="1" fieldPosition="0">
        <references count="2">
          <reference field="0" count="1" selected="0">
            <x v="2"/>
          </reference>
          <reference field="15" count="1">
            <x v="4"/>
          </reference>
        </references>
      </pivotArea>
    </format>
    <format dxfId="729">
      <pivotArea dataOnly="0" labelOnly="1" fieldPosition="0">
        <references count="2">
          <reference field="0" count="1" selected="0">
            <x v="3"/>
          </reference>
          <reference field="15" count="1">
            <x v="17"/>
          </reference>
        </references>
      </pivotArea>
    </format>
    <format dxfId="728">
      <pivotArea dataOnly="0" labelOnly="1" fieldPosition="0">
        <references count="2">
          <reference field="0" count="1" selected="0">
            <x v="4"/>
          </reference>
          <reference field="15" count="1">
            <x v="6"/>
          </reference>
        </references>
      </pivotArea>
    </format>
    <format dxfId="727">
      <pivotArea dataOnly="0" labelOnly="1" fieldPosition="0">
        <references count="2">
          <reference field="0" count="1" selected="0">
            <x v="5"/>
          </reference>
          <reference field="15" count="1">
            <x v="7"/>
          </reference>
        </references>
      </pivotArea>
    </format>
    <format dxfId="726">
      <pivotArea dataOnly="0" labelOnly="1" fieldPosition="0">
        <references count="2">
          <reference field="0" count="1" selected="0">
            <x v="6"/>
          </reference>
          <reference field="15" count="1">
            <x v="20"/>
          </reference>
        </references>
      </pivotArea>
    </format>
    <format dxfId="725">
      <pivotArea dataOnly="0" labelOnly="1" fieldPosition="0">
        <references count="2">
          <reference field="0" count="1" selected="0">
            <x v="7"/>
          </reference>
          <reference field="15" count="1">
            <x v="36"/>
          </reference>
        </references>
      </pivotArea>
    </format>
    <format dxfId="724">
      <pivotArea dataOnly="0" labelOnly="1" fieldPosition="0">
        <references count="3">
          <reference field="0" count="1" selected="0">
            <x v="0"/>
          </reference>
          <reference field="15" count="1" selected="0">
            <x v="20"/>
          </reference>
          <reference field="16" count="1">
            <x v="10"/>
          </reference>
        </references>
      </pivotArea>
    </format>
    <format dxfId="723">
      <pivotArea dataOnly="0" labelOnly="1" fieldPosition="0">
        <references count="3">
          <reference field="0" count="1" selected="0">
            <x v="1"/>
          </reference>
          <reference field="15" count="1" selected="0">
            <x v="31"/>
          </reference>
          <reference field="16" count="1">
            <x v="5"/>
          </reference>
        </references>
      </pivotArea>
    </format>
    <format dxfId="722">
      <pivotArea dataOnly="0" labelOnly="1" fieldPosition="0">
        <references count="3">
          <reference field="0" count="1" selected="0">
            <x v="2"/>
          </reference>
          <reference field="15" count="1" selected="0">
            <x v="4"/>
          </reference>
          <reference field="16" count="1">
            <x v="13"/>
          </reference>
        </references>
      </pivotArea>
    </format>
    <format dxfId="721">
      <pivotArea dataOnly="0" labelOnly="1" fieldPosition="0">
        <references count="3">
          <reference field="0" count="1" selected="0">
            <x v="3"/>
          </reference>
          <reference field="15" count="1" selected="0">
            <x v="17"/>
          </reference>
          <reference field="16" count="1">
            <x v="31"/>
          </reference>
        </references>
      </pivotArea>
    </format>
    <format dxfId="720">
      <pivotArea dataOnly="0" labelOnly="1" fieldPosition="0">
        <references count="3">
          <reference field="0" count="1" selected="0">
            <x v="4"/>
          </reference>
          <reference field="15" count="1" selected="0">
            <x v="6"/>
          </reference>
          <reference field="16" count="1">
            <x v="18"/>
          </reference>
        </references>
      </pivotArea>
    </format>
    <format dxfId="719">
      <pivotArea dataOnly="0" labelOnly="1" fieldPosition="0">
        <references count="3">
          <reference field="0" count="1" selected="0">
            <x v="5"/>
          </reference>
          <reference field="15" count="1" selected="0">
            <x v="7"/>
          </reference>
          <reference field="16" count="1">
            <x v="21"/>
          </reference>
        </references>
      </pivotArea>
    </format>
    <format dxfId="718">
      <pivotArea dataOnly="0" labelOnly="1" fieldPosition="0">
        <references count="3">
          <reference field="0" count="1" selected="0">
            <x v="6"/>
          </reference>
          <reference field="15" count="1" selected="0">
            <x v="20"/>
          </reference>
          <reference field="16" count="1">
            <x v="8"/>
          </reference>
        </references>
      </pivotArea>
    </format>
    <format dxfId="717">
      <pivotArea dataOnly="0" labelOnly="1" fieldPosition="0">
        <references count="3">
          <reference field="0" count="1" selected="0">
            <x v="7"/>
          </reference>
          <reference field="15" count="1" selected="0">
            <x v="36"/>
          </reference>
          <reference field="16" count="1">
            <x v="16"/>
          </reference>
        </references>
      </pivotArea>
    </format>
    <format dxfId="716">
      <pivotArea dataOnly="0" labelOnly="1" fieldPosition="0">
        <references count="4">
          <reference field="0" count="1" selected="0">
            <x v="0"/>
          </reference>
          <reference field="15" count="1" selected="0">
            <x v="20"/>
          </reference>
          <reference field="16" count="1" selected="0">
            <x v="10"/>
          </reference>
          <reference field="17" count="1">
            <x v="29"/>
          </reference>
        </references>
      </pivotArea>
    </format>
    <format dxfId="715">
      <pivotArea dataOnly="0" labelOnly="1" fieldPosition="0">
        <references count="4">
          <reference field="0" count="1" selected="0">
            <x v="1"/>
          </reference>
          <reference field="15" count="1" selected="0">
            <x v="31"/>
          </reference>
          <reference field="16" count="1" selected="0">
            <x v="5"/>
          </reference>
          <reference field="17" count="1">
            <x v="11"/>
          </reference>
        </references>
      </pivotArea>
    </format>
    <format dxfId="714">
      <pivotArea dataOnly="0" labelOnly="1" fieldPosition="0">
        <references count="4">
          <reference field="0" count="1" selected="0">
            <x v="2"/>
          </reference>
          <reference field="15" count="1" selected="0">
            <x v="4"/>
          </reference>
          <reference field="16" count="1" selected="0">
            <x v="13"/>
          </reference>
          <reference field="17" count="1">
            <x v="12"/>
          </reference>
        </references>
      </pivotArea>
    </format>
    <format dxfId="713">
      <pivotArea dataOnly="0" labelOnly="1" fieldPosition="0">
        <references count="4">
          <reference field="0" count="1" selected="0">
            <x v="3"/>
          </reference>
          <reference field="15" count="1" selected="0">
            <x v="17"/>
          </reference>
          <reference field="16" count="1" selected="0">
            <x v="31"/>
          </reference>
          <reference field="17" count="1">
            <x v="16"/>
          </reference>
        </references>
      </pivotArea>
    </format>
    <format dxfId="712">
      <pivotArea dataOnly="0" labelOnly="1" fieldPosition="0">
        <references count="4">
          <reference field="0" count="1" selected="0">
            <x v="4"/>
          </reference>
          <reference field="15" count="1" selected="0">
            <x v="6"/>
          </reference>
          <reference field="16" count="1" selected="0">
            <x v="18"/>
          </reference>
          <reference field="17" count="1">
            <x v="33"/>
          </reference>
        </references>
      </pivotArea>
    </format>
    <format dxfId="711">
      <pivotArea dataOnly="0" labelOnly="1" fieldPosition="0">
        <references count="4">
          <reference field="0" count="1" selected="0">
            <x v="5"/>
          </reference>
          <reference field="15" count="1" selected="0">
            <x v="7"/>
          </reference>
          <reference field="16" count="1" selected="0">
            <x v="21"/>
          </reference>
          <reference field="17" count="1">
            <x v="8"/>
          </reference>
        </references>
      </pivotArea>
    </format>
    <format dxfId="710">
      <pivotArea dataOnly="0" labelOnly="1" fieldPosition="0">
        <references count="4">
          <reference field="0" count="1" selected="0">
            <x v="6"/>
          </reference>
          <reference field="15" count="1" selected="0">
            <x v="20"/>
          </reference>
          <reference field="16" count="1" selected="0">
            <x v="8"/>
          </reference>
          <reference field="17" count="1">
            <x v="8"/>
          </reference>
        </references>
      </pivotArea>
    </format>
    <format dxfId="709">
      <pivotArea dataOnly="0" labelOnly="1" fieldPosition="0">
        <references count="4">
          <reference field="0" count="1" selected="0">
            <x v="7"/>
          </reference>
          <reference field="15" count="1" selected="0">
            <x v="36"/>
          </reference>
          <reference field="16" count="1" selected="0">
            <x v="16"/>
          </reference>
          <reference field="17" count="1">
            <x v="27"/>
          </reference>
        </references>
      </pivotArea>
    </format>
    <format dxfId="708">
      <pivotArea grandRow="1" outline="0" collapsedLevelsAreSubtotals="1" fieldPosition="0"/>
    </format>
    <format dxfId="707">
      <pivotArea dataOnly="0" labelOnly="1" grandRow="1" outline="0" fieldPosition="0"/>
    </format>
    <format dxfId="706">
      <pivotArea dataOnly="0" outline="0" axis="axisValues" fieldPosition="0"/>
    </format>
    <format dxfId="705">
      <pivotArea outline="0" collapsedLevelsAreSubtotals="1" fieldPosition="0"/>
    </format>
    <format dxfId="704">
      <pivotArea dataOnly="0" labelOnly="1" outline="0" axis="axisValues" fieldPosition="0"/>
    </format>
    <format dxfId="703">
      <pivotArea type="all" dataOnly="0" outline="0" fieldPosition="0"/>
    </format>
    <format dxfId="702">
      <pivotArea outline="0" collapsedLevelsAreSubtotals="1" fieldPosition="0"/>
    </format>
    <format dxfId="701">
      <pivotArea dataOnly="0" labelOnly="1" outline="0" axis="axisValues" fieldPosition="0"/>
    </format>
    <format dxfId="700">
      <pivotArea dataOnly="0" labelOnly="1" grandRow="1" outline="0" fieldPosition="0"/>
    </format>
    <format dxfId="699">
      <pivotArea type="all" dataOnly="0" outline="0" fieldPosition="0"/>
    </format>
    <format dxfId="698">
      <pivotArea outline="0" collapsedLevelsAreSubtotals="1" fieldPosition="0"/>
    </format>
    <format dxfId="697">
      <pivotArea field="0" type="button" dataOnly="0" labelOnly="1" outline="0" axis="axisRow" fieldPosition="0"/>
    </format>
    <format dxfId="696">
      <pivotArea field="15" type="button" dataOnly="0" labelOnly="1" outline="0" axis="axisRow" fieldPosition="2"/>
    </format>
    <format dxfId="695">
      <pivotArea field="14" type="button" dataOnly="0" labelOnly="1" outline="0"/>
    </format>
    <format dxfId="694">
      <pivotArea field="16" type="button" dataOnly="0" labelOnly="1" outline="0" axis="axisRow" fieldPosition="3"/>
    </format>
    <format dxfId="693">
      <pivotArea field="17" type="button" dataOnly="0" labelOnly="1" outline="0" axis="axisRow" fieldPosition="4"/>
    </format>
    <format dxfId="692">
      <pivotArea dataOnly="0" labelOnly="1" outline="0" axis="axisValues" fieldPosition="0"/>
    </format>
    <format dxfId="691">
      <pivotArea dataOnly="0" labelOnly="1" fieldPosition="0">
        <references count="1">
          <reference field="0" count="4">
            <x v="9"/>
            <x v="17"/>
            <x v="18"/>
            <x v="21"/>
          </reference>
        </references>
      </pivotArea>
    </format>
    <format dxfId="690">
      <pivotArea dataOnly="0" labelOnly="1" grandRow="1" outline="0" fieldPosition="0"/>
    </format>
    <format dxfId="689">
      <pivotArea dataOnly="0" labelOnly="1" fieldPosition="0">
        <references count="2">
          <reference field="0" count="1" selected="0">
            <x v="9"/>
          </reference>
          <reference field="15" count="1">
            <x v="63"/>
          </reference>
        </references>
      </pivotArea>
    </format>
    <format dxfId="688">
      <pivotArea dataOnly="0" labelOnly="1" fieldPosition="0">
        <references count="2">
          <reference field="0" count="1" selected="0">
            <x v="17"/>
          </reference>
          <reference field="15" count="1">
            <x v="61"/>
          </reference>
        </references>
      </pivotArea>
    </format>
    <format dxfId="687">
      <pivotArea dataOnly="0" labelOnly="1" fieldPosition="0">
        <references count="2">
          <reference field="0" count="1" selected="0">
            <x v="18"/>
          </reference>
          <reference field="15" count="1">
            <x v="66"/>
          </reference>
        </references>
      </pivotArea>
    </format>
    <format dxfId="686">
      <pivotArea dataOnly="0" labelOnly="1" outline="0" axis="axisValues" fieldPosition="0"/>
    </format>
    <format dxfId="685">
      <pivotArea type="all" dataOnly="0" outline="0" fieldPosition="0"/>
    </format>
    <format dxfId="684">
      <pivotArea outline="0" collapsedLevelsAreSubtotals="1" fieldPosition="0"/>
    </format>
    <format dxfId="683">
      <pivotArea field="0" type="button" dataOnly="0" labelOnly="1" outline="0" axis="axisRow" fieldPosition="0"/>
    </format>
    <format dxfId="682">
      <pivotArea field="15" type="button" dataOnly="0" labelOnly="1" outline="0" axis="axisRow" fieldPosition="2"/>
    </format>
    <format dxfId="681">
      <pivotArea field="14" type="button" dataOnly="0" labelOnly="1" outline="0"/>
    </format>
    <format dxfId="680">
      <pivotArea field="16" type="button" dataOnly="0" labelOnly="1" outline="0" axis="axisRow" fieldPosition="3"/>
    </format>
    <format dxfId="679">
      <pivotArea field="17" type="button" dataOnly="0" labelOnly="1" outline="0" axis="axisRow" fieldPosition="4"/>
    </format>
    <format dxfId="678">
      <pivotArea dataOnly="0" labelOnly="1" outline="0" axis="axisValues" fieldPosition="0"/>
    </format>
    <format dxfId="677">
      <pivotArea dataOnly="0" labelOnly="1" fieldPosition="0">
        <references count="1">
          <reference field="0" count="4">
            <x v="9"/>
            <x v="17"/>
            <x v="18"/>
            <x v="21"/>
          </reference>
        </references>
      </pivotArea>
    </format>
    <format dxfId="676">
      <pivotArea dataOnly="0" labelOnly="1" grandRow="1" outline="0" fieldPosition="0"/>
    </format>
    <format dxfId="675">
      <pivotArea dataOnly="0" labelOnly="1" fieldPosition="0">
        <references count="2">
          <reference field="0" count="1" selected="0">
            <x v="9"/>
          </reference>
          <reference field="15" count="1">
            <x v="63"/>
          </reference>
        </references>
      </pivotArea>
    </format>
    <format dxfId="674">
      <pivotArea dataOnly="0" labelOnly="1" fieldPosition="0">
        <references count="2">
          <reference field="0" count="1" selected="0">
            <x v="17"/>
          </reference>
          <reference field="15" count="1">
            <x v="61"/>
          </reference>
        </references>
      </pivotArea>
    </format>
    <format dxfId="673">
      <pivotArea dataOnly="0" labelOnly="1" fieldPosition="0">
        <references count="2">
          <reference field="0" count="1" selected="0">
            <x v="18"/>
          </reference>
          <reference field="15" count="1">
            <x v="66"/>
          </reference>
        </references>
      </pivotArea>
    </format>
    <format dxfId="672">
      <pivotArea dataOnly="0" labelOnly="1" outline="0" axis="axisValues" fieldPosition="0"/>
    </format>
    <format dxfId="671">
      <pivotArea type="all" dataOnly="0" outline="0" fieldPosition="0"/>
    </format>
    <format dxfId="670">
      <pivotArea outline="0" collapsedLevelsAreSubtotals="1" fieldPosition="0"/>
    </format>
    <format dxfId="669">
      <pivotArea field="0" type="button" dataOnly="0" labelOnly="1" outline="0" axis="axisRow" fieldPosition="0"/>
    </format>
    <format dxfId="668">
      <pivotArea field="15" type="button" dataOnly="0" labelOnly="1" outline="0" axis="axisRow" fieldPosition="2"/>
    </format>
    <format dxfId="667">
      <pivotArea field="14" type="button" dataOnly="0" labelOnly="1" outline="0"/>
    </format>
    <format dxfId="666">
      <pivotArea field="16" type="button" dataOnly="0" labelOnly="1" outline="0" axis="axisRow" fieldPosition="3"/>
    </format>
    <format dxfId="665">
      <pivotArea field="17" type="button" dataOnly="0" labelOnly="1" outline="0" axis="axisRow" fieldPosition="4"/>
    </format>
    <format dxfId="664">
      <pivotArea dataOnly="0" labelOnly="1" outline="0" axis="axisValues" fieldPosition="0"/>
    </format>
    <format dxfId="663">
      <pivotArea dataOnly="0" labelOnly="1" fieldPosition="0">
        <references count="1">
          <reference field="0" count="4">
            <x v="9"/>
            <x v="17"/>
            <x v="18"/>
            <x v="21"/>
          </reference>
        </references>
      </pivotArea>
    </format>
    <format dxfId="662">
      <pivotArea dataOnly="0" labelOnly="1" grandRow="1" outline="0" fieldPosition="0"/>
    </format>
    <format dxfId="661">
      <pivotArea dataOnly="0" labelOnly="1" fieldPosition="0">
        <references count="2">
          <reference field="0" count="1" selected="0">
            <x v="9"/>
          </reference>
          <reference field="15" count="1">
            <x v="63"/>
          </reference>
        </references>
      </pivotArea>
    </format>
    <format dxfId="660">
      <pivotArea dataOnly="0" labelOnly="1" fieldPosition="0">
        <references count="2">
          <reference field="0" count="1" selected="0">
            <x v="17"/>
          </reference>
          <reference field="15" count="1">
            <x v="61"/>
          </reference>
        </references>
      </pivotArea>
    </format>
    <format dxfId="659">
      <pivotArea dataOnly="0" labelOnly="1" fieldPosition="0">
        <references count="2">
          <reference field="0" count="1" selected="0">
            <x v="18"/>
          </reference>
          <reference field="15" count="1">
            <x v="66"/>
          </reference>
        </references>
      </pivotArea>
    </format>
    <format dxfId="658">
      <pivotArea dataOnly="0" labelOnly="1" outline="0" axis="axisValues" fieldPosition="0"/>
    </format>
    <format dxfId="657">
      <pivotArea dataOnly="0" labelOnly="1" fieldPosition="0">
        <references count="2">
          <reference field="0" count="1" selected="0">
            <x v="20"/>
          </reference>
          <reference field="1" count="1">
            <x v="111"/>
          </reference>
        </references>
      </pivotArea>
    </format>
    <format dxfId="656">
      <pivotArea type="all" dataOnly="0" outline="0" fieldPosition="0"/>
    </format>
    <format dxfId="655">
      <pivotArea outline="0" collapsedLevelsAreSubtotals="1" fieldPosition="0"/>
    </format>
    <format dxfId="654">
      <pivotArea field="0" type="button" dataOnly="0" labelOnly="1" outline="0" axis="axisRow" fieldPosition="0"/>
    </format>
    <format dxfId="653">
      <pivotArea field="1" type="button" dataOnly="0" labelOnly="1" outline="0" axis="axisRow" fieldPosition="1"/>
    </format>
    <format dxfId="652">
      <pivotArea field="15" type="button" dataOnly="0" labelOnly="1" outline="0" axis="axisRow" fieldPosition="2"/>
    </format>
    <format dxfId="651">
      <pivotArea field="14" type="button" dataOnly="0" labelOnly="1" outline="0"/>
    </format>
    <format dxfId="650">
      <pivotArea field="16" type="button" dataOnly="0" labelOnly="1" outline="0" axis="axisRow" fieldPosition="3"/>
    </format>
    <format dxfId="649">
      <pivotArea field="17" type="button" dataOnly="0" labelOnly="1" outline="0" axis="axisRow" fieldPosition="4"/>
    </format>
    <format dxfId="648">
      <pivotArea dataOnly="0" labelOnly="1" outline="0" axis="axisValues" fieldPosition="0"/>
    </format>
    <format dxfId="647">
      <pivotArea dataOnly="0" labelOnly="1" grandRow="1" outline="0" fieldPosition="0"/>
    </format>
    <format dxfId="646">
      <pivotArea dataOnly="0" labelOnly="1" outline="0" axis="axisValues" fieldPosition="0"/>
    </format>
    <format dxfId="645">
      <pivotArea dataOnly="0" labelOnly="1" fieldPosition="0">
        <references count="2">
          <reference field="0" count="1" selected="0">
            <x v="24"/>
          </reference>
          <reference field="1" count="1">
            <x v="129"/>
          </reference>
        </references>
      </pivotArea>
    </format>
    <format dxfId="644">
      <pivotArea dataOnly="0" labelOnly="1" fieldPosition="0">
        <references count="2">
          <reference field="0" count="1" selected="0">
            <x v="25"/>
          </reference>
          <reference field="1" count="1">
            <x v="130"/>
          </reference>
        </references>
      </pivotArea>
    </format>
    <format dxfId="643">
      <pivotArea dataOnly="0" labelOnly="1" fieldPosition="0">
        <references count="2">
          <reference field="0" count="1" selected="0">
            <x v="24"/>
          </reference>
          <reference field="1" count="1">
            <x v="129"/>
          </reference>
        </references>
      </pivotArea>
    </format>
    <format dxfId="642">
      <pivotArea dataOnly="0" labelOnly="1" fieldPosition="0">
        <references count="2">
          <reference field="0" count="1" selected="0">
            <x v="25"/>
          </reference>
          <reference field="1" count="1">
            <x v="130"/>
          </reference>
        </references>
      </pivotArea>
    </format>
    <format dxfId="641">
      <pivotArea dataOnly="0" labelOnly="1" fieldPosition="0">
        <references count="2">
          <reference field="0" count="1" selected="0">
            <x v="24"/>
          </reference>
          <reference field="1" count="1">
            <x v="129"/>
          </reference>
        </references>
      </pivotArea>
    </format>
    <format dxfId="640">
      <pivotArea dataOnly="0" labelOnly="1" fieldPosition="0">
        <references count="2">
          <reference field="0" count="1" selected="0">
            <x v="25"/>
          </reference>
          <reference field="1" count="1">
            <x v="130"/>
          </reference>
        </references>
      </pivotArea>
    </format>
    <format dxfId="639">
      <pivotArea type="all" dataOnly="0" outline="0" fieldPosition="0"/>
    </format>
    <format dxfId="638">
      <pivotArea outline="0" collapsedLevelsAreSubtotals="1" fieldPosition="0"/>
    </format>
    <format dxfId="637">
      <pivotArea dataOnly="0" labelOnly="1" outline="0" axis="axisValues" fieldPosition="0"/>
    </format>
    <format dxfId="636">
      <pivotArea dataOnly="0" labelOnly="1" fieldPosition="0">
        <references count="1">
          <reference field="0" count="2">
            <x v="72"/>
            <x v="75"/>
          </reference>
        </references>
      </pivotArea>
    </format>
    <format dxfId="635">
      <pivotArea dataOnly="0" labelOnly="1" grandRow="1" outline="0" fieldPosition="0"/>
    </format>
    <format dxfId="634">
      <pivotArea dataOnly="0" labelOnly="1" fieldPosition="0">
        <references count="2">
          <reference field="0" count="1" selected="0">
            <x v="72"/>
          </reference>
          <reference field="1" count="1">
            <x v="205"/>
          </reference>
        </references>
      </pivotArea>
    </format>
    <format dxfId="633">
      <pivotArea dataOnly="0" labelOnly="1" fieldPosition="0">
        <references count="2">
          <reference field="0" count="1" selected="0">
            <x v="75"/>
          </reference>
          <reference field="1" count="1">
            <x v="210"/>
          </reference>
        </references>
      </pivotArea>
    </format>
    <format dxfId="632">
      <pivotArea type="all" dataOnly="0" outline="0" fieldPosition="0"/>
    </format>
    <format dxfId="631">
      <pivotArea outline="0" collapsedLevelsAreSubtotals="1" fieldPosition="0"/>
    </format>
    <format dxfId="630">
      <pivotArea dataOnly="0" labelOnly="1" outline="0" axis="axisValues" fieldPosition="0"/>
    </format>
    <format dxfId="629">
      <pivotArea dataOnly="0" labelOnly="1" fieldPosition="0">
        <references count="1">
          <reference field="0" count="8">
            <x v="0"/>
            <x v="1"/>
            <x v="2"/>
            <x v="3"/>
            <x v="4"/>
            <x v="5"/>
            <x v="6"/>
            <x v="7"/>
          </reference>
        </references>
      </pivotArea>
    </format>
    <format dxfId="628">
      <pivotArea dataOnly="0" labelOnly="1" fieldPosition="0">
        <references count="1">
          <reference field="0" count="15">
            <x v="8"/>
            <x v="9"/>
            <x v="13"/>
            <x v="14"/>
            <x v="16"/>
            <x v="17"/>
            <x v="18"/>
            <x v="20"/>
            <x v="21"/>
            <x v="24"/>
            <x v="25"/>
            <x v="30"/>
            <x v="31"/>
            <x v="33"/>
            <x v="34"/>
          </reference>
        </references>
      </pivotArea>
    </format>
    <format dxfId="627">
      <pivotArea dataOnly="0" labelOnly="1" fieldPosition="0">
        <references count="1">
          <reference field="0" count="35">
            <x v="38"/>
            <x v="39"/>
            <x v="44"/>
            <x v="46"/>
            <x v="47"/>
            <x v="50"/>
            <x v="51"/>
            <x v="52"/>
            <x v="53"/>
            <x v="55"/>
            <x v="57"/>
            <x v="59"/>
            <x v="61"/>
            <x v="62"/>
            <x v="64"/>
            <x v="69"/>
            <x v="70"/>
            <x v="72"/>
            <x v="75"/>
            <x v="77"/>
            <x v="90"/>
            <x v="92"/>
            <x v="94"/>
            <x v="96"/>
            <x v="98"/>
            <x v="111"/>
            <x v="115"/>
            <x v="120"/>
            <x v="127"/>
            <x v="130"/>
            <x v="133"/>
            <x v="135"/>
            <x v="141"/>
            <x v="142"/>
            <x v="143"/>
          </reference>
        </references>
      </pivotArea>
    </format>
    <format dxfId="626">
      <pivotArea dataOnly="0" labelOnly="1" grandRow="1" outline="0" fieldPosition="0"/>
    </format>
    <format dxfId="625">
      <pivotArea dataOnly="0" labelOnly="1" fieldPosition="0">
        <references count="2">
          <reference field="0" count="1" selected="0">
            <x v="0"/>
          </reference>
          <reference field="1" count="1">
            <x v="70"/>
          </reference>
        </references>
      </pivotArea>
    </format>
    <format dxfId="624">
      <pivotArea dataOnly="0" labelOnly="1" fieldPosition="0">
        <references count="2">
          <reference field="0" count="1" selected="0">
            <x v="1"/>
          </reference>
          <reference field="1" count="1">
            <x v="78"/>
          </reference>
        </references>
      </pivotArea>
    </format>
    <format dxfId="623">
      <pivotArea dataOnly="0" labelOnly="1" fieldPosition="0">
        <references count="2">
          <reference field="0" count="1" selected="0">
            <x v="2"/>
          </reference>
          <reference field="1" count="1">
            <x v="54"/>
          </reference>
        </references>
      </pivotArea>
    </format>
    <format dxfId="622">
      <pivotArea dataOnly="0" labelOnly="1" fieldPosition="0">
        <references count="2">
          <reference field="0" count="1" selected="0">
            <x v="3"/>
          </reference>
          <reference field="1" count="1">
            <x v="71"/>
          </reference>
        </references>
      </pivotArea>
    </format>
    <format dxfId="621">
      <pivotArea dataOnly="0" labelOnly="1" fieldPosition="0">
        <references count="2">
          <reference field="0" count="1" selected="0">
            <x v="4"/>
          </reference>
          <reference field="1" count="1">
            <x v="48"/>
          </reference>
        </references>
      </pivotArea>
    </format>
    <format dxfId="620">
      <pivotArea dataOnly="0" labelOnly="1" fieldPosition="0">
        <references count="2">
          <reference field="0" count="1" selected="0">
            <x v="5"/>
          </reference>
          <reference field="1" count="1">
            <x v="9"/>
          </reference>
        </references>
      </pivotArea>
    </format>
    <format dxfId="619">
      <pivotArea dataOnly="0" labelOnly="1" fieldPosition="0">
        <references count="2">
          <reference field="0" count="1" selected="0">
            <x v="6"/>
          </reference>
          <reference field="1" count="1">
            <x v="7"/>
          </reference>
        </references>
      </pivotArea>
    </format>
    <format dxfId="618">
      <pivotArea dataOnly="0" labelOnly="1" fieldPosition="0">
        <references count="2">
          <reference field="0" count="1" selected="0">
            <x v="7"/>
          </reference>
          <reference field="1" count="1">
            <x v="83"/>
          </reference>
        </references>
      </pivotArea>
    </format>
    <format dxfId="617">
      <pivotArea dataOnly="0" labelOnly="1" fieldPosition="0">
        <references count="2">
          <reference field="0" count="1" selected="0">
            <x v="8"/>
          </reference>
          <reference field="1" count="1">
            <x v="30"/>
          </reference>
        </references>
      </pivotArea>
    </format>
    <format dxfId="616">
      <pivotArea dataOnly="0" labelOnly="1" fieldPosition="0">
        <references count="2">
          <reference field="0" count="1" selected="0">
            <x v="9"/>
          </reference>
          <reference field="1" count="1">
            <x v="1"/>
          </reference>
        </references>
      </pivotArea>
    </format>
    <format dxfId="615">
      <pivotArea dataOnly="0" labelOnly="1" fieldPosition="0">
        <references count="2">
          <reference field="0" count="1" selected="0">
            <x v="13"/>
          </reference>
          <reference field="1" count="1">
            <x v="29"/>
          </reference>
        </references>
      </pivotArea>
    </format>
    <format dxfId="614">
      <pivotArea dataOnly="0" labelOnly="1" fieldPosition="0">
        <references count="2">
          <reference field="0" count="1" selected="0">
            <x v="14"/>
          </reference>
          <reference field="1" count="1">
            <x v="100"/>
          </reference>
        </references>
      </pivotArea>
    </format>
    <format dxfId="613">
      <pivotArea dataOnly="0" labelOnly="1" fieldPosition="0">
        <references count="2">
          <reference field="0" count="1" selected="0">
            <x v="16"/>
          </reference>
          <reference field="1" count="1">
            <x v="35"/>
          </reference>
        </references>
      </pivotArea>
    </format>
    <format dxfId="612">
      <pivotArea dataOnly="0" labelOnly="1" fieldPosition="0">
        <references count="2">
          <reference field="0" count="1" selected="0">
            <x v="17"/>
          </reference>
          <reference field="1" count="1">
            <x v="15"/>
          </reference>
        </references>
      </pivotArea>
    </format>
    <format dxfId="611">
      <pivotArea dataOnly="0" labelOnly="1" fieldPosition="0">
        <references count="2">
          <reference field="0" count="1" selected="0">
            <x v="18"/>
          </reference>
          <reference field="1" count="1">
            <x v="40"/>
          </reference>
        </references>
      </pivotArea>
    </format>
    <format dxfId="610">
      <pivotArea dataOnly="0" labelOnly="1" fieldPosition="0">
        <references count="2">
          <reference field="0" count="1" selected="0">
            <x v="20"/>
          </reference>
          <reference field="1" count="1">
            <x v="111"/>
          </reference>
        </references>
      </pivotArea>
    </format>
    <format dxfId="609">
      <pivotArea dataOnly="0" labelOnly="1" fieldPosition="0">
        <references count="2">
          <reference field="0" count="1" selected="0">
            <x v="21"/>
          </reference>
          <reference field="1" count="1">
            <x v="110"/>
          </reference>
        </references>
      </pivotArea>
    </format>
    <format dxfId="608">
      <pivotArea dataOnly="0" labelOnly="1" fieldPosition="0">
        <references count="2">
          <reference field="0" count="1" selected="0">
            <x v="24"/>
          </reference>
          <reference field="1" count="1">
            <x v="129"/>
          </reference>
        </references>
      </pivotArea>
    </format>
    <format dxfId="607">
      <pivotArea dataOnly="0" labelOnly="1" fieldPosition="0">
        <references count="2">
          <reference field="0" count="1" selected="0">
            <x v="25"/>
          </reference>
          <reference field="1" count="1">
            <x v="130"/>
          </reference>
        </references>
      </pivotArea>
    </format>
    <format dxfId="606">
      <pivotArea dataOnly="0" labelOnly="1" fieldPosition="0">
        <references count="2">
          <reference field="0" count="1" selected="0">
            <x v="30"/>
          </reference>
          <reference field="1" count="1">
            <x v="139"/>
          </reference>
        </references>
      </pivotArea>
    </format>
    <format dxfId="605">
      <pivotArea dataOnly="0" labelOnly="1" fieldPosition="0">
        <references count="2">
          <reference field="0" count="1" selected="0">
            <x v="31"/>
          </reference>
          <reference field="1" count="1">
            <x v="142"/>
          </reference>
        </references>
      </pivotArea>
    </format>
    <format dxfId="604">
      <pivotArea dataOnly="0" labelOnly="1" fieldPosition="0">
        <references count="2">
          <reference field="0" count="1" selected="0">
            <x v="33"/>
          </reference>
          <reference field="1" count="1">
            <x v="146"/>
          </reference>
        </references>
      </pivotArea>
    </format>
    <format dxfId="603">
      <pivotArea dataOnly="0" labelOnly="1" fieldPosition="0">
        <references count="2">
          <reference field="0" count="1" selected="0">
            <x v="34"/>
          </reference>
          <reference field="1" count="1">
            <x v="147"/>
          </reference>
        </references>
      </pivotArea>
    </format>
    <format dxfId="602">
      <pivotArea dataOnly="0" labelOnly="1" fieldPosition="0">
        <references count="2">
          <reference field="0" count="1" selected="0">
            <x v="38"/>
          </reference>
          <reference field="1" count="1">
            <x v="154"/>
          </reference>
        </references>
      </pivotArea>
    </format>
    <format dxfId="601">
      <pivotArea dataOnly="0" labelOnly="1" fieldPosition="0">
        <references count="2">
          <reference field="0" count="1" selected="0">
            <x v="39"/>
          </reference>
          <reference field="1" count="1">
            <x v="155"/>
          </reference>
        </references>
      </pivotArea>
    </format>
    <format dxfId="600">
      <pivotArea dataOnly="0" labelOnly="1" fieldPosition="0">
        <references count="2">
          <reference field="0" count="1" selected="0">
            <x v="44"/>
          </reference>
          <reference field="1" count="1">
            <x v="161"/>
          </reference>
        </references>
      </pivotArea>
    </format>
    <format dxfId="599">
      <pivotArea dataOnly="0" labelOnly="1" fieldPosition="0">
        <references count="2">
          <reference field="0" count="1" selected="0">
            <x v="46"/>
          </reference>
          <reference field="1" count="1">
            <x v="163"/>
          </reference>
        </references>
      </pivotArea>
    </format>
    <format dxfId="598">
      <pivotArea dataOnly="0" labelOnly="1" fieldPosition="0">
        <references count="2">
          <reference field="0" count="1" selected="0">
            <x v="47"/>
          </reference>
          <reference field="1" count="1">
            <x v="164"/>
          </reference>
        </references>
      </pivotArea>
    </format>
    <format dxfId="597">
      <pivotArea dataOnly="0" labelOnly="1" fieldPosition="0">
        <references count="2">
          <reference field="0" count="1" selected="0">
            <x v="50"/>
          </reference>
          <reference field="1" count="1">
            <x v="169"/>
          </reference>
        </references>
      </pivotArea>
    </format>
    <format dxfId="596">
      <pivotArea dataOnly="0" labelOnly="1" fieldPosition="0">
        <references count="2">
          <reference field="0" count="1" selected="0">
            <x v="51"/>
          </reference>
          <reference field="1" count="1">
            <x v="171"/>
          </reference>
        </references>
      </pivotArea>
    </format>
    <format dxfId="595">
      <pivotArea dataOnly="0" labelOnly="1" fieldPosition="0">
        <references count="2">
          <reference field="0" count="1" selected="0">
            <x v="52"/>
          </reference>
          <reference field="1" count="1">
            <x v="174"/>
          </reference>
        </references>
      </pivotArea>
    </format>
    <format dxfId="594">
      <pivotArea dataOnly="0" labelOnly="1" fieldPosition="0">
        <references count="2">
          <reference field="0" count="1" selected="0">
            <x v="53"/>
          </reference>
          <reference field="1" count="1">
            <x v="178"/>
          </reference>
        </references>
      </pivotArea>
    </format>
    <format dxfId="593">
      <pivotArea dataOnly="0" labelOnly="1" fieldPosition="0">
        <references count="2">
          <reference field="0" count="1" selected="0">
            <x v="55"/>
          </reference>
          <reference field="1" count="1">
            <x v="181"/>
          </reference>
        </references>
      </pivotArea>
    </format>
    <format dxfId="592">
      <pivotArea dataOnly="0" labelOnly="1" fieldPosition="0">
        <references count="2">
          <reference field="0" count="1" selected="0">
            <x v="57"/>
          </reference>
          <reference field="1" count="1">
            <x v="184"/>
          </reference>
        </references>
      </pivotArea>
    </format>
    <format dxfId="591">
      <pivotArea dataOnly="0" labelOnly="1" fieldPosition="0">
        <references count="2">
          <reference field="0" count="1" selected="0">
            <x v="59"/>
          </reference>
          <reference field="1" count="1">
            <x v="187"/>
          </reference>
        </references>
      </pivotArea>
    </format>
    <format dxfId="590">
      <pivotArea dataOnly="0" labelOnly="1" fieldPosition="0">
        <references count="2">
          <reference field="0" count="1" selected="0">
            <x v="61"/>
          </reference>
          <reference field="1" count="1">
            <x v="190"/>
          </reference>
        </references>
      </pivotArea>
    </format>
    <format dxfId="589">
      <pivotArea dataOnly="0" labelOnly="1" fieldPosition="0">
        <references count="2">
          <reference field="0" count="1" selected="0">
            <x v="62"/>
          </reference>
          <reference field="1" count="1">
            <x v="192"/>
          </reference>
        </references>
      </pivotArea>
    </format>
    <format dxfId="588">
      <pivotArea dataOnly="0" labelOnly="1" fieldPosition="0">
        <references count="2">
          <reference field="0" count="1" selected="0">
            <x v="64"/>
          </reference>
          <reference field="1" count="1">
            <x v="194"/>
          </reference>
        </references>
      </pivotArea>
    </format>
    <format dxfId="587">
      <pivotArea dataOnly="0" labelOnly="1" fieldPosition="0">
        <references count="2">
          <reference field="0" count="1" selected="0">
            <x v="69"/>
          </reference>
          <reference field="1" count="1">
            <x v="200"/>
          </reference>
        </references>
      </pivotArea>
    </format>
    <format dxfId="586">
      <pivotArea dataOnly="0" labelOnly="1" fieldPosition="0">
        <references count="2">
          <reference field="0" count="1" selected="0">
            <x v="70"/>
          </reference>
          <reference field="1" count="1">
            <x v="201"/>
          </reference>
        </references>
      </pivotArea>
    </format>
    <format dxfId="585">
      <pivotArea dataOnly="0" labelOnly="1" fieldPosition="0">
        <references count="2">
          <reference field="0" count="1" selected="0">
            <x v="72"/>
          </reference>
          <reference field="1" count="1">
            <x v="205"/>
          </reference>
        </references>
      </pivotArea>
    </format>
    <format dxfId="584">
      <pivotArea dataOnly="0" labelOnly="1" fieldPosition="0">
        <references count="2">
          <reference field="0" count="1" selected="0">
            <x v="75"/>
          </reference>
          <reference field="1" count="1">
            <x v="210"/>
          </reference>
        </references>
      </pivotArea>
    </format>
    <format dxfId="583">
      <pivotArea dataOnly="0" labelOnly="1" fieldPosition="0">
        <references count="2">
          <reference field="0" count="1" selected="0">
            <x v="77"/>
          </reference>
          <reference field="1" count="1">
            <x v="213"/>
          </reference>
        </references>
      </pivotArea>
    </format>
    <format dxfId="582">
      <pivotArea dataOnly="0" labelOnly="1" fieldPosition="0">
        <references count="2">
          <reference field="0" count="1" selected="0">
            <x v="90"/>
          </reference>
          <reference field="1" count="1">
            <x v="203"/>
          </reference>
        </references>
      </pivotArea>
    </format>
    <format dxfId="581">
      <pivotArea dataOnly="0" labelOnly="1" fieldPosition="0">
        <references count="2">
          <reference field="0" count="1" selected="0">
            <x v="92"/>
          </reference>
          <reference field="1" count="1">
            <x v="209"/>
          </reference>
        </references>
      </pivotArea>
    </format>
    <format dxfId="580">
      <pivotArea dataOnly="0" labelOnly="1" fieldPosition="0">
        <references count="2">
          <reference field="0" count="1" selected="0">
            <x v="94"/>
          </reference>
          <reference field="1" count="1">
            <x v="214"/>
          </reference>
        </references>
      </pivotArea>
    </format>
    <format dxfId="579">
      <pivotArea dataOnly="0" labelOnly="1" fieldPosition="0">
        <references count="2">
          <reference field="0" count="1" selected="0">
            <x v="96"/>
          </reference>
          <reference field="1" count="1">
            <x v="217"/>
          </reference>
        </references>
      </pivotArea>
    </format>
    <format dxfId="578">
      <pivotArea dataOnly="0" labelOnly="1" fieldPosition="0">
        <references count="2">
          <reference field="0" count="1" selected="0">
            <x v="98"/>
          </reference>
          <reference field="1" count="1">
            <x v="220"/>
          </reference>
        </references>
      </pivotArea>
    </format>
    <format dxfId="577">
      <pivotArea dataOnly="0" labelOnly="1" fieldPosition="0">
        <references count="2">
          <reference field="0" count="1" selected="0">
            <x v="111"/>
          </reference>
          <reference field="1" count="1">
            <x v="235"/>
          </reference>
        </references>
      </pivotArea>
    </format>
    <format dxfId="576">
      <pivotArea dataOnly="0" labelOnly="1" fieldPosition="0">
        <references count="2">
          <reference field="0" count="1" selected="0">
            <x v="115"/>
          </reference>
          <reference field="1" count="1">
            <x v="239"/>
          </reference>
        </references>
      </pivotArea>
    </format>
    <format dxfId="575">
      <pivotArea dataOnly="0" labelOnly="1" fieldPosition="0">
        <references count="2">
          <reference field="0" count="1" selected="0">
            <x v="120"/>
          </reference>
          <reference field="1" count="1">
            <x v="244"/>
          </reference>
        </references>
      </pivotArea>
    </format>
    <format dxfId="574">
      <pivotArea dataOnly="0" labelOnly="1" fieldPosition="0">
        <references count="2">
          <reference field="0" count="1" selected="0">
            <x v="127"/>
          </reference>
          <reference field="1" count="1">
            <x v="259"/>
          </reference>
        </references>
      </pivotArea>
    </format>
    <format dxfId="573">
      <pivotArea dataOnly="0" labelOnly="1" fieldPosition="0">
        <references count="2">
          <reference field="0" count="1" selected="0">
            <x v="130"/>
          </reference>
          <reference field="1" count="1">
            <x v="262"/>
          </reference>
        </references>
      </pivotArea>
    </format>
    <format dxfId="572">
      <pivotArea dataOnly="0" labelOnly="1" fieldPosition="0">
        <references count="2">
          <reference field="0" count="1" selected="0">
            <x v="133"/>
          </reference>
          <reference field="1" count="1">
            <x v="265"/>
          </reference>
        </references>
      </pivotArea>
    </format>
    <format dxfId="571">
      <pivotArea dataOnly="0" labelOnly="1" fieldPosition="0">
        <references count="2">
          <reference field="0" count="1" selected="0">
            <x v="135"/>
          </reference>
          <reference field="1" count="1">
            <x v="267"/>
          </reference>
        </references>
      </pivotArea>
    </format>
    <format dxfId="570">
      <pivotArea dataOnly="0" labelOnly="1" fieldPosition="0">
        <references count="2">
          <reference field="0" count="1" selected="0">
            <x v="141"/>
          </reference>
          <reference field="1" count="1">
            <x v="273"/>
          </reference>
        </references>
      </pivotArea>
    </format>
    <format dxfId="569">
      <pivotArea dataOnly="0" labelOnly="1" fieldPosition="0">
        <references count="2">
          <reference field="0" count="1" selected="0">
            <x v="142"/>
          </reference>
          <reference field="1" count="1">
            <x v="274"/>
          </reference>
        </references>
      </pivotArea>
    </format>
    <format dxfId="568">
      <pivotArea dataOnly="0" labelOnly="1" fieldPosition="0">
        <references count="2">
          <reference field="0" count="1" selected="0">
            <x v="143"/>
          </reference>
          <reference field="1" count="1">
            <x v="275"/>
          </reference>
        </references>
      </pivotArea>
    </format>
    <format dxfId="567">
      <pivotArea grandRow="1" outline="0" collapsedLevelsAreSubtotals="1" fieldPosition="0"/>
    </format>
    <format dxfId="566">
      <pivotArea dataOnly="0" labelOnly="1" fieldPosition="0">
        <references count="1">
          <reference field="0" count="8">
            <x v="55"/>
            <x v="57"/>
            <x v="59"/>
            <x v="61"/>
            <x v="62"/>
            <x v="64"/>
            <x v="69"/>
            <x v="70"/>
          </reference>
        </references>
      </pivotArea>
    </format>
    <format dxfId="565">
      <pivotArea dataOnly="0" labelOnly="1" grandRow="1" outline="0" fieldPosition="0"/>
    </format>
    <format dxfId="564">
      <pivotArea dataOnly="0" labelOnly="1" fieldPosition="0">
        <references count="2">
          <reference field="0" count="1" selected="0">
            <x v="55"/>
          </reference>
          <reference field="1" count="1">
            <x v="181"/>
          </reference>
        </references>
      </pivotArea>
    </format>
    <format dxfId="563">
      <pivotArea dataOnly="0" labelOnly="1" fieldPosition="0">
        <references count="2">
          <reference field="0" count="1" selected="0">
            <x v="57"/>
          </reference>
          <reference field="1" count="1">
            <x v="184"/>
          </reference>
        </references>
      </pivotArea>
    </format>
    <format dxfId="562">
      <pivotArea dataOnly="0" labelOnly="1" fieldPosition="0">
        <references count="2">
          <reference field="0" count="1" selected="0">
            <x v="59"/>
          </reference>
          <reference field="1" count="1">
            <x v="187"/>
          </reference>
        </references>
      </pivotArea>
    </format>
    <format dxfId="561">
      <pivotArea dataOnly="0" labelOnly="1" fieldPosition="0">
        <references count="2">
          <reference field="0" count="1" selected="0">
            <x v="61"/>
          </reference>
          <reference field="1" count="1">
            <x v="190"/>
          </reference>
        </references>
      </pivotArea>
    </format>
    <format dxfId="560">
      <pivotArea dataOnly="0" labelOnly="1" fieldPosition="0">
        <references count="2">
          <reference field="0" count="1" selected="0">
            <x v="62"/>
          </reference>
          <reference field="1" count="1">
            <x v="192"/>
          </reference>
        </references>
      </pivotArea>
    </format>
    <format dxfId="559">
      <pivotArea dataOnly="0" labelOnly="1" fieldPosition="0">
        <references count="2">
          <reference field="0" count="1" selected="0">
            <x v="64"/>
          </reference>
          <reference field="1" count="1">
            <x v="194"/>
          </reference>
        </references>
      </pivotArea>
    </format>
    <format dxfId="558">
      <pivotArea dataOnly="0" labelOnly="1" fieldPosition="0">
        <references count="2">
          <reference field="0" count="1" selected="0">
            <x v="69"/>
          </reference>
          <reference field="1" count="1">
            <x v="200"/>
          </reference>
        </references>
      </pivotArea>
    </format>
    <format dxfId="557">
      <pivotArea dataOnly="0" labelOnly="1" fieldPosition="0">
        <references count="2">
          <reference field="0" count="1" selected="0">
            <x v="70"/>
          </reference>
          <reference field="1" count="1">
            <x v="201"/>
          </reference>
        </references>
      </pivotArea>
    </format>
    <format dxfId="556">
      <pivotArea outline="0" collapsedLevelsAreSubtotals="1" fieldPosition="0"/>
    </format>
    <format dxfId="555">
      <pivotArea dataOnly="0" labelOnly="1" outline="0" axis="axisValues" fieldPosition="0"/>
    </format>
    <format dxfId="554">
      <pivotArea type="all" dataOnly="0" outline="0" fieldPosition="0"/>
    </format>
    <format dxfId="553">
      <pivotArea outline="0" collapsedLevelsAreSubtotals="1" fieldPosition="0"/>
    </format>
    <format dxfId="552">
      <pivotArea dataOnly="0" labelOnly="1" outline="0" axis="axisValues" fieldPosition="0"/>
    </format>
    <format dxfId="551">
      <pivotArea dataOnly="0" labelOnly="1" fieldPosition="0">
        <references count="1">
          <reference field="0" count="6">
            <x v="302"/>
            <x v="303"/>
            <x v="304"/>
            <x v="305"/>
            <x v="505"/>
            <x v="511"/>
          </reference>
        </references>
      </pivotArea>
    </format>
    <format dxfId="550">
      <pivotArea dataOnly="0" labelOnly="1" grandRow="1" outline="0" fieldPosition="0"/>
    </format>
    <format dxfId="549">
      <pivotArea dataOnly="0" labelOnly="1" fieldPosition="0">
        <references count="2">
          <reference field="0" count="1" selected="0">
            <x v="302"/>
          </reference>
          <reference field="1" count="1">
            <x v="312"/>
          </reference>
        </references>
      </pivotArea>
    </format>
    <format dxfId="548">
      <pivotArea dataOnly="0" labelOnly="1" fieldPosition="0">
        <references count="2">
          <reference field="0" count="1" selected="0">
            <x v="303"/>
          </reference>
          <reference field="1" count="1">
            <x v="317"/>
          </reference>
        </references>
      </pivotArea>
    </format>
    <format dxfId="547">
      <pivotArea dataOnly="0" labelOnly="1" fieldPosition="0">
        <references count="2">
          <reference field="0" count="1" selected="0">
            <x v="304"/>
          </reference>
          <reference field="1" count="1">
            <x v="319"/>
          </reference>
        </references>
      </pivotArea>
    </format>
    <format dxfId="546">
      <pivotArea dataOnly="0" labelOnly="1" fieldPosition="0">
        <references count="2">
          <reference field="0" count="1" selected="0">
            <x v="305"/>
          </reference>
          <reference field="1" count="1">
            <x v="320"/>
          </reference>
        </references>
      </pivotArea>
    </format>
    <format dxfId="545">
      <pivotArea dataOnly="0" labelOnly="1" fieldPosition="0">
        <references count="2">
          <reference field="0" count="1" selected="0">
            <x v="505"/>
          </reference>
          <reference field="1" count="1">
            <x v="321"/>
          </reference>
        </references>
      </pivotArea>
    </format>
    <format dxfId="544">
      <pivotArea dataOnly="0" labelOnly="1" fieldPosition="0">
        <references count="2">
          <reference field="0" count="1" selected="0">
            <x v="511"/>
          </reference>
          <reference field="1" count="1">
            <x v="329"/>
          </reference>
        </references>
      </pivotArea>
    </format>
    <format dxfId="543">
      <pivotArea type="all" dataOnly="0" outline="0" fieldPosition="0"/>
    </format>
    <format dxfId="542">
      <pivotArea outline="0" collapsedLevelsAreSubtotals="1" fieldPosition="0"/>
    </format>
    <format dxfId="541">
      <pivotArea dataOnly="0" labelOnly="1" outline="0" axis="axisValues" fieldPosition="0"/>
    </format>
    <format dxfId="540">
      <pivotArea dataOnly="0" labelOnly="1" fieldPosition="0">
        <references count="1">
          <reference field="0" count="6">
            <x v="601"/>
            <x v="604"/>
            <x v="607"/>
            <x v="610"/>
            <x v="612"/>
            <x v="615"/>
          </reference>
        </references>
      </pivotArea>
    </format>
    <format dxfId="539">
      <pivotArea dataOnly="0" labelOnly="1" grandRow="1" outline="0" fieldPosition="0"/>
    </format>
    <format dxfId="538">
      <pivotArea dataOnly="0" labelOnly="1" fieldPosition="0">
        <references count="2">
          <reference field="0" count="1" selected="0">
            <x v="601"/>
          </reference>
          <reference field="1" count="1">
            <x v="399"/>
          </reference>
        </references>
      </pivotArea>
    </format>
    <format dxfId="537">
      <pivotArea dataOnly="0" labelOnly="1" fieldPosition="0">
        <references count="2">
          <reference field="0" count="1" selected="0">
            <x v="604"/>
          </reference>
          <reference field="1" count="1">
            <x v="404"/>
          </reference>
        </references>
      </pivotArea>
    </format>
    <format dxfId="536">
      <pivotArea dataOnly="0" labelOnly="1" fieldPosition="0">
        <references count="2">
          <reference field="0" count="1" selected="0">
            <x v="607"/>
          </reference>
          <reference field="1" count="1">
            <x v="406"/>
          </reference>
        </references>
      </pivotArea>
    </format>
    <format dxfId="535">
      <pivotArea dataOnly="0" labelOnly="1" fieldPosition="0">
        <references count="2">
          <reference field="0" count="1" selected="0">
            <x v="610"/>
          </reference>
          <reference field="1" count="1">
            <x v="408"/>
          </reference>
        </references>
      </pivotArea>
    </format>
    <format dxfId="534">
      <pivotArea dataOnly="0" labelOnly="1" fieldPosition="0">
        <references count="2">
          <reference field="0" count="1" selected="0">
            <x v="612"/>
          </reference>
          <reference field="1" count="1">
            <x v="400"/>
          </reference>
        </references>
      </pivotArea>
    </format>
    <format dxfId="533">
      <pivotArea dataOnly="0" labelOnly="1" fieldPosition="0">
        <references count="2">
          <reference field="0" count="1" selected="0">
            <x v="615"/>
          </reference>
          <reference field="1" count="1">
            <x v="40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spatchAgent" sourceName="DispatchAgent">
  <pivotTables>
    <pivotTable tabId="34" name="PivotTable3"/>
  </pivotTables>
  <data>
    <tabular pivotCacheId="3" showMissing="0">
      <items count="4">
        <i x="1" s="1"/>
        <i x="0"/>
        <i x="3" nd="1"/>
        <i x="2"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Unit" sourceName="Unit#">
  <pivotTables>
    <pivotTable tabId="21" name="PivotTable1"/>
  </pivotTables>
  <data>
    <tabular pivotCacheId="6">
      <items count="16">
        <i x="7" s="1"/>
        <i x="0" s="1"/>
        <i x="9" s="1"/>
        <i x="1" s="1"/>
        <i x="3" s="1"/>
        <i x="5" s="1"/>
        <i x="12" s="1"/>
        <i x="8" s="1"/>
        <i x="10" s="1"/>
        <i x="15" s="1"/>
        <i x="11" s="1"/>
        <i x="6" s="1"/>
        <i x="2" s="1" nd="1"/>
        <i x="4" s="1" nd="1"/>
        <i x="14" s="1" nd="1"/>
        <i x="13"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1" name="PivotTable1"/>
  </pivotTables>
  <data>
    <tabular pivotCacheId="6">
      <items count="5">
        <i x="1"/>
        <i x="0" s="1"/>
        <i x="3"/>
        <i x="4"/>
        <i x="2"/>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RepairType" sourceName="RepairType">
  <pivotTables>
    <pivotTable tabId="21" name="PivotTable1"/>
  </pivotTables>
  <data>
    <tabular pivotCacheId="6">
      <items count="6">
        <i x="0" s="1"/>
        <i x="2" s="1" nd="1"/>
        <i x="3" s="1" nd="1"/>
        <i x="5" s="1" nd="1"/>
        <i x="1"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3" sourceName="Month">
  <pivotTables>
    <pivotTable tabId="34" name="PivotTable3"/>
  </pivotTables>
  <data>
    <tabular pivotCacheId="3">
      <items count="12">
        <i x="7" s="1"/>
        <i x="9" s="1"/>
        <i x="10" s="1"/>
        <i x="8" s="1" nd="1"/>
        <i x="11" s="1" nd="1"/>
        <i x="0" s="1" nd="1"/>
        <i x="1" s="1" nd="1"/>
        <i x="2" s="1" nd="1"/>
        <i x="3" s="1" nd="1"/>
        <i x="4" s="1" nd="1"/>
        <i x="5" s="1" nd="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tionYear" sourceName="ActionYear">
  <pivotTables>
    <pivotTable tabId="34" name="PivotTable3"/>
  </pivotTables>
  <data>
    <tabular pivotCacheId="3">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ispatachPayDay" sourceName="DispatachPayDay">
  <pivotTables>
    <pivotTable tabId="34" name="PivotTable3"/>
  </pivotTables>
  <data>
    <tabular pivotCacheId="3">
      <items count="58">
        <i x="29" s="1"/>
        <i x="30" s="1"/>
        <i x="31" s="1"/>
        <i x="37" s="1"/>
        <i x="38" s="1"/>
        <i x="39" s="1"/>
        <i x="40" s="1"/>
        <i x="41" s="1"/>
        <i x="42" s="1"/>
        <i x="43" s="1"/>
        <i x="44" s="1"/>
        <i x="45" s="1"/>
        <i x="0" s="1" nd="1"/>
        <i x="1" s="1" nd="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32" s="1" nd="1"/>
        <i x="33" s="1" nd="1"/>
        <i x="34" s="1" nd="1"/>
        <i x="35" s="1" nd="1"/>
        <i x="36" s="1" nd="1"/>
        <i x="46" s="1" nd="1"/>
        <i x="47" s="1" nd="1"/>
        <i x="48" s="1" nd="1"/>
        <i x="49" s="1" nd="1"/>
        <i x="50" s="1" nd="1"/>
        <i x="51" s="1" nd="1"/>
        <i x="52" s="1" nd="1"/>
        <i x="53" s="1" nd="1"/>
        <i x="54" s="1" nd="1"/>
        <i x="55" s="1" nd="1"/>
        <i x="56" s="1" nd="1"/>
        <i x="5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Unit4" sourceName="Unit#">
  <pivotTables>
    <pivotTable tabId="16" name="PivotTable2"/>
  </pivotTables>
  <data>
    <tabular pivotCacheId="5" showMissing="0">
      <items count="6">
        <i x="1" s="1"/>
        <i x="5" s="1"/>
        <i x="0" s="1"/>
        <i x="2" s="1"/>
        <i x="3"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ayee" sourceName="Payee">
  <pivotTables>
    <pivotTable tabId="16" name="PivotTable2"/>
  </pivotTables>
  <data>
    <tabular pivotCacheId="5" showMissing="0">
      <items count="12">
        <i x="1" s="1"/>
        <i x="8" s="1"/>
        <i x="6" s="1"/>
        <i x="7" s="1"/>
        <i x="0" s="1"/>
        <i x="4" s="1"/>
        <i x="5" s="1"/>
        <i x="2" s="1"/>
        <i x="3" s="1"/>
        <i x="9" s="1"/>
        <i x="10" s="1" nd="1"/>
        <i x="11"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ActionMonth" sourceName="ActionMonth">
  <pivotTables>
    <pivotTable tabId="16" name="PivotTable2"/>
  </pivotTables>
  <data>
    <tabular pivotCacheId="5">
      <items count="12">
        <i x="5" s="1"/>
        <i x="6" s="1"/>
        <i x="7" s="1"/>
        <i x="8" s="1"/>
        <i x="9" s="1"/>
        <i x="10" s="1"/>
        <i x="11" s="1"/>
        <i x="0" s="1"/>
        <i x="1" s="1"/>
        <i x="2" s="1"/>
        <i x="3"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Action_Year" sourceName="Action Year">
  <pivotTables>
    <pivotTable tabId="16" name="PivotTable2"/>
  </pivotTables>
  <data>
    <tabular pivotCacheId="5" showMissing="0">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6" name="PivotTable2"/>
  </pivotTables>
  <data>
    <tabular pivotCacheId="5" showMissing="0">
      <items count="6">
        <i x="3" s="1"/>
        <i x="0" s="1"/>
        <i x="1" s="1"/>
        <i x="5"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Unit# 3" cache="Slicer_Unit4" caption="Unit#" lockedPosition="1" rowHeight="241300"/>
  <slicer name="Payee" cache="Slicer_Payee" caption="Payee" lockedPosition="1" rowHeight="241300"/>
  <slicer name="ActionMonth" cache="Slicer_ActionMonth" caption="ActionMonth" lockedPosition="1" rowHeight="241300"/>
  <slicer name="Action Year" cache="Slicer_Action_Year" caption="Action Year" lockedPosition="1" rowHeight="241300"/>
  <slicer name="State" cache="Slicer_State" caption="State" lockedPosition="1" rowHeight="182880"/>
</slicers>
</file>

<file path=xl/slicers/slicer2.xml><?xml version="1.0" encoding="utf-8"?>
<slicers xmlns="http://schemas.microsoft.com/office/spreadsheetml/2009/9/main" xmlns:mc="http://schemas.openxmlformats.org/markup-compatibility/2006" xmlns:x="http://schemas.openxmlformats.org/spreadsheetml/2006/main" mc:Ignorable="x">
  <slicer name="Unit#" cache="Slicer_Unit" caption="Unit#" startItem="1" rowHeight="241300"/>
  <slicer name="Category" cache="Slicer_Category" caption="Category" rowHeight="241300"/>
  <slicer name="RepairType" cache="Slicer_RepairType" caption="RepairTyp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ispatchAgent" cache="Slicer_DispatchAgent" caption="DispatchAgent" lockedPosition="1" rowHeight="241300"/>
  <slicer name="Month 3" cache="Slicer_Month3" caption="Month" lockedPosition="1" rowHeight="241300"/>
  <slicer name="ActionYear" cache="Slicer_ActionYear" caption="ActionYear" lockedPosition="1" rowHeight="241300"/>
  <slicer name="DispatachPayDay" cache="Slicer_DispatachPayDay" caption="DispatachPayDay" lockedPosition="1" rowHeight="241300"/>
</slicers>
</file>

<file path=xl/tables/table1.xml><?xml version="1.0" encoding="utf-8"?>
<table xmlns="http://schemas.openxmlformats.org/spreadsheetml/2006/main" id="1" name="Table1" displayName="Table1" ref="A1:DG566" totalsRowShown="0" headerRowDxfId="1268" dataDxfId="1267">
  <autoFilter ref="A1:DG566"/>
  <tableColumns count="111">
    <tableColumn id="1" name="UBOrderNo" dataDxfId="1266">
      <calculatedColumnFormula>RIGHT(C2,2)&amp;RIGHT(L2,2)&amp;RIGHT(AD2,2)&amp;RIGHT(AQ2,2)</calculatedColumnFormula>
    </tableColumn>
    <tableColumn id="2" name="LoadEntryDate" dataDxfId="1265"/>
    <tableColumn id="5" name="BrokerConfirmationNumber" dataDxfId="1264"/>
    <tableColumn id="3" name="Broker" dataDxfId="1263"/>
    <tableColumn id="122" name="QuickPayRate" dataDxfId="1262"/>
    <tableColumn id="92" name="BrokerAddress" dataDxfId="1261">
      <calculatedColumnFormula>INDEX(BrokerTBL!$B:$B,MATCH(D2,BrokerTBL!$A:$A,0))</calculatedColumnFormula>
    </tableColumn>
    <tableColumn id="7" name="BrokerCity" dataDxfId="1260">
      <calculatedColumnFormula>INDEX(BrokerTBL!$C:$C,MATCH(D2,BrokerTBL!$A:$A,0))</calculatedColumnFormula>
    </tableColumn>
    <tableColumn id="8" name="BrokerState" dataDxfId="1259">
      <calculatedColumnFormula>INDEX(BrokerTBL!$D:$D,MATCH(D2,BrokerTBL!$A:$A,0))</calculatedColumnFormula>
    </tableColumn>
    <tableColumn id="9" name="BrokerCountry" dataDxfId="1258">
      <calculatedColumnFormula>INDEX(BrokerTBL!$E:$E,MATCH(D2,BrokerTBL!$A:$A,0))</calculatedColumnFormula>
    </tableColumn>
    <tableColumn id="10" name="BrokerZip" dataDxfId="1257">
      <calculatedColumnFormula>INDEX(BrokerTBL!$F:$F,MATCH(D2,BrokerTBL!$A:$A,0))</calculatedColumnFormula>
    </tableColumn>
    <tableColumn id="11" name="Shipper" dataDxfId="1256"/>
    <tableColumn id="12" name="Pickupreff" dataDxfId="1255"/>
    <tableColumn id="13" name="Shippingdate" dataDxfId="1254"/>
    <tableColumn id="14" name="Shippingtime" dataDxfId="1253"/>
    <tableColumn id="15" name="Shipperaddress" dataDxfId="1252"/>
    <tableColumn id="16" name="Shippercity" dataDxfId="1251"/>
    <tableColumn id="17" name="Shipperstate" dataDxfId="1250"/>
    <tableColumn id="18" name="Shipperzipcode" dataDxfId="1249"/>
    <tableColumn id="19" name="Shippercountry" dataDxfId="1248"/>
    <tableColumn id="20" name="Shipperphone" dataDxfId="1247"/>
    <tableColumn id="21" name="Trailertype" dataDxfId="1246"/>
    <tableColumn id="22" name="Length" dataDxfId="1245"/>
    <tableColumn id="23" name="Commodity" dataDxfId="1244"/>
    <tableColumn id="24" name="Weight" dataDxfId="1243"/>
    <tableColumn id="25" name="Units" dataDxfId="1242"/>
    <tableColumn id="26" name="Count" dataDxfId="1241"/>
    <tableColumn id="27" name="Pallets" dataDxfId="1240"/>
    <tableColumn id="28" name="Temp" dataDxfId="1239"/>
    <tableColumn id="29" name="Receiver" dataDxfId="1238"/>
    <tableColumn id="30" name="Deliveryreff" dataDxfId="1237"/>
    <tableColumn id="31" name="Receivingdate" dataDxfId="1236"/>
    <tableColumn id="32" name="Receivingtime" dataDxfId="1235"/>
    <tableColumn id="33" name="Receiveraddress" dataDxfId="1234"/>
    <tableColumn id="34" name="Receivercity" dataDxfId="1233"/>
    <tableColumn id="35" name="Receiverstate" dataDxfId="1232"/>
    <tableColumn id="36" name="Receiverzip" dataDxfId="1231"/>
    <tableColumn id="37" name="Receivercountry" dataDxfId="1230"/>
    <tableColumn id="38" name="Receiverphone" dataDxfId="1229"/>
    <tableColumn id="48" name="CarrierCompay" dataDxfId="1228" dataCellStyle="Currency">
      <calculatedColumnFormula>INDEX(CarrierDriverTBL!$B:$B,MATCH(Table1[[#This Row],[DriverID]],CarrierDriverTBL!$A:$A,0))</calculatedColumnFormula>
    </tableColumn>
    <tableColumn id="6" name="DriverID" dataDxfId="1227" dataCellStyle="Currency"/>
    <tableColumn id="49" name="DriverFirstName" dataDxfId="1226" dataCellStyle="Currency">
      <calculatedColumnFormula>INDEX(CarrierDriverTBL!$C:$C,MATCH(Table1[[#This Row],[DriverID]],CarrierDriverTBL!$A:$A,0))</calculatedColumnFormula>
    </tableColumn>
    <tableColumn id="50" name="DriverLastName" dataDxfId="1225" dataCellStyle="Currency">
      <calculatedColumnFormula>INDEX(CarrierDriverTBL!$D:$D,MATCH(Table1[[#This Row],[DriverID]],CarrierDriverTBL!$A:$A,0))</calculatedColumnFormula>
    </tableColumn>
    <tableColumn id="66" name="DriverLicense#" dataDxfId="1224" dataCellStyle="Currency">
      <calculatedColumnFormula>INDEX(CarrierDriverTBL!$X:$X,MATCH(Table1[[#This Row],[DriverID]],CarrierDriverTBL!$A:$A,0))</calculatedColumnFormula>
    </tableColumn>
    <tableColumn id="67" name="DriverLicExpiration" dataDxfId="1223" dataCellStyle="Currency">
      <calculatedColumnFormula>INDEX(CarrierDriverTBL!$Y:$Y,MATCH(Table1[[#This Row],[DriverID]],CarrierDriverTBL!$A:$A,0))</calculatedColumnFormula>
    </tableColumn>
    <tableColumn id="68" name="DriverLicenseStatus" dataDxfId="1222" dataCellStyle="Currency">
      <calculatedColumnFormula>IF(AR2&gt;M2,"GOOD","EXPIRED")</calculatedColumnFormula>
    </tableColumn>
    <tableColumn id="51" name="DriverDOB" dataDxfId="1221" dataCellStyle="Currency">
      <calculatedColumnFormula>INDEX(CarrierDriverTBL!$E:$E,MATCH(Table1[[#This Row],[DriverID]],CarrierDriverTBL!$A:$A,0))</calculatedColumnFormula>
    </tableColumn>
    <tableColumn id="52" name="DriverAge" dataDxfId="1220" dataCellStyle="Currency">
      <calculatedColumnFormula>INDEX(CarrierDriverTBL!$F:$F,MATCH(Table1[[#This Row],[DriverID]],CarrierDriverTBL!$A:$A,0))</calculatedColumnFormula>
    </tableColumn>
    <tableColumn id="53" name="DriverPhoneNumber" dataDxfId="1219" dataCellStyle="Currency">
      <calculatedColumnFormula>INDEX(CarrierDriverTBL!$K:$K,MATCH(Table1[[#This Row],[DriverID]],CarrierDriverTBL!$A:$A,0))</calculatedColumnFormula>
    </tableColumn>
    <tableColumn id="55" name="DriverAddress" dataDxfId="1218" dataCellStyle="Currency">
      <calculatedColumnFormula>INDEX(CarrierDriverTBL!$M:$M,MATCH(Table1[[#This Row],[DriverID]],CarrierDriverTBL!$A:$A,0))</calculatedColumnFormula>
    </tableColumn>
    <tableColumn id="56" name="DriverCity" dataDxfId="1217" dataCellStyle="Currency">
      <calculatedColumnFormula>INDEX(CarrierDriverTBL!$N:$N,MATCH(Table1[[#This Row],[DriverID]],CarrierDriverTBL!$A:$A,0))</calculatedColumnFormula>
    </tableColumn>
    <tableColumn id="57" name="DriverState" dataDxfId="1216" dataCellStyle="Currency">
      <calculatedColumnFormula>INDEX(CarrierDriverTBL!$O:$O,MATCH(Table1[[#This Row],[DriverID]],CarrierDriverTBL!$A:$A,0))</calculatedColumnFormula>
    </tableColumn>
    <tableColumn id="58" name="DriverZip" dataDxfId="1215" dataCellStyle="Currency">
      <calculatedColumnFormula>INDEX(CarrierDriverTBL!$P:$P,MATCH(Table1[[#This Row],[DriverID]],CarrierDriverTBL!$A:$A,0))</calculatedColumnFormula>
    </tableColumn>
    <tableColumn id="59" name="DriverCountry" dataDxfId="1214" dataCellStyle="Currency">
      <calculatedColumnFormula>INDEX(CarrierDriverTBL!$Q:$Q,MATCH(Table1[[#This Row],[DriverID]],CarrierDriverTBL!$A:$A,0))</calculatedColumnFormula>
    </tableColumn>
    <tableColumn id="60" name="DriverEmail" dataDxfId="1213" dataCellStyle="Currency">
      <calculatedColumnFormula>INDEX(CarrierDriverTBL!$R:$R,MATCH(Table1[[#This Row],[DriverID]],CarrierDriverTBL!$A:$A,0))</calculatedColumnFormula>
    </tableColumn>
    <tableColumn id="71" name="DriverDrugTestDate" dataDxfId="1212" dataCellStyle="Currency">
      <calculatedColumnFormula>INDEX(CarrierDriverTBL!$AB:$AB,MATCH(Table1[[#This Row],[DriverID]],CarrierDriverTBL!$A:$A,0))</calculatedColumnFormula>
    </tableColumn>
    <tableColumn id="72" name="DriverMedicalStatus" dataDxfId="1211" dataCellStyle="Currency">
      <calculatedColumnFormula>INDEX(CarrierDriverTBL!$AD:$AD,MATCH(LoadMaster!$AN:$AN,CarrierDriverTBL!$A:$A,0))</calculatedColumnFormula>
    </tableColumn>
    <tableColumn id="73" name="CarrierMC" dataDxfId="1210" dataCellStyle="Currency">
      <calculatedColumnFormula>INDEX(CarrierDriverTBL!$AE:$AE,MATCH(Table1[DriverID],CarrierDriverTBL!$A:$A,0))</calculatedColumnFormula>
    </tableColumn>
    <tableColumn id="74" name="CarrierDOT" dataDxfId="1209" dataCellStyle="Currency">
      <calculatedColumnFormula>INDEX(CarrierDriverTBL!$AF:$AF,MATCH(Table1[DriverID],CarrierDriverTBL!$A:$A,0))</calculatedColumnFormula>
    </tableColumn>
    <tableColumn id="75" name="CarrierCA" dataDxfId="1208" dataCellStyle="Currency">
      <calculatedColumnFormula>INDEX(CarrierDriverTBL!$AG:$AG,MATCH(Table1[DriverID],CarrierDriverTBL!$A:$A,0))</calculatedColumnFormula>
    </tableColumn>
    <tableColumn id="76" name="InsuranceProvider" dataDxfId="1207" dataCellStyle="Currency">
      <calculatedColumnFormula>INDEX(CarrierDriverTBL!$AH:$AH,MATCH(Table1[DriverID],CarrierDriverTBL!$A:$A,0))</calculatedColumnFormula>
    </tableColumn>
    <tableColumn id="77" name="InsurancePolicyNumber" dataDxfId="1206" dataCellStyle="Currency">
      <calculatedColumnFormula>INDEX(CarrierDriverTBL!$AI:$AI,MATCH(Table1[DriverID],CarrierDriverTBL!$A:$A,0))</calculatedColumnFormula>
    </tableColumn>
    <tableColumn id="78" name="InsuranceExpireDate" dataDxfId="1205" dataCellStyle="Currency">
      <calculatedColumnFormula>INDEX(CarrierDriverTBL!$AJ:$AJ,MATCH(Table1[[#This Row],[DriverID]],CarrierDriverTBL!$A:$A,0))</calculatedColumnFormula>
    </tableColumn>
    <tableColumn id="79" name="DaysToExpire" dataDxfId="1204" dataCellStyle="Currency">
      <calculatedColumnFormula>IFERROR(BJ2-M2,"MISSING")</calculatedColumnFormula>
    </tableColumn>
    <tableColumn id="39" name="ChargeBroker" dataDxfId="1203"/>
    <tableColumn id="40" name="MilesOneWay" dataDxfId="1202" dataCellStyle="Currency"/>
    <tableColumn id="41" name="Rate/Mile" dataDxfId="1201" dataCellStyle="Currency">
      <calculatedColumnFormula>BL2/BM2</calculatedColumnFormula>
    </tableColumn>
    <tableColumn id="42" name="TotalDriverPay+Fuel" dataDxfId="1200" dataCellStyle="Currency"/>
    <tableColumn id="43" name="DriverRatePerMile" dataDxfId="1199" dataCellStyle="Currency">
      <calculatedColumnFormula>BO2/BM2</calculatedColumnFormula>
    </tableColumn>
    <tableColumn id="44" name="CurrentDieselRate " dataDxfId="1198" dataCellStyle="Currency"/>
    <tableColumn id="45" name="FuelSurchargePerMile" dataDxfId="1197" dataCellStyle="Percent">
      <calculatedColumnFormula>(BQ2-1.9)/6</calculatedColumnFormula>
    </tableColumn>
    <tableColumn id="46" name="Line Haul Rate" dataDxfId="1196" dataCellStyle="Currency">
      <calculatedColumnFormula>BP2-BR2</calculatedColumnFormula>
    </tableColumn>
    <tableColumn id="47" name="TotalFuelSurcharge" dataDxfId="1195" dataCellStyle="Currency">
      <calculatedColumnFormula>BM2*BR2</calculatedColumnFormula>
    </tableColumn>
    <tableColumn id="83" name="PayingForLoad" dataDxfId="1194" dataCellStyle="Currency">
      <calculatedColumnFormula>D2</calculatedColumnFormula>
    </tableColumn>
    <tableColumn id="84" name="PayorPhoneNumber" dataDxfId="1193"/>
    <tableColumn id="85" name="PayorAddress" dataDxfId="1192">
      <calculatedColumnFormula>Table1[[#This Row],[BrokerAddress]]</calculatedColumnFormula>
    </tableColumn>
    <tableColumn id="86" name="PayorCity" dataDxfId="1191">
      <calculatedColumnFormula>G2</calculatedColumnFormula>
    </tableColumn>
    <tableColumn id="87" name="PayorState" dataDxfId="1190">
      <calculatedColumnFormula>H2</calculatedColumnFormula>
    </tableColumn>
    <tableColumn id="88" name="PayorZip" dataDxfId="1189">
      <calculatedColumnFormula>J2</calculatedColumnFormula>
    </tableColumn>
    <tableColumn id="89" name="PayorCountry" dataDxfId="1188" dataCellStyle="Currency">
      <calculatedColumnFormula>I2</calculatedColumnFormula>
    </tableColumn>
    <tableColumn id="90" name="PaymentMethod" dataDxfId="1187"/>
    <tableColumn id="91" name="TcheckPrePaid" dataDxfId="1186"/>
    <tableColumn id="94" name="MiscService1" dataDxfId="1185"/>
    <tableColumn id="95" name="MiscFee1" dataDxfId="1184"/>
    <tableColumn id="96" name="Qty1" dataDxfId="1183"/>
    <tableColumn id="97" name="MiscCharge1" dataDxfId="1182" dataCellStyle="Currency">
      <calculatedColumnFormula>CE2*CF2</calculatedColumnFormula>
    </tableColumn>
    <tableColumn id="98" name="MiscService2" dataDxfId="1181"/>
    <tableColumn id="99" name="MiscFee2" dataDxfId="1180"/>
    <tableColumn id="100" name="Qty2" dataDxfId="1179"/>
    <tableColumn id="101" name="MiscCharge2" dataDxfId="1178" dataCellStyle="Currency">
      <calculatedColumnFormula>CI2*CJ2</calculatedColumnFormula>
    </tableColumn>
    <tableColumn id="102" name="MiscService3" dataDxfId="1177"/>
    <tableColumn id="103" name="MiscFee3" dataDxfId="1176"/>
    <tableColumn id="104" name="Qty3" dataDxfId="1175"/>
    <tableColumn id="105" name="MiscCharge3" dataDxfId="1174" dataCellStyle="Currency">
      <calculatedColumnFormula>CM2*CN2</calculatedColumnFormula>
    </tableColumn>
    <tableColumn id="106" name="MiscService4" dataDxfId="1173"/>
    <tableColumn id="107" name="MiscFee4" dataDxfId="1172"/>
    <tableColumn id="108" name="Qty4" dataDxfId="1171"/>
    <tableColumn id="109" name="MiscCharge4" dataDxfId="1170" dataCellStyle="Currency">
      <calculatedColumnFormula>CQ2*CR2</calculatedColumnFormula>
    </tableColumn>
    <tableColumn id="110" name="ServiceFeeBroker" dataDxfId="1169" dataCellStyle="Currency">
      <calculatedColumnFormula>CG2+CK2+CO2+CS2</calculatedColumnFormula>
    </tableColumn>
    <tableColumn id="111" name="FINALCHARGEBROKER" dataDxfId="1168">
      <calculatedColumnFormula>(CT2+BL2)-CC2</calculatedColumnFormula>
    </tableColumn>
    <tableColumn id="112" name="ServicePayCarrier" dataDxfId="1167">
      <calculatedColumnFormula>IF(AO2="Albel",(CT2*1),(CT2*0.93))</calculatedColumnFormula>
    </tableColumn>
    <tableColumn id="113" name="FINALPAYCARRIER" dataDxfId="1166">
      <calculatedColumnFormula>BO2+CV2</calculatedColumnFormula>
    </tableColumn>
    <tableColumn id="124" name="UBReceivable" dataDxfId="1165">
      <calculatedColumnFormula>IF(ISBLANK(E2),"AddQuickPay",IF(E2=2,CU2*0.98,IF(E2=2.4,CU2*0.976,IF(E2=3,CU2*0.97,IF(E2=5,CU2*0.95,IF(E2=1.5,CU2*0.985,IF(E2=2.5,CU2*0.975,IF(E2=1.3,CU2*0.987,IF(E2=1,CU2*0.99,IF(E2=4,CU2*0.96,CU2*1))))))))))-Table1[[#This Row],[ComCheck+QuickPayFee]]</calculatedColumnFormula>
    </tableColumn>
    <tableColumn id="115" name="OriginalDispatch" dataDxfId="1164">
      <calculatedColumnFormula>CU2-CW2</calculatedColumnFormula>
    </tableColumn>
    <tableColumn id="127" name="QuickPayCharge" dataDxfId="1163">
      <calculatedColumnFormula>IF(ISBLANK(E2),"AddQuickPay",IF(E2=2,CU2*0.02,IF(E2=2.4,CU2*0.024,IF(E2=3,CU2*0.03,IF(E2=5,CU2*0.05,IF(E2=1.5,CU2*0.015,IF(E2=2.5,CU2*0.025,IF(E2=4,CU2*0.04,IF(E2=1.3,CU2*0.013,IF(E2=1,CU2*0.01,CU2*0))))))))))</calculatedColumnFormula>
    </tableColumn>
    <tableColumn id="117" name="FinalDispatch" dataDxfId="1162">
      <calculatedColumnFormula>Table1[[#This Row],[OriginalDispatch]]-Table1[[#This Row],[QuickPayCharge]]</calculatedColumnFormula>
    </tableColumn>
    <tableColumn id="61" name="ComCheck+QuickPayFee" dataDxfId="1161"/>
    <tableColumn id="118" name="UBBookingAgent" dataDxfId="1160"/>
    <tableColumn id="119" name="Weekending" dataDxfId="1159">
      <calculatedColumnFormula>(5-WEEKDAY(M2,2))+M2</calculatedColumnFormula>
    </tableColumn>
    <tableColumn id="4" name="Month" dataDxfId="1158" dataCellStyle="Currency">
      <calculatedColumnFormula>MONTH(Table1[[#This Row],[Weekending]])</calculatedColumnFormula>
    </tableColumn>
    <tableColumn id="54" name="Year" dataDxfId="1157" dataCellStyle="Currency">
      <calculatedColumnFormula>YEAR(Table1[[#This Row],[Weekending]])</calculatedColumnFormula>
    </tableColumn>
    <tableColumn id="121" name="Comments" dataDxfId="1156"/>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1:H81" totalsRowShown="0" headerRowDxfId="1155" dataDxfId="1154">
  <autoFilter ref="A1:H81"/>
  <sortState ref="A2:H79">
    <sortCondition ref="A1:A79"/>
  </sortState>
  <tableColumns count="8">
    <tableColumn id="1" name="Broker" dataDxfId="1153"/>
    <tableColumn id="2" name="BrokerAddress" dataDxfId="1152"/>
    <tableColumn id="3" name="BrokerCity" dataDxfId="1151"/>
    <tableColumn id="4" name="BrokerState" dataDxfId="1150"/>
    <tableColumn id="5" name="BrokerCountry" dataDxfId="1149"/>
    <tableColumn id="6" name="BrokerZip" dataDxfId="1148"/>
    <tableColumn id="7" name="QuickPay%" dataDxfId="1147" dataCellStyle="Percent"/>
    <tableColumn id="8" name="QuickPay and Submission Process" dataDxfId="1146"/>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W574" totalsRowShown="0" headerRowDxfId="1145" dataDxfId="1144">
  <autoFilter ref="A1:W574"/>
  <tableColumns count="23">
    <tableColumn id="22" name="UBOrderNo" dataDxfId="1143">
      <calculatedColumnFormula>INDEX(LoadMaster!$A:$A,MATCH(B2,LoadMaster!$C:$C,0))</calculatedColumnFormula>
    </tableColumn>
    <tableColumn id="2" name="BrokerConfNo" dataDxfId="1142"/>
    <tableColumn id="20" name="Broker" dataDxfId="1141">
      <calculatedColumnFormula>VLOOKUP(Table2[[#This Row],[BrokerConfNo]],LoadMaster!C:D,2,FALSE)</calculatedColumnFormula>
    </tableColumn>
    <tableColumn id="4" name="PaymentReceived" dataDxfId="1140"/>
    <tableColumn id="5" name="BrokerPaymentStatus" dataDxfId="1139">
      <calculatedColumnFormula>IF(Table2[[#This Row],[UBActualReceived]]&gt;1,"Received","Pending")</calculatedColumnFormula>
    </tableColumn>
    <tableColumn id="6" name="FINALCHARGEBROKER" dataDxfId="1138" dataCellStyle="Currency">
      <calculatedColumnFormula>INDEX(LoadMaster!$CU:$CU,MATCH(B2,LoadMaster!$C:$C,0))</calculatedColumnFormula>
    </tableColumn>
    <tableColumn id="7" name="UBReceivable" dataDxfId="1137" dataCellStyle="Currency">
      <calculatedColumnFormula>INDEX(LoadMaster!$CX:$CX,MATCH(B2,LoadMaster!$C:$C,0))</calculatedColumnFormula>
    </tableColumn>
    <tableColumn id="8" name="PayCarrier" dataDxfId="1136" dataCellStyle="Currency">
      <calculatedColumnFormula>INDEX(LoadMaster!$CW:$CW,MATCH(B2,LoadMaster!$C:$C,0))</calculatedColumnFormula>
    </tableColumn>
    <tableColumn id="9" name="UBActualReceived" dataDxfId="1135" dataCellStyle="Currency"/>
    <tableColumn id="23" name="PayDriver" dataDxfId="1134" dataCellStyle="Currency"/>
    <tableColumn id="11" name="Received" dataDxfId="1133" dataCellStyle="Currency">
      <calculatedColumnFormula>IF(I2&lt;G2, "Less", "Full")</calculatedColumnFormula>
    </tableColumn>
    <tableColumn id="10" name="ServiceCharges" dataDxfId="1132" dataCellStyle="Currency">
      <calculatedColumnFormula>INDEX(LoadMaster!$CT:$CT,MATCH(Table2[[#This Row],[BrokerConfNo]],LoadMaster!$C:$C,0))</calculatedColumnFormula>
    </tableColumn>
    <tableColumn id="12" name="DriverPaid" dataDxfId="1131">
      <calculatedColumnFormula>INDEX(LoadMaster!$AO:$AO,MATCH(Table2[[#This Row],[BrokerConfNo]],LoadMaster!$C:$C,0))</calculatedColumnFormula>
    </tableColumn>
    <tableColumn id="13" name="WeekEndingDate" dataDxfId="1130">
      <calculatedColumnFormula>(5-WEEKDAY(P2,2))+P2</calculatedColumnFormula>
    </tableColumn>
    <tableColumn id="14" name="PayDay" dataDxfId="1129">
      <calculatedColumnFormula>IF(M2="Albel",((5-WEEKDAY(P2,2))+P2)+14,(((5-WEEKDAY(P2,2))+P2)+7))</calculatedColumnFormula>
    </tableColumn>
    <tableColumn id="15" name="LoadPickDate" dataDxfId="1128">
      <calculatedColumnFormula>INDEX(LoadMaster!$M:$M,MATCH(B2,LoadMaster!$C:$C,0))</calculatedColumnFormula>
    </tableColumn>
    <tableColumn id="16" name="FromCity" dataDxfId="1127">
      <calculatedColumnFormula>INDEX(LoadMaster!$P:$P,MATCH(B2,LoadMaster!$C:$C,0))</calculatedColumnFormula>
    </tableColumn>
    <tableColumn id="17" name="ToCity" dataDxfId="1126">
      <calculatedColumnFormula>INDEX(LoadMaster!$AH:$AH,MATCH(B2,LoadMaster!$C:$C,0))</calculatedColumnFormula>
    </tableColumn>
    <tableColumn id="3" name="DispatchAgent" dataDxfId="1125">
      <calculatedColumnFormula>INDEX(LoadMaster!$DC:$DC,MATCH(B2,LoadMaster!$C:$C,0))</calculatedColumnFormula>
    </tableColumn>
    <tableColumn id="21" name="DispatchPay" dataDxfId="1124" dataCellStyle="Currency">
      <calculatedColumnFormula>INDEX(LoadMaster!$DA:$DA,MATCH(B2,LoadMaster!$C:$C,0))</calculatedColumnFormula>
    </tableColumn>
    <tableColumn id="1" name="DispatachPayDay" dataDxfId="1123" dataCellStyle="Currency">
      <calculatedColumnFormula>Table2[[#This Row],[WeekEndingDate]]+7</calculatedColumnFormula>
    </tableColumn>
    <tableColumn id="18" name="Month" dataDxfId="1122">
      <calculatedColumnFormula>MONTH(P2)</calculatedColumnFormula>
    </tableColumn>
    <tableColumn id="19" name="ActionYear" dataDxfId="1121">
      <calculatedColumnFormula>YEAR(P2)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3" name="Table3" displayName="Table3" ref="A1:O156" totalsRowShown="0" headerRowDxfId="1107" dataDxfId="1106">
  <autoFilter ref="A1:O156"/>
  <sortState ref="A2:O147">
    <sortCondition ref="A1:A147"/>
  </sortState>
  <tableColumns count="15">
    <tableColumn id="1" name="Date" dataDxfId="1105"/>
    <tableColumn id="2" name="InvoiceNumber" dataDxfId="1104"/>
    <tableColumn id="6" name="Card" dataDxfId="1103"/>
    <tableColumn id="3" name="Unit#" dataDxfId="1102"/>
    <tableColumn id="5" name="Payee" dataDxfId="1101"/>
    <tableColumn id="4" name="Shop" dataDxfId="1100"/>
    <tableColumn id="14" name="State" dataDxfId="1099"/>
    <tableColumn id="8" name="QTY" dataDxfId="1098"/>
    <tableColumn id="7" name="PerGallon" dataDxfId="1097" dataCellStyle="Currency"/>
    <tableColumn id="9" name="PricePlusTax" dataDxfId="1096" dataCellStyle="Currency"/>
    <tableColumn id="10" name="PaymentStatus" dataDxfId="1095" dataCellStyle="Currency"/>
    <tableColumn id="12" name="ChargeDate" dataDxfId="1094" dataCellStyle="Currency">
      <calculatedColumnFormula>((5-WEEKDAY(A2,2))+A2)+7</calculatedColumnFormula>
    </tableColumn>
    <tableColumn id="11" name="Weekending" dataDxfId="1093" dataCellStyle="Currency">
      <calculatedColumnFormula>(5-WEEKDAY(A2,2))+A2</calculatedColumnFormula>
    </tableColumn>
    <tableColumn id="15" name="ActionMonth" dataDxfId="1092" dataCellStyle="Currency">
      <calculatedColumnFormula>MONTH(Table3[[#This Row],[Date]])</calculatedColumnFormula>
    </tableColumn>
    <tableColumn id="13" name="Action Year" dataDxfId="1091" dataCellStyle="Currency">
      <calculatedColumnFormula>YEAR(A2)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U315" totalsRowShown="0" headerRowDxfId="1090" dataDxfId="1089" headerRowCellStyle="Currency">
  <autoFilter ref="A1:U315"/>
  <tableColumns count="21">
    <tableColumn id="1" name="Date" dataDxfId="1088"/>
    <tableColumn id="22" name="Unit#" dataDxfId="1087"/>
    <tableColumn id="16" name="Category" dataDxfId="1086"/>
    <tableColumn id="7" name="InvoiceNumber" dataDxfId="1085"/>
    <tableColumn id="14" name="RepairType" dataDxfId="1084"/>
    <tableColumn id="4" name="Part" dataDxfId="1083"/>
    <tableColumn id="5" name="Shop" dataDxfId="1082"/>
    <tableColumn id="15" name="TruckODOMeter" dataDxfId="1081"/>
    <tableColumn id="17" name="QTY" dataDxfId="1080"/>
    <tableColumn id="8" name="Price" dataDxfId="1079" dataCellStyle="Currency"/>
    <tableColumn id="2" name="ActionStatus" dataDxfId="1078" dataCellStyle="Currency"/>
    <tableColumn id="6" name="Payee" dataDxfId="1077" dataCellStyle="Currency"/>
    <tableColumn id="9" name="Settlement" dataDxfId="1076"/>
    <tableColumn id="19" name="VinNumber" dataDxfId="1075" dataCellStyle="Currency">
      <calculatedColumnFormula>IFERROR(INDEX(EquipmentTBL!$H:$H,MATCH(Table5[[#This Row],[Unit'#]],EquipmentTBL!$A:$A,0)),"NONE")</calculatedColumnFormula>
    </tableColumn>
    <tableColumn id="18" name="Make" dataDxfId="1074" dataCellStyle="Currency">
      <calculatedColumnFormula>IFERROR(INDEX(EquipmentTBL!$C:$C,MATCH(Table5[[#This Row],[Unit'#]],EquipmentTBL!$A:$A,0)),"NONE")</calculatedColumnFormula>
    </tableColumn>
    <tableColumn id="21" name="Year" dataDxfId="1073" dataCellStyle="Currency">
      <calculatedColumnFormula>IFERROR(INDEX(EquipmentTBL!$B:$B,MATCH(Table5[[#This Row],[Unit'#]],EquipmentTBL!$A:$A,0)),"NONE")</calculatedColumnFormula>
    </tableColumn>
    <tableColumn id="20" name="Model" dataDxfId="1072" dataCellStyle="Currency">
      <calculatedColumnFormula>IFERROR(INDEX(EquipmentTBL!$D:$D,MATCH(Table5[[#This Row],[Unit'#]],EquipmentTBL!$A:$A,0)),"NONE")</calculatedColumnFormula>
    </tableColumn>
    <tableColumn id="10" name="WeekEnding" dataDxfId="1071">
      <calculatedColumnFormula>(5-WEEKDAY(A2,2))+A2</calculatedColumnFormula>
    </tableColumn>
    <tableColumn id="11" name="ChargeDate" dataDxfId="1070" dataCellStyle="Currency">
      <calculatedColumnFormula>((5-WEEKDAY(A2,2))+A2)+7</calculatedColumnFormula>
    </tableColumn>
    <tableColumn id="12" name="ActionMonth" dataDxfId="1069">
      <calculatedColumnFormula>MONTH(A2)</calculatedColumnFormula>
    </tableColumn>
    <tableColumn id="13" name="ActionYear" dataDxfId="1068">
      <calculatedColumnFormula>YEAR(R2)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10" name="Table10" displayName="Table10" ref="A1:AQ14" totalsRowShown="0" headerRowDxfId="1067" dataDxfId="1065" headerRowBorderDxfId="1066" tableBorderDxfId="1064">
  <tableColumns count="43">
    <tableColumn id="37" name="DriverID" dataDxfId="1063"/>
    <tableColumn id="1" name="CarrierCompay" dataDxfId="1062"/>
    <tableColumn id="2" name="DriverFirstName" dataDxfId="1061"/>
    <tableColumn id="3" name="DriverLastName"/>
    <tableColumn id="4" name="DriverDOB" dataDxfId="1060"/>
    <tableColumn id="5" name="DriverAge" dataDxfId="1059">
      <calculatedColumnFormula>IFERROR((TODAY()-E2)/365,"MISSING")</calculatedColumnFormula>
    </tableColumn>
    <tableColumn id="36" name="Truck#" dataDxfId="1058"/>
    <tableColumn id="38" name="Trailer #" dataDxfId="1057"/>
    <tableColumn id="39" name="FuelCard" dataDxfId="1056"/>
    <tableColumn id="7" name="EquipToDriverStat" dataDxfId="1055"/>
    <tableColumn id="6" name="DriverPhoneNumber" dataDxfId="1054"/>
    <tableColumn id="40" name="DriverInsurance Premium" dataDxfId="1053" dataCellStyle="Currency"/>
    <tableColumn id="8" name="DriverAddress" dataDxfId="1052"/>
    <tableColumn id="9" name="DriverCity" dataDxfId="1051"/>
    <tableColumn id="10" name="DriverState" dataDxfId="1050"/>
    <tableColumn id="11" name="DriverZip" dataDxfId="1049"/>
    <tableColumn id="12" name="DriverCountry" dataDxfId="1048"/>
    <tableColumn id="13" name="DriverEmail" dataDxfId="1047" dataCellStyle="Hyperlink"/>
    <tableColumn id="14" name="DriverTaxID" dataDxfId="1046"/>
    <tableColumn id="15" name="DriverBank" dataDxfId="1045"/>
    <tableColumn id="16" name="DriverRoutingNumber" dataDxfId="1044"/>
    <tableColumn id="17" name="DriverAccountNumber" dataDxfId="1043"/>
    <tableColumn id="18" name="DriverAccountType" dataDxfId="1042"/>
    <tableColumn id="19" name="DriverLicense#" dataDxfId="1041"/>
    <tableColumn id="20" name="DriverLicExpiration" dataDxfId="1040"/>
    <tableColumn id="21" name="DriverLicenseStatus" dataDxfId="1039">
      <calculatedColumnFormula>IF(Y2&gt;(TODAY()),"GOOD","EXPIRED")</calculatedColumnFormula>
    </tableColumn>
    <tableColumn id="22" name="DriverSpecialEndorsemet" dataDxfId="1038"/>
    <tableColumn id="23" name="DriverDrugtestDate" dataDxfId="1037"/>
    <tableColumn id="24" name="DriverMedicalExpireDate" dataDxfId="1036"/>
    <tableColumn id="25" name="DriverMedicalStatus" dataDxfId="1035">
      <calculatedColumnFormula>IF(Table10[[#This Row],[DriverMedicalExpireDate]]="Missing","MISSING",IF(Table10[[#This Row],[DriverMedicalExpireDate]]&gt;=TODAY(),"PASS","EXPIRED"))</calculatedColumnFormula>
    </tableColumn>
    <tableColumn id="26" name="CarrierMC" dataDxfId="1034"/>
    <tableColumn id="27" name="CarrierDOT" dataDxfId="1033"/>
    <tableColumn id="28" name="CarrierCA#" dataDxfId="1032"/>
    <tableColumn id="29" name="InsuranceProvider" dataDxfId="1031"/>
    <tableColumn id="30" name="InsurancePolicyNumber" dataDxfId="1030"/>
    <tableColumn id="31" name="InsuranceExpireDate" dataDxfId="1029"/>
    <tableColumn id="32" name="InsuranceDaysToExpiration" dataDxfId="1028" dataCellStyle="Currency">
      <calculatedColumnFormula>IFERROR(AJ2-(TODAY()),"Missing")</calculatedColumnFormula>
    </tableColumn>
    <tableColumn id="43" name="OriginalContractorStrartDate" dataDxfId="1027" dataCellStyle="Currency"/>
    <tableColumn id="35" name="ContractSignDate" dataDxfId="1026" dataCellStyle="Currency"/>
    <tableColumn id="34" name="ContractorToBeRenewedOn" dataDxfId="1025" dataCellStyle="Currency">
      <calculatedColumnFormula>Table10[[#This Row],[ContractSignDate]]+90</calculatedColumnFormula>
    </tableColumn>
    <tableColumn id="42" name="Contractor" dataDxfId="1024" dataCellStyle="Currency">
      <calculatedColumnFormula>C2</calculatedColumnFormula>
    </tableColumn>
    <tableColumn id="41" name="ContractDaysToExpire" dataDxfId="1023" dataCellStyle="Currency">
      <calculatedColumnFormula>IF(Table10[[#This Row],[EquipToDriverStat]]="UnAssigned","NotActive",Table10[[#This Row],[ContractorToBeRenewedOn]]-TODAY())</calculatedColumnFormula>
    </tableColumn>
    <tableColumn id="33" name="ContarctorDaysToRenewal" dataDxfId="1022">
      <calculatedColumnFormula>IF(J2="UnAssigned","NotActive",IF(AN2&lt;TODAY(),"Expired","Good"))</calculatedColumnFormula>
    </tableColumn>
  </tableColumns>
  <tableStyleInfo name="TableStyleMedium2" showFirstColumn="0" showLastColumn="0" showRowStripes="1" showColumnStripes="0"/>
</table>
</file>

<file path=xl/tables/table7.xml><?xml version="1.0" encoding="utf-8"?>
<table xmlns="http://schemas.openxmlformats.org/spreadsheetml/2006/main" id="4" name="Table4" displayName="Table4" ref="A1:K13" totalsRowShown="0" headerRowDxfId="1021" dataDxfId="1020">
  <autoFilter ref="A1:K13"/>
  <sortState ref="A2:K11">
    <sortCondition ref="A1:A11"/>
  </sortState>
  <tableColumns count="11">
    <tableColumn id="7" name="UnitNo" dataDxfId="1019"/>
    <tableColumn id="2" name="Year" dataDxfId="1018"/>
    <tableColumn id="3" name="Make" dataDxfId="1017"/>
    <tableColumn id="4" name="Modle" dataDxfId="1016"/>
    <tableColumn id="5" name="EquipType" dataDxfId="1015"/>
    <tableColumn id="6" name="EquipDetail" dataDxfId="1014"/>
    <tableColumn id="1" name="PlateNo" dataDxfId="1013"/>
    <tableColumn id="8" name="VIN" dataDxfId="1012"/>
    <tableColumn id="9" name="OregonDOTNo" dataDxfId="1011"/>
    <tableColumn id="10" name="OregonExpireDate" dataDxfId="1010"/>
    <tableColumn id="11" name="OregonDaysExpire" dataDxfId="1009">
      <calculatedColumnFormula>IFERROR((Table4[[#This Row],[OregonExpireDate]]-TODAY()),"NA ")</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9" name="Table9" displayName="Table9" ref="A1:I71" totalsRowShown="0" headerRowDxfId="1008" dataDxfId="1007">
  <autoFilter ref="A1:I71"/>
  <tableColumns count="9">
    <tableColumn id="1" name="Weekending" dataDxfId="1006"/>
    <tableColumn id="2" name="Insured" dataDxfId="1005"/>
    <tableColumn id="6" name="Unit#" dataDxfId="1004"/>
    <tableColumn id="3" name="WklyPremiumDriver" dataDxfId="1003" dataCellStyle="Currency"/>
    <tableColumn id="9" name="WklyPremiumUB" dataDxfId="1002" dataCellStyle="Currency">
      <calculatedColumnFormula>IF(Table9[[#This Row],[Insured]]="Christopher","243.25",IF(Table9[[#This Row],[Insured]]="Wesley","183","183"))</calculatedColumnFormula>
    </tableColumn>
    <tableColumn id="8" name="ChargeDate" dataDxfId="1001" dataCellStyle="Currency">
      <calculatedColumnFormula>Table9[[#This Row],[Weekending]]+7</calculatedColumnFormula>
    </tableColumn>
    <tableColumn id="4" name="Month" dataDxfId="1000" dataCellStyle="Currency">
      <calculatedColumnFormula>MONTH(A2)</calculatedColumnFormula>
    </tableColumn>
    <tableColumn id="7" name="Day" dataDxfId="999" dataCellStyle="Currency">
      <calculatedColumnFormula>DAY(Table9[[#This Row],[Weekending]])</calculatedColumnFormula>
    </tableColumn>
    <tableColumn id="5" name="Year" dataDxfId="998">
      <calculatedColumnFormula>YEAR(A2)</calculatedColumnFormula>
    </tableColumn>
  </tableColumns>
  <tableStyleInfo name="TableStyleMedium2" showFirstColumn="0" showLastColumn="0" showRowStripes="1" showColumnStripes="0"/>
</table>
</file>

<file path=xl/tables/table9.xml><?xml version="1.0" encoding="utf-8"?>
<table xmlns="http://schemas.openxmlformats.org/spreadsheetml/2006/main" id="7" name="Table7" displayName="Table7" ref="A1:H73" totalsRowShown="0" headerRowDxfId="997" dataDxfId="996">
  <autoFilter ref="A1:H73">
    <filterColumn colId="7">
      <filters>
        <filter val="2016"/>
      </filters>
    </filterColumn>
  </autoFilter>
  <tableColumns count="8">
    <tableColumn id="1" name="Weekending" dataDxfId="995"/>
    <tableColumn id="2" name="Company" dataDxfId="994"/>
    <tableColumn id="3" name="Type" dataDxfId="993"/>
    <tableColumn id="4" name="Driver" dataDxfId="992"/>
    <tableColumn id="5" name="Unit" dataDxfId="991"/>
    <tableColumn id="6" name="WeeklyEarning" dataDxfId="990" dataCellStyle="Currency"/>
    <tableColumn id="7" name="Month" dataDxfId="989">
      <calculatedColumnFormula>MONTH(A2)</calculatedColumnFormula>
    </tableColumn>
    <tableColumn id="8" name="Year" dataDxfId="988">
      <calculatedColumnFormula>YEAR(A2)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5.bin"/><Relationship Id="rId1" Type="http://schemas.openxmlformats.org/officeDocument/2006/relationships/pivotTable" Target="../pivotTables/pivotTable10.xml"/><Relationship Id="rId4" Type="http://schemas.microsoft.com/office/2007/relationships/slicer" Target="../slicers/slicer3.xml"/></Relationships>
</file>

<file path=xl/worksheets/_rels/sheet2.xml.rels><?xml version="1.0" encoding="UTF-8" standalone="yes"?>
<Relationships xmlns="http://schemas.openxmlformats.org/package/2006/relationships"><Relationship Id="rId3" Type="http://schemas.openxmlformats.org/officeDocument/2006/relationships/hyperlink" Target="mailto:dispatch@jlfreight.net" TargetMode="External"/><Relationship Id="rId2" Type="http://schemas.openxmlformats.org/officeDocument/2006/relationships/hyperlink" Target="mailto:kongl@nationwidetransinc.com" TargetMode="External"/><Relationship Id="rId1" Type="http://schemas.openxmlformats.org/officeDocument/2006/relationships/hyperlink" Target="mailto:cvgtfb@utsiimaging.com"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hyperlink" Target="mailto:htl0916@gmail.com" TargetMode="External"/><Relationship Id="rId13" Type="http://schemas.openxmlformats.org/officeDocument/2006/relationships/table" Target="../tables/table6.xml"/><Relationship Id="rId3" Type="http://schemas.openxmlformats.org/officeDocument/2006/relationships/hyperlink" Target="mailto:samboyal@yahoo.com" TargetMode="External"/><Relationship Id="rId7" Type="http://schemas.openxmlformats.org/officeDocument/2006/relationships/hyperlink" Target="mailto:firsttransportation@gmail.com" TargetMode="External"/><Relationship Id="rId12" Type="http://schemas.openxmlformats.org/officeDocument/2006/relationships/printerSettings" Target="../printerSettings/printerSettings6.bin"/><Relationship Id="rId2" Type="http://schemas.openxmlformats.org/officeDocument/2006/relationships/hyperlink" Target="mailto:karamjeet3378@hotmail.com" TargetMode="External"/><Relationship Id="rId1" Type="http://schemas.openxmlformats.org/officeDocument/2006/relationships/hyperlink" Target="mailto:ponyondroad@aol.com" TargetMode="External"/><Relationship Id="rId6" Type="http://schemas.openxmlformats.org/officeDocument/2006/relationships/hyperlink" Target="mailto:Miguelmartin52@yahoo.com" TargetMode="External"/><Relationship Id="rId11" Type="http://schemas.openxmlformats.org/officeDocument/2006/relationships/hyperlink" Target="mailto:anthony_fonseca@ymail.com" TargetMode="External"/><Relationship Id="rId5" Type="http://schemas.openxmlformats.org/officeDocument/2006/relationships/hyperlink" Target="mailto:wesleycousain1@gmail.com" TargetMode="External"/><Relationship Id="rId10" Type="http://schemas.openxmlformats.org/officeDocument/2006/relationships/hyperlink" Target="mailto:aokhan1@gmail.com" TargetMode="External"/><Relationship Id="rId4" Type="http://schemas.openxmlformats.org/officeDocument/2006/relationships/hyperlink" Target="mailto:ubgollc@gmail.com" TargetMode="External"/><Relationship Id="rId9" Type="http://schemas.openxmlformats.org/officeDocument/2006/relationships/hyperlink" Target="mailto:arturocarr777@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DG566"/>
  <sheetViews>
    <sheetView zoomScale="95" zoomScaleNormal="95" zoomScaleSheetLayoutView="98" workbookViewId="0">
      <pane ySplit="1" topLeftCell="A537" activePane="bottomLeft" state="frozen"/>
      <selection activeCell="C51" sqref="C51"/>
      <selection pane="bottomLeft" activeCell="K568" sqref="K568"/>
    </sheetView>
  </sheetViews>
  <sheetFormatPr defaultColWidth="11.85546875" defaultRowHeight="15"/>
  <cols>
    <col min="1" max="1" width="13.7109375" style="68" bestFit="1" customWidth="1"/>
    <col min="2" max="2" width="17" style="104" bestFit="1" customWidth="1"/>
    <col min="3" max="3" width="28.7109375" style="15" customWidth="1"/>
    <col min="4" max="4" width="39.140625" style="68" bestFit="1" customWidth="1"/>
    <col min="5" max="5" width="15.7109375" style="15" bestFit="1" customWidth="1"/>
    <col min="6" max="6" width="39.140625" style="58" bestFit="1" customWidth="1"/>
    <col min="7" max="7" width="19" style="68" bestFit="1" customWidth="1"/>
    <col min="8" max="8" width="14.140625" style="68" customWidth="1"/>
    <col min="9" max="9" width="16.85546875" style="68" bestFit="1" customWidth="1"/>
    <col min="10" max="10" width="12.140625" style="68" bestFit="1" customWidth="1"/>
    <col min="11" max="11" width="50.85546875" style="68" bestFit="1" customWidth="1"/>
    <col min="12" max="12" width="35.5703125" style="68" bestFit="1" customWidth="1"/>
    <col min="13" max="13" width="15.28515625" style="81" bestFit="1" customWidth="1"/>
    <col min="14" max="14" width="32.42578125" style="104" bestFit="1" customWidth="1"/>
    <col min="15" max="15" width="57.42578125" style="15" bestFit="1" customWidth="1"/>
    <col min="16" max="16" width="44.85546875" style="68" bestFit="1" customWidth="1"/>
    <col min="17" max="17" width="14.85546875" style="68" bestFit="1" customWidth="1"/>
    <col min="18" max="18" width="18.28515625" style="68" bestFit="1" customWidth="1"/>
    <col min="19" max="19" width="17.5703125" style="68" bestFit="1" customWidth="1"/>
    <col min="20" max="20" width="26.5703125" style="68" bestFit="1" customWidth="1"/>
    <col min="21" max="21" width="13.140625" style="68" bestFit="1" customWidth="1"/>
    <col min="22" max="22" width="9.5703125" style="68" bestFit="1" customWidth="1"/>
    <col min="23" max="23" width="51.85546875" style="68" bestFit="1" customWidth="1"/>
    <col min="24" max="24" width="17.28515625" style="68" bestFit="1" customWidth="1"/>
    <col min="25" max="25" width="16.140625" style="15" bestFit="1" customWidth="1"/>
    <col min="26" max="26" width="8.85546875" style="68" customWidth="1"/>
    <col min="27" max="27" width="9.28515625" style="68" customWidth="1"/>
    <col min="28" max="28" width="8.42578125" style="68" bestFit="1" customWidth="1"/>
    <col min="29" max="29" width="92" style="68" bestFit="1" customWidth="1"/>
    <col min="30" max="30" width="35.5703125" style="68" bestFit="1" customWidth="1"/>
    <col min="31" max="31" width="32.7109375" style="81" bestFit="1" customWidth="1"/>
    <col min="32" max="32" width="35.28515625" style="104" bestFit="1" customWidth="1"/>
    <col min="33" max="33" width="73.140625" style="68" bestFit="1" customWidth="1"/>
    <col min="34" max="34" width="39.42578125" style="68" bestFit="1" customWidth="1"/>
    <col min="35" max="35" width="15.5703125" style="68" bestFit="1" customWidth="1"/>
    <col min="36" max="36" width="29.140625" style="68" bestFit="1" customWidth="1"/>
    <col min="37" max="37" width="18.140625" style="68" bestFit="1" customWidth="1"/>
    <col min="38" max="38" width="42.5703125" style="68" bestFit="1" customWidth="1"/>
    <col min="39" max="39" width="28" style="68" bestFit="1" customWidth="1"/>
    <col min="40" max="40" width="20.28515625" style="68" bestFit="1" customWidth="1"/>
    <col min="41" max="41" width="18" bestFit="1" customWidth="1"/>
    <col min="42" max="42" width="24.28515625" bestFit="1" customWidth="1"/>
    <col min="43" max="43" width="16.5703125" bestFit="1" customWidth="1"/>
    <col min="44" max="44" width="20.28515625" style="171" bestFit="1" customWidth="1"/>
    <col min="45" max="45" width="21.28515625" style="171" bestFit="1" customWidth="1"/>
    <col min="46" max="46" width="12.7109375" style="171" bestFit="1" customWidth="1"/>
    <col min="47" max="47" width="12.140625" style="256" bestFit="1" customWidth="1"/>
    <col min="48" max="48" width="22.140625" style="171" bestFit="1" customWidth="1"/>
    <col min="49" max="49" width="19.5703125" style="171" bestFit="1" customWidth="1"/>
    <col min="50" max="50" width="12.140625" style="171" bestFit="1" customWidth="1"/>
    <col min="51" max="51" width="13.5703125" style="171" bestFit="1" customWidth="1"/>
    <col min="52" max="52" width="11.5703125" style="171" bestFit="1" customWidth="1"/>
    <col min="53" max="53" width="16.28515625" style="171" bestFit="1" customWidth="1"/>
    <col min="54" max="54" width="28.85546875" style="171" bestFit="1" customWidth="1"/>
    <col min="55" max="55" width="21.42578125" style="172" bestFit="1" customWidth="1"/>
    <col min="56" max="56" width="21.85546875" bestFit="1" customWidth="1"/>
    <col min="57" max="57" width="12.28515625" bestFit="1" customWidth="1"/>
    <col min="58" max="58" width="13.140625" style="171" bestFit="1" customWidth="1"/>
    <col min="59" max="59" width="11.7109375" style="171" bestFit="1" customWidth="1"/>
    <col min="60" max="60" width="28.28515625" style="171" bestFit="1" customWidth="1"/>
    <col min="61" max="61" width="25.140625" style="171" bestFit="1" customWidth="1"/>
    <col min="62" max="62" width="22.28515625" style="171" bestFit="1" customWidth="1"/>
    <col min="63" max="63" width="15.42578125" style="171" bestFit="1" customWidth="1"/>
    <col min="64" max="64" width="16.28515625" style="171" bestFit="1" customWidth="1"/>
    <col min="65" max="65" width="16.140625" style="171" bestFit="1" customWidth="1"/>
    <col min="66" max="66" width="13.7109375" style="171" bestFit="1" customWidth="1"/>
    <col min="67" max="67" width="22" style="171" bestFit="1" customWidth="1"/>
    <col min="68" max="68" width="20.5703125" style="4" bestFit="1" customWidth="1"/>
    <col min="69" max="69" width="20.28515625" style="4" bestFit="1" customWidth="1"/>
    <col min="70" max="70" width="23.28515625" style="4" bestFit="1" customWidth="1"/>
    <col min="71" max="71" width="16.28515625" style="64" bestFit="1" customWidth="1"/>
    <col min="72" max="72" width="22.140625" style="171" bestFit="1" customWidth="1"/>
    <col min="73" max="73" width="39.140625" style="133" bestFit="1" customWidth="1"/>
    <col min="74" max="74" width="21.85546875" style="134" bestFit="1" customWidth="1"/>
    <col min="75" max="75" width="39.140625" style="133" bestFit="1" customWidth="1"/>
    <col min="76" max="76" width="19" style="171" bestFit="1" customWidth="1"/>
    <col min="77" max="77" width="13.28515625" style="220" bestFit="1" customWidth="1"/>
    <col min="78" max="78" width="11.28515625" style="133" bestFit="1" customWidth="1"/>
    <col min="79" max="79" width="15.7109375" style="133" bestFit="1" customWidth="1"/>
    <col min="80" max="80" width="18.5703125" style="68" bestFit="1" customWidth="1"/>
    <col min="81" max="81" width="16.42578125" style="68" bestFit="1" customWidth="1"/>
    <col min="82" max="82" width="18.5703125" style="68" bestFit="1" customWidth="1"/>
    <col min="83" max="83" width="11.7109375" style="68" bestFit="1" customWidth="1"/>
    <col min="84" max="84" width="7.85546875" style="68" bestFit="1" customWidth="1"/>
    <col min="85" max="85" width="16.140625" style="136" bestFit="1" customWidth="1"/>
    <col min="86" max="86" width="14.85546875" style="68" bestFit="1" customWidth="1"/>
    <col min="87" max="87" width="11.7109375" style="68" bestFit="1" customWidth="1"/>
    <col min="88" max="88" width="7.85546875" style="68" bestFit="1" customWidth="1"/>
    <col min="89" max="89" width="16.140625" style="136" bestFit="1" customWidth="1"/>
    <col min="90" max="90" width="15.5703125" style="68" bestFit="1" customWidth="1"/>
    <col min="91" max="91" width="11.7109375" style="68" bestFit="1" customWidth="1"/>
    <col min="92" max="92" width="7.85546875" style="68" bestFit="1" customWidth="1"/>
    <col min="93" max="93" width="16.140625" style="136" bestFit="1" customWidth="1"/>
    <col min="94" max="94" width="14.85546875" style="68" bestFit="1" customWidth="1"/>
    <col min="95" max="95" width="11.7109375" style="68" bestFit="1" customWidth="1"/>
    <col min="96" max="96" width="7.85546875" style="68" bestFit="1" customWidth="1"/>
    <col min="97" max="97" width="16.140625" style="136" bestFit="1" customWidth="1"/>
    <col min="98" max="98" width="20.5703125" style="136" bestFit="1" customWidth="1"/>
    <col min="99" max="99" width="23.140625" style="267" bestFit="1" customWidth="1"/>
    <col min="100" max="100" width="19" style="68" bestFit="1" customWidth="1"/>
    <col min="101" max="101" width="19.7109375" style="229" bestFit="1" customWidth="1"/>
    <col min="102" max="102" width="15.7109375" style="257" bestFit="1" customWidth="1"/>
    <col min="103" max="103" width="18.140625" style="68" bestFit="1" customWidth="1"/>
    <col min="104" max="104" width="18" style="68" bestFit="1" customWidth="1"/>
    <col min="105" max="105" width="15.28515625" style="264" bestFit="1" customWidth="1"/>
    <col min="106" max="106" width="25.42578125" style="416" bestFit="1" customWidth="1"/>
    <col min="107" max="107" width="18.85546875" style="68" bestFit="1" customWidth="1"/>
    <col min="108" max="108" width="14.7109375" style="68" bestFit="1" customWidth="1"/>
    <col min="109" max="109" width="9.5703125" style="15" bestFit="1" customWidth="1"/>
    <col min="110" max="110" width="7.42578125" style="15" bestFit="1" customWidth="1"/>
    <col min="111" max="111" width="103.140625" style="131" bestFit="1" customWidth="1"/>
    <col min="112" max="16384" width="11.85546875" style="4"/>
  </cols>
  <sheetData>
    <row r="1" spans="1:111" s="507" customFormat="1">
      <c r="A1" s="479" t="s">
        <v>0</v>
      </c>
      <c r="B1" s="480" t="s">
        <v>1</v>
      </c>
      <c r="C1" s="480" t="s">
        <v>2</v>
      </c>
      <c r="D1" s="480" t="s">
        <v>3</v>
      </c>
      <c r="E1" s="480" t="s">
        <v>4</v>
      </c>
      <c r="F1" s="481" t="s">
        <v>5</v>
      </c>
      <c r="G1" s="481" t="s">
        <v>6</v>
      </c>
      <c r="H1" s="481" t="s">
        <v>7</v>
      </c>
      <c r="I1" s="481" t="s">
        <v>8</v>
      </c>
      <c r="J1" s="481" t="s">
        <v>9</v>
      </c>
      <c r="K1" s="480" t="s">
        <v>10</v>
      </c>
      <c r="L1" s="482" t="s">
        <v>11</v>
      </c>
      <c r="M1" s="480" t="s">
        <v>12</v>
      </c>
      <c r="N1" s="480" t="s">
        <v>13</v>
      </c>
      <c r="O1" s="480" t="s">
        <v>14</v>
      </c>
      <c r="P1" s="480" t="s">
        <v>15</v>
      </c>
      <c r="Q1" s="480" t="s">
        <v>16</v>
      </c>
      <c r="R1" s="480" t="s">
        <v>17</v>
      </c>
      <c r="S1" s="480" t="s">
        <v>18</v>
      </c>
      <c r="T1" s="480" t="s">
        <v>19</v>
      </c>
      <c r="U1" s="480" t="s">
        <v>20</v>
      </c>
      <c r="V1" s="480" t="s">
        <v>21</v>
      </c>
      <c r="W1" s="480" t="s">
        <v>22</v>
      </c>
      <c r="X1" s="480" t="s">
        <v>23</v>
      </c>
      <c r="Y1" s="480" t="s">
        <v>24</v>
      </c>
      <c r="Z1" s="480" t="s">
        <v>25</v>
      </c>
      <c r="AA1" s="480" t="s">
        <v>26</v>
      </c>
      <c r="AB1" s="480" t="s">
        <v>27</v>
      </c>
      <c r="AC1" s="483" t="s">
        <v>28</v>
      </c>
      <c r="AD1" s="482" t="s">
        <v>29</v>
      </c>
      <c r="AE1" s="480" t="s">
        <v>30</v>
      </c>
      <c r="AF1" s="480" t="s">
        <v>31</v>
      </c>
      <c r="AG1" s="480" t="s">
        <v>32</v>
      </c>
      <c r="AH1" s="480" t="s">
        <v>33</v>
      </c>
      <c r="AI1" s="480" t="s">
        <v>34</v>
      </c>
      <c r="AJ1" s="480" t="s">
        <v>35</v>
      </c>
      <c r="AK1" s="480" t="s">
        <v>36</v>
      </c>
      <c r="AL1" s="480" t="s">
        <v>37</v>
      </c>
      <c r="AM1" s="484" t="s">
        <v>38</v>
      </c>
      <c r="AN1" s="485" t="s">
        <v>39</v>
      </c>
      <c r="AO1" s="486" t="s">
        <v>40</v>
      </c>
      <c r="AP1" s="486" t="s">
        <v>41</v>
      </c>
      <c r="AQ1" s="486" t="s">
        <v>42</v>
      </c>
      <c r="AR1" s="487" t="s">
        <v>43</v>
      </c>
      <c r="AS1" s="486" t="s">
        <v>44</v>
      </c>
      <c r="AT1" s="487" t="s">
        <v>45</v>
      </c>
      <c r="AU1" s="486" t="s">
        <v>46</v>
      </c>
      <c r="AV1" s="486" t="s">
        <v>47</v>
      </c>
      <c r="AW1" s="486" t="s">
        <v>48</v>
      </c>
      <c r="AX1" s="486" t="s">
        <v>49</v>
      </c>
      <c r="AY1" s="486" t="s">
        <v>50</v>
      </c>
      <c r="AZ1" s="486" t="s">
        <v>51</v>
      </c>
      <c r="BA1" s="486" t="s">
        <v>52</v>
      </c>
      <c r="BB1" s="486" t="s">
        <v>53</v>
      </c>
      <c r="BC1" s="487" t="s">
        <v>54</v>
      </c>
      <c r="BD1" s="486" t="s">
        <v>55</v>
      </c>
      <c r="BE1" s="486" t="s">
        <v>56</v>
      </c>
      <c r="BF1" s="486" t="s">
        <v>57</v>
      </c>
      <c r="BG1" s="486" t="s">
        <v>58</v>
      </c>
      <c r="BH1" s="486" t="s">
        <v>59</v>
      </c>
      <c r="BI1" s="486" t="s">
        <v>60</v>
      </c>
      <c r="BJ1" s="486" t="s">
        <v>61</v>
      </c>
      <c r="BK1" s="486" t="s">
        <v>62</v>
      </c>
      <c r="BL1" s="488" t="s">
        <v>63</v>
      </c>
      <c r="BM1" s="485" t="s">
        <v>64</v>
      </c>
      <c r="BN1" s="489" t="s">
        <v>65</v>
      </c>
      <c r="BO1" s="490" t="s">
        <v>66</v>
      </c>
      <c r="BP1" s="491" t="s">
        <v>67</v>
      </c>
      <c r="BQ1" s="492" t="s">
        <v>68</v>
      </c>
      <c r="BR1" s="493" t="s">
        <v>69</v>
      </c>
      <c r="BS1" s="494" t="s">
        <v>70</v>
      </c>
      <c r="BT1" s="489" t="s">
        <v>71</v>
      </c>
      <c r="BU1" s="486" t="s">
        <v>72</v>
      </c>
      <c r="BV1" s="486" t="s">
        <v>73</v>
      </c>
      <c r="BW1" s="486" t="s">
        <v>74</v>
      </c>
      <c r="BX1" s="486" t="s">
        <v>75</v>
      </c>
      <c r="BY1" s="486" t="s">
        <v>76</v>
      </c>
      <c r="BZ1" s="486" t="s">
        <v>77</v>
      </c>
      <c r="CA1" s="486" t="s">
        <v>78</v>
      </c>
      <c r="CB1" s="495" t="s">
        <v>79</v>
      </c>
      <c r="CC1" s="496" t="s">
        <v>80</v>
      </c>
      <c r="CD1" s="497" t="s">
        <v>81</v>
      </c>
      <c r="CE1" s="497" t="s">
        <v>82</v>
      </c>
      <c r="CF1" s="497" t="s">
        <v>83</v>
      </c>
      <c r="CG1" s="498" t="s">
        <v>84</v>
      </c>
      <c r="CH1" s="497" t="s">
        <v>85</v>
      </c>
      <c r="CI1" s="497" t="s">
        <v>86</v>
      </c>
      <c r="CJ1" s="497" t="s">
        <v>87</v>
      </c>
      <c r="CK1" s="498" t="s">
        <v>88</v>
      </c>
      <c r="CL1" s="497" t="s">
        <v>89</v>
      </c>
      <c r="CM1" s="497" t="s">
        <v>90</v>
      </c>
      <c r="CN1" s="497" t="s">
        <v>91</v>
      </c>
      <c r="CO1" s="498" t="s">
        <v>92</v>
      </c>
      <c r="CP1" s="497" t="s">
        <v>93</v>
      </c>
      <c r="CQ1" s="497" t="s">
        <v>94</v>
      </c>
      <c r="CR1" s="497" t="s">
        <v>95</v>
      </c>
      <c r="CS1" s="498" t="s">
        <v>96</v>
      </c>
      <c r="CT1" s="499" t="s">
        <v>97</v>
      </c>
      <c r="CU1" s="500" t="s">
        <v>98</v>
      </c>
      <c r="CV1" s="501" t="s">
        <v>99</v>
      </c>
      <c r="CW1" s="502" t="s">
        <v>100</v>
      </c>
      <c r="CX1" s="502" t="s">
        <v>101</v>
      </c>
      <c r="CY1" s="503" t="s">
        <v>102</v>
      </c>
      <c r="CZ1" s="503" t="s">
        <v>103</v>
      </c>
      <c r="DA1" s="504" t="s">
        <v>104</v>
      </c>
      <c r="DB1" s="508" t="s">
        <v>105</v>
      </c>
      <c r="DC1" s="478" t="s">
        <v>106</v>
      </c>
      <c r="DD1" s="505" t="s">
        <v>107</v>
      </c>
      <c r="DE1" s="506" t="s">
        <v>108</v>
      </c>
      <c r="DF1" s="506" t="s">
        <v>109</v>
      </c>
      <c r="DG1" s="509" t="s">
        <v>110</v>
      </c>
    </row>
    <row r="2" spans="1:111">
      <c r="A2" s="20" t="str">
        <f t="shared" ref="A2:A65" si="0">RIGHT(C2,2)&amp;RIGHT(L2,2)&amp;RIGHT(AD2,2)&amp;RIGHT(AQ2,2)</f>
        <v>89857596</v>
      </c>
      <c r="B2" s="160">
        <v>42110</v>
      </c>
      <c r="C2" s="4">
        <v>175225689</v>
      </c>
      <c r="D2" s="142" t="s">
        <v>111</v>
      </c>
      <c r="E2" s="142">
        <v>2</v>
      </c>
      <c r="F2" s="142" t="str">
        <f>INDEX(BrokerTBL!$B:$B,MATCH(D2,BrokerTBL!$A:$A,0))</f>
        <v>P.O. Box 3474</v>
      </c>
      <c r="G2" s="142" t="str">
        <f>INDEX(BrokerTBL!$C:$C,MATCH(D2,BrokerTBL!$A:$A,0))</f>
        <v>Chicago</v>
      </c>
      <c r="H2" s="142" t="str">
        <f>INDEX(BrokerTBL!$D:$D,MATCH(D2,BrokerTBL!$A:$A,0))</f>
        <v>Il</v>
      </c>
      <c r="I2" s="142" t="str">
        <f>INDEX(BrokerTBL!$E:$E,MATCH(D2,BrokerTBL!$A:$A,0))</f>
        <v>US</v>
      </c>
      <c r="J2" s="142">
        <f>INDEX(BrokerTBL!$F:$F,MATCH(D2,BrokerTBL!$A:$A,0))</f>
        <v>60654</v>
      </c>
      <c r="K2" s="142" t="s">
        <v>112</v>
      </c>
      <c r="L2" s="161" t="s">
        <v>113</v>
      </c>
      <c r="M2" s="160">
        <v>42172</v>
      </c>
      <c r="N2" s="160" t="s">
        <v>114</v>
      </c>
      <c r="O2" s="142" t="s">
        <v>115</v>
      </c>
      <c r="P2" s="142" t="s">
        <v>116</v>
      </c>
      <c r="Q2" s="142" t="s">
        <v>117</v>
      </c>
      <c r="R2" s="142">
        <v>79964</v>
      </c>
      <c r="S2" s="142" t="s">
        <v>118</v>
      </c>
      <c r="T2" s="142" t="s">
        <v>119</v>
      </c>
      <c r="U2" s="298" t="s">
        <v>120</v>
      </c>
      <c r="V2" s="142">
        <v>53</v>
      </c>
      <c r="W2" s="142" t="s">
        <v>121</v>
      </c>
      <c r="X2" s="162">
        <v>44000</v>
      </c>
      <c r="Y2" s="142" t="s">
        <v>122</v>
      </c>
      <c r="Z2" s="142">
        <v>1</v>
      </c>
      <c r="AA2" s="142">
        <v>19</v>
      </c>
      <c r="AB2" s="142" t="s">
        <v>123</v>
      </c>
      <c r="AC2" s="142" t="s">
        <v>124</v>
      </c>
      <c r="AD2" s="161" t="s">
        <v>125</v>
      </c>
      <c r="AE2" s="160">
        <v>42172</v>
      </c>
      <c r="AF2" s="142" t="s">
        <v>126</v>
      </c>
      <c r="AG2" s="142" t="s">
        <v>127</v>
      </c>
      <c r="AH2" s="142" t="s">
        <v>128</v>
      </c>
      <c r="AI2" s="142" t="s">
        <v>117</v>
      </c>
      <c r="AJ2" s="142">
        <v>77301</v>
      </c>
      <c r="AK2" s="142" t="s">
        <v>118</v>
      </c>
      <c r="AL2" s="142" t="s">
        <v>129</v>
      </c>
      <c r="AM2" s="10" t="str">
        <f>INDEX(CarrierDriverTBL!$B:$B,MATCH(Table1[[#This Row],[DriverID]],CarrierDriverTBL!$A:$A,0))</f>
        <v>Ponse De Leon Transportation</v>
      </c>
      <c r="AN2" s="10" t="s">
        <v>130</v>
      </c>
      <c r="AO2" s="142" t="str">
        <f>INDEX(CarrierDriverTBL!$C:$C,MATCH(Table1[[#This Row],[DriverID]],CarrierDriverTBL!$A:$A,0))</f>
        <v>Marco A Ponse</v>
      </c>
      <c r="AP2" s="142" t="str">
        <f>INDEX(CarrierDriverTBL!$D:$D,MATCH(Table1[[#This Row],[DriverID]],CarrierDriverTBL!$A:$A,0))</f>
        <v>De Leon</v>
      </c>
      <c r="AQ2" s="142" t="str">
        <f>INDEX(CarrierDriverTBL!$X:$X,MATCH(Table1[[#This Row],[DriverID]],CarrierDriverTBL!$A:$A,0))</f>
        <v>B7179996</v>
      </c>
      <c r="AR2" s="160">
        <f>INDEX(CarrierDriverTBL!$Y:$Y,MATCH(Table1[[#This Row],[DriverID]],CarrierDriverTBL!$A:$A,0))</f>
        <v>42814</v>
      </c>
      <c r="AS2" s="142" t="str">
        <f t="shared" ref="AS2:AS65" si="1">IF(AR2&gt;M2,"GOOD","EXPIRED")</f>
        <v>GOOD</v>
      </c>
      <c r="AT2" s="160">
        <f>INDEX(CarrierDriverTBL!$E:$E,MATCH(Table1[[#This Row],[DriverID]],CarrierDriverTBL!$A:$A,0))</f>
        <v>24917</v>
      </c>
      <c r="AU2" s="163">
        <f ca="1">INDEX(CarrierDriverTBL!$F:$F,MATCH(Table1[[#This Row],[DriverID]],CarrierDriverTBL!$A:$A,0))</f>
        <v>48.38082191780822</v>
      </c>
      <c r="AV2" s="142" t="str">
        <f>INDEX(CarrierDriverTBL!$K:$K,MATCH(Table1[[#This Row],[DriverID]],CarrierDriverTBL!$A:$A,0))</f>
        <v>510-432-3796</v>
      </c>
      <c r="AW2" s="142" t="str">
        <f>INDEX(CarrierDriverTBL!$M:$M,MATCH(Table1[[#This Row],[DriverID]],CarrierDriverTBL!$A:$A,0))</f>
        <v>20 Begier Avenue</v>
      </c>
      <c r="AX2" s="142" t="str">
        <f>INDEX(CarrierDriverTBL!$N:$N,MATCH(Table1[[#This Row],[DriverID]],CarrierDriverTBL!$A:$A,0))</f>
        <v>San Leandro</v>
      </c>
      <c r="AY2" s="142" t="str">
        <f>INDEX(CarrierDriverTBL!$O:$O,MATCH(Table1[[#This Row],[DriverID]],CarrierDriverTBL!$A:$A,0))</f>
        <v>CA</v>
      </c>
      <c r="AZ2" s="142">
        <f>INDEX(CarrierDriverTBL!$P:$P,MATCH(Table1[[#This Row],[DriverID]],CarrierDriverTBL!$A:$A,0))</f>
        <v>94577</v>
      </c>
      <c r="BA2" s="142" t="str">
        <f>INDEX(CarrierDriverTBL!$Q:$Q,MATCH(Table1[[#This Row],[DriverID]],CarrierDriverTBL!$A:$A,0))</f>
        <v>US</v>
      </c>
      <c r="BB2" s="142" t="str">
        <f>INDEX(CarrierDriverTBL!$R:$R,MATCH(Table1[[#This Row],[DriverID]],CarrierDriverTBL!$A:$A,0))</f>
        <v>ponyondroad@aol.com</v>
      </c>
      <c r="BC2" s="160" t="str">
        <f>INDEX(CarrierDriverTBL!$AB:$AB,MATCH(Table1[[#This Row],[DriverID]],CarrierDriverTBL!$A:$A,0))</f>
        <v>Missing</v>
      </c>
      <c r="BD2" s="142" t="str">
        <f ca="1">INDEX(CarrierDriverTBL!$AD:$AD,MATCH(LoadMaster!$AN:$AN,CarrierDriverTBL!$A:$A,0))</f>
        <v>MISSING</v>
      </c>
      <c r="BE2" s="142">
        <f>INDEX(CarrierDriverTBL!$AE:$AE,MATCH(Table1[DriverID],CarrierDriverTBL!$A:$A,0))</f>
        <v>692221</v>
      </c>
      <c r="BF2" s="142">
        <f>INDEX(CarrierDriverTBL!$AF:$AF,MATCH(Table1[DriverID],CarrierDriverTBL!$A:$A,0))</f>
        <v>1943696</v>
      </c>
      <c r="BG2" s="142" t="str">
        <f>INDEX(CarrierDriverTBL!$AG:$AG,MATCH(Table1[DriverID],CarrierDriverTBL!$A:$A,0))</f>
        <v>Missing</v>
      </c>
      <c r="BH2" s="142" t="str">
        <f>INDEX(CarrierDriverTBL!$AH:$AH,MATCH(Table1[DriverID],CarrierDriverTBL!$A:$A,0))</f>
        <v>Western Truck Insurance Srvcs</v>
      </c>
      <c r="BI2" s="142" t="str">
        <f>INDEX(CarrierDriverTBL!$AI:$AI,MATCH(Table1[DriverID],CarrierDriverTBL!$A:$A,0))</f>
        <v>CTP 499561</v>
      </c>
      <c r="BJ2" s="160">
        <f>INDEX(CarrierDriverTBL!$AJ:$AJ,MATCH(Table1[[#This Row],[DriverID]],CarrierDriverTBL!$A:$A,0))</f>
        <v>42279</v>
      </c>
      <c r="BK2" s="10">
        <f t="shared" ref="BK2:BK65" si="2">IFERROR(BJ2-M2,"MISSING")</f>
        <v>107</v>
      </c>
      <c r="BL2" s="159">
        <v>600</v>
      </c>
      <c r="BM2" s="131">
        <v>248</v>
      </c>
      <c r="BN2" s="159">
        <f t="shared" ref="BN2:BN17" si="3">BL2/BM2</f>
        <v>2.4193548387096775</v>
      </c>
      <c r="BO2" s="159">
        <f>BL2*0.93</f>
        <v>558</v>
      </c>
      <c r="BP2" s="159">
        <f t="shared" ref="BP2:BP17" si="4">BO2/BM2</f>
        <v>2.25</v>
      </c>
      <c r="BQ2" s="165">
        <v>3.12</v>
      </c>
      <c r="BR2" s="166">
        <f t="shared" ref="BR2:BR17" si="5">(BQ2-1.9)/6</f>
        <v>0.20333333333333337</v>
      </c>
      <c r="BS2" s="167">
        <f t="shared" ref="BS2:BS65" si="6">BP2-BR2</f>
        <v>2.0466666666666669</v>
      </c>
      <c r="BT2" s="159">
        <f t="shared" ref="BT2:BT65" si="7">BM2*BR2</f>
        <v>50.426666666666677</v>
      </c>
      <c r="BU2" s="10" t="str">
        <f t="shared" ref="BU2:BU65" si="8">D2</f>
        <v>Ch Robinson</v>
      </c>
      <c r="BV2" s="4"/>
      <c r="BW2" s="4" t="str">
        <f>Table1[[#This Row],[BrokerAddress]]</f>
        <v>P.O. Box 3474</v>
      </c>
      <c r="BX2" s="4" t="str">
        <f t="shared" ref="BX2:BX65" si="9">G2</f>
        <v>Chicago</v>
      </c>
      <c r="BY2" s="4" t="str">
        <f t="shared" ref="BY2:BY65" si="10">H2</f>
        <v>Il</v>
      </c>
      <c r="BZ2" s="4">
        <f t="shared" ref="BZ2:BZ65" si="11">J2</f>
        <v>60654</v>
      </c>
      <c r="CA2" s="10" t="str">
        <f t="shared" ref="CA2:CA65" si="12">I2</f>
        <v>US</v>
      </c>
      <c r="CB2" s="4" t="s">
        <v>131</v>
      </c>
      <c r="CC2" s="61"/>
      <c r="CD2" s="4" t="s">
        <v>132</v>
      </c>
      <c r="CE2" s="5">
        <v>0</v>
      </c>
      <c r="CF2" s="4">
        <v>0</v>
      </c>
      <c r="CG2" s="132">
        <f t="shared" ref="CG2:CG65" si="13">CE2*CF2</f>
        <v>0</v>
      </c>
      <c r="CH2" s="4" t="s">
        <v>132</v>
      </c>
      <c r="CI2" s="4">
        <v>0</v>
      </c>
      <c r="CJ2" s="4">
        <v>0</v>
      </c>
      <c r="CK2" s="132">
        <f t="shared" ref="CK2:CK65" si="14">CI2*CJ2</f>
        <v>0</v>
      </c>
      <c r="CL2" s="4" t="s">
        <v>132</v>
      </c>
      <c r="CM2" s="4">
        <v>0</v>
      </c>
      <c r="CN2" s="4">
        <v>0</v>
      </c>
      <c r="CO2" s="132">
        <f t="shared" ref="CO2:CO65" si="15">CM2*CN2</f>
        <v>0</v>
      </c>
      <c r="CP2" s="4" t="s">
        <v>132</v>
      </c>
      <c r="CQ2" s="5">
        <v>0</v>
      </c>
      <c r="CR2" s="4">
        <v>0</v>
      </c>
      <c r="CS2" s="132">
        <f t="shared" ref="CS2:CS65" si="16">CQ2*CR2</f>
        <v>0</v>
      </c>
      <c r="CT2" s="159">
        <f t="shared" ref="CT2:CT65" si="17">CG2+CK2+CO2+CS2</f>
        <v>0</v>
      </c>
      <c r="CU2" s="168">
        <f t="shared" ref="CU2:CU65" si="18">(CT2+BL2)-CC2</f>
        <v>600</v>
      </c>
      <c r="CV2" s="169">
        <f>(100*CT2)/100</f>
        <v>0</v>
      </c>
      <c r="CW2" s="82">
        <f>BO2+CV2</f>
        <v>558</v>
      </c>
      <c r="CX2" s="79">
        <f>IF(ISBLANK(E2),"AddQuickPay",IF(E2=2,CU2*0.98,IF(E2=2.4,CU2*0.976,IF(E2=3,CU2*0.97,IF(E2=5,CU2*0.95,IF(E2=1.5,CU2*0.985,IF(E2=2.5,CU2*0.975,IF(E2=1.3,CU2*0.987,IF(E2=1,CU2*0.99,IF(E2=4,CU2*0.96,CU2*1))))))))))-Table1[[#This Row],[ComCheck+QuickPayFee]]</f>
        <v>588</v>
      </c>
      <c r="CY2" s="167">
        <f t="shared" ref="CY2:CY65" si="19">CU2-CW2</f>
        <v>42</v>
      </c>
      <c r="CZ2" s="5">
        <f t="shared" ref="CZ2:CZ65" si="20">IF(ISBLANK(E2),"AddQuickPay",IF(E2=2,CU2*0.02,IF(E2=2.4,CU2*0.024,IF(E2=3,CU2*0.03,IF(E2=5,CU2*0.05,IF(E2=1.5,CU2*0.015,IF(E2=2.5,CU2*0.025,IF(E2=4,CU2*0.04,IF(E2=1.3,CU2*0.013,IF(E2=1,CU2*0.01,CU2*0))))))))))</f>
        <v>12</v>
      </c>
      <c r="DA2" s="258">
        <f>Table1[[#This Row],[OriginalDispatch]]-Table1[[#This Row],[QuickPayCharge]]</f>
        <v>30</v>
      </c>
      <c r="DB2" s="5">
        <v>0</v>
      </c>
      <c r="DC2" s="5" t="s">
        <v>133</v>
      </c>
      <c r="DD2" s="104">
        <f t="shared" ref="DD2:DD65" si="21">(5-WEEKDAY(M2,2))+M2</f>
        <v>42174</v>
      </c>
      <c r="DE2" s="15">
        <f>MONTH(Table1[[#This Row],[Weekending]])</f>
        <v>6</v>
      </c>
      <c r="DF2" s="15">
        <f>YEAR(Table1[[#This Row],[Weekending]])</f>
        <v>2015</v>
      </c>
      <c r="DG2" s="4"/>
    </row>
    <row r="3" spans="1:111">
      <c r="A3" s="20" t="str">
        <f t="shared" si="0"/>
        <v>87606515</v>
      </c>
      <c r="B3" s="146">
        <v>42177</v>
      </c>
      <c r="C3" s="15">
        <v>175605287</v>
      </c>
      <c r="D3" s="298" t="s">
        <v>111</v>
      </c>
      <c r="E3" s="298">
        <v>2</v>
      </c>
      <c r="F3" s="298" t="str">
        <f>INDEX(BrokerTBL!$B:$B,MATCH(D3,BrokerTBL!$A:$A,0))</f>
        <v>P.O. Box 3474</v>
      </c>
      <c r="G3" s="298" t="str">
        <f>INDEX(BrokerTBL!$C:$C,MATCH(D3,BrokerTBL!$A:$A,0))</f>
        <v>Chicago</v>
      </c>
      <c r="H3" s="298" t="str">
        <f>INDEX(BrokerTBL!$D:$D,MATCH(D3,BrokerTBL!$A:$A,0))</f>
        <v>Il</v>
      </c>
      <c r="I3" s="298" t="str">
        <f>INDEX(BrokerTBL!$E:$E,MATCH(D3,BrokerTBL!$A:$A,0))</f>
        <v>US</v>
      </c>
      <c r="J3" s="298">
        <f>INDEX(BrokerTBL!$F:$F,MATCH(D3,BrokerTBL!$A:$A,0))</f>
        <v>60654</v>
      </c>
      <c r="K3" s="170" t="s">
        <v>134</v>
      </c>
      <c r="L3" s="161" t="s">
        <v>135</v>
      </c>
      <c r="M3" s="160">
        <v>42177</v>
      </c>
      <c r="N3" s="162" t="s">
        <v>136</v>
      </c>
      <c r="O3" s="142" t="s">
        <v>137</v>
      </c>
      <c r="P3" s="142" t="s">
        <v>138</v>
      </c>
      <c r="Q3" s="142" t="s">
        <v>139</v>
      </c>
      <c r="R3" s="142">
        <v>93230</v>
      </c>
      <c r="S3" s="142" t="s">
        <v>118</v>
      </c>
      <c r="T3" s="142" t="s">
        <v>140</v>
      </c>
      <c r="U3" s="298" t="s">
        <v>120</v>
      </c>
      <c r="V3" s="142">
        <v>53</v>
      </c>
      <c r="W3" s="142" t="s">
        <v>141</v>
      </c>
      <c r="X3" s="162">
        <v>1808</v>
      </c>
      <c r="Y3" s="142" t="s">
        <v>123</v>
      </c>
      <c r="Z3" s="142">
        <v>5</v>
      </c>
      <c r="AA3" s="142" t="s">
        <v>123</v>
      </c>
      <c r="AB3" s="142" t="s">
        <v>123</v>
      </c>
      <c r="AC3" s="142" t="s">
        <v>142</v>
      </c>
      <c r="AD3" s="161" t="s">
        <v>143</v>
      </c>
      <c r="AE3" s="160">
        <v>42178</v>
      </c>
      <c r="AF3" s="142" t="s">
        <v>126</v>
      </c>
      <c r="AG3" s="142" t="s">
        <v>144</v>
      </c>
      <c r="AH3" s="142" t="s">
        <v>145</v>
      </c>
      <c r="AI3" s="142" t="s">
        <v>139</v>
      </c>
      <c r="AJ3" s="142" t="s">
        <v>146</v>
      </c>
      <c r="AK3" s="142" t="s">
        <v>118</v>
      </c>
      <c r="AL3" s="142" t="s">
        <v>147</v>
      </c>
      <c r="AM3" s="171" t="str">
        <f>INDEX(CarrierDriverTBL!$B:$B,MATCH(Table1[[#This Row],[DriverID]],CarrierDriverTBL!$A:$A,0))</f>
        <v>AVT Trans</v>
      </c>
      <c r="AN3" s="10" t="s">
        <v>148</v>
      </c>
      <c r="AO3" s="171" t="str">
        <f>INDEX(CarrierDriverTBL!$C:$C,MATCH(Table1[[#This Row],[DriverID]],CarrierDriverTBL!$A:$A,0))</f>
        <v>Karamjeet</v>
      </c>
      <c r="AP3" s="171" t="str">
        <f>INDEX(CarrierDriverTBL!$D:$D,MATCH(Table1[[#This Row],[DriverID]],CarrierDriverTBL!$A:$A,0))</f>
        <v>Singh</v>
      </c>
      <c r="AQ3" s="171" t="str">
        <f>INDEX(CarrierDriverTBL!$X:$X,MATCH(Table1[[#This Row],[DriverID]],CarrierDriverTBL!$A:$A,0))</f>
        <v>D8900715</v>
      </c>
      <c r="AR3" s="172">
        <f>INDEX(CarrierDriverTBL!$Y:$Y,MATCH(Table1[[#This Row],[DriverID]],CarrierDriverTBL!$A:$A,0))</f>
        <v>42232</v>
      </c>
      <c r="AS3" s="142" t="str">
        <f t="shared" si="1"/>
        <v>GOOD</v>
      </c>
      <c r="AT3" s="172">
        <f>INDEX(CarrierDriverTBL!$E:$E,MATCH(Table1[[#This Row],[DriverID]],CarrierDriverTBL!$A:$A,0))</f>
        <v>26070</v>
      </c>
      <c r="AU3" s="163">
        <f ca="1">INDEX(CarrierDriverTBL!$F:$F,MATCH(Table1[[#This Row],[DriverID]],CarrierDriverTBL!$A:$A,0))</f>
        <v>45.221917808219175</v>
      </c>
      <c r="AV3" s="171" t="str">
        <f>INDEX(CarrierDriverTBL!$K:$K,MATCH(Table1[[#This Row],[DriverID]],CarrierDriverTBL!$A:$A,0))</f>
        <v>530-301-7234</v>
      </c>
      <c r="AW3" s="171" t="str">
        <f>INDEX(CarrierDriverTBL!$M:$M,MATCH(Table1[[#This Row],[DriverID]],CarrierDriverTBL!$A:$A,0))</f>
        <v>10738 Irene Way</v>
      </c>
      <c r="AX3" s="171" t="str">
        <f>INDEX(CarrierDriverTBL!$N:$N,MATCH(Table1[[#This Row],[DriverID]],CarrierDriverTBL!$A:$A,0))</f>
        <v>Live Oak</v>
      </c>
      <c r="AY3" s="171" t="str">
        <f>INDEX(CarrierDriverTBL!$O:$O,MATCH(Table1[[#This Row],[DriverID]],CarrierDriverTBL!$A:$A,0))</f>
        <v xml:space="preserve">CA </v>
      </c>
      <c r="AZ3" s="171">
        <f>INDEX(CarrierDriverTBL!$P:$P,MATCH(Table1[[#This Row],[DriverID]],CarrierDriverTBL!$A:$A,0))</f>
        <v>95953</v>
      </c>
      <c r="BA3" s="171" t="str">
        <f>INDEX(CarrierDriverTBL!$Q:$Q,MATCH(Table1[[#This Row],[DriverID]],CarrierDriverTBL!$A:$A,0))</f>
        <v>US</v>
      </c>
      <c r="BB3" s="173" t="str">
        <f>INDEX(CarrierDriverTBL!$R:$R,MATCH(Table1[[#This Row],[DriverID]],CarrierDriverTBL!$A:$A,0))</f>
        <v>karamjeet3378@hotmail.com</v>
      </c>
      <c r="BC3" s="160" t="str">
        <f>INDEX(CarrierDriverTBL!$AB:$AB,MATCH(Table1[[#This Row],[DriverID]],CarrierDriverTBL!$A:$A,0))</f>
        <v>Missing</v>
      </c>
      <c r="BD3" s="142" t="str">
        <f ca="1">INDEX(CarrierDriverTBL!$AD:$AD,MATCH(LoadMaster!$AN:$AN,CarrierDriverTBL!$A:$A,0))</f>
        <v>MISSING</v>
      </c>
      <c r="BE3" s="171">
        <f>INDEX(CarrierDriverTBL!$AE:$AE,MATCH(Table1[DriverID],CarrierDriverTBL!$A:$A,0))</f>
        <v>898021</v>
      </c>
      <c r="BF3" s="171">
        <f>INDEX(CarrierDriverTBL!$AF:$AF,MATCH(Table1[DriverID],CarrierDriverTBL!$A:$A,0))</f>
        <v>2570177</v>
      </c>
      <c r="BG3" s="10" t="str">
        <f>INDEX(CarrierDriverTBL!$AG:$AG,MATCH(Table1[DriverID],CarrierDriverTBL!$A:$A,0))</f>
        <v>Missing</v>
      </c>
      <c r="BH3" s="171" t="str">
        <f>INDEX(CarrierDriverTBL!$AH:$AH,MATCH(Table1[DriverID],CarrierDriverTBL!$A:$A,0))</f>
        <v>Wilshire insurance company</v>
      </c>
      <c r="BI3" s="171" t="str">
        <f>INDEX(CarrierDriverTBL!$AI:$AI,MATCH(Table1[DriverID],CarrierDriverTBL!$A:$A,0))</f>
        <v>BA2601347</v>
      </c>
      <c r="BJ3" s="172">
        <f>INDEX(CarrierDriverTBL!$AJ:$AJ,MATCH(Table1[[#This Row],[DriverID]],CarrierDriverTBL!$A:$A,0))</f>
        <v>42378</v>
      </c>
      <c r="BK3" s="10">
        <f t="shared" si="2"/>
        <v>201</v>
      </c>
      <c r="BL3" s="174">
        <v>650</v>
      </c>
      <c r="BM3" s="144">
        <v>334</v>
      </c>
      <c r="BN3" s="159">
        <f t="shared" si="3"/>
        <v>1.9461077844311376</v>
      </c>
      <c r="BO3" s="175">
        <v>557.5</v>
      </c>
      <c r="BP3" s="159">
        <f t="shared" si="4"/>
        <v>1.6691616766467066</v>
      </c>
      <c r="BQ3" s="66">
        <v>3.12</v>
      </c>
      <c r="BR3" s="166">
        <f t="shared" si="5"/>
        <v>0.20333333333333337</v>
      </c>
      <c r="BS3" s="167">
        <f t="shared" si="6"/>
        <v>1.4658283433133732</v>
      </c>
      <c r="BT3" s="159">
        <f t="shared" si="7"/>
        <v>67.913333333333341</v>
      </c>
      <c r="BU3" s="10" t="str">
        <f t="shared" si="8"/>
        <v>Ch Robinson</v>
      </c>
      <c r="BV3" s="15"/>
      <c r="BW3" s="4" t="str">
        <f>Table1[[#This Row],[BrokerAddress]]</f>
        <v>P.O. Box 3474</v>
      </c>
      <c r="BX3" s="4" t="str">
        <f t="shared" si="9"/>
        <v>Chicago</v>
      </c>
      <c r="BY3" s="4" t="str">
        <f t="shared" si="10"/>
        <v>Il</v>
      </c>
      <c r="BZ3" s="4">
        <f t="shared" si="11"/>
        <v>60654</v>
      </c>
      <c r="CA3" s="10" t="str">
        <f t="shared" si="12"/>
        <v>US</v>
      </c>
      <c r="CB3" s="4" t="s">
        <v>131</v>
      </c>
      <c r="CC3" s="62"/>
      <c r="CD3" s="15" t="s">
        <v>149</v>
      </c>
      <c r="CE3" s="64">
        <v>25</v>
      </c>
      <c r="CF3" s="4">
        <v>0.5</v>
      </c>
      <c r="CG3" s="132">
        <f t="shared" si="13"/>
        <v>12.5</v>
      </c>
      <c r="CH3" s="4" t="s">
        <v>132</v>
      </c>
      <c r="CI3" s="4">
        <v>0</v>
      </c>
      <c r="CJ3" s="4">
        <v>0</v>
      </c>
      <c r="CK3" s="132">
        <f t="shared" si="14"/>
        <v>0</v>
      </c>
      <c r="CL3" s="4" t="s">
        <v>132</v>
      </c>
      <c r="CM3" s="4">
        <v>0</v>
      </c>
      <c r="CN3" s="4">
        <v>0</v>
      </c>
      <c r="CO3" s="132">
        <f t="shared" si="15"/>
        <v>0</v>
      </c>
      <c r="CP3" s="4" t="s">
        <v>132</v>
      </c>
      <c r="CQ3" s="5">
        <v>0</v>
      </c>
      <c r="CR3" s="4">
        <v>0</v>
      </c>
      <c r="CS3" s="132">
        <f t="shared" si="16"/>
        <v>0</v>
      </c>
      <c r="CT3" s="159">
        <f t="shared" si="17"/>
        <v>12.5</v>
      </c>
      <c r="CU3" s="168">
        <f t="shared" si="18"/>
        <v>662.5</v>
      </c>
      <c r="CV3" s="169">
        <f>(100*CT3)/100</f>
        <v>12.5</v>
      </c>
      <c r="CW3" s="82">
        <f>BO3+CV3</f>
        <v>570</v>
      </c>
      <c r="CX3" s="79">
        <f>IF(ISBLANK(E3),"AddQuickPay",IF(E3=2,CU3*0.98,IF(E3=2.4,CU3*0.976,IF(E3=3,CU3*0.97,IF(E3=5,CU3*0.95,IF(E3=1.5,CU3*0.985,IF(E3=2.5,CU3*0.975,IF(E3=1.3,CU3*0.987,IF(E3=1,CU3*0.99,IF(E3=4,CU3*0.96,CU3*1))))))))))-Table1[[#This Row],[ComCheck+QuickPayFee]]</f>
        <v>649.25</v>
      </c>
      <c r="CY3" s="167">
        <f t="shared" si="19"/>
        <v>92.5</v>
      </c>
      <c r="CZ3" s="5">
        <f t="shared" si="20"/>
        <v>13.25</v>
      </c>
      <c r="DA3" s="258">
        <f>Table1[[#This Row],[OriginalDispatch]]-Table1[[#This Row],[QuickPayCharge]]</f>
        <v>79.25</v>
      </c>
      <c r="DB3" s="5">
        <v>0</v>
      </c>
      <c r="DC3" s="5" t="s">
        <v>133</v>
      </c>
      <c r="DD3" s="104">
        <f t="shared" si="21"/>
        <v>42181</v>
      </c>
      <c r="DE3" s="15">
        <f>MONTH(Table1[[#This Row],[Weekending]])</f>
        <v>6</v>
      </c>
      <c r="DF3" s="15">
        <f>YEAR(Table1[[#This Row],[Weekending]])</f>
        <v>2015</v>
      </c>
      <c r="DG3" s="4"/>
    </row>
    <row r="4" spans="1:111">
      <c r="A4" s="20" t="str">
        <f t="shared" si="0"/>
        <v>178825</v>
      </c>
      <c r="B4" s="104">
        <v>42177</v>
      </c>
      <c r="C4" s="15">
        <v>175669817</v>
      </c>
      <c r="D4" s="416" t="s">
        <v>111</v>
      </c>
      <c r="E4" s="416">
        <v>2</v>
      </c>
      <c r="F4" s="416" t="str">
        <f>INDEX(BrokerTBL!$B:$B,MATCH(D4,BrokerTBL!$A:$A,0))</f>
        <v>P.O. Box 3474</v>
      </c>
      <c r="G4" s="416" t="str">
        <f>INDEX(BrokerTBL!$C:$C,MATCH(D4,BrokerTBL!$A:$A,0))</f>
        <v>Chicago</v>
      </c>
      <c r="H4" s="416" t="str">
        <f>INDEX(BrokerTBL!$D:$D,MATCH(D4,BrokerTBL!$A:$A,0))</f>
        <v>Il</v>
      </c>
      <c r="I4" s="416" t="str">
        <f>INDEX(BrokerTBL!$E:$E,MATCH(D4,BrokerTBL!$A:$A,0))</f>
        <v>US</v>
      </c>
      <c r="J4" s="416">
        <f>INDEX(BrokerTBL!$F:$F,MATCH(D4,BrokerTBL!$A:$A,0))</f>
        <v>60654</v>
      </c>
      <c r="K4" s="416" t="s">
        <v>150</v>
      </c>
      <c r="L4" s="81" t="s">
        <v>151</v>
      </c>
      <c r="M4" s="104">
        <v>42177</v>
      </c>
      <c r="N4" s="15" t="s">
        <v>152</v>
      </c>
      <c r="O4" s="416" t="s">
        <v>153</v>
      </c>
      <c r="P4" s="416" t="s">
        <v>154</v>
      </c>
      <c r="Q4" s="416" t="s">
        <v>139</v>
      </c>
      <c r="R4" s="416">
        <v>93307</v>
      </c>
      <c r="S4" s="416" t="s">
        <v>118</v>
      </c>
      <c r="T4" s="416" t="s">
        <v>155</v>
      </c>
      <c r="U4" s="298" t="s">
        <v>120</v>
      </c>
      <c r="V4" s="416">
        <v>53</v>
      </c>
      <c r="W4" s="416" t="s">
        <v>156</v>
      </c>
      <c r="X4" s="15">
        <v>43000</v>
      </c>
      <c r="Y4" s="416" t="s">
        <v>123</v>
      </c>
      <c r="Z4" s="416" t="s">
        <v>123</v>
      </c>
      <c r="AA4" s="416" t="s">
        <v>123</v>
      </c>
      <c r="AB4" s="416" t="s">
        <v>123</v>
      </c>
      <c r="AC4" s="416" t="s">
        <v>157</v>
      </c>
      <c r="AD4" s="81"/>
      <c r="AE4" s="104"/>
      <c r="AF4" s="416" t="s">
        <v>158</v>
      </c>
      <c r="AG4" s="416" t="s">
        <v>159</v>
      </c>
      <c r="AH4" s="416" t="s">
        <v>160</v>
      </c>
      <c r="AI4" s="416" t="s">
        <v>139</v>
      </c>
      <c r="AJ4" s="416">
        <v>94533</v>
      </c>
      <c r="AK4" s="416" t="s">
        <v>118</v>
      </c>
      <c r="AL4" s="416" t="s">
        <v>161</v>
      </c>
      <c r="AM4" s="131" t="str">
        <f>INDEX(CarrierDriverTBL!$B:$B,MATCH(Table1[[#This Row],[DriverID]],CarrierDriverTBL!$A:$A,0))</f>
        <v>BoyalTrucking</v>
      </c>
      <c r="AN4" s="10" t="s">
        <v>162</v>
      </c>
      <c r="AO4" s="416" t="str">
        <f>INDEX(CarrierDriverTBL!$C:$C,MATCH(Table1[[#This Row],[DriverID]],CarrierDriverTBL!$A:$A,0))</f>
        <v>Satnam</v>
      </c>
      <c r="AP4" s="131" t="str">
        <f>INDEX(CarrierDriverTBL!$D:$D,MATCH(Table1[[#This Row],[DriverID]],CarrierDriverTBL!$A:$A,0))</f>
        <v>Boyal</v>
      </c>
      <c r="AQ4" s="171" t="str">
        <f>INDEX(CarrierDriverTBL!$X:$X,MATCH(Table1[[#This Row],[DriverID]],CarrierDriverTBL!$A:$A,0))</f>
        <v>B8245525</v>
      </c>
      <c r="AR4" s="172">
        <f>INDEX(CarrierDriverTBL!$Y:$Y,MATCH(Table1[[#This Row],[DriverID]],CarrierDriverTBL!$A:$A,0))</f>
        <v>42415</v>
      </c>
      <c r="AS4" s="142" t="str">
        <f t="shared" si="1"/>
        <v>GOOD</v>
      </c>
      <c r="AT4" s="20" t="str">
        <f>INDEX(CarrierDriverTBL!$E:$E,MATCH(Table1[[#This Row],[DriverID]],CarrierDriverTBL!$A:$A,0))</f>
        <v>MISSING</v>
      </c>
      <c r="AU4" s="163" t="str">
        <f ca="1">INDEX(CarrierDriverTBL!$F:$F,MATCH(Table1[[#This Row],[DriverID]],CarrierDriverTBL!$A:$A,0))</f>
        <v>MISSING</v>
      </c>
      <c r="AV4" s="131" t="str">
        <f>INDEX(CarrierDriverTBL!$K:$K,MATCH(Table1[[#This Row],[DriverID]],CarrierDriverTBL!$A:$A,0))</f>
        <v>209-589-5951</v>
      </c>
      <c r="AW4" s="131" t="str">
        <f>INDEX(CarrierDriverTBL!$M:$M,MATCH(Table1[[#This Row],[DriverID]],CarrierDriverTBL!$A:$A,0))</f>
        <v>2821 jubliee Drive</v>
      </c>
      <c r="AX4" s="131" t="str">
        <f>INDEX(CarrierDriverTBL!$N:$N,MATCH(Table1[[#This Row],[DriverID]],CarrierDriverTBL!$A:$A,0))</f>
        <v>Turlock</v>
      </c>
      <c r="AY4" s="131" t="str">
        <f>INDEX(CarrierDriverTBL!$O:$O,MATCH(Table1[[#This Row],[DriverID]],CarrierDriverTBL!$A:$A,0))</f>
        <v>CA</v>
      </c>
      <c r="AZ4" s="131">
        <f>INDEX(CarrierDriverTBL!$P:$P,MATCH(Table1[[#This Row],[DriverID]],CarrierDriverTBL!$A:$A,0))</f>
        <v>95380</v>
      </c>
      <c r="BA4" s="131" t="str">
        <f>INDEX(CarrierDriverTBL!$Q:$Q,MATCH(Table1[[#This Row],[DriverID]],CarrierDriverTBL!$A:$A,0))</f>
        <v>US</v>
      </c>
      <c r="BB4" s="176" t="str">
        <f>INDEX(CarrierDriverTBL!$R:$R,MATCH(Table1[[#This Row],[DriverID]],CarrierDriverTBL!$A:$A,0))</f>
        <v>samboyal@yahoo.com</v>
      </c>
      <c r="BC4" s="160" t="str">
        <f>INDEX(CarrierDriverTBL!$AB:$AB,MATCH(Table1[[#This Row],[DriverID]],CarrierDriverTBL!$A:$A,0))</f>
        <v>Missing</v>
      </c>
      <c r="BD4" s="142" t="str">
        <f ca="1">INDEX(CarrierDriverTBL!$AD:$AD,MATCH(LoadMaster!$AN:$AN,CarrierDriverTBL!$A:$A,0))</f>
        <v>MISSING</v>
      </c>
      <c r="BE4" s="171">
        <f>INDEX(CarrierDriverTBL!$AE:$AE,MATCH(Table1[DriverID],CarrierDriverTBL!$A:$A,0))</f>
        <v>748016</v>
      </c>
      <c r="BF4" s="131">
        <f>INDEX(CarrierDriverTBL!$AF:$AF,MATCH(Table1[DriverID],CarrierDriverTBL!$A:$A,0))</f>
        <v>1978408</v>
      </c>
      <c r="BG4" s="131" t="str">
        <f>INDEX(CarrierDriverTBL!$AG:$AG,MATCH(Table1[DriverID],CarrierDriverTBL!$A:$A,0))</f>
        <v>Missing</v>
      </c>
      <c r="BH4" s="131" t="str">
        <f>INDEX(CarrierDriverTBL!$AH:$AH,MATCH(Table1[DriverID],CarrierDriverTBL!$A:$A,0))</f>
        <v>Sentry Insurance</v>
      </c>
      <c r="BI4" s="131" t="str">
        <f>INDEX(CarrierDriverTBL!$AI:$AI,MATCH(Table1[DriverID],CarrierDriverTBL!$A:$A,0))</f>
        <v>A0036221001</v>
      </c>
      <c r="BJ4" s="20">
        <f>INDEX(CarrierDriverTBL!$AJ:$AJ,MATCH(Table1[[#This Row],[DriverID]],CarrierDriverTBL!$A:$A,0))</f>
        <v>42479</v>
      </c>
      <c r="BK4" s="10">
        <f t="shared" si="2"/>
        <v>302</v>
      </c>
      <c r="BL4" s="64">
        <v>725</v>
      </c>
      <c r="BM4" s="15">
        <v>300</v>
      </c>
      <c r="BN4" s="159">
        <f t="shared" si="3"/>
        <v>2.4166666666666665</v>
      </c>
      <c r="BO4" s="134">
        <v>675</v>
      </c>
      <c r="BP4" s="159">
        <f t="shared" si="4"/>
        <v>2.25</v>
      </c>
      <c r="BQ4" s="133">
        <v>3.12</v>
      </c>
      <c r="BR4" s="166">
        <f t="shared" si="5"/>
        <v>0.20333333333333337</v>
      </c>
      <c r="BS4" s="167">
        <f t="shared" si="6"/>
        <v>2.0466666666666669</v>
      </c>
      <c r="BT4" s="159">
        <f t="shared" si="7"/>
        <v>61.000000000000007</v>
      </c>
      <c r="BU4" s="10" t="str">
        <f t="shared" si="8"/>
        <v>Ch Robinson</v>
      </c>
      <c r="BV4" s="15"/>
      <c r="BW4" s="4" t="str">
        <f>Table1[[#This Row],[BrokerAddress]]</f>
        <v>P.O. Box 3474</v>
      </c>
      <c r="BX4" s="4" t="str">
        <f t="shared" si="9"/>
        <v>Chicago</v>
      </c>
      <c r="BY4" s="4" t="str">
        <f t="shared" si="10"/>
        <v>Il</v>
      </c>
      <c r="BZ4" s="4">
        <f t="shared" si="11"/>
        <v>60654</v>
      </c>
      <c r="CA4" s="10" t="str">
        <f t="shared" si="12"/>
        <v>US</v>
      </c>
      <c r="CB4" s="4" t="s">
        <v>131</v>
      </c>
      <c r="CC4" s="62"/>
      <c r="CD4" s="4" t="s">
        <v>149</v>
      </c>
      <c r="CE4" s="132">
        <v>25</v>
      </c>
      <c r="CF4" s="4">
        <v>1</v>
      </c>
      <c r="CG4" s="132">
        <f t="shared" si="13"/>
        <v>25</v>
      </c>
      <c r="CH4" s="4" t="s">
        <v>132</v>
      </c>
      <c r="CI4" s="5">
        <v>0</v>
      </c>
      <c r="CJ4" s="4">
        <v>0</v>
      </c>
      <c r="CK4" s="132">
        <f t="shared" si="14"/>
        <v>0</v>
      </c>
      <c r="CL4" s="4" t="s">
        <v>132</v>
      </c>
      <c r="CM4" s="4">
        <v>0</v>
      </c>
      <c r="CN4" s="4">
        <v>0</v>
      </c>
      <c r="CO4" s="132">
        <f t="shared" si="15"/>
        <v>0</v>
      </c>
      <c r="CP4" s="4" t="s">
        <v>132</v>
      </c>
      <c r="CQ4" s="5">
        <v>0</v>
      </c>
      <c r="CR4" s="4">
        <v>0</v>
      </c>
      <c r="CS4" s="132">
        <f t="shared" si="16"/>
        <v>0</v>
      </c>
      <c r="CT4" s="132">
        <f t="shared" si="17"/>
        <v>25</v>
      </c>
      <c r="CU4" s="168">
        <f t="shared" si="18"/>
        <v>750</v>
      </c>
      <c r="CV4" s="177">
        <f>(100*CT4)/100</f>
        <v>25</v>
      </c>
      <c r="CW4" s="82">
        <f>BO4+CV4</f>
        <v>700</v>
      </c>
      <c r="CX4" s="79">
        <f>IF(ISBLANK(E4),"AddQuickPay",IF(E4=2,CU4*0.98,IF(E4=2.4,CU4*0.976,IF(E4=3,CU4*0.97,IF(E4=5,CU4*0.95,IF(E4=1.5,CU4*0.985,IF(E4=2.5,CU4*0.975,IF(E4=1.3,CU4*0.987,IF(E4=1,CU4*0.99,IF(E4=4,CU4*0.96,CU4*1))))))))))-Table1[[#This Row],[ComCheck+QuickPayFee]]</f>
        <v>735</v>
      </c>
      <c r="CY4" s="5">
        <f t="shared" si="19"/>
        <v>50</v>
      </c>
      <c r="CZ4" s="5">
        <f t="shared" si="20"/>
        <v>15</v>
      </c>
      <c r="DA4" s="258">
        <f>Table1[[#This Row],[OriginalDispatch]]-Table1[[#This Row],[QuickPayCharge]]</f>
        <v>35</v>
      </c>
      <c r="DB4" s="5">
        <v>0</v>
      </c>
      <c r="DC4" s="5" t="s">
        <v>133</v>
      </c>
      <c r="DD4" s="104">
        <f t="shared" si="21"/>
        <v>42181</v>
      </c>
      <c r="DE4" s="15">
        <f>MONTH(Table1[[#This Row],[Weekending]])</f>
        <v>6</v>
      </c>
      <c r="DF4" s="15">
        <f>YEAR(Table1[[#This Row],[Weekending]])</f>
        <v>2015</v>
      </c>
      <c r="DG4" s="4" t="s">
        <v>163</v>
      </c>
    </row>
    <row r="5" spans="1:111">
      <c r="A5" s="20" t="str">
        <f t="shared" si="0"/>
        <v>-0494915</v>
      </c>
      <c r="B5" s="160">
        <v>42178</v>
      </c>
      <c r="C5" s="15" t="s">
        <v>164</v>
      </c>
      <c r="D5" s="298" t="s">
        <v>165</v>
      </c>
      <c r="E5" s="144">
        <v>2.4</v>
      </c>
      <c r="F5" s="298" t="str">
        <f>INDEX(BrokerTBL!$B:$B,MATCH(D5,BrokerTBL!$A:$A,0))</f>
        <v>2090 Commerce Drive</v>
      </c>
      <c r="G5" s="298" t="str">
        <f>INDEX(BrokerTBL!$C:$C,MATCH(D5,BrokerTBL!$A:$A,0))</f>
        <v>Medford</v>
      </c>
      <c r="H5" s="298" t="str">
        <f>INDEX(BrokerTBL!$D:$D,MATCH(D5,BrokerTBL!$A:$A,0))</f>
        <v>Or</v>
      </c>
      <c r="I5" s="298" t="str">
        <f>INDEX(BrokerTBL!$E:$E,MATCH(D5,BrokerTBL!$A:$A,0))</f>
        <v>US</v>
      </c>
      <c r="J5" s="298">
        <f>INDEX(BrokerTBL!$F:$F,MATCH(D5,BrokerTBL!$A:$A,0))</f>
        <v>97504</v>
      </c>
      <c r="K5" s="298" t="s">
        <v>166</v>
      </c>
      <c r="L5" s="145">
        <v>358449</v>
      </c>
      <c r="M5" s="146">
        <v>42178</v>
      </c>
      <c r="N5" s="144" t="s">
        <v>167</v>
      </c>
      <c r="O5" s="298" t="s">
        <v>168</v>
      </c>
      <c r="P5" s="298" t="s">
        <v>169</v>
      </c>
      <c r="Q5" s="298" t="s">
        <v>139</v>
      </c>
      <c r="R5" s="298">
        <v>96094</v>
      </c>
      <c r="S5" s="298" t="s">
        <v>118</v>
      </c>
      <c r="T5" s="298" t="s">
        <v>170</v>
      </c>
      <c r="U5" s="298" t="s">
        <v>120</v>
      </c>
      <c r="V5" s="416">
        <v>53</v>
      </c>
      <c r="W5" s="298" t="s">
        <v>171</v>
      </c>
      <c r="X5" s="144">
        <v>43290</v>
      </c>
      <c r="Y5" s="298" t="s">
        <v>123</v>
      </c>
      <c r="Z5" s="298" t="s">
        <v>123</v>
      </c>
      <c r="AA5" s="298" t="s">
        <v>123</v>
      </c>
      <c r="AB5" s="298" t="s">
        <v>123</v>
      </c>
      <c r="AC5" s="298" t="s">
        <v>172</v>
      </c>
      <c r="AD5" s="145">
        <v>358449</v>
      </c>
      <c r="AE5" s="146">
        <v>42179</v>
      </c>
      <c r="AF5" s="298" t="s">
        <v>173</v>
      </c>
      <c r="AG5" s="298" t="s">
        <v>174</v>
      </c>
      <c r="AH5" s="298" t="s">
        <v>175</v>
      </c>
      <c r="AI5" s="298" t="s">
        <v>176</v>
      </c>
      <c r="AJ5" s="298">
        <v>98401</v>
      </c>
      <c r="AK5" s="298" t="s">
        <v>118</v>
      </c>
      <c r="AL5" s="298" t="s">
        <v>177</v>
      </c>
      <c r="AM5" s="171" t="str">
        <f>INDEX(CarrierDriverTBL!$B:$B,MATCH(Table1[[#This Row],[DriverID]],CarrierDriverTBL!$A:$A,0))</f>
        <v>AVT Trans</v>
      </c>
      <c r="AN5" s="10" t="s">
        <v>148</v>
      </c>
      <c r="AO5" s="171" t="str">
        <f>INDEX(CarrierDriverTBL!$C:$C,MATCH(Table1[[#This Row],[DriverID]],CarrierDriverTBL!$A:$A,0))</f>
        <v>Karamjeet</v>
      </c>
      <c r="AP5" s="171" t="str">
        <f>INDEX(CarrierDriverTBL!$D:$D,MATCH(Table1[[#This Row],[DriverID]],CarrierDriverTBL!$A:$A,0))</f>
        <v>Singh</v>
      </c>
      <c r="AQ5" s="171" t="str">
        <f>INDEX(CarrierDriverTBL!$X:$X,MATCH(Table1[[#This Row],[DriverID]],CarrierDriverTBL!$A:$A,0))</f>
        <v>D8900715</v>
      </c>
      <c r="AR5" s="172">
        <f>INDEX(CarrierDriverTBL!$Y:$Y,MATCH(Table1[[#This Row],[DriverID]],CarrierDriverTBL!$A:$A,0))</f>
        <v>42232</v>
      </c>
      <c r="AS5" s="142" t="str">
        <f t="shared" si="1"/>
        <v>GOOD</v>
      </c>
      <c r="AT5" s="172">
        <f>INDEX(CarrierDriverTBL!$E:$E,MATCH(Table1[[#This Row],[DriverID]],CarrierDriverTBL!$A:$A,0))</f>
        <v>26070</v>
      </c>
      <c r="AU5" s="163">
        <f ca="1">INDEX(CarrierDriverTBL!$F:$F,MATCH(Table1[[#This Row],[DriverID]],CarrierDriverTBL!$A:$A,0))</f>
        <v>45.221917808219175</v>
      </c>
      <c r="AV5" s="171" t="str">
        <f>INDEX(CarrierDriverTBL!$K:$K,MATCH(Table1[[#This Row],[DriverID]],CarrierDriverTBL!$A:$A,0))</f>
        <v>530-301-7234</v>
      </c>
      <c r="AW5" s="171" t="str">
        <f>INDEX(CarrierDriverTBL!$M:$M,MATCH(Table1[[#This Row],[DriverID]],CarrierDriverTBL!$A:$A,0))</f>
        <v>10738 Irene Way</v>
      </c>
      <c r="AX5" s="171" t="str">
        <f>INDEX(CarrierDriverTBL!$N:$N,MATCH(Table1[[#This Row],[DriverID]],CarrierDriverTBL!$A:$A,0))</f>
        <v>Live Oak</v>
      </c>
      <c r="AY5" s="171" t="str">
        <f>INDEX(CarrierDriverTBL!$O:$O,MATCH(Table1[[#This Row],[DriverID]],CarrierDriverTBL!$A:$A,0))</f>
        <v xml:space="preserve">CA </v>
      </c>
      <c r="AZ5" s="171">
        <f>INDEX(CarrierDriverTBL!$P:$P,MATCH(Table1[[#This Row],[DriverID]],CarrierDriverTBL!$A:$A,0))</f>
        <v>95953</v>
      </c>
      <c r="BA5" s="171" t="str">
        <f>INDEX(CarrierDriverTBL!$Q:$Q,MATCH(Table1[[#This Row],[DriverID]],CarrierDriverTBL!$A:$A,0))</f>
        <v>US</v>
      </c>
      <c r="BB5" s="173" t="str">
        <f>INDEX(CarrierDriverTBL!$R:$R,MATCH(Table1[[#This Row],[DriverID]],CarrierDriverTBL!$A:$A,0))</f>
        <v>karamjeet3378@hotmail.com</v>
      </c>
      <c r="BC5" s="160" t="str">
        <f>INDEX(CarrierDriverTBL!$AB:$AB,MATCH(Table1[[#This Row],[DriverID]],CarrierDriverTBL!$A:$A,0))</f>
        <v>Missing</v>
      </c>
      <c r="BD5" s="142" t="str">
        <f ca="1">INDEX(CarrierDriverTBL!$AD:$AD,MATCH(LoadMaster!$AN:$AN,CarrierDriverTBL!$A:$A,0))</f>
        <v>MISSING</v>
      </c>
      <c r="BE5" s="171">
        <f>INDEX(CarrierDriverTBL!$AE:$AE,MATCH(Table1[DriverID],CarrierDriverTBL!$A:$A,0))</f>
        <v>898021</v>
      </c>
      <c r="BF5" s="171">
        <f>INDEX(CarrierDriverTBL!$AF:$AF,MATCH(Table1[DriverID],CarrierDriverTBL!$A:$A,0))</f>
        <v>2570177</v>
      </c>
      <c r="BG5" s="10" t="str">
        <f>INDEX(CarrierDriverTBL!$AG:$AG,MATCH(Table1[DriverID],CarrierDriverTBL!$A:$A,0))</f>
        <v>Missing</v>
      </c>
      <c r="BH5" s="171" t="str">
        <f>INDEX(CarrierDriverTBL!$AH:$AH,MATCH(Table1[DriverID],CarrierDriverTBL!$A:$A,0))</f>
        <v>Wilshire insurance company</v>
      </c>
      <c r="BI5" s="171" t="str">
        <f>INDEX(CarrierDriverTBL!$AI:$AI,MATCH(Table1[DriverID],CarrierDriverTBL!$A:$A,0))</f>
        <v>BA2601347</v>
      </c>
      <c r="BJ5" s="172">
        <f>INDEX(CarrierDriverTBL!$AJ:$AJ,MATCH(Table1[[#This Row],[DriverID]],CarrierDriverTBL!$A:$A,0))</f>
        <v>42378</v>
      </c>
      <c r="BK5" s="10">
        <f t="shared" si="2"/>
        <v>200</v>
      </c>
      <c r="BL5" s="174">
        <v>1200</v>
      </c>
      <c r="BM5" s="144">
        <v>496</v>
      </c>
      <c r="BN5" s="159">
        <f t="shared" si="3"/>
        <v>2.4193548387096775</v>
      </c>
      <c r="BO5" s="167">
        <f>BL5*0.93</f>
        <v>1116</v>
      </c>
      <c r="BP5" s="159">
        <f t="shared" si="4"/>
        <v>2.25</v>
      </c>
      <c r="BQ5" s="66">
        <v>3.12</v>
      </c>
      <c r="BR5" s="166">
        <f t="shared" si="5"/>
        <v>0.20333333333333337</v>
      </c>
      <c r="BS5" s="167">
        <f t="shared" si="6"/>
        <v>2.0466666666666669</v>
      </c>
      <c r="BT5" s="159">
        <f t="shared" si="7"/>
        <v>100.85333333333335</v>
      </c>
      <c r="BU5" s="10" t="str">
        <f t="shared" si="8"/>
        <v>Icci</v>
      </c>
      <c r="BV5" s="15" t="s">
        <v>178</v>
      </c>
      <c r="BW5" s="4" t="str">
        <f>Table1[[#This Row],[BrokerAddress]]</f>
        <v>2090 Commerce Drive</v>
      </c>
      <c r="BX5" s="4" t="str">
        <f t="shared" si="9"/>
        <v>Medford</v>
      </c>
      <c r="BY5" s="4" t="str">
        <f t="shared" si="10"/>
        <v>Or</v>
      </c>
      <c r="BZ5" s="4">
        <f t="shared" si="11"/>
        <v>97504</v>
      </c>
      <c r="CA5" s="10" t="str">
        <f t="shared" si="12"/>
        <v>US</v>
      </c>
      <c r="CB5" s="4" t="s">
        <v>131</v>
      </c>
      <c r="CC5" s="62"/>
      <c r="CD5" s="15" t="s">
        <v>149</v>
      </c>
      <c r="CE5" s="64">
        <v>25</v>
      </c>
      <c r="CF5" s="4">
        <v>2</v>
      </c>
      <c r="CG5" s="132">
        <f t="shared" si="13"/>
        <v>50</v>
      </c>
      <c r="CH5" s="4" t="s">
        <v>132</v>
      </c>
      <c r="CI5" s="4">
        <v>0</v>
      </c>
      <c r="CJ5" s="4">
        <v>0</v>
      </c>
      <c r="CK5" s="132">
        <f t="shared" si="14"/>
        <v>0</v>
      </c>
      <c r="CL5" s="4" t="s">
        <v>132</v>
      </c>
      <c r="CM5" s="4">
        <v>0</v>
      </c>
      <c r="CN5" s="4">
        <v>0</v>
      </c>
      <c r="CO5" s="132">
        <f t="shared" si="15"/>
        <v>0</v>
      </c>
      <c r="CP5" s="4" t="s">
        <v>132</v>
      </c>
      <c r="CQ5" s="5">
        <v>0</v>
      </c>
      <c r="CR5" s="4">
        <v>0</v>
      </c>
      <c r="CS5" s="132">
        <f t="shared" si="16"/>
        <v>0</v>
      </c>
      <c r="CT5" s="159">
        <f t="shared" si="17"/>
        <v>50</v>
      </c>
      <c r="CU5" s="168">
        <f t="shared" si="18"/>
        <v>1250</v>
      </c>
      <c r="CV5" s="169">
        <f>(100*CT5)/100</f>
        <v>50</v>
      </c>
      <c r="CW5" s="82">
        <f>BO5+CV5</f>
        <v>1166</v>
      </c>
      <c r="CX5" s="79">
        <f>IF(ISBLANK(E5),"AddQuickPay",IF(E5=2,CU5*0.98,IF(E5=2.4,CU5*0.976,IF(E5=3,CU5*0.97,IF(E5=5,CU5*0.95,IF(E5=1.5,CU5*0.985,IF(E5=2.5,CU5*0.975,IF(E5=1.3,CU5*0.987,IF(E5=1,CU5*0.99,IF(E5=4,CU5*0.96,CU5*1))))))))))-Table1[[#This Row],[ComCheck+QuickPayFee]]</f>
        <v>1220</v>
      </c>
      <c r="CY5" s="167">
        <f t="shared" si="19"/>
        <v>84</v>
      </c>
      <c r="CZ5" s="5">
        <f t="shared" si="20"/>
        <v>30</v>
      </c>
      <c r="DA5" s="258">
        <f>Table1[[#This Row],[OriginalDispatch]]-Table1[[#This Row],[QuickPayCharge]]</f>
        <v>54</v>
      </c>
      <c r="DB5" s="5">
        <v>0</v>
      </c>
      <c r="DC5" s="5" t="s">
        <v>133</v>
      </c>
      <c r="DD5" s="104">
        <f t="shared" si="21"/>
        <v>42181</v>
      </c>
      <c r="DE5" s="15">
        <f>MONTH(Table1[[#This Row],[Weekending]])</f>
        <v>6</v>
      </c>
      <c r="DF5" s="15">
        <f>YEAR(Table1[[#This Row],[Weekending]])</f>
        <v>2015</v>
      </c>
      <c r="DG5" s="4" t="s">
        <v>179</v>
      </c>
    </row>
    <row r="6" spans="1:111">
      <c r="A6" s="20" t="str">
        <f t="shared" si="0"/>
        <v>35678349</v>
      </c>
      <c r="B6" s="146">
        <v>42179</v>
      </c>
      <c r="C6" s="15">
        <v>175907635</v>
      </c>
      <c r="D6" s="298" t="s">
        <v>111</v>
      </c>
      <c r="E6" s="298">
        <v>2</v>
      </c>
      <c r="F6" s="298" t="str">
        <f>INDEX(BrokerTBL!$B:$B,MATCH(D6,BrokerTBL!$A:$A,0))</f>
        <v>P.O. Box 3474</v>
      </c>
      <c r="G6" s="170" t="str">
        <f>INDEX(BrokerTBL!$C:$C,MATCH(D6,BrokerTBL!$A:$A,0))</f>
        <v>Chicago</v>
      </c>
      <c r="H6" s="298" t="str">
        <f>INDEX(BrokerTBL!$D:$D,MATCH(D6,BrokerTBL!$A:$A,0))</f>
        <v>Il</v>
      </c>
      <c r="I6" s="298" t="str">
        <f>INDEX(BrokerTBL!$E:$E,MATCH(D6,BrokerTBL!$A:$A,0))</f>
        <v>US</v>
      </c>
      <c r="J6" s="298">
        <f>INDEX(BrokerTBL!$F:$F,MATCH(D6,BrokerTBL!$A:$A,0))</f>
        <v>60654</v>
      </c>
      <c r="K6" s="170" t="s">
        <v>180</v>
      </c>
      <c r="L6" s="145" t="s">
        <v>181</v>
      </c>
      <c r="M6" s="146">
        <v>42179</v>
      </c>
      <c r="N6" s="144" t="s">
        <v>182</v>
      </c>
      <c r="O6" s="298" t="s">
        <v>183</v>
      </c>
      <c r="P6" s="298" t="s">
        <v>184</v>
      </c>
      <c r="Q6" s="298" t="s">
        <v>139</v>
      </c>
      <c r="R6" s="298">
        <v>95206</v>
      </c>
      <c r="S6" s="298" t="s">
        <v>118</v>
      </c>
      <c r="T6" s="298" t="s">
        <v>136</v>
      </c>
      <c r="U6" s="298" t="s">
        <v>120</v>
      </c>
      <c r="V6" s="298">
        <v>53</v>
      </c>
      <c r="W6" s="298" t="s">
        <v>185</v>
      </c>
      <c r="X6" s="144">
        <v>45285</v>
      </c>
      <c r="Y6" s="298" t="s">
        <v>186</v>
      </c>
      <c r="Z6" s="298">
        <v>1596</v>
      </c>
      <c r="AA6" s="298" t="s">
        <v>123</v>
      </c>
      <c r="AB6" s="298" t="s">
        <v>123</v>
      </c>
      <c r="AC6" s="298" t="s">
        <v>187</v>
      </c>
      <c r="AD6" s="145" t="s">
        <v>188</v>
      </c>
      <c r="AE6" s="146">
        <v>42179</v>
      </c>
      <c r="AF6" s="298" t="s">
        <v>189</v>
      </c>
      <c r="AG6" s="298" t="s">
        <v>190</v>
      </c>
      <c r="AH6" s="298" t="s">
        <v>191</v>
      </c>
      <c r="AI6" s="298" t="s">
        <v>139</v>
      </c>
      <c r="AJ6" s="298">
        <v>94709</v>
      </c>
      <c r="AK6" s="298" t="s">
        <v>118</v>
      </c>
      <c r="AL6" s="298" t="s">
        <v>123</v>
      </c>
      <c r="AM6" s="142" t="str">
        <f>INDEX(CarrierDriverTBL!$B:$B,MATCH(Table1[[#This Row],[DriverID]],CarrierDriverTBL!$A:$A,0))</f>
        <v>UBTrucking</v>
      </c>
      <c r="AN6" s="10" t="s">
        <v>192</v>
      </c>
      <c r="AO6" s="142" t="str">
        <f>INDEX(CarrierDriverTBL!$C:$C,MATCH(Table1[[#This Row],[DriverID]],CarrierDriverTBL!$A:$A,0))</f>
        <v>Albel</v>
      </c>
      <c r="AP6" s="142" t="str">
        <f>INDEX(CarrierDriverTBL!$D:$D,MATCH(Table1[[#This Row],[DriverID]],CarrierDriverTBL!$A:$A,0))</f>
        <v>Chahil</v>
      </c>
      <c r="AQ6" s="142" t="str">
        <f>INDEX(CarrierDriverTBL!$X:$X,MATCH(Table1[[#This Row],[DriverID]],CarrierDriverTBL!$A:$A,0))</f>
        <v>A8390649</v>
      </c>
      <c r="AR6" s="160">
        <f>INDEX(CarrierDriverTBL!$Y:$Y,MATCH(Table1[[#This Row],[DriverID]],CarrierDriverTBL!$A:$A,0))</f>
        <v>42402</v>
      </c>
      <c r="AS6" s="142" t="str">
        <f t="shared" si="1"/>
        <v>GOOD</v>
      </c>
      <c r="AT6" s="160">
        <f>INDEX(CarrierDriverTBL!$E:$E,MATCH(Table1[[#This Row],[DriverID]],CarrierDriverTBL!$A:$A,0))</f>
        <v>22314</v>
      </c>
      <c r="AU6" s="163">
        <f ca="1">INDEX(CarrierDriverTBL!$F:$F,MATCH(Table1[[#This Row],[DriverID]],CarrierDriverTBL!$A:$A,0))</f>
        <v>55.512328767123286</v>
      </c>
      <c r="AV6" s="142" t="str">
        <f>INDEX(CarrierDriverTBL!$K:$K,MATCH(Table1[[#This Row],[DriverID]],CarrierDriverTBL!$A:$A,0))</f>
        <v>510-773-9450</v>
      </c>
      <c r="AW6" s="142" t="str">
        <f>INDEX(CarrierDriverTBL!$M:$M,MATCH(Table1[[#This Row],[DriverID]],CarrierDriverTBL!$A:$A,0))</f>
        <v>3124 Cynthia CT</v>
      </c>
      <c r="AX6" s="142" t="str">
        <f>INDEX(CarrierDriverTBL!$N:$N,MATCH(Table1[[#This Row],[DriverID]],CarrierDriverTBL!$A:$A,0))</f>
        <v>Tracy</v>
      </c>
      <c r="AY6" s="142" t="str">
        <f>INDEX(CarrierDriverTBL!$O:$O,MATCH(Table1[[#This Row],[DriverID]],CarrierDriverTBL!$A:$A,0))</f>
        <v>CA</v>
      </c>
      <c r="AZ6" s="142">
        <f>INDEX(CarrierDriverTBL!$P:$P,MATCH(Table1[[#This Row],[DriverID]],CarrierDriverTBL!$A:$A,0))</f>
        <v>95377</v>
      </c>
      <c r="BA6" s="142" t="str">
        <f>INDEX(CarrierDriverTBL!$Q:$Q,MATCH(Table1[[#This Row],[DriverID]],CarrierDriverTBL!$A:$A,0))</f>
        <v>US</v>
      </c>
      <c r="BB6" s="176" t="str">
        <f>INDEX(CarrierDriverTBL!$R:$R,MATCH(Table1[[#This Row],[DriverID]],CarrierDriverTBL!$A:$A,0))</f>
        <v>ubgollc@gmail.com</v>
      </c>
      <c r="BC6" s="160">
        <f>INDEX(CarrierDriverTBL!$AB:$AB,MATCH(Table1[[#This Row],[DriverID]],CarrierDriverTBL!$A:$A,0))</f>
        <v>42167</v>
      </c>
      <c r="BD6" s="142" t="str">
        <f ca="1">INDEX(CarrierDriverTBL!$AD:$AD,MATCH(LoadMaster!$AN:$AN,CarrierDriverTBL!$A:$A,0))</f>
        <v>MISSING</v>
      </c>
      <c r="BE6" s="142">
        <f>INDEX(CarrierDriverTBL!$AE:$AE,MATCH(Table1[DriverID],CarrierDriverTBL!$A:$A,0))</f>
        <v>913971</v>
      </c>
      <c r="BF6" s="142">
        <f>INDEX(CarrierDriverTBL!$AF:$AF,MATCH(Table1[DriverID],CarrierDriverTBL!$A:$A,0))</f>
        <v>2627544</v>
      </c>
      <c r="BG6" s="142">
        <f>INDEX(CarrierDriverTBL!$AG:$AG,MATCH(Table1[DriverID],CarrierDriverTBL!$A:$A,0))</f>
        <v>466133</v>
      </c>
      <c r="BH6" s="142" t="str">
        <f>INDEX(CarrierDriverTBL!$AH:$AH,MATCH(Table1[DriverID],CarrierDriverTBL!$A:$A,0))</f>
        <v>GM Lawrence Ins</v>
      </c>
      <c r="BI6" s="142" t="str">
        <f>INDEX(CarrierDriverTBL!$AI:$AI,MATCH(Table1[DriverID],CarrierDriverTBL!$A:$A,0))</f>
        <v>DSK2842P160210</v>
      </c>
      <c r="BJ6" s="160">
        <f>INDEX(CarrierDriverTBL!$AJ:$AJ,MATCH(Table1[[#This Row],[DriverID]],CarrierDriverTBL!$A:$A,0))</f>
        <v>42778</v>
      </c>
      <c r="BK6" s="10">
        <f t="shared" si="2"/>
        <v>599</v>
      </c>
      <c r="BL6" s="174">
        <v>600</v>
      </c>
      <c r="BM6" s="144">
        <v>84</v>
      </c>
      <c r="BN6" s="159">
        <f t="shared" si="3"/>
        <v>7.1428571428571432</v>
      </c>
      <c r="BO6" s="167">
        <v>550</v>
      </c>
      <c r="BP6" s="159">
        <f t="shared" si="4"/>
        <v>6.5476190476190474</v>
      </c>
      <c r="BQ6" s="66">
        <v>3.12</v>
      </c>
      <c r="BR6" s="166">
        <f t="shared" si="5"/>
        <v>0.20333333333333337</v>
      </c>
      <c r="BS6" s="167">
        <f t="shared" si="6"/>
        <v>6.3442857142857143</v>
      </c>
      <c r="BT6" s="159">
        <f t="shared" si="7"/>
        <v>17.080000000000002</v>
      </c>
      <c r="BU6" s="10" t="str">
        <f t="shared" si="8"/>
        <v>Ch Robinson</v>
      </c>
      <c r="BV6" s="15"/>
      <c r="BW6" s="4" t="str">
        <f>Table1[[#This Row],[BrokerAddress]]</f>
        <v>P.O. Box 3474</v>
      </c>
      <c r="BX6" s="4" t="str">
        <f t="shared" si="9"/>
        <v>Chicago</v>
      </c>
      <c r="BY6" s="4" t="str">
        <f t="shared" si="10"/>
        <v>Il</v>
      </c>
      <c r="BZ6" s="4">
        <f t="shared" si="11"/>
        <v>60654</v>
      </c>
      <c r="CA6" s="10" t="str">
        <f t="shared" si="12"/>
        <v>US</v>
      </c>
      <c r="CB6" s="4" t="s">
        <v>131</v>
      </c>
      <c r="CC6" s="62"/>
      <c r="CD6" s="15" t="s">
        <v>193</v>
      </c>
      <c r="CE6" s="64">
        <v>50</v>
      </c>
      <c r="CF6" s="4">
        <v>1</v>
      </c>
      <c r="CG6" s="132">
        <f t="shared" si="13"/>
        <v>50</v>
      </c>
      <c r="CH6" s="4" t="s">
        <v>194</v>
      </c>
      <c r="CI6" s="5">
        <v>25</v>
      </c>
      <c r="CJ6" s="4">
        <v>1</v>
      </c>
      <c r="CK6" s="132">
        <f t="shared" si="14"/>
        <v>25</v>
      </c>
      <c r="CL6" s="4" t="s">
        <v>194</v>
      </c>
      <c r="CM6" s="5">
        <v>25</v>
      </c>
      <c r="CN6" s="4">
        <v>1</v>
      </c>
      <c r="CO6" s="132">
        <f t="shared" si="15"/>
        <v>25</v>
      </c>
      <c r="CP6" s="4" t="s">
        <v>132</v>
      </c>
      <c r="CQ6" s="5">
        <v>0</v>
      </c>
      <c r="CR6" s="4">
        <v>0</v>
      </c>
      <c r="CS6" s="132">
        <f t="shared" si="16"/>
        <v>0</v>
      </c>
      <c r="CT6" s="159">
        <f t="shared" si="17"/>
        <v>100</v>
      </c>
      <c r="CU6" s="168">
        <f t="shared" si="18"/>
        <v>700</v>
      </c>
      <c r="CV6" s="169">
        <f>(100*CT6)/100</f>
        <v>100</v>
      </c>
      <c r="CW6" s="82">
        <f>BO6+CV6</f>
        <v>650</v>
      </c>
      <c r="CX6" s="79">
        <f>IF(ISBLANK(E6),"AddQuickPay",IF(E6=2,CU6*0.98,IF(E6=2.4,CU6*0.976,IF(E6=3,CU6*0.97,IF(E6=5,CU6*0.95,IF(E6=1.5,CU6*0.985,IF(E6=2.5,CU6*0.975,IF(E6=1.3,CU6*0.987,IF(E6=1,CU6*0.99,IF(E6=4,CU6*0.96,CU6*1))))))))))-Table1[[#This Row],[ComCheck+QuickPayFee]]</f>
        <v>686</v>
      </c>
      <c r="CY6" s="167">
        <f t="shared" si="19"/>
        <v>50</v>
      </c>
      <c r="CZ6" s="5">
        <f t="shared" si="20"/>
        <v>14</v>
      </c>
      <c r="DA6" s="258">
        <f>Table1[[#This Row],[OriginalDispatch]]-Table1[[#This Row],[QuickPayCharge]]</f>
        <v>36</v>
      </c>
      <c r="DB6" s="5">
        <v>0</v>
      </c>
      <c r="DC6" s="5" t="s">
        <v>133</v>
      </c>
      <c r="DD6" s="104">
        <f t="shared" si="21"/>
        <v>42181</v>
      </c>
      <c r="DE6" s="15">
        <f>MONTH(Table1[[#This Row],[Weekending]])</f>
        <v>6</v>
      </c>
      <c r="DF6" s="15">
        <f>YEAR(Table1[[#This Row],[Weekending]])</f>
        <v>2015</v>
      </c>
      <c r="DG6" s="4" t="s">
        <v>195</v>
      </c>
    </row>
    <row r="7" spans="1:111">
      <c r="A7" s="20" t="str">
        <f t="shared" si="0"/>
        <v>14565315</v>
      </c>
      <c r="B7" s="146">
        <v>42179</v>
      </c>
      <c r="C7" s="15">
        <v>10904214</v>
      </c>
      <c r="D7" s="298" t="s">
        <v>196</v>
      </c>
      <c r="E7" s="298">
        <v>2</v>
      </c>
      <c r="F7" s="298" t="str">
        <f>INDEX(BrokerTBL!$B:$B,MATCH(D7,BrokerTBL!$A:$A,0))</f>
        <v>Po Box 1147</v>
      </c>
      <c r="G7" s="298" t="str">
        <f>INDEX(BrokerTBL!$C:$C,MATCH(D7,BrokerTBL!$A:$A,0))</f>
        <v>Medford</v>
      </c>
      <c r="H7" s="298" t="str">
        <f>INDEX(BrokerTBL!$D:$D,MATCH(D7,BrokerTBL!$A:$A,0))</f>
        <v>Or</v>
      </c>
      <c r="I7" s="298" t="str">
        <f>INDEX(BrokerTBL!$E:$E,MATCH(D7,BrokerTBL!$A:$A,0))</f>
        <v>US</v>
      </c>
      <c r="J7" s="298">
        <f>INDEX(BrokerTBL!$F:$F,MATCH(D7,BrokerTBL!$A:$A,0))</f>
        <v>97501</v>
      </c>
      <c r="K7" s="170" t="s">
        <v>197</v>
      </c>
      <c r="L7" s="145" t="s">
        <v>198</v>
      </c>
      <c r="M7" s="146">
        <v>42179</v>
      </c>
      <c r="N7" s="178" t="s">
        <v>199</v>
      </c>
      <c r="O7" s="298" t="s">
        <v>200</v>
      </c>
      <c r="P7" s="298" t="s">
        <v>201</v>
      </c>
      <c r="Q7" s="298" t="s">
        <v>202</v>
      </c>
      <c r="R7" s="298">
        <v>97124</v>
      </c>
      <c r="S7" s="298" t="s">
        <v>118</v>
      </c>
      <c r="T7" s="298" t="s">
        <v>203</v>
      </c>
      <c r="U7" s="298" t="s">
        <v>120</v>
      </c>
      <c r="V7" s="298">
        <v>53</v>
      </c>
      <c r="W7" s="298" t="s">
        <v>204</v>
      </c>
      <c r="X7" s="144">
        <v>21240</v>
      </c>
      <c r="Y7" s="298" t="s">
        <v>123</v>
      </c>
      <c r="Z7" s="298" t="s">
        <v>123</v>
      </c>
      <c r="AA7" s="298" t="s">
        <v>123</v>
      </c>
      <c r="AB7" s="298" t="s">
        <v>123</v>
      </c>
      <c r="AC7" s="298" t="s">
        <v>205</v>
      </c>
      <c r="AD7" s="145">
        <v>618253</v>
      </c>
      <c r="AE7" s="146">
        <v>42180</v>
      </c>
      <c r="AF7" s="298" t="s">
        <v>206</v>
      </c>
      <c r="AG7" s="298" t="s">
        <v>207</v>
      </c>
      <c r="AH7" s="298" t="s">
        <v>208</v>
      </c>
      <c r="AI7" s="298" t="s">
        <v>139</v>
      </c>
      <c r="AJ7" s="298">
        <v>95828</v>
      </c>
      <c r="AK7" s="298" t="s">
        <v>118</v>
      </c>
      <c r="AL7" s="298" t="s">
        <v>209</v>
      </c>
      <c r="AM7" s="171" t="str">
        <f>INDEX(CarrierDriverTBL!$B:$B,MATCH(Table1[[#This Row],[DriverID]],CarrierDriverTBL!$A:$A,0))</f>
        <v>AVT Trans</v>
      </c>
      <c r="AN7" s="10" t="s">
        <v>148</v>
      </c>
      <c r="AO7" s="171" t="str">
        <f>INDEX(CarrierDriverTBL!$C:$C,MATCH(Table1[[#This Row],[DriverID]],CarrierDriverTBL!$A:$A,0))</f>
        <v>Karamjeet</v>
      </c>
      <c r="AP7" s="171" t="str">
        <f>INDEX(CarrierDriverTBL!$D:$D,MATCH(Table1[[#This Row],[DriverID]],CarrierDriverTBL!$A:$A,0))</f>
        <v>Singh</v>
      </c>
      <c r="AQ7" s="171" t="str">
        <f>INDEX(CarrierDriverTBL!$X:$X,MATCH(Table1[[#This Row],[DriverID]],CarrierDriverTBL!$A:$A,0))</f>
        <v>D8900715</v>
      </c>
      <c r="AR7" s="172">
        <f>INDEX(CarrierDriverTBL!$Y:$Y,MATCH(Table1[[#This Row],[DriverID]],CarrierDriverTBL!$A:$A,0))</f>
        <v>42232</v>
      </c>
      <c r="AS7" s="142" t="str">
        <f t="shared" si="1"/>
        <v>GOOD</v>
      </c>
      <c r="AT7" s="172">
        <f>INDEX(CarrierDriverTBL!$E:$E,MATCH(Table1[[#This Row],[DriverID]],CarrierDriverTBL!$A:$A,0))</f>
        <v>26070</v>
      </c>
      <c r="AU7" s="163">
        <f ca="1">INDEX(CarrierDriverTBL!$F:$F,MATCH(Table1[[#This Row],[DriverID]],CarrierDriverTBL!$A:$A,0))</f>
        <v>45.221917808219175</v>
      </c>
      <c r="AV7" s="171" t="str">
        <f>INDEX(CarrierDriverTBL!$K:$K,MATCH(Table1[[#This Row],[DriverID]],CarrierDriverTBL!$A:$A,0))</f>
        <v>530-301-7234</v>
      </c>
      <c r="AW7" s="171" t="str">
        <f>INDEX(CarrierDriverTBL!$M:$M,MATCH(Table1[[#This Row],[DriverID]],CarrierDriverTBL!$A:$A,0))</f>
        <v>10738 Irene Way</v>
      </c>
      <c r="AX7" s="171" t="str">
        <f>INDEX(CarrierDriverTBL!$N:$N,MATCH(Table1[[#This Row],[DriverID]],CarrierDriverTBL!$A:$A,0))</f>
        <v>Live Oak</v>
      </c>
      <c r="AY7" s="171" t="str">
        <f>INDEX(CarrierDriverTBL!$O:$O,MATCH(Table1[[#This Row],[DriverID]],CarrierDriverTBL!$A:$A,0))</f>
        <v xml:space="preserve">CA </v>
      </c>
      <c r="AZ7" s="171">
        <f>INDEX(CarrierDriverTBL!$P:$P,MATCH(Table1[[#This Row],[DriverID]],CarrierDriverTBL!$A:$A,0))</f>
        <v>95953</v>
      </c>
      <c r="BA7" s="171" t="str">
        <f>INDEX(CarrierDriverTBL!$Q:$Q,MATCH(Table1[[#This Row],[DriverID]],CarrierDriverTBL!$A:$A,0))</f>
        <v>US</v>
      </c>
      <c r="BB7" s="173" t="str">
        <f>INDEX(CarrierDriverTBL!$R:$R,MATCH(Table1[[#This Row],[DriverID]],CarrierDriverTBL!$A:$A,0))</f>
        <v>karamjeet3378@hotmail.com</v>
      </c>
      <c r="BC7" s="160" t="str">
        <f>INDEX(CarrierDriverTBL!$AB:$AB,MATCH(Table1[[#This Row],[DriverID]],CarrierDriverTBL!$A:$A,0))</f>
        <v>Missing</v>
      </c>
      <c r="BD7" s="142" t="str">
        <f ca="1">INDEX(CarrierDriverTBL!$AD:$AD,MATCH(LoadMaster!$AN:$AN,CarrierDriverTBL!$A:$A,0))</f>
        <v>MISSING</v>
      </c>
      <c r="BE7" s="171">
        <f>INDEX(CarrierDriverTBL!$AE:$AE,MATCH(Table1[DriverID],CarrierDriverTBL!$A:$A,0))</f>
        <v>898021</v>
      </c>
      <c r="BF7" s="171">
        <f>INDEX(CarrierDriverTBL!$AF:$AF,MATCH(Table1[DriverID],CarrierDriverTBL!$A:$A,0))</f>
        <v>2570177</v>
      </c>
      <c r="BG7" s="10" t="str">
        <f>INDEX(CarrierDriverTBL!$AG:$AG,MATCH(Table1[DriverID],CarrierDriverTBL!$A:$A,0))</f>
        <v>Missing</v>
      </c>
      <c r="BH7" s="171" t="str">
        <f>INDEX(CarrierDriverTBL!$AH:$AH,MATCH(Table1[DriverID],CarrierDriverTBL!$A:$A,0))</f>
        <v>Wilshire insurance company</v>
      </c>
      <c r="BI7" s="171" t="str">
        <f>INDEX(CarrierDriverTBL!$AI:$AI,MATCH(Table1[DriverID],CarrierDriverTBL!$A:$A,0))</f>
        <v>BA2601347</v>
      </c>
      <c r="BJ7" s="172">
        <f>INDEX(CarrierDriverTBL!$AJ:$AJ,MATCH(Table1[[#This Row],[DriverID]],CarrierDriverTBL!$A:$A,0))</f>
        <v>42378</v>
      </c>
      <c r="BK7" s="10">
        <f t="shared" si="2"/>
        <v>199</v>
      </c>
      <c r="BL7" s="174">
        <v>725</v>
      </c>
      <c r="BM7" s="144">
        <v>753</v>
      </c>
      <c r="BN7" s="159">
        <f t="shared" si="3"/>
        <v>0.96281540504648078</v>
      </c>
      <c r="BO7" s="167">
        <v>900</v>
      </c>
      <c r="BP7" s="159">
        <f t="shared" si="4"/>
        <v>1.1952191235059761</v>
      </c>
      <c r="BQ7" s="66">
        <v>3.12</v>
      </c>
      <c r="BR7" s="166">
        <f t="shared" si="5"/>
        <v>0.20333333333333337</v>
      </c>
      <c r="BS7" s="167">
        <f t="shared" si="6"/>
        <v>0.99188579017264278</v>
      </c>
      <c r="BT7" s="159">
        <f t="shared" si="7"/>
        <v>153.11000000000001</v>
      </c>
      <c r="BU7" s="10" t="str">
        <f t="shared" si="8"/>
        <v>Uti</v>
      </c>
      <c r="BV7" s="15">
        <v>18005472053</v>
      </c>
      <c r="BW7" s="4" t="str">
        <f>Table1[[#This Row],[BrokerAddress]]</f>
        <v>Po Box 1147</v>
      </c>
      <c r="BX7" s="4" t="str">
        <f t="shared" si="9"/>
        <v>Medford</v>
      </c>
      <c r="BY7" s="4" t="str">
        <f t="shared" si="10"/>
        <v>Or</v>
      </c>
      <c r="BZ7" s="4">
        <f t="shared" si="11"/>
        <v>97501</v>
      </c>
      <c r="CA7" s="10" t="str">
        <f t="shared" si="12"/>
        <v>US</v>
      </c>
      <c r="CB7" s="4" t="s">
        <v>131</v>
      </c>
      <c r="CC7" s="62"/>
      <c r="CD7" s="15" t="s">
        <v>132</v>
      </c>
      <c r="CE7" s="64">
        <v>0</v>
      </c>
      <c r="CF7" s="4">
        <v>0</v>
      </c>
      <c r="CG7" s="132">
        <f t="shared" si="13"/>
        <v>0</v>
      </c>
      <c r="CH7" s="4" t="s">
        <v>132</v>
      </c>
      <c r="CI7" s="4">
        <v>0</v>
      </c>
      <c r="CJ7" s="4">
        <v>0</v>
      </c>
      <c r="CK7" s="132">
        <f t="shared" si="14"/>
        <v>0</v>
      </c>
      <c r="CL7" s="4" t="s">
        <v>132</v>
      </c>
      <c r="CM7" s="4">
        <v>0</v>
      </c>
      <c r="CN7" s="4">
        <v>0</v>
      </c>
      <c r="CO7" s="132">
        <f t="shared" si="15"/>
        <v>0</v>
      </c>
      <c r="CP7" s="4" t="s">
        <v>132</v>
      </c>
      <c r="CQ7" s="5">
        <v>0</v>
      </c>
      <c r="CR7" s="4">
        <v>0</v>
      </c>
      <c r="CS7" s="132">
        <f t="shared" si="16"/>
        <v>0</v>
      </c>
      <c r="CT7" s="159">
        <f t="shared" si="17"/>
        <v>0</v>
      </c>
      <c r="CU7" s="168">
        <f t="shared" si="18"/>
        <v>725</v>
      </c>
      <c r="CV7" s="169">
        <f>(90*CT7)/100</f>
        <v>0</v>
      </c>
      <c r="CW7" s="82">
        <v>925</v>
      </c>
      <c r="CX7" s="79">
        <f>IF(ISBLANK(E7),"AddQuickPay",IF(E7=2,CU7*0.98,IF(E7=2.4,CU7*0.976,IF(E7=3,CU7*0.97,IF(E7=5,CU7*0.95,IF(E7=1.5,CU7*0.985,IF(E7=2.5,CU7*0.975,IF(E7=1.3,CU7*0.987,IF(E7=1,CU7*0.99,IF(E7=4,CU7*0.96,CU7*1))))))))))-Table1[[#This Row],[ComCheck+QuickPayFee]]</f>
        <v>710.5</v>
      </c>
      <c r="CY7" s="179">
        <f t="shared" si="19"/>
        <v>-200</v>
      </c>
      <c r="CZ7" s="5">
        <f t="shared" si="20"/>
        <v>14.5</v>
      </c>
      <c r="DA7" s="259">
        <f>Table1[[#This Row],[OriginalDispatch]]-Table1[[#This Row],[QuickPayCharge]]</f>
        <v>-214.5</v>
      </c>
      <c r="DB7" s="5">
        <v>0</v>
      </c>
      <c r="DC7" s="5" t="s">
        <v>133</v>
      </c>
      <c r="DD7" s="104">
        <f t="shared" si="21"/>
        <v>42181</v>
      </c>
      <c r="DE7" s="15">
        <f>MONTH(Table1[[#This Row],[Weekending]])</f>
        <v>6</v>
      </c>
      <c r="DF7" s="15">
        <f>YEAR(Table1[[#This Row],[Weekending]])</f>
        <v>2015</v>
      </c>
      <c r="DG7" s="4" t="s">
        <v>210</v>
      </c>
    </row>
    <row r="8" spans="1:111">
      <c r="A8" s="20" t="str">
        <f t="shared" si="0"/>
        <v>24494949</v>
      </c>
      <c r="B8" s="146">
        <v>42179</v>
      </c>
      <c r="C8" s="15">
        <v>175695124</v>
      </c>
      <c r="D8" s="298" t="s">
        <v>111</v>
      </c>
      <c r="E8" s="298">
        <v>2</v>
      </c>
      <c r="F8" s="298" t="str">
        <f>INDEX(BrokerTBL!$B:$B,MATCH(D8,BrokerTBL!$A:$A,0))</f>
        <v>P.O. Box 3474</v>
      </c>
      <c r="G8" s="298" t="str">
        <f>INDEX(BrokerTBL!$C:$C,MATCH(D8,BrokerTBL!$A:$A,0))</f>
        <v>Chicago</v>
      </c>
      <c r="H8" s="298" t="str">
        <f>INDEX(BrokerTBL!$D:$D,MATCH(D8,BrokerTBL!$A:$A,0))</f>
        <v>Il</v>
      </c>
      <c r="I8" s="298" t="str">
        <f>INDEX(BrokerTBL!$E:$E,MATCH(D8,BrokerTBL!$A:$A,0))</f>
        <v>US</v>
      </c>
      <c r="J8" s="298">
        <f>INDEX(BrokerTBL!$F:$F,MATCH(D8,BrokerTBL!$A:$A,0))</f>
        <v>60654</v>
      </c>
      <c r="K8" s="298" t="s">
        <v>211</v>
      </c>
      <c r="L8" s="145">
        <v>4502168449</v>
      </c>
      <c r="M8" s="146">
        <v>42179</v>
      </c>
      <c r="N8" s="144" t="s">
        <v>212</v>
      </c>
      <c r="O8" s="298" t="s">
        <v>213</v>
      </c>
      <c r="P8" s="298" t="s">
        <v>214</v>
      </c>
      <c r="Q8" s="298" t="s">
        <v>139</v>
      </c>
      <c r="R8" s="298">
        <v>93725</v>
      </c>
      <c r="S8" s="298" t="s">
        <v>118</v>
      </c>
      <c r="T8" s="298" t="s">
        <v>215</v>
      </c>
      <c r="U8" s="298" t="s">
        <v>120</v>
      </c>
      <c r="V8" s="298">
        <v>53</v>
      </c>
      <c r="W8" s="298" t="s">
        <v>136</v>
      </c>
      <c r="X8" s="144">
        <v>45000</v>
      </c>
      <c r="Y8" s="298" t="s">
        <v>216</v>
      </c>
      <c r="Z8" s="298" t="s">
        <v>123</v>
      </c>
      <c r="AA8" s="298" t="s">
        <v>123</v>
      </c>
      <c r="AB8" s="298" t="s">
        <v>123</v>
      </c>
      <c r="AC8" s="298" t="s">
        <v>217</v>
      </c>
      <c r="AD8" s="145">
        <v>4502168449</v>
      </c>
      <c r="AE8" s="146">
        <v>42179</v>
      </c>
      <c r="AF8" s="298" t="s">
        <v>218</v>
      </c>
      <c r="AG8" s="298" t="s">
        <v>219</v>
      </c>
      <c r="AH8" s="298" t="s">
        <v>220</v>
      </c>
      <c r="AI8" s="298" t="s">
        <v>139</v>
      </c>
      <c r="AJ8" s="298">
        <v>95240</v>
      </c>
      <c r="AK8" s="298" t="s">
        <v>118</v>
      </c>
      <c r="AL8" s="298" t="s">
        <v>221</v>
      </c>
      <c r="AM8" s="142" t="str">
        <f>INDEX(CarrierDriverTBL!$B:$B,MATCH(Table1[[#This Row],[DriverID]],CarrierDriverTBL!$A:$A,0))</f>
        <v>UBTrucking</v>
      </c>
      <c r="AN8" s="10" t="s">
        <v>192</v>
      </c>
      <c r="AO8" s="142" t="str">
        <f>INDEX(CarrierDriverTBL!$C:$C,MATCH(Table1[[#This Row],[DriverID]],CarrierDriverTBL!$A:$A,0))</f>
        <v>Albel</v>
      </c>
      <c r="AP8" s="142" t="str">
        <f>INDEX(CarrierDriverTBL!$D:$D,MATCH(Table1[[#This Row],[DriverID]],CarrierDriverTBL!$A:$A,0))</f>
        <v>Chahil</v>
      </c>
      <c r="AQ8" s="142" t="str">
        <f>INDEX(CarrierDriverTBL!$X:$X,MATCH(Table1[[#This Row],[DriverID]],CarrierDriverTBL!$A:$A,0))</f>
        <v>A8390649</v>
      </c>
      <c r="AR8" s="160">
        <f>INDEX(CarrierDriverTBL!$Y:$Y,MATCH(Table1[[#This Row],[DriverID]],CarrierDriverTBL!$A:$A,0))</f>
        <v>42402</v>
      </c>
      <c r="AS8" s="142" t="str">
        <f t="shared" si="1"/>
        <v>GOOD</v>
      </c>
      <c r="AT8" s="160">
        <f>INDEX(CarrierDriverTBL!$E:$E,MATCH(Table1[[#This Row],[DriverID]],CarrierDriverTBL!$A:$A,0))</f>
        <v>22314</v>
      </c>
      <c r="AU8" s="163">
        <f ca="1">INDEX(CarrierDriverTBL!$F:$F,MATCH(Table1[[#This Row],[DriverID]],CarrierDriverTBL!$A:$A,0))</f>
        <v>55.512328767123286</v>
      </c>
      <c r="AV8" s="142" t="str">
        <f>INDEX(CarrierDriverTBL!$K:$K,MATCH(Table1[[#This Row],[DriverID]],CarrierDriverTBL!$A:$A,0))</f>
        <v>510-773-9450</v>
      </c>
      <c r="AW8" s="142" t="str">
        <f>INDEX(CarrierDriverTBL!$M:$M,MATCH(Table1[[#This Row],[DriverID]],CarrierDriverTBL!$A:$A,0))</f>
        <v>3124 Cynthia CT</v>
      </c>
      <c r="AX8" s="142" t="str">
        <f>INDEX(CarrierDriverTBL!$N:$N,MATCH(Table1[[#This Row],[DriverID]],CarrierDriverTBL!$A:$A,0))</f>
        <v>Tracy</v>
      </c>
      <c r="AY8" s="142" t="str">
        <f>INDEX(CarrierDriverTBL!$O:$O,MATCH(Table1[[#This Row],[DriverID]],CarrierDriverTBL!$A:$A,0))</f>
        <v>CA</v>
      </c>
      <c r="AZ8" s="142">
        <f>INDEX(CarrierDriverTBL!$P:$P,MATCH(Table1[[#This Row],[DriverID]],CarrierDriverTBL!$A:$A,0))</f>
        <v>95377</v>
      </c>
      <c r="BA8" s="142" t="str">
        <f>INDEX(CarrierDriverTBL!$Q:$Q,MATCH(Table1[[#This Row],[DriverID]],CarrierDriverTBL!$A:$A,0))</f>
        <v>US</v>
      </c>
      <c r="BB8" s="176" t="str">
        <f>INDEX(CarrierDriverTBL!$R:$R,MATCH(Table1[[#This Row],[DriverID]],CarrierDriverTBL!$A:$A,0))</f>
        <v>ubgollc@gmail.com</v>
      </c>
      <c r="BC8" s="160">
        <f>INDEX(CarrierDriverTBL!$AB:$AB,MATCH(Table1[[#This Row],[DriverID]],CarrierDriverTBL!$A:$A,0))</f>
        <v>42167</v>
      </c>
      <c r="BD8" s="142" t="str">
        <f ca="1">INDEX(CarrierDriverTBL!$AD:$AD,MATCH(LoadMaster!$AN:$AN,CarrierDriverTBL!$A:$A,0))</f>
        <v>MISSING</v>
      </c>
      <c r="BE8" s="142">
        <f>INDEX(CarrierDriverTBL!$AE:$AE,MATCH(Table1[DriverID],CarrierDriverTBL!$A:$A,0))</f>
        <v>913971</v>
      </c>
      <c r="BF8" s="142">
        <f>INDEX(CarrierDriverTBL!$AF:$AF,MATCH(Table1[DriverID],CarrierDriverTBL!$A:$A,0))</f>
        <v>2627544</v>
      </c>
      <c r="BG8" s="142">
        <f>INDEX(CarrierDriverTBL!$AG:$AG,MATCH(Table1[DriverID],CarrierDriverTBL!$A:$A,0))</f>
        <v>466133</v>
      </c>
      <c r="BH8" s="142" t="str">
        <f>INDEX(CarrierDriverTBL!$AH:$AH,MATCH(Table1[DriverID],CarrierDriverTBL!$A:$A,0))</f>
        <v>GM Lawrence Ins</v>
      </c>
      <c r="BI8" s="142" t="str">
        <f>INDEX(CarrierDriverTBL!$AI:$AI,MATCH(Table1[DriverID],CarrierDriverTBL!$A:$A,0))</f>
        <v>DSK2842P160210</v>
      </c>
      <c r="BJ8" s="160">
        <f>INDEX(CarrierDriverTBL!$AJ:$AJ,MATCH(Table1[[#This Row],[DriverID]],CarrierDriverTBL!$A:$A,0))</f>
        <v>42778</v>
      </c>
      <c r="BK8" s="10">
        <f t="shared" si="2"/>
        <v>599</v>
      </c>
      <c r="BL8" s="174">
        <v>475</v>
      </c>
      <c r="BM8" s="144">
        <v>139</v>
      </c>
      <c r="BN8" s="159">
        <f t="shared" si="3"/>
        <v>3.4172661870503598</v>
      </c>
      <c r="BO8" s="167">
        <v>450</v>
      </c>
      <c r="BP8" s="159">
        <f t="shared" si="4"/>
        <v>3.2374100719424459</v>
      </c>
      <c r="BQ8" s="66">
        <v>3.12</v>
      </c>
      <c r="BR8" s="166">
        <f t="shared" si="5"/>
        <v>0.20333333333333337</v>
      </c>
      <c r="BS8" s="167">
        <f t="shared" si="6"/>
        <v>3.0340767386091123</v>
      </c>
      <c r="BT8" s="159">
        <f t="shared" si="7"/>
        <v>28.263333333333339</v>
      </c>
      <c r="BU8" s="10" t="str">
        <f t="shared" si="8"/>
        <v>Ch Robinson</v>
      </c>
      <c r="BV8" s="15"/>
      <c r="BW8" s="4" t="str">
        <f>Table1[[#This Row],[BrokerAddress]]</f>
        <v>P.O. Box 3474</v>
      </c>
      <c r="BX8" s="4" t="str">
        <f t="shared" si="9"/>
        <v>Chicago</v>
      </c>
      <c r="BY8" s="4" t="str">
        <f t="shared" si="10"/>
        <v>Il</v>
      </c>
      <c r="BZ8" s="4">
        <f t="shared" si="11"/>
        <v>60654</v>
      </c>
      <c r="CA8" s="10" t="str">
        <f t="shared" si="12"/>
        <v>US</v>
      </c>
      <c r="CB8" s="4" t="s">
        <v>131</v>
      </c>
      <c r="CC8" s="62"/>
      <c r="CD8" s="15" t="s">
        <v>222</v>
      </c>
      <c r="CE8" s="64">
        <v>50</v>
      </c>
      <c r="CF8" s="4">
        <v>1</v>
      </c>
      <c r="CG8" s="132">
        <f t="shared" si="13"/>
        <v>50</v>
      </c>
      <c r="CH8" s="4" t="s">
        <v>132</v>
      </c>
      <c r="CI8" s="4">
        <v>0</v>
      </c>
      <c r="CJ8" s="4">
        <v>0</v>
      </c>
      <c r="CK8" s="132">
        <f t="shared" si="14"/>
        <v>0</v>
      </c>
      <c r="CL8" s="4" t="s">
        <v>132</v>
      </c>
      <c r="CM8" s="5">
        <v>0</v>
      </c>
      <c r="CN8" s="4">
        <v>0</v>
      </c>
      <c r="CO8" s="132">
        <f t="shared" si="15"/>
        <v>0</v>
      </c>
      <c r="CP8" s="4" t="s">
        <v>132</v>
      </c>
      <c r="CQ8" s="5">
        <v>0</v>
      </c>
      <c r="CR8" s="4">
        <v>0</v>
      </c>
      <c r="CS8" s="132">
        <f t="shared" si="16"/>
        <v>0</v>
      </c>
      <c r="CT8" s="159">
        <f t="shared" si="17"/>
        <v>50</v>
      </c>
      <c r="CU8" s="168">
        <f t="shared" si="18"/>
        <v>525</v>
      </c>
      <c r="CV8" s="169">
        <f>(100*CT8)/100</f>
        <v>50</v>
      </c>
      <c r="CW8" s="82">
        <f t="shared" ref="CW8:CW13" si="22">BO8+CV8</f>
        <v>500</v>
      </c>
      <c r="CX8" s="79">
        <f>IF(ISBLANK(E8),"AddQuickPay",IF(E8=2,CU8*0.98,IF(E8=2.4,CU8*0.976,IF(E8=3,CU8*0.97,IF(E8=5,CU8*0.95,IF(E8=1.5,CU8*0.985,IF(E8=2.5,CU8*0.975,IF(E8=1.3,CU8*0.987,IF(E8=1,CU8*0.99,IF(E8=4,CU8*0.96,CU8*1))))))))))-Table1[[#This Row],[ComCheck+QuickPayFee]]</f>
        <v>514.5</v>
      </c>
      <c r="CY8" s="167">
        <f t="shared" si="19"/>
        <v>25</v>
      </c>
      <c r="CZ8" s="5">
        <f t="shared" si="20"/>
        <v>10.5</v>
      </c>
      <c r="DA8" s="258">
        <f>Table1[[#This Row],[OriginalDispatch]]-Table1[[#This Row],[QuickPayCharge]]</f>
        <v>14.5</v>
      </c>
      <c r="DB8" s="5">
        <v>0</v>
      </c>
      <c r="DC8" s="5" t="s">
        <v>133</v>
      </c>
      <c r="DD8" s="104">
        <f t="shared" si="21"/>
        <v>42181</v>
      </c>
      <c r="DE8" s="15">
        <f>MONTH(Table1[[#This Row],[Weekending]])</f>
        <v>6</v>
      </c>
      <c r="DF8" s="15">
        <f>YEAR(Table1[[#This Row],[Weekending]])</f>
        <v>2015</v>
      </c>
      <c r="DG8" s="298" t="s">
        <v>223</v>
      </c>
    </row>
    <row r="9" spans="1:111">
      <c r="A9" s="20" t="str">
        <f t="shared" si="0"/>
        <v>237A7049</v>
      </c>
      <c r="B9" s="146">
        <v>42180</v>
      </c>
      <c r="C9" s="15">
        <v>175920523</v>
      </c>
      <c r="D9" s="298" t="s">
        <v>111</v>
      </c>
      <c r="E9" s="298">
        <v>2</v>
      </c>
      <c r="F9" s="298" t="str">
        <f>INDEX(BrokerTBL!$B:$B,MATCH(D9,BrokerTBL!$A:$A,0))</f>
        <v>P.O. Box 3474</v>
      </c>
      <c r="G9" s="298" t="str">
        <f>INDEX(BrokerTBL!$C:$C,MATCH(D9,BrokerTBL!$A:$A,0))</f>
        <v>Chicago</v>
      </c>
      <c r="H9" s="298" t="str">
        <f>INDEX(BrokerTBL!$D:$D,MATCH(D9,BrokerTBL!$A:$A,0))</f>
        <v>Il</v>
      </c>
      <c r="I9" s="298" t="str">
        <f>INDEX(BrokerTBL!$E:$E,MATCH(D9,BrokerTBL!$A:$A,0))</f>
        <v>US</v>
      </c>
      <c r="J9" s="298">
        <f>INDEX(BrokerTBL!$F:$F,MATCH(D9,BrokerTBL!$A:$A,0))</f>
        <v>60654</v>
      </c>
      <c r="K9" s="298" t="s">
        <v>224</v>
      </c>
      <c r="L9" s="145" t="s">
        <v>225</v>
      </c>
      <c r="M9" s="146">
        <v>42180</v>
      </c>
      <c r="N9" s="144" t="s">
        <v>226</v>
      </c>
      <c r="O9" s="298" t="s">
        <v>227</v>
      </c>
      <c r="P9" s="298" t="s">
        <v>228</v>
      </c>
      <c r="Q9" s="298" t="s">
        <v>139</v>
      </c>
      <c r="R9" s="298">
        <v>94545</v>
      </c>
      <c r="S9" s="298" t="s">
        <v>118</v>
      </c>
      <c r="T9" s="298" t="s">
        <v>229</v>
      </c>
      <c r="U9" s="298" t="s">
        <v>120</v>
      </c>
      <c r="V9" s="298">
        <v>53</v>
      </c>
      <c r="W9" s="298" t="s">
        <v>230</v>
      </c>
      <c r="X9" s="144">
        <v>43500</v>
      </c>
      <c r="Y9" s="298" t="s">
        <v>216</v>
      </c>
      <c r="Z9" s="298" t="s">
        <v>123</v>
      </c>
      <c r="AA9" s="298" t="s">
        <v>123</v>
      </c>
      <c r="AB9" s="298" t="s">
        <v>123</v>
      </c>
      <c r="AC9" s="298" t="s">
        <v>217</v>
      </c>
      <c r="AD9" s="145">
        <v>4502171670</v>
      </c>
      <c r="AE9" s="146">
        <v>42181</v>
      </c>
      <c r="AF9" s="298" t="s">
        <v>231</v>
      </c>
      <c r="AG9" s="298" t="s">
        <v>219</v>
      </c>
      <c r="AH9" s="298" t="s">
        <v>220</v>
      </c>
      <c r="AI9" s="298" t="s">
        <v>139</v>
      </c>
      <c r="AJ9" s="298">
        <v>95240</v>
      </c>
      <c r="AK9" s="298" t="s">
        <v>118</v>
      </c>
      <c r="AL9" s="298" t="s">
        <v>221</v>
      </c>
      <c r="AM9" s="142" t="str">
        <f>INDEX(CarrierDriverTBL!$B:$B,MATCH(Table1[[#This Row],[DriverID]],CarrierDriverTBL!$A:$A,0))</f>
        <v>UBTrucking</v>
      </c>
      <c r="AN9" s="10" t="s">
        <v>192</v>
      </c>
      <c r="AO9" s="142" t="str">
        <f>INDEX(CarrierDriverTBL!$C:$C,MATCH(Table1[[#This Row],[DriverID]],CarrierDriverTBL!$A:$A,0))</f>
        <v>Albel</v>
      </c>
      <c r="AP9" s="142" t="str">
        <f>INDEX(CarrierDriverTBL!$D:$D,MATCH(Table1[[#This Row],[DriverID]],CarrierDriverTBL!$A:$A,0))</f>
        <v>Chahil</v>
      </c>
      <c r="AQ9" s="142" t="str">
        <f>INDEX(CarrierDriverTBL!$X:$X,MATCH(Table1[[#This Row],[DriverID]],CarrierDriverTBL!$A:$A,0))</f>
        <v>A8390649</v>
      </c>
      <c r="AR9" s="160">
        <f>INDEX(CarrierDriverTBL!$Y:$Y,MATCH(Table1[[#This Row],[DriverID]],CarrierDriverTBL!$A:$A,0))</f>
        <v>42402</v>
      </c>
      <c r="AS9" s="142" t="str">
        <f t="shared" si="1"/>
        <v>GOOD</v>
      </c>
      <c r="AT9" s="160">
        <f>INDEX(CarrierDriverTBL!$E:$E,MATCH(Table1[[#This Row],[DriverID]],CarrierDriverTBL!$A:$A,0))</f>
        <v>22314</v>
      </c>
      <c r="AU9" s="163">
        <f ca="1">INDEX(CarrierDriverTBL!$F:$F,MATCH(Table1[[#This Row],[DriverID]],CarrierDriverTBL!$A:$A,0))</f>
        <v>55.512328767123286</v>
      </c>
      <c r="AV9" s="142" t="str">
        <f>INDEX(CarrierDriverTBL!$K:$K,MATCH(Table1[[#This Row],[DriverID]],CarrierDriverTBL!$A:$A,0))</f>
        <v>510-773-9450</v>
      </c>
      <c r="AW9" s="142" t="str">
        <f>INDEX(CarrierDriverTBL!$M:$M,MATCH(Table1[[#This Row],[DriverID]],CarrierDriverTBL!$A:$A,0))</f>
        <v>3124 Cynthia CT</v>
      </c>
      <c r="AX9" s="142" t="str">
        <f>INDEX(CarrierDriverTBL!$N:$N,MATCH(Table1[[#This Row],[DriverID]],CarrierDriverTBL!$A:$A,0))</f>
        <v>Tracy</v>
      </c>
      <c r="AY9" s="142" t="str">
        <f>INDEX(CarrierDriverTBL!$O:$O,MATCH(Table1[[#This Row],[DriverID]],CarrierDriverTBL!$A:$A,0))</f>
        <v>CA</v>
      </c>
      <c r="AZ9" s="142">
        <f>INDEX(CarrierDriverTBL!$P:$P,MATCH(Table1[[#This Row],[DriverID]],CarrierDriverTBL!$A:$A,0))</f>
        <v>95377</v>
      </c>
      <c r="BA9" s="142" t="str">
        <f>INDEX(CarrierDriverTBL!$Q:$Q,MATCH(Table1[[#This Row],[DriverID]],CarrierDriverTBL!$A:$A,0))</f>
        <v>US</v>
      </c>
      <c r="BB9" s="176" t="str">
        <f>INDEX(CarrierDriverTBL!$R:$R,MATCH(Table1[[#This Row],[DriverID]],CarrierDriverTBL!$A:$A,0))</f>
        <v>ubgollc@gmail.com</v>
      </c>
      <c r="BC9" s="160">
        <f>INDEX(CarrierDriverTBL!$AB:$AB,MATCH(Table1[[#This Row],[DriverID]],CarrierDriverTBL!$A:$A,0))</f>
        <v>42167</v>
      </c>
      <c r="BD9" s="142" t="str">
        <f ca="1">INDEX(CarrierDriverTBL!$AD:$AD,MATCH(LoadMaster!$AN:$AN,CarrierDriverTBL!$A:$A,0))</f>
        <v>MISSING</v>
      </c>
      <c r="BE9" s="142">
        <f>INDEX(CarrierDriverTBL!$AE:$AE,MATCH(Table1[DriverID],CarrierDriverTBL!$A:$A,0))</f>
        <v>913971</v>
      </c>
      <c r="BF9" s="142">
        <f>INDEX(CarrierDriverTBL!$AF:$AF,MATCH(Table1[DriverID],CarrierDriverTBL!$A:$A,0))</f>
        <v>2627544</v>
      </c>
      <c r="BG9" s="142">
        <f>INDEX(CarrierDriverTBL!$AG:$AG,MATCH(Table1[DriverID],CarrierDriverTBL!$A:$A,0))</f>
        <v>466133</v>
      </c>
      <c r="BH9" s="142" t="str">
        <f>INDEX(CarrierDriverTBL!$AH:$AH,MATCH(Table1[DriverID],CarrierDriverTBL!$A:$A,0))</f>
        <v>GM Lawrence Ins</v>
      </c>
      <c r="BI9" s="142" t="str">
        <f>INDEX(CarrierDriverTBL!$AI:$AI,MATCH(Table1[DriverID],CarrierDriverTBL!$A:$A,0))</f>
        <v>DSK2842P160210</v>
      </c>
      <c r="BJ9" s="160">
        <f>INDEX(CarrierDriverTBL!$AJ:$AJ,MATCH(Table1[[#This Row],[DriverID]],CarrierDriverTBL!$A:$A,0))</f>
        <v>42778</v>
      </c>
      <c r="BK9" s="10">
        <f t="shared" si="2"/>
        <v>598</v>
      </c>
      <c r="BL9" s="174">
        <v>400</v>
      </c>
      <c r="BM9" s="144">
        <v>78</v>
      </c>
      <c r="BN9" s="159">
        <f t="shared" si="3"/>
        <v>5.1282051282051286</v>
      </c>
      <c r="BO9" s="167">
        <v>350</v>
      </c>
      <c r="BP9" s="159">
        <f t="shared" si="4"/>
        <v>4.4871794871794872</v>
      </c>
      <c r="BQ9" s="66">
        <v>3.12</v>
      </c>
      <c r="BR9" s="166">
        <f t="shared" si="5"/>
        <v>0.20333333333333337</v>
      </c>
      <c r="BS9" s="167">
        <f t="shared" si="6"/>
        <v>4.2838461538461541</v>
      </c>
      <c r="BT9" s="159">
        <f t="shared" si="7"/>
        <v>15.860000000000003</v>
      </c>
      <c r="BU9" s="10" t="str">
        <f t="shared" si="8"/>
        <v>Ch Robinson</v>
      </c>
      <c r="BV9" s="15"/>
      <c r="BW9" s="4" t="str">
        <f>Table1[[#This Row],[BrokerAddress]]</f>
        <v>P.O. Box 3474</v>
      </c>
      <c r="BX9" s="4" t="str">
        <f t="shared" si="9"/>
        <v>Chicago</v>
      </c>
      <c r="BY9" s="4" t="str">
        <f t="shared" si="10"/>
        <v>Il</v>
      </c>
      <c r="BZ9" s="4">
        <f t="shared" si="11"/>
        <v>60654</v>
      </c>
      <c r="CA9" s="10" t="str">
        <f t="shared" si="12"/>
        <v>US</v>
      </c>
      <c r="CB9" s="4" t="s">
        <v>131</v>
      </c>
      <c r="CC9" s="62"/>
      <c r="CD9" s="15" t="s">
        <v>232</v>
      </c>
      <c r="CE9" s="64">
        <v>50</v>
      </c>
      <c r="CF9" s="4">
        <v>1</v>
      </c>
      <c r="CG9" s="132">
        <f t="shared" si="13"/>
        <v>50</v>
      </c>
      <c r="CH9" s="4" t="s">
        <v>132</v>
      </c>
      <c r="CI9" s="5">
        <v>0</v>
      </c>
      <c r="CJ9" s="4">
        <v>0</v>
      </c>
      <c r="CK9" s="132">
        <f t="shared" si="14"/>
        <v>0</v>
      </c>
      <c r="CL9" s="4" t="s">
        <v>132</v>
      </c>
      <c r="CM9" s="5">
        <v>0</v>
      </c>
      <c r="CN9" s="4">
        <v>0</v>
      </c>
      <c r="CO9" s="132">
        <f t="shared" si="15"/>
        <v>0</v>
      </c>
      <c r="CP9" s="4" t="s">
        <v>132</v>
      </c>
      <c r="CQ9" s="5">
        <v>0</v>
      </c>
      <c r="CR9" s="4">
        <v>0</v>
      </c>
      <c r="CS9" s="132">
        <f t="shared" si="16"/>
        <v>0</v>
      </c>
      <c r="CT9" s="159">
        <f t="shared" si="17"/>
        <v>50</v>
      </c>
      <c r="CU9" s="168">
        <f t="shared" si="18"/>
        <v>450</v>
      </c>
      <c r="CV9" s="169">
        <f>(100*CT9)/100</f>
        <v>50</v>
      </c>
      <c r="CW9" s="82">
        <f t="shared" si="22"/>
        <v>400</v>
      </c>
      <c r="CX9" s="79">
        <f>IF(ISBLANK(E9),"AddQuickPay",IF(E9=2,CU9*0.98,IF(E9=2.4,CU9*0.976,IF(E9=3,CU9*0.97,IF(E9=5,CU9*0.95,IF(E9=1.5,CU9*0.985,IF(E9=2.5,CU9*0.975,IF(E9=1.3,CU9*0.987,IF(E9=1,CU9*0.99,IF(E9=4,CU9*0.96,CU9*1))))))))))-Table1[[#This Row],[ComCheck+QuickPayFee]]</f>
        <v>441</v>
      </c>
      <c r="CY9" s="167">
        <f t="shared" si="19"/>
        <v>50</v>
      </c>
      <c r="CZ9" s="5">
        <f t="shared" si="20"/>
        <v>9</v>
      </c>
      <c r="DA9" s="258">
        <f>Table1[[#This Row],[OriginalDispatch]]-Table1[[#This Row],[QuickPayCharge]]</f>
        <v>41</v>
      </c>
      <c r="DB9" s="5">
        <v>0</v>
      </c>
      <c r="DC9" s="5" t="s">
        <v>133</v>
      </c>
      <c r="DD9" s="104">
        <f t="shared" si="21"/>
        <v>42181</v>
      </c>
      <c r="DE9" s="15">
        <f>MONTH(Table1[[#This Row],[Weekending]])</f>
        <v>6</v>
      </c>
      <c r="DF9" s="15">
        <f>YEAR(Table1[[#This Row],[Weekending]])</f>
        <v>2015</v>
      </c>
      <c r="DG9" s="4" t="s">
        <v>233</v>
      </c>
    </row>
    <row r="10" spans="1:111">
      <c r="A10" s="20" t="str">
        <f t="shared" si="0"/>
        <v>99898949</v>
      </c>
      <c r="B10" s="146">
        <v>42180</v>
      </c>
      <c r="C10" s="144">
        <v>175712699</v>
      </c>
      <c r="D10" s="298" t="s">
        <v>111</v>
      </c>
      <c r="E10" s="298">
        <v>2</v>
      </c>
      <c r="F10" s="298" t="str">
        <f>INDEX(BrokerTBL!$B:$B,MATCH(D10,BrokerTBL!$A:$A,0))</f>
        <v>P.O. Box 3474</v>
      </c>
      <c r="G10" s="298" t="str">
        <f>INDEX(BrokerTBL!$C:$C,MATCH(D10,BrokerTBL!$A:$A,0))</f>
        <v>Chicago</v>
      </c>
      <c r="H10" s="298" t="str">
        <f>INDEX(BrokerTBL!$D:$D,MATCH(D10,BrokerTBL!$A:$A,0))</f>
        <v>Il</v>
      </c>
      <c r="I10" s="298" t="str">
        <f>INDEX(BrokerTBL!$E:$E,MATCH(D10,BrokerTBL!$A:$A,0))</f>
        <v>US</v>
      </c>
      <c r="J10" s="298">
        <f>INDEX(BrokerTBL!$F:$F,MATCH(D10,BrokerTBL!$A:$A,0))</f>
        <v>60654</v>
      </c>
      <c r="K10" s="298" t="s">
        <v>134</v>
      </c>
      <c r="L10" s="145">
        <v>1015787789</v>
      </c>
      <c r="M10" s="146">
        <v>42181</v>
      </c>
      <c r="N10" s="144" t="s">
        <v>234</v>
      </c>
      <c r="O10" s="298" t="s">
        <v>137</v>
      </c>
      <c r="P10" s="298" t="s">
        <v>138</v>
      </c>
      <c r="Q10" s="298" t="s">
        <v>139</v>
      </c>
      <c r="R10" s="298">
        <v>93230</v>
      </c>
      <c r="S10" s="298" t="s">
        <v>118</v>
      </c>
      <c r="T10" s="298" t="s">
        <v>140</v>
      </c>
      <c r="U10" s="298" t="s">
        <v>120</v>
      </c>
      <c r="V10" s="298">
        <v>53</v>
      </c>
      <c r="W10" s="298" t="s">
        <v>141</v>
      </c>
      <c r="X10" s="144">
        <v>1992</v>
      </c>
      <c r="Y10" s="298" t="s">
        <v>123</v>
      </c>
      <c r="Z10" s="298">
        <v>1</v>
      </c>
      <c r="AA10" s="298" t="s">
        <v>123</v>
      </c>
      <c r="AB10" s="298" t="s">
        <v>123</v>
      </c>
      <c r="AC10" s="298" t="s">
        <v>235</v>
      </c>
      <c r="AD10" s="145">
        <v>1015787789</v>
      </c>
      <c r="AE10" s="146">
        <v>42184</v>
      </c>
      <c r="AF10" s="298" t="s">
        <v>234</v>
      </c>
      <c r="AG10" s="298" t="s">
        <v>236</v>
      </c>
      <c r="AH10" s="298" t="s">
        <v>237</v>
      </c>
      <c r="AI10" s="298" t="s">
        <v>139</v>
      </c>
      <c r="AJ10" s="298">
        <v>95602</v>
      </c>
      <c r="AK10" s="298" t="s">
        <v>118</v>
      </c>
      <c r="AL10" s="298" t="s">
        <v>238</v>
      </c>
      <c r="AM10" s="142" t="str">
        <f>INDEX(CarrierDriverTBL!$B:$B,MATCH(Table1[[#This Row],[DriverID]],CarrierDriverTBL!$A:$A,0))</f>
        <v>UBTrucking</v>
      </c>
      <c r="AN10" s="10" t="s">
        <v>192</v>
      </c>
      <c r="AO10" s="142" t="str">
        <f>INDEX(CarrierDriverTBL!$C:$C,MATCH(Table1[[#This Row],[DriverID]],CarrierDriverTBL!$A:$A,0))</f>
        <v>Albel</v>
      </c>
      <c r="AP10" s="142" t="str">
        <f>INDEX(CarrierDriverTBL!$D:$D,MATCH(Table1[[#This Row],[DriverID]],CarrierDriverTBL!$A:$A,0))</f>
        <v>Chahil</v>
      </c>
      <c r="AQ10" s="142" t="str">
        <f>INDEX(CarrierDriverTBL!$X:$X,MATCH(Table1[[#This Row],[DriverID]],CarrierDriverTBL!$A:$A,0))</f>
        <v>A8390649</v>
      </c>
      <c r="AR10" s="160">
        <f>INDEX(CarrierDriverTBL!$Y:$Y,MATCH(Table1[[#This Row],[DriverID]],CarrierDriverTBL!$A:$A,0))</f>
        <v>42402</v>
      </c>
      <c r="AS10" s="142" t="str">
        <f t="shared" si="1"/>
        <v>GOOD</v>
      </c>
      <c r="AT10" s="160">
        <f>INDEX(CarrierDriverTBL!$E:$E,MATCH(Table1[[#This Row],[DriverID]],CarrierDriverTBL!$A:$A,0))</f>
        <v>22314</v>
      </c>
      <c r="AU10" s="163">
        <f ca="1">INDEX(CarrierDriverTBL!$F:$F,MATCH(Table1[[#This Row],[DriverID]],CarrierDriverTBL!$A:$A,0))</f>
        <v>55.512328767123286</v>
      </c>
      <c r="AV10" s="142" t="str">
        <f>INDEX(CarrierDriverTBL!$K:$K,MATCH(Table1[[#This Row],[DriverID]],CarrierDriverTBL!$A:$A,0))</f>
        <v>510-773-9450</v>
      </c>
      <c r="AW10" s="142" t="str">
        <f>INDEX(CarrierDriverTBL!$M:$M,MATCH(Table1[[#This Row],[DriverID]],CarrierDriverTBL!$A:$A,0))</f>
        <v>3124 Cynthia CT</v>
      </c>
      <c r="AX10" s="142" t="str">
        <f>INDEX(CarrierDriverTBL!$N:$N,MATCH(Table1[[#This Row],[DriverID]],CarrierDriverTBL!$A:$A,0))</f>
        <v>Tracy</v>
      </c>
      <c r="AY10" s="142" t="str">
        <f>INDEX(CarrierDriverTBL!$O:$O,MATCH(Table1[[#This Row],[DriverID]],CarrierDriverTBL!$A:$A,0))</f>
        <v>CA</v>
      </c>
      <c r="AZ10" s="142">
        <f>INDEX(CarrierDriverTBL!$P:$P,MATCH(Table1[[#This Row],[DriverID]],CarrierDriverTBL!$A:$A,0))</f>
        <v>95377</v>
      </c>
      <c r="BA10" s="142" t="str">
        <f>INDEX(CarrierDriverTBL!$Q:$Q,MATCH(Table1[[#This Row],[DriverID]],CarrierDriverTBL!$A:$A,0))</f>
        <v>US</v>
      </c>
      <c r="BB10" s="176" t="str">
        <f>INDEX(CarrierDriverTBL!$R:$R,MATCH(Table1[[#This Row],[DriverID]],CarrierDriverTBL!$A:$A,0))</f>
        <v>ubgollc@gmail.com</v>
      </c>
      <c r="BC10" s="160">
        <f>INDEX(CarrierDriverTBL!$AB:$AB,MATCH(Table1[[#This Row],[DriverID]],CarrierDriverTBL!$A:$A,0))</f>
        <v>42167</v>
      </c>
      <c r="BD10" s="142" t="str">
        <f ca="1">INDEX(CarrierDriverTBL!$AD:$AD,MATCH(LoadMaster!$AN:$AN,CarrierDriverTBL!$A:$A,0))</f>
        <v>MISSING</v>
      </c>
      <c r="BE10" s="142">
        <f>INDEX(CarrierDriverTBL!$AE:$AE,MATCH(Table1[DriverID],CarrierDriverTBL!$A:$A,0))</f>
        <v>913971</v>
      </c>
      <c r="BF10" s="142">
        <f>INDEX(CarrierDriverTBL!$AF:$AF,MATCH(Table1[DriverID],CarrierDriverTBL!$A:$A,0))</f>
        <v>2627544</v>
      </c>
      <c r="BG10" s="142">
        <f>INDEX(CarrierDriverTBL!$AG:$AG,MATCH(Table1[DriverID],CarrierDriverTBL!$A:$A,0))</f>
        <v>466133</v>
      </c>
      <c r="BH10" s="142" t="str">
        <f>INDEX(CarrierDriverTBL!$AH:$AH,MATCH(Table1[DriverID],CarrierDriverTBL!$A:$A,0))</f>
        <v>GM Lawrence Ins</v>
      </c>
      <c r="BI10" s="142" t="str">
        <f>INDEX(CarrierDriverTBL!$AI:$AI,MATCH(Table1[DriverID],CarrierDriverTBL!$A:$A,0))</f>
        <v>DSK2842P160210</v>
      </c>
      <c r="BJ10" s="160">
        <f>INDEX(CarrierDriverTBL!$AJ:$AJ,MATCH(Table1[[#This Row],[DriverID]],CarrierDriverTBL!$A:$A,0))</f>
        <v>42778</v>
      </c>
      <c r="BK10" s="10">
        <f t="shared" si="2"/>
        <v>597</v>
      </c>
      <c r="BL10" s="174">
        <v>675</v>
      </c>
      <c r="BM10" s="144">
        <v>239</v>
      </c>
      <c r="BN10" s="159">
        <f t="shared" si="3"/>
        <v>2.8242677824267783</v>
      </c>
      <c r="BO10" s="167">
        <v>650</v>
      </c>
      <c r="BP10" s="159">
        <f t="shared" si="4"/>
        <v>2.7196652719665271</v>
      </c>
      <c r="BQ10" s="66">
        <v>3.12</v>
      </c>
      <c r="BR10" s="166">
        <f t="shared" si="5"/>
        <v>0.20333333333333337</v>
      </c>
      <c r="BS10" s="167">
        <f t="shared" si="6"/>
        <v>2.5163319386331935</v>
      </c>
      <c r="BT10" s="159">
        <f t="shared" si="7"/>
        <v>48.596666666666671</v>
      </c>
      <c r="BU10" s="10" t="str">
        <f t="shared" si="8"/>
        <v>Ch Robinson</v>
      </c>
      <c r="BV10" s="15"/>
      <c r="BW10" s="4" t="str">
        <f>Table1[[#This Row],[BrokerAddress]]</f>
        <v>P.O. Box 3474</v>
      </c>
      <c r="BX10" s="4" t="str">
        <f t="shared" si="9"/>
        <v>Chicago</v>
      </c>
      <c r="BY10" s="4" t="str">
        <f t="shared" si="10"/>
        <v>Il</v>
      </c>
      <c r="BZ10" s="4">
        <f t="shared" si="11"/>
        <v>60654</v>
      </c>
      <c r="CA10" s="10" t="str">
        <f t="shared" si="12"/>
        <v>US</v>
      </c>
      <c r="CB10" s="4" t="s">
        <v>131</v>
      </c>
      <c r="CC10" s="62"/>
      <c r="CD10" s="15" t="s">
        <v>132</v>
      </c>
      <c r="CE10" s="64">
        <v>0</v>
      </c>
      <c r="CF10" s="4">
        <v>0</v>
      </c>
      <c r="CG10" s="132">
        <f t="shared" si="13"/>
        <v>0</v>
      </c>
      <c r="CH10" s="4" t="s">
        <v>132</v>
      </c>
      <c r="CI10" s="5">
        <v>0</v>
      </c>
      <c r="CJ10" s="4">
        <v>0</v>
      </c>
      <c r="CK10" s="132">
        <f t="shared" si="14"/>
        <v>0</v>
      </c>
      <c r="CL10" s="4" t="s">
        <v>132</v>
      </c>
      <c r="CM10" s="5">
        <v>0</v>
      </c>
      <c r="CN10" s="4">
        <v>0</v>
      </c>
      <c r="CO10" s="132">
        <f t="shared" si="15"/>
        <v>0</v>
      </c>
      <c r="CP10" s="4" t="s">
        <v>132</v>
      </c>
      <c r="CQ10" s="5">
        <v>0</v>
      </c>
      <c r="CR10" s="4">
        <v>0</v>
      </c>
      <c r="CS10" s="132">
        <f t="shared" si="16"/>
        <v>0</v>
      </c>
      <c r="CT10" s="159">
        <f t="shared" si="17"/>
        <v>0</v>
      </c>
      <c r="CU10" s="168">
        <f t="shared" si="18"/>
        <v>675</v>
      </c>
      <c r="CV10" s="169">
        <f>(90*CT10)/100</f>
        <v>0</v>
      </c>
      <c r="CW10" s="82">
        <f t="shared" si="22"/>
        <v>650</v>
      </c>
      <c r="CX10" s="79">
        <f>IF(ISBLANK(E10),"AddQuickPay",IF(E10=2,CU10*0.98,IF(E10=2.4,CU10*0.976,IF(E10=3,CU10*0.97,IF(E10=5,CU10*0.95,IF(E10=1.5,CU10*0.985,IF(E10=2.5,CU10*0.975,IF(E10=1.3,CU10*0.987,IF(E10=1,CU10*0.99,IF(E10=4,CU10*0.96,CU10*1))))))))))-Table1[[#This Row],[ComCheck+QuickPayFee]]</f>
        <v>661.5</v>
      </c>
      <c r="CY10" s="167">
        <f t="shared" si="19"/>
        <v>25</v>
      </c>
      <c r="CZ10" s="5">
        <f t="shared" si="20"/>
        <v>13.5</v>
      </c>
      <c r="DA10" s="258">
        <f>Table1[[#This Row],[OriginalDispatch]]-Table1[[#This Row],[QuickPayCharge]]</f>
        <v>11.5</v>
      </c>
      <c r="DB10" s="5">
        <v>0</v>
      </c>
      <c r="DC10" s="5" t="s">
        <v>133</v>
      </c>
      <c r="DD10" s="104">
        <f t="shared" si="21"/>
        <v>42181</v>
      </c>
      <c r="DE10" s="15">
        <f>MONTH(Table1[[#This Row],[Weekending]])</f>
        <v>6</v>
      </c>
      <c r="DF10" s="15">
        <f>YEAR(Table1[[#This Row],[Weekending]])</f>
        <v>2015</v>
      </c>
      <c r="DG10" s="4"/>
    </row>
    <row r="11" spans="1:111">
      <c r="A11" s="20" t="str">
        <f t="shared" si="0"/>
        <v>59Rh49</v>
      </c>
      <c r="B11" s="104">
        <v>42181</v>
      </c>
      <c r="C11" s="15">
        <v>175520859</v>
      </c>
      <c r="D11" s="416" t="s">
        <v>111</v>
      </c>
      <c r="E11" s="416">
        <v>2</v>
      </c>
      <c r="F11" s="416" t="str">
        <f>INDEX(BrokerTBL!$B:$B,MATCH(D11,BrokerTBL!$A:$A,0))</f>
        <v>P.O. Box 3474</v>
      </c>
      <c r="G11" s="416" t="str">
        <f>INDEX(BrokerTBL!$C:$C,MATCH(D11,BrokerTBL!$A:$A,0))</f>
        <v>Chicago</v>
      </c>
      <c r="H11" s="416" t="str">
        <f>INDEX(BrokerTBL!$D:$D,MATCH(D11,BrokerTBL!$A:$A,0))</f>
        <v>Il</v>
      </c>
      <c r="I11" s="416" t="str">
        <f>INDEX(BrokerTBL!$E:$E,MATCH(D11,BrokerTBL!$A:$A,0))</f>
        <v>US</v>
      </c>
      <c r="J11" s="416">
        <f>INDEX(BrokerTBL!$F:$F,MATCH(D11,BrokerTBL!$A:$A,0))</f>
        <v>60654</v>
      </c>
      <c r="K11" s="416" t="s">
        <v>239</v>
      </c>
      <c r="L11" s="81" t="s">
        <v>240</v>
      </c>
      <c r="M11" s="104">
        <v>42184</v>
      </c>
      <c r="N11" s="180" t="s">
        <v>241</v>
      </c>
      <c r="O11" s="416" t="s">
        <v>242</v>
      </c>
      <c r="P11" s="416" t="s">
        <v>243</v>
      </c>
      <c r="Q11" s="416" t="s">
        <v>139</v>
      </c>
      <c r="R11" s="416">
        <v>95957</v>
      </c>
      <c r="S11" s="416" t="s">
        <v>118</v>
      </c>
      <c r="T11" s="416" t="s">
        <v>244</v>
      </c>
      <c r="U11" s="416" t="s">
        <v>120</v>
      </c>
      <c r="V11" s="416">
        <v>53</v>
      </c>
      <c r="W11" s="416" t="s">
        <v>245</v>
      </c>
      <c r="X11" s="15">
        <v>4400</v>
      </c>
      <c r="Y11" s="416" t="s">
        <v>26</v>
      </c>
      <c r="Z11" s="416" t="s">
        <v>123</v>
      </c>
      <c r="AA11" s="416" t="s">
        <v>123</v>
      </c>
      <c r="AB11" s="416" t="s">
        <v>123</v>
      </c>
      <c r="AC11" s="416" t="s">
        <v>246</v>
      </c>
      <c r="AD11" s="81"/>
      <c r="AE11" s="104">
        <v>42185</v>
      </c>
      <c r="AF11" s="416" t="s">
        <v>123</v>
      </c>
      <c r="AG11" s="416" t="s">
        <v>247</v>
      </c>
      <c r="AH11" s="416" t="s">
        <v>248</v>
      </c>
      <c r="AI11" s="416" t="s">
        <v>139</v>
      </c>
      <c r="AJ11" s="416">
        <v>93277</v>
      </c>
      <c r="AK11" s="416" t="s">
        <v>118</v>
      </c>
      <c r="AL11" s="416" t="s">
        <v>249</v>
      </c>
      <c r="AM11" s="131" t="str">
        <f>INDEX(CarrierDriverTBL!$B:$B,MATCH(Table1[[#This Row],[DriverID]],CarrierDriverTBL!$A:$A,0))</f>
        <v>UBTrucking</v>
      </c>
      <c r="AN11" s="10" t="s">
        <v>192</v>
      </c>
      <c r="AO11" s="131" t="str">
        <f>INDEX(CarrierDriverTBL!$C:$C,MATCH(Table1[[#This Row],[DriverID]],CarrierDriverTBL!$A:$A,0))</f>
        <v>Albel</v>
      </c>
      <c r="AP11" s="131" t="str">
        <f>INDEX(CarrierDriverTBL!$D:$D,MATCH(Table1[[#This Row],[DriverID]],CarrierDriverTBL!$A:$A,0))</f>
        <v>Chahil</v>
      </c>
      <c r="AQ11" s="131" t="str">
        <f>INDEX(CarrierDriverTBL!$X:$X,MATCH(Table1[[#This Row],[DriverID]],CarrierDriverTBL!$A:$A,0))</f>
        <v>A8390649</v>
      </c>
      <c r="AR11" s="20">
        <f>INDEX(CarrierDriverTBL!$Y:$Y,MATCH(Table1[[#This Row],[DriverID]],CarrierDriverTBL!$A:$A,0))</f>
        <v>42402</v>
      </c>
      <c r="AS11" s="142" t="str">
        <f t="shared" si="1"/>
        <v>GOOD</v>
      </c>
      <c r="AT11" s="160">
        <f>INDEX(CarrierDriverTBL!$E:$E,MATCH(Table1[[#This Row],[DriverID]],CarrierDriverTBL!$A:$A,0))</f>
        <v>22314</v>
      </c>
      <c r="AU11" s="163">
        <f ca="1">INDEX(CarrierDriverTBL!$F:$F,MATCH(Table1[[#This Row],[DriverID]],CarrierDriverTBL!$A:$A,0))</f>
        <v>55.512328767123286</v>
      </c>
      <c r="AV11" s="131" t="str">
        <f>INDEX(CarrierDriverTBL!$K:$K,MATCH(Table1[[#This Row],[DriverID]],CarrierDriverTBL!$A:$A,0))</f>
        <v>510-773-9450</v>
      </c>
      <c r="AW11" s="131" t="str">
        <f>INDEX(CarrierDriverTBL!$M:$M,MATCH(Table1[[#This Row],[DriverID]],CarrierDriverTBL!$A:$A,0))</f>
        <v>3124 Cynthia CT</v>
      </c>
      <c r="AX11" s="131" t="str">
        <f>INDEX(CarrierDriverTBL!$N:$N,MATCH(Table1[[#This Row],[DriverID]],CarrierDriverTBL!$A:$A,0))</f>
        <v>Tracy</v>
      </c>
      <c r="AY11" s="131" t="str">
        <f>INDEX(CarrierDriverTBL!$O:$O,MATCH(Table1[[#This Row],[DriverID]],CarrierDriverTBL!$A:$A,0))</f>
        <v>CA</v>
      </c>
      <c r="AZ11" s="131">
        <f>INDEX(CarrierDriverTBL!$P:$P,MATCH(Table1[[#This Row],[DriverID]],CarrierDriverTBL!$A:$A,0))</f>
        <v>95377</v>
      </c>
      <c r="BA11" s="131" t="str">
        <f>INDEX(CarrierDriverTBL!$Q:$Q,MATCH(Table1[[#This Row],[DriverID]],CarrierDriverTBL!$A:$A,0))</f>
        <v>US</v>
      </c>
      <c r="BB11" s="176" t="str">
        <f>INDEX(CarrierDriverTBL!$R:$R,MATCH(Table1[[#This Row],[DriverID]],CarrierDriverTBL!$A:$A,0))</f>
        <v>ubgollc@gmail.com</v>
      </c>
      <c r="BC11" s="160">
        <f>INDEX(CarrierDriverTBL!$AB:$AB,MATCH(Table1[[#This Row],[DriverID]],CarrierDriverTBL!$A:$A,0))</f>
        <v>42167</v>
      </c>
      <c r="BD11" s="142" t="str">
        <f ca="1">INDEX(CarrierDriverTBL!$AD:$AD,MATCH(LoadMaster!$AN:$AN,CarrierDriverTBL!$A:$A,0))</f>
        <v>MISSING</v>
      </c>
      <c r="BE11" s="131">
        <f>INDEX(CarrierDriverTBL!$AE:$AE,MATCH(Table1[DriverID],CarrierDriverTBL!$A:$A,0))</f>
        <v>913971</v>
      </c>
      <c r="BF11" s="131">
        <f>INDEX(CarrierDriverTBL!$AF:$AF,MATCH(Table1[DriverID],CarrierDriverTBL!$A:$A,0))</f>
        <v>2627544</v>
      </c>
      <c r="BG11" s="131">
        <f>INDEX(CarrierDriverTBL!$AG:$AG,MATCH(Table1[DriverID],CarrierDriverTBL!$A:$A,0))</f>
        <v>466133</v>
      </c>
      <c r="BH11" s="131" t="str">
        <f>INDEX(CarrierDriverTBL!$AH:$AH,MATCH(Table1[DriverID],CarrierDriverTBL!$A:$A,0))</f>
        <v>GM Lawrence Ins</v>
      </c>
      <c r="BI11" s="131" t="str">
        <f>INDEX(CarrierDriverTBL!$AI:$AI,MATCH(Table1[DriverID],CarrierDriverTBL!$A:$A,0))</f>
        <v>DSK2842P160210</v>
      </c>
      <c r="BJ11" s="20">
        <f>INDEX(CarrierDriverTBL!$AJ:$AJ,MATCH(Table1[[#This Row],[DriverID]],CarrierDriverTBL!$A:$A,0))</f>
        <v>42778</v>
      </c>
      <c r="BK11" s="10">
        <f t="shared" si="2"/>
        <v>594</v>
      </c>
      <c r="BL11" s="64">
        <v>475</v>
      </c>
      <c r="BM11" s="15">
        <v>266</v>
      </c>
      <c r="BN11" s="159">
        <f t="shared" si="3"/>
        <v>1.7857142857142858</v>
      </c>
      <c r="BO11" s="5">
        <v>450</v>
      </c>
      <c r="BP11" s="159">
        <f t="shared" si="4"/>
        <v>1.6917293233082706</v>
      </c>
      <c r="BQ11" s="133">
        <v>3.12</v>
      </c>
      <c r="BR11" s="166">
        <f t="shared" si="5"/>
        <v>0.20333333333333337</v>
      </c>
      <c r="BS11" s="167">
        <f t="shared" si="6"/>
        <v>1.4883959899749373</v>
      </c>
      <c r="BT11" s="159">
        <f t="shared" si="7"/>
        <v>54.086666666666673</v>
      </c>
      <c r="BU11" s="10" t="str">
        <f t="shared" si="8"/>
        <v>Ch Robinson</v>
      </c>
      <c r="BV11" s="15"/>
      <c r="BW11" s="4" t="str">
        <f>Table1[[#This Row],[BrokerAddress]]</f>
        <v>P.O. Box 3474</v>
      </c>
      <c r="BX11" s="4" t="str">
        <f t="shared" si="9"/>
        <v>Chicago</v>
      </c>
      <c r="BY11" s="4" t="str">
        <f t="shared" si="10"/>
        <v>Il</v>
      </c>
      <c r="BZ11" s="4">
        <f t="shared" si="11"/>
        <v>60654</v>
      </c>
      <c r="CA11" s="10" t="str">
        <f t="shared" si="12"/>
        <v>US</v>
      </c>
      <c r="CB11" s="4" t="s">
        <v>131</v>
      </c>
      <c r="CC11" s="62"/>
      <c r="CD11" s="15" t="s">
        <v>132</v>
      </c>
      <c r="CE11" s="64">
        <v>0</v>
      </c>
      <c r="CF11" s="4">
        <v>0</v>
      </c>
      <c r="CG11" s="132">
        <f t="shared" si="13"/>
        <v>0</v>
      </c>
      <c r="CH11" s="4" t="s">
        <v>132</v>
      </c>
      <c r="CI11" s="5">
        <v>0</v>
      </c>
      <c r="CJ11" s="4">
        <v>0</v>
      </c>
      <c r="CK11" s="132">
        <f t="shared" si="14"/>
        <v>0</v>
      </c>
      <c r="CL11" s="4" t="s">
        <v>132</v>
      </c>
      <c r="CM11" s="5">
        <v>0</v>
      </c>
      <c r="CN11" s="4">
        <v>0</v>
      </c>
      <c r="CO11" s="132">
        <f t="shared" si="15"/>
        <v>0</v>
      </c>
      <c r="CP11" s="4" t="s">
        <v>132</v>
      </c>
      <c r="CQ11" s="5">
        <v>0</v>
      </c>
      <c r="CR11" s="4">
        <v>0</v>
      </c>
      <c r="CS11" s="132">
        <f t="shared" si="16"/>
        <v>0</v>
      </c>
      <c r="CT11" s="132">
        <f t="shared" si="17"/>
        <v>0</v>
      </c>
      <c r="CU11" s="168">
        <f t="shared" si="18"/>
        <v>475</v>
      </c>
      <c r="CV11" s="177">
        <f>(90*CT11)/100</f>
        <v>0</v>
      </c>
      <c r="CW11" s="82">
        <f t="shared" si="22"/>
        <v>450</v>
      </c>
      <c r="CX11" s="79">
        <f>IF(ISBLANK(E11),"AddQuickPay",IF(E11=2,CU11*0.98,IF(E11=2.4,CU11*0.976,IF(E11=3,CU11*0.97,IF(E11=5,CU11*0.95,IF(E11=1.5,CU11*0.985,IF(E11=2.5,CU11*0.975,IF(E11=1.3,CU11*0.987,IF(E11=1,CU11*0.99,IF(E11=4,CU11*0.96,CU11*1))))))))))-Table1[[#This Row],[ComCheck+QuickPayFee]]</f>
        <v>465.5</v>
      </c>
      <c r="CY11" s="5">
        <f t="shared" si="19"/>
        <v>25</v>
      </c>
      <c r="CZ11" s="5">
        <f t="shared" si="20"/>
        <v>9.5</v>
      </c>
      <c r="DA11" s="258">
        <f>Table1[[#This Row],[OriginalDispatch]]-Table1[[#This Row],[QuickPayCharge]]</f>
        <v>15.5</v>
      </c>
      <c r="DB11" s="5">
        <v>0</v>
      </c>
      <c r="DC11" s="5" t="s">
        <v>133</v>
      </c>
      <c r="DD11" s="104">
        <f t="shared" si="21"/>
        <v>42188</v>
      </c>
      <c r="DE11" s="15">
        <f>MONTH(Table1[[#This Row],[Weekending]])</f>
        <v>7</v>
      </c>
      <c r="DF11" s="15">
        <f>YEAR(Table1[[#This Row],[Weekending]])</f>
        <v>2015</v>
      </c>
      <c r="DG11" s="4"/>
    </row>
    <row r="12" spans="1:111">
      <c r="A12" s="20" t="str">
        <f t="shared" si="0"/>
        <v>42090949</v>
      </c>
      <c r="B12" s="146">
        <v>42181</v>
      </c>
      <c r="C12" s="144">
        <v>176104342</v>
      </c>
      <c r="D12" s="298" t="s">
        <v>111</v>
      </c>
      <c r="E12" s="298">
        <v>2</v>
      </c>
      <c r="F12" s="298" t="str">
        <f>INDEX(BrokerTBL!$B:$B,MATCH(D12,BrokerTBL!$A:$A,0))</f>
        <v>P.O. Box 3474</v>
      </c>
      <c r="G12" s="298" t="str">
        <f>INDEX(BrokerTBL!$C:$C,MATCH(D12,BrokerTBL!$A:$A,0))</f>
        <v>Chicago</v>
      </c>
      <c r="H12" s="298" t="str">
        <f>INDEX(BrokerTBL!$D:$D,MATCH(D12,BrokerTBL!$A:$A,0))</f>
        <v>Il</v>
      </c>
      <c r="I12" s="298" t="str">
        <f>INDEX(BrokerTBL!$E:$E,MATCH(D12,BrokerTBL!$A:$A,0))</f>
        <v>US</v>
      </c>
      <c r="J12" s="298">
        <f>INDEX(BrokerTBL!$F:$F,MATCH(D12,BrokerTBL!$A:$A,0))</f>
        <v>60654</v>
      </c>
      <c r="K12" s="298" t="s">
        <v>250</v>
      </c>
      <c r="L12" s="145">
        <v>5610209</v>
      </c>
      <c r="M12" s="146">
        <v>42184</v>
      </c>
      <c r="N12" s="144" t="s">
        <v>251</v>
      </c>
      <c r="O12" s="298" t="s">
        <v>252</v>
      </c>
      <c r="P12" s="298" t="s">
        <v>253</v>
      </c>
      <c r="Q12" s="298" t="s">
        <v>139</v>
      </c>
      <c r="R12" s="298">
        <v>93637</v>
      </c>
      <c r="S12" s="298" t="s">
        <v>118</v>
      </c>
      <c r="T12" s="298" t="s">
        <v>254</v>
      </c>
      <c r="U12" s="298" t="s">
        <v>120</v>
      </c>
      <c r="V12" s="298">
        <v>53</v>
      </c>
      <c r="W12" s="298" t="s">
        <v>136</v>
      </c>
      <c r="X12" s="144">
        <v>39823</v>
      </c>
      <c r="Y12" s="298" t="s">
        <v>26</v>
      </c>
      <c r="Z12" s="298">
        <v>20</v>
      </c>
      <c r="AA12" s="298">
        <v>20</v>
      </c>
      <c r="AB12" s="298" t="s">
        <v>123</v>
      </c>
      <c r="AC12" s="298" t="s">
        <v>255</v>
      </c>
      <c r="AD12" s="145">
        <v>5610209</v>
      </c>
      <c r="AE12" s="146">
        <v>42185</v>
      </c>
      <c r="AF12" s="298" t="s">
        <v>256</v>
      </c>
      <c r="AG12" s="298" t="s">
        <v>257</v>
      </c>
      <c r="AH12" s="298" t="s">
        <v>160</v>
      </c>
      <c r="AI12" s="298" t="s">
        <v>139</v>
      </c>
      <c r="AJ12" s="298">
        <v>94533</v>
      </c>
      <c r="AK12" s="298" t="s">
        <v>118</v>
      </c>
      <c r="AL12" s="298" t="s">
        <v>258</v>
      </c>
      <c r="AM12" s="142" t="str">
        <f>INDEX(CarrierDriverTBL!$B:$B,MATCH(Table1[[#This Row],[DriverID]],CarrierDriverTBL!$A:$A,0))</f>
        <v>UBTrucking</v>
      </c>
      <c r="AN12" s="10" t="s">
        <v>192</v>
      </c>
      <c r="AO12" s="142" t="str">
        <f>INDEX(CarrierDriverTBL!$C:$C,MATCH(Table1[[#This Row],[DriverID]],CarrierDriverTBL!$A:$A,0))</f>
        <v>Albel</v>
      </c>
      <c r="AP12" s="142" t="str">
        <f>INDEX(CarrierDriverTBL!$D:$D,MATCH(Table1[[#This Row],[DriverID]],CarrierDriverTBL!$A:$A,0))</f>
        <v>Chahil</v>
      </c>
      <c r="AQ12" s="142" t="str">
        <f>INDEX(CarrierDriverTBL!$X:$X,MATCH(Table1[[#This Row],[DriverID]],CarrierDriverTBL!$A:$A,0))</f>
        <v>A8390649</v>
      </c>
      <c r="AR12" s="160">
        <f>INDEX(CarrierDriverTBL!$Y:$Y,MATCH(Table1[[#This Row],[DriverID]],CarrierDriverTBL!$A:$A,0))</f>
        <v>42402</v>
      </c>
      <c r="AS12" s="142" t="str">
        <f t="shared" si="1"/>
        <v>GOOD</v>
      </c>
      <c r="AT12" s="160">
        <f>INDEX(CarrierDriverTBL!$E:$E,MATCH(Table1[[#This Row],[DriverID]],CarrierDriverTBL!$A:$A,0))</f>
        <v>22314</v>
      </c>
      <c r="AU12" s="163">
        <f ca="1">INDEX(CarrierDriverTBL!$F:$F,MATCH(Table1[[#This Row],[DriverID]],CarrierDriverTBL!$A:$A,0))</f>
        <v>55.512328767123286</v>
      </c>
      <c r="AV12" s="142" t="str">
        <f>INDEX(CarrierDriverTBL!$K:$K,MATCH(Table1[[#This Row],[DriverID]],CarrierDriverTBL!$A:$A,0))</f>
        <v>510-773-9450</v>
      </c>
      <c r="AW12" s="142" t="str">
        <f>INDEX(CarrierDriverTBL!$M:$M,MATCH(Table1[[#This Row],[DriverID]],CarrierDriverTBL!$A:$A,0))</f>
        <v>3124 Cynthia CT</v>
      </c>
      <c r="AX12" s="142" t="str">
        <f>INDEX(CarrierDriverTBL!$N:$N,MATCH(Table1[[#This Row],[DriverID]],CarrierDriverTBL!$A:$A,0))</f>
        <v>Tracy</v>
      </c>
      <c r="AY12" s="142" t="str">
        <f>INDEX(CarrierDriverTBL!$O:$O,MATCH(Table1[[#This Row],[DriverID]],CarrierDriverTBL!$A:$A,0))</f>
        <v>CA</v>
      </c>
      <c r="AZ12" s="142">
        <f>INDEX(CarrierDriverTBL!$P:$P,MATCH(Table1[[#This Row],[DriverID]],CarrierDriverTBL!$A:$A,0))</f>
        <v>95377</v>
      </c>
      <c r="BA12" s="142" t="str">
        <f>INDEX(CarrierDriverTBL!$Q:$Q,MATCH(Table1[[#This Row],[DriverID]],CarrierDriverTBL!$A:$A,0))</f>
        <v>US</v>
      </c>
      <c r="BB12" s="176" t="str">
        <f>INDEX(CarrierDriverTBL!$R:$R,MATCH(Table1[[#This Row],[DriverID]],CarrierDriverTBL!$A:$A,0))</f>
        <v>ubgollc@gmail.com</v>
      </c>
      <c r="BC12" s="160">
        <f>INDEX(CarrierDriverTBL!$AB:$AB,MATCH(Table1[[#This Row],[DriverID]],CarrierDriverTBL!$A:$A,0))</f>
        <v>42167</v>
      </c>
      <c r="BD12" s="142" t="str">
        <f ca="1">INDEX(CarrierDriverTBL!$AD:$AD,MATCH(LoadMaster!$AN:$AN,CarrierDriverTBL!$A:$A,0))</f>
        <v>MISSING</v>
      </c>
      <c r="BE12" s="142">
        <f>INDEX(CarrierDriverTBL!$AE:$AE,MATCH(Table1[DriverID],CarrierDriverTBL!$A:$A,0))</f>
        <v>913971</v>
      </c>
      <c r="BF12" s="142">
        <f>INDEX(CarrierDriverTBL!$AF:$AF,MATCH(Table1[DriverID],CarrierDriverTBL!$A:$A,0))</f>
        <v>2627544</v>
      </c>
      <c r="BG12" s="142">
        <f>INDEX(CarrierDriverTBL!$AG:$AG,MATCH(Table1[DriverID],CarrierDriverTBL!$A:$A,0))</f>
        <v>466133</v>
      </c>
      <c r="BH12" s="142" t="str">
        <f>INDEX(CarrierDriverTBL!$AH:$AH,MATCH(Table1[DriverID],CarrierDriverTBL!$A:$A,0))</f>
        <v>GM Lawrence Ins</v>
      </c>
      <c r="BI12" s="142" t="str">
        <f>INDEX(CarrierDriverTBL!$AI:$AI,MATCH(Table1[DriverID],CarrierDriverTBL!$A:$A,0))</f>
        <v>DSK2842P160210</v>
      </c>
      <c r="BJ12" s="160">
        <f>INDEX(CarrierDriverTBL!$AJ:$AJ,MATCH(Table1[[#This Row],[DriverID]],CarrierDriverTBL!$A:$A,0))</f>
        <v>42778</v>
      </c>
      <c r="BK12" s="10">
        <f t="shared" si="2"/>
        <v>594</v>
      </c>
      <c r="BL12" s="174">
        <v>525</v>
      </c>
      <c r="BM12" s="144">
        <v>158</v>
      </c>
      <c r="BN12" s="159">
        <f t="shared" si="3"/>
        <v>3.3227848101265822</v>
      </c>
      <c r="BO12" s="167">
        <v>475</v>
      </c>
      <c r="BP12" s="159">
        <f t="shared" si="4"/>
        <v>3.0063291139240507</v>
      </c>
      <c r="BQ12" s="66">
        <v>3.12</v>
      </c>
      <c r="BR12" s="166">
        <f t="shared" si="5"/>
        <v>0.20333333333333337</v>
      </c>
      <c r="BS12" s="167">
        <f t="shared" si="6"/>
        <v>2.8029957805907175</v>
      </c>
      <c r="BT12" s="159">
        <f t="shared" si="7"/>
        <v>32.126666666666672</v>
      </c>
      <c r="BU12" s="10" t="str">
        <f t="shared" si="8"/>
        <v>Ch Robinson</v>
      </c>
      <c r="BV12" s="15"/>
      <c r="BW12" s="4" t="str">
        <f>Table1[[#This Row],[BrokerAddress]]</f>
        <v>P.O. Box 3474</v>
      </c>
      <c r="BX12" s="4" t="str">
        <f t="shared" si="9"/>
        <v>Chicago</v>
      </c>
      <c r="BY12" s="4" t="str">
        <f t="shared" si="10"/>
        <v>Il</v>
      </c>
      <c r="BZ12" s="4">
        <f t="shared" si="11"/>
        <v>60654</v>
      </c>
      <c r="CA12" s="10" t="str">
        <f t="shared" si="12"/>
        <v>US</v>
      </c>
      <c r="CB12" s="4" t="s">
        <v>131</v>
      </c>
      <c r="CC12" s="62"/>
      <c r="CD12" s="15" t="s">
        <v>132</v>
      </c>
      <c r="CE12" s="64">
        <v>0</v>
      </c>
      <c r="CF12" s="4">
        <v>0</v>
      </c>
      <c r="CG12" s="132">
        <f t="shared" si="13"/>
        <v>0</v>
      </c>
      <c r="CH12" s="4" t="s">
        <v>132</v>
      </c>
      <c r="CI12" s="5">
        <v>0</v>
      </c>
      <c r="CJ12" s="4">
        <v>0</v>
      </c>
      <c r="CK12" s="132">
        <f t="shared" si="14"/>
        <v>0</v>
      </c>
      <c r="CL12" s="4" t="s">
        <v>132</v>
      </c>
      <c r="CM12" s="5">
        <v>0</v>
      </c>
      <c r="CN12" s="4">
        <v>0</v>
      </c>
      <c r="CO12" s="132">
        <f t="shared" si="15"/>
        <v>0</v>
      </c>
      <c r="CP12" s="4" t="s">
        <v>132</v>
      </c>
      <c r="CQ12" s="5">
        <v>0</v>
      </c>
      <c r="CR12" s="4">
        <v>0</v>
      </c>
      <c r="CS12" s="132">
        <f t="shared" si="16"/>
        <v>0</v>
      </c>
      <c r="CT12" s="159">
        <f t="shared" si="17"/>
        <v>0</v>
      </c>
      <c r="CU12" s="168">
        <f t="shared" si="18"/>
        <v>525</v>
      </c>
      <c r="CV12" s="169">
        <f>(90*CT12)/100</f>
        <v>0</v>
      </c>
      <c r="CW12" s="82">
        <f t="shared" si="22"/>
        <v>475</v>
      </c>
      <c r="CX12" s="79">
        <f>IF(ISBLANK(E12),"AddQuickPay",IF(E12=2,CU12*0.98,IF(E12=2.4,CU12*0.976,IF(E12=3,CU12*0.97,IF(E12=5,CU12*0.95,IF(E12=1.5,CU12*0.985,IF(E12=2.5,CU12*0.975,IF(E12=1.3,CU12*0.987,IF(E12=1,CU12*0.99,IF(E12=4,CU12*0.96,CU12*1))))))))))-Table1[[#This Row],[ComCheck+QuickPayFee]]</f>
        <v>514.5</v>
      </c>
      <c r="CY12" s="167">
        <f t="shared" si="19"/>
        <v>50</v>
      </c>
      <c r="CZ12" s="5">
        <f t="shared" si="20"/>
        <v>10.5</v>
      </c>
      <c r="DA12" s="258">
        <f>Table1[[#This Row],[OriginalDispatch]]-Table1[[#This Row],[QuickPayCharge]]</f>
        <v>39.5</v>
      </c>
      <c r="DB12" s="5">
        <v>0</v>
      </c>
      <c r="DC12" s="5" t="s">
        <v>133</v>
      </c>
      <c r="DD12" s="104">
        <f t="shared" si="21"/>
        <v>42188</v>
      </c>
      <c r="DE12" s="15">
        <f>MONTH(Table1[[#This Row],[Weekending]])</f>
        <v>7</v>
      </c>
      <c r="DF12" s="15">
        <f>YEAR(Table1[[#This Row],[Weekending]])</f>
        <v>2015</v>
      </c>
      <c r="DG12" s="4"/>
    </row>
    <row r="13" spans="1:111">
      <c r="A13" s="20" t="str">
        <f t="shared" si="0"/>
        <v>586425</v>
      </c>
      <c r="B13" s="146">
        <v>42181</v>
      </c>
      <c r="C13" s="144">
        <v>176007458</v>
      </c>
      <c r="D13" s="298" t="s">
        <v>111</v>
      </c>
      <c r="E13" s="298">
        <v>2</v>
      </c>
      <c r="F13" s="298" t="str">
        <f>INDEX(BrokerTBL!$B:$B,MATCH(D13,BrokerTBL!$A:$A,0))</f>
        <v>P.O. Box 3474</v>
      </c>
      <c r="G13" s="298" t="str">
        <f>INDEX(BrokerTBL!$C:$C,MATCH(D13,BrokerTBL!$A:$A,0))</f>
        <v>Chicago</v>
      </c>
      <c r="H13" s="298" t="str">
        <f>INDEX(BrokerTBL!$D:$D,MATCH(D13,BrokerTBL!$A:$A,0))</f>
        <v>Il</v>
      </c>
      <c r="I13" s="298" t="str">
        <f>INDEX(BrokerTBL!$E:$E,MATCH(D13,BrokerTBL!$A:$A,0))</f>
        <v>US</v>
      </c>
      <c r="J13" s="298">
        <f>INDEX(BrokerTBL!$F:$F,MATCH(D13,BrokerTBL!$A:$A,0))</f>
        <v>60654</v>
      </c>
      <c r="K13" s="298" t="s">
        <v>259</v>
      </c>
      <c r="L13" s="145" t="s">
        <v>260</v>
      </c>
      <c r="M13" s="146">
        <v>42184</v>
      </c>
      <c r="N13" s="144" t="s">
        <v>261</v>
      </c>
      <c r="O13" s="298" t="s">
        <v>262</v>
      </c>
      <c r="P13" s="298" t="s">
        <v>263</v>
      </c>
      <c r="Q13" s="298" t="s">
        <v>264</v>
      </c>
      <c r="R13" s="298">
        <v>89431</v>
      </c>
      <c r="S13" s="298" t="s">
        <v>118</v>
      </c>
      <c r="T13" s="298" t="s">
        <v>265</v>
      </c>
      <c r="U13" s="298" t="s">
        <v>120</v>
      </c>
      <c r="V13" s="298">
        <v>53</v>
      </c>
      <c r="W13" s="298" t="s">
        <v>266</v>
      </c>
      <c r="X13" s="144" t="s">
        <v>267</v>
      </c>
      <c r="Y13" s="298" t="s">
        <v>26</v>
      </c>
      <c r="Z13" s="298" t="s">
        <v>268</v>
      </c>
      <c r="AA13" s="298" t="s">
        <v>123</v>
      </c>
      <c r="AB13" s="298" t="s">
        <v>123</v>
      </c>
      <c r="AC13" s="298" t="s">
        <v>269</v>
      </c>
      <c r="AD13" s="145"/>
      <c r="AE13" s="146">
        <v>42185</v>
      </c>
      <c r="AF13" s="298" t="s">
        <v>270</v>
      </c>
      <c r="AG13" s="298" t="s">
        <v>271</v>
      </c>
      <c r="AH13" s="170" t="s">
        <v>272</v>
      </c>
      <c r="AI13" s="298" t="s">
        <v>273</v>
      </c>
      <c r="AJ13" s="298" t="s">
        <v>274</v>
      </c>
      <c r="AK13" s="298" t="s">
        <v>275</v>
      </c>
      <c r="AL13" s="298" t="s">
        <v>276</v>
      </c>
      <c r="AM13" s="171" t="str">
        <f>INDEX(CarrierDriverTBL!$B:$B,MATCH(Table1[[#This Row],[DriverID]],CarrierDriverTBL!$A:$A,0))</f>
        <v>BoyalTrucking</v>
      </c>
      <c r="AN13" s="10" t="s">
        <v>162</v>
      </c>
      <c r="AO13" s="171" t="str">
        <f>INDEX(CarrierDriverTBL!$C:$C,MATCH(Table1[[#This Row],[DriverID]],CarrierDriverTBL!$A:$A,0))</f>
        <v>Satnam</v>
      </c>
      <c r="AP13" s="171" t="str">
        <f>INDEX(CarrierDriverTBL!$D:$D,MATCH(Table1[[#This Row],[DriverID]],CarrierDriverTBL!$A:$A,0))</f>
        <v>Boyal</v>
      </c>
      <c r="AQ13" s="171" t="str">
        <f>INDEX(CarrierDriverTBL!$X:$X,MATCH(Table1[[#This Row],[DriverID]],CarrierDriverTBL!$A:$A,0))</f>
        <v>B8245525</v>
      </c>
      <c r="AR13" s="172">
        <f>INDEX(CarrierDriverTBL!$Y:$Y,MATCH(Table1[[#This Row],[DriverID]],CarrierDriverTBL!$A:$A,0))</f>
        <v>42415</v>
      </c>
      <c r="AS13" s="142" t="str">
        <f t="shared" si="1"/>
        <v>GOOD</v>
      </c>
      <c r="AT13" s="172" t="str">
        <f>INDEX(CarrierDriverTBL!$E:$E,MATCH(Table1[[#This Row],[DriverID]],CarrierDriverTBL!$A:$A,0))</f>
        <v>MISSING</v>
      </c>
      <c r="AU13" s="163" t="str">
        <f ca="1">INDEX(CarrierDriverTBL!$F:$F,MATCH(Table1[[#This Row],[DriverID]],CarrierDriverTBL!$A:$A,0))</f>
        <v>MISSING</v>
      </c>
      <c r="AV13" s="171" t="str">
        <f>INDEX(CarrierDriverTBL!$K:$K,MATCH(Table1[[#This Row],[DriverID]],CarrierDriverTBL!$A:$A,0))</f>
        <v>209-589-5951</v>
      </c>
      <c r="AW13" s="171" t="str">
        <f>INDEX(CarrierDriverTBL!$M:$M,MATCH(Table1[[#This Row],[DriverID]],CarrierDriverTBL!$A:$A,0))</f>
        <v>2821 jubliee Drive</v>
      </c>
      <c r="AX13" s="171" t="str">
        <f>INDEX(CarrierDriverTBL!$N:$N,MATCH(Table1[[#This Row],[DriverID]],CarrierDriverTBL!$A:$A,0))</f>
        <v>Turlock</v>
      </c>
      <c r="AY13" s="171" t="str">
        <f>INDEX(CarrierDriverTBL!$O:$O,MATCH(Table1[[#This Row],[DriverID]],CarrierDriverTBL!$A:$A,0))</f>
        <v>CA</v>
      </c>
      <c r="AZ13" s="171">
        <f>INDEX(CarrierDriverTBL!$P:$P,MATCH(Table1[[#This Row],[DriverID]],CarrierDriverTBL!$A:$A,0))</f>
        <v>95380</v>
      </c>
      <c r="BA13" s="171" t="str">
        <f>INDEX(CarrierDriverTBL!$Q:$Q,MATCH(Table1[[#This Row],[DriverID]],CarrierDriverTBL!$A:$A,0))</f>
        <v>US</v>
      </c>
      <c r="BB13" s="173" t="str">
        <f>INDEX(CarrierDriverTBL!$R:$R,MATCH(Table1[[#This Row],[DriverID]],CarrierDriverTBL!$A:$A,0))</f>
        <v>samboyal@yahoo.com</v>
      </c>
      <c r="BC13" s="160" t="str">
        <f>INDEX(CarrierDriverTBL!$AB:$AB,MATCH(Table1[[#This Row],[DriverID]],CarrierDriverTBL!$A:$A,0))</f>
        <v>Missing</v>
      </c>
      <c r="BD13" s="142" t="str">
        <f ca="1">INDEX(CarrierDriverTBL!$AD:$AD,MATCH(LoadMaster!$AN:$AN,CarrierDriverTBL!$A:$A,0))</f>
        <v>MISSING</v>
      </c>
      <c r="BE13" s="171">
        <f>INDEX(CarrierDriverTBL!$AE:$AE,MATCH(Table1[DriverID],CarrierDriverTBL!$A:$A,0))</f>
        <v>748016</v>
      </c>
      <c r="BF13" s="171">
        <f>INDEX(CarrierDriverTBL!$AF:$AF,MATCH(Table1[DriverID],CarrierDriverTBL!$A:$A,0))</f>
        <v>1978408</v>
      </c>
      <c r="BG13" s="10" t="str">
        <f>INDEX(CarrierDriverTBL!$AG:$AG,MATCH(Table1[DriverID],CarrierDriverTBL!$A:$A,0))</f>
        <v>Missing</v>
      </c>
      <c r="BH13" s="171" t="str">
        <f>INDEX(CarrierDriverTBL!$AH:$AH,MATCH(Table1[DriverID],CarrierDriverTBL!$A:$A,0))</f>
        <v>Sentry Insurance</v>
      </c>
      <c r="BI13" s="171" t="str">
        <f>INDEX(CarrierDriverTBL!$AI:$AI,MATCH(Table1[DriverID],CarrierDriverTBL!$A:$A,0))</f>
        <v>A0036221001</v>
      </c>
      <c r="BJ13" s="20">
        <f>INDEX(CarrierDriverTBL!$AJ:$AJ,MATCH(Table1[[#This Row],[DriverID]],CarrierDriverTBL!$A:$A,0))</f>
        <v>42479</v>
      </c>
      <c r="BK13" s="10">
        <f t="shared" si="2"/>
        <v>295</v>
      </c>
      <c r="BL13" s="174">
        <v>1050</v>
      </c>
      <c r="BM13" s="144">
        <v>347</v>
      </c>
      <c r="BN13" s="159">
        <f t="shared" si="3"/>
        <v>3.0259365994236309</v>
      </c>
      <c r="BO13" s="167">
        <v>975</v>
      </c>
      <c r="BP13" s="159">
        <f t="shared" si="4"/>
        <v>2.809798270893372</v>
      </c>
      <c r="BQ13" s="66">
        <v>3.12</v>
      </c>
      <c r="BR13" s="166">
        <f t="shared" si="5"/>
        <v>0.20333333333333337</v>
      </c>
      <c r="BS13" s="167">
        <f t="shared" si="6"/>
        <v>2.6064649375600384</v>
      </c>
      <c r="BT13" s="159">
        <f t="shared" si="7"/>
        <v>70.556666666666672</v>
      </c>
      <c r="BU13" s="10" t="str">
        <f t="shared" si="8"/>
        <v>Ch Robinson</v>
      </c>
      <c r="BV13" s="15"/>
      <c r="BW13" s="4" t="str">
        <f>Table1[[#This Row],[BrokerAddress]]</f>
        <v>P.O. Box 3474</v>
      </c>
      <c r="BX13" s="4" t="str">
        <f t="shared" si="9"/>
        <v>Chicago</v>
      </c>
      <c r="BY13" s="4" t="str">
        <f t="shared" si="10"/>
        <v>Il</v>
      </c>
      <c r="BZ13" s="4">
        <f t="shared" si="11"/>
        <v>60654</v>
      </c>
      <c r="CA13" s="10" t="str">
        <f t="shared" si="12"/>
        <v>US</v>
      </c>
      <c r="CB13" s="4" t="s">
        <v>131</v>
      </c>
      <c r="CC13" s="62"/>
      <c r="CD13" s="15" t="s">
        <v>132</v>
      </c>
      <c r="CE13" s="64">
        <v>0</v>
      </c>
      <c r="CF13" s="4">
        <v>0</v>
      </c>
      <c r="CG13" s="132">
        <f t="shared" si="13"/>
        <v>0</v>
      </c>
      <c r="CH13" s="4" t="s">
        <v>132</v>
      </c>
      <c r="CI13" s="5">
        <v>0</v>
      </c>
      <c r="CJ13" s="4">
        <v>0</v>
      </c>
      <c r="CK13" s="132">
        <f t="shared" si="14"/>
        <v>0</v>
      </c>
      <c r="CL13" s="4" t="s">
        <v>132</v>
      </c>
      <c r="CM13" s="5">
        <v>0</v>
      </c>
      <c r="CN13" s="4">
        <v>0</v>
      </c>
      <c r="CO13" s="132">
        <f t="shared" si="15"/>
        <v>0</v>
      </c>
      <c r="CP13" s="4" t="s">
        <v>277</v>
      </c>
      <c r="CQ13" s="5">
        <v>100</v>
      </c>
      <c r="CR13" s="4">
        <v>1</v>
      </c>
      <c r="CS13" s="132">
        <f t="shared" si="16"/>
        <v>100</v>
      </c>
      <c r="CT13" s="159">
        <f t="shared" si="17"/>
        <v>100</v>
      </c>
      <c r="CU13" s="168">
        <f t="shared" si="18"/>
        <v>1150</v>
      </c>
      <c r="CV13" s="169">
        <v>75</v>
      </c>
      <c r="CW13" s="82">
        <f t="shared" si="22"/>
        <v>1050</v>
      </c>
      <c r="CX13" s="79">
        <f>IF(ISBLANK(E13),"AddQuickPay",IF(E13=2,CU13*0.98,IF(E13=2.4,CU13*0.976,IF(E13=3,CU13*0.97,IF(E13=5,CU13*0.95,IF(E13=1.5,CU13*0.985,IF(E13=2.5,CU13*0.975,IF(E13=1.3,CU13*0.987,IF(E13=1,CU13*0.99,IF(E13=4,CU13*0.96,CU13*1))))))))))-Table1[[#This Row],[ComCheck+QuickPayFee]]</f>
        <v>1127</v>
      </c>
      <c r="CY13" s="167">
        <f t="shared" si="19"/>
        <v>100</v>
      </c>
      <c r="CZ13" s="5">
        <f t="shared" si="20"/>
        <v>23</v>
      </c>
      <c r="DA13" s="258">
        <f>Table1[[#This Row],[OriginalDispatch]]-Table1[[#This Row],[QuickPayCharge]]</f>
        <v>77</v>
      </c>
      <c r="DB13" s="5">
        <v>0</v>
      </c>
      <c r="DC13" s="5" t="s">
        <v>133</v>
      </c>
      <c r="DD13" s="104">
        <f t="shared" si="21"/>
        <v>42188</v>
      </c>
      <c r="DE13" s="15">
        <f>MONTH(Table1[[#This Row],[Weekending]])</f>
        <v>7</v>
      </c>
      <c r="DF13" s="15">
        <f>YEAR(Table1[[#This Row],[Weekending]])</f>
        <v>2015</v>
      </c>
      <c r="DG13" s="4"/>
    </row>
    <row r="14" spans="1:111">
      <c r="A14" s="20" t="str">
        <f t="shared" si="0"/>
        <v>93049</v>
      </c>
      <c r="B14" s="146">
        <v>42184</v>
      </c>
      <c r="C14" s="144">
        <v>154093</v>
      </c>
      <c r="D14" s="298" t="s">
        <v>278</v>
      </c>
      <c r="E14" s="298">
        <v>5</v>
      </c>
      <c r="F14" s="298" t="str">
        <f>INDEX(BrokerTBL!$B:$B,MATCH(D14,BrokerTBL!$A:$A,0))</f>
        <v>P.O Box 94520</v>
      </c>
      <c r="G14" s="298" t="str">
        <f>INDEX(BrokerTBL!$C:$C,MATCH(D14,BrokerTBL!$A:$A,0))</f>
        <v>North Little Rock</v>
      </c>
      <c r="H14" s="298" t="str">
        <f>INDEX(BrokerTBL!$D:$D,MATCH(D14,BrokerTBL!$A:$A,0))</f>
        <v>Ar</v>
      </c>
      <c r="I14" s="298" t="str">
        <f>INDEX(BrokerTBL!$E:$E,MATCH(D14,BrokerTBL!$A:$A,0))</f>
        <v>US</v>
      </c>
      <c r="J14" s="298">
        <f>INDEX(BrokerTBL!$F:$F,MATCH(D14,BrokerTBL!$A:$A,0))</f>
        <v>72190</v>
      </c>
      <c r="K14" s="298" t="s">
        <v>279</v>
      </c>
      <c r="L14" s="145">
        <v>0</v>
      </c>
      <c r="M14" s="146">
        <v>42184</v>
      </c>
      <c r="N14" s="144" t="s">
        <v>280</v>
      </c>
      <c r="O14" s="298" t="s">
        <v>281</v>
      </c>
      <c r="P14" s="298" t="s">
        <v>282</v>
      </c>
      <c r="Q14" s="298" t="s">
        <v>139</v>
      </c>
      <c r="R14" s="298">
        <v>94565</v>
      </c>
      <c r="S14" s="298" t="s">
        <v>118</v>
      </c>
      <c r="T14" s="298" t="s">
        <v>283</v>
      </c>
      <c r="U14" s="298" t="s">
        <v>120</v>
      </c>
      <c r="V14" s="298">
        <v>53</v>
      </c>
      <c r="W14" s="298" t="s">
        <v>136</v>
      </c>
      <c r="X14" s="144">
        <v>30103</v>
      </c>
      <c r="Y14" s="298" t="s">
        <v>123</v>
      </c>
      <c r="Z14" s="298" t="s">
        <v>123</v>
      </c>
      <c r="AA14" s="298" t="s">
        <v>123</v>
      </c>
      <c r="AB14" s="298" t="s">
        <v>123</v>
      </c>
      <c r="AC14" s="298" t="s">
        <v>284</v>
      </c>
      <c r="AD14" s="145"/>
      <c r="AE14" s="146">
        <v>42185</v>
      </c>
      <c r="AF14" s="298" t="s">
        <v>285</v>
      </c>
      <c r="AG14" s="298" t="s">
        <v>286</v>
      </c>
      <c r="AH14" s="298" t="s">
        <v>160</v>
      </c>
      <c r="AI14" s="298" t="s">
        <v>139</v>
      </c>
      <c r="AJ14" s="298">
        <v>94533</v>
      </c>
      <c r="AK14" s="298" t="s">
        <v>118</v>
      </c>
      <c r="AL14" s="298" t="s">
        <v>287</v>
      </c>
      <c r="AM14" s="142" t="str">
        <f>INDEX(CarrierDriverTBL!$B:$B,MATCH(Table1[[#This Row],[DriverID]],CarrierDriverTBL!$A:$A,0))</f>
        <v>UBTrucking</v>
      </c>
      <c r="AN14" s="10" t="s">
        <v>192</v>
      </c>
      <c r="AO14" s="142" t="str">
        <f>INDEX(CarrierDriverTBL!$C:$C,MATCH(Table1[[#This Row],[DriverID]],CarrierDriverTBL!$A:$A,0))</f>
        <v>Albel</v>
      </c>
      <c r="AP14" s="142" t="str">
        <f>INDEX(CarrierDriverTBL!$D:$D,MATCH(Table1[[#This Row],[DriverID]],CarrierDriverTBL!$A:$A,0))</f>
        <v>Chahil</v>
      </c>
      <c r="AQ14" s="142" t="str">
        <f>INDEX(CarrierDriverTBL!$X:$X,MATCH(Table1[[#This Row],[DriverID]],CarrierDriverTBL!$A:$A,0))</f>
        <v>A8390649</v>
      </c>
      <c r="AR14" s="160">
        <f>INDEX(CarrierDriverTBL!$Y:$Y,MATCH(Table1[[#This Row],[DriverID]],CarrierDriverTBL!$A:$A,0))</f>
        <v>42402</v>
      </c>
      <c r="AS14" s="142" t="str">
        <f t="shared" si="1"/>
        <v>GOOD</v>
      </c>
      <c r="AT14" s="160">
        <f>INDEX(CarrierDriverTBL!$E:$E,MATCH(Table1[[#This Row],[DriverID]],CarrierDriverTBL!$A:$A,0))</f>
        <v>22314</v>
      </c>
      <c r="AU14" s="163">
        <f ca="1">INDEX(CarrierDriverTBL!$F:$F,MATCH(Table1[[#This Row],[DriverID]],CarrierDriverTBL!$A:$A,0))</f>
        <v>55.512328767123286</v>
      </c>
      <c r="AV14" s="142" t="str">
        <f>INDEX(CarrierDriverTBL!$K:$K,MATCH(Table1[[#This Row],[DriverID]],CarrierDriverTBL!$A:$A,0))</f>
        <v>510-773-9450</v>
      </c>
      <c r="AW14" s="142" t="str">
        <f>INDEX(CarrierDriverTBL!$M:$M,MATCH(Table1[[#This Row],[DriverID]],CarrierDriverTBL!$A:$A,0))</f>
        <v>3124 Cynthia CT</v>
      </c>
      <c r="AX14" s="142" t="str">
        <f>INDEX(CarrierDriverTBL!$N:$N,MATCH(Table1[[#This Row],[DriverID]],CarrierDriverTBL!$A:$A,0))</f>
        <v>Tracy</v>
      </c>
      <c r="AY14" s="142" t="str">
        <f>INDEX(CarrierDriverTBL!$O:$O,MATCH(Table1[[#This Row],[DriverID]],CarrierDriverTBL!$A:$A,0))</f>
        <v>CA</v>
      </c>
      <c r="AZ14" s="142">
        <f>INDEX(CarrierDriverTBL!$P:$P,MATCH(Table1[[#This Row],[DriverID]],CarrierDriverTBL!$A:$A,0))</f>
        <v>95377</v>
      </c>
      <c r="BA14" s="142" t="str">
        <f>INDEX(CarrierDriverTBL!$Q:$Q,MATCH(Table1[[#This Row],[DriverID]],CarrierDriverTBL!$A:$A,0))</f>
        <v>US</v>
      </c>
      <c r="BB14" s="176" t="str">
        <f>INDEX(CarrierDriverTBL!$R:$R,MATCH(Table1[[#This Row],[DriverID]],CarrierDriverTBL!$A:$A,0))</f>
        <v>ubgollc@gmail.com</v>
      </c>
      <c r="BC14" s="160">
        <f>INDEX(CarrierDriverTBL!$AB:$AB,MATCH(Table1[[#This Row],[DriverID]],CarrierDriverTBL!$A:$A,0))</f>
        <v>42167</v>
      </c>
      <c r="BD14" s="142" t="str">
        <f ca="1">INDEX(CarrierDriverTBL!$AD:$AD,MATCH(LoadMaster!$AN:$AN,CarrierDriverTBL!$A:$A,0))</f>
        <v>MISSING</v>
      </c>
      <c r="BE14" s="142">
        <f>INDEX(CarrierDriverTBL!$AE:$AE,MATCH(Table1[DriverID],CarrierDriverTBL!$A:$A,0))</f>
        <v>913971</v>
      </c>
      <c r="BF14" s="142">
        <f>INDEX(CarrierDriverTBL!$AF:$AF,MATCH(Table1[DriverID],CarrierDriverTBL!$A:$A,0))</f>
        <v>2627544</v>
      </c>
      <c r="BG14" s="142">
        <f>INDEX(CarrierDriverTBL!$AG:$AG,MATCH(Table1[DriverID],CarrierDriverTBL!$A:$A,0))</f>
        <v>466133</v>
      </c>
      <c r="BH14" s="142" t="str">
        <f>INDEX(CarrierDriverTBL!$AH:$AH,MATCH(Table1[DriverID],CarrierDriverTBL!$A:$A,0))</f>
        <v>GM Lawrence Ins</v>
      </c>
      <c r="BI14" s="142" t="str">
        <f>INDEX(CarrierDriverTBL!$AI:$AI,MATCH(Table1[DriverID],CarrierDriverTBL!$A:$A,0))</f>
        <v>DSK2842P160210</v>
      </c>
      <c r="BJ14" s="160">
        <f>INDEX(CarrierDriverTBL!$AJ:$AJ,MATCH(Table1[[#This Row],[DriverID]],CarrierDriverTBL!$A:$A,0))</f>
        <v>42778</v>
      </c>
      <c r="BK14" s="10">
        <f t="shared" si="2"/>
        <v>594</v>
      </c>
      <c r="BL14" s="174">
        <v>325</v>
      </c>
      <c r="BM14" s="144">
        <v>35</v>
      </c>
      <c r="BN14" s="159">
        <f t="shared" si="3"/>
        <v>9.2857142857142865</v>
      </c>
      <c r="BO14" s="167">
        <v>275</v>
      </c>
      <c r="BP14" s="159">
        <f t="shared" si="4"/>
        <v>7.8571428571428568</v>
      </c>
      <c r="BQ14" s="66">
        <v>3.12</v>
      </c>
      <c r="BR14" s="166">
        <f t="shared" si="5"/>
        <v>0.20333333333333337</v>
      </c>
      <c r="BS14" s="167">
        <f t="shared" si="6"/>
        <v>7.6538095238095236</v>
      </c>
      <c r="BT14" s="159">
        <f t="shared" si="7"/>
        <v>7.116666666666668</v>
      </c>
      <c r="BU14" s="10" t="str">
        <f t="shared" si="8"/>
        <v>Pinnacle Transportation Logistics</v>
      </c>
      <c r="BV14" s="15"/>
      <c r="BW14" s="4" t="str">
        <f>Table1[[#This Row],[BrokerAddress]]</f>
        <v>P.O Box 94520</v>
      </c>
      <c r="BX14" s="4" t="str">
        <f t="shared" si="9"/>
        <v>North Little Rock</v>
      </c>
      <c r="BY14" s="4" t="str">
        <f t="shared" si="10"/>
        <v>Ar</v>
      </c>
      <c r="BZ14" s="4">
        <f t="shared" si="11"/>
        <v>72190</v>
      </c>
      <c r="CA14" s="10" t="str">
        <f t="shared" si="12"/>
        <v>US</v>
      </c>
      <c r="CB14" s="4" t="s">
        <v>131</v>
      </c>
      <c r="CC14" s="62"/>
      <c r="CD14" s="15" t="s">
        <v>132</v>
      </c>
      <c r="CE14" s="64">
        <v>0</v>
      </c>
      <c r="CF14" s="4">
        <v>0</v>
      </c>
      <c r="CG14" s="132">
        <f t="shared" si="13"/>
        <v>0</v>
      </c>
      <c r="CH14" s="4" t="s">
        <v>132</v>
      </c>
      <c r="CI14" s="5">
        <v>0</v>
      </c>
      <c r="CJ14" s="4">
        <v>0</v>
      </c>
      <c r="CK14" s="132">
        <f t="shared" si="14"/>
        <v>0</v>
      </c>
      <c r="CL14" s="4" t="s">
        <v>132</v>
      </c>
      <c r="CM14" s="5">
        <v>0</v>
      </c>
      <c r="CN14" s="4">
        <v>0</v>
      </c>
      <c r="CO14" s="132">
        <f t="shared" si="15"/>
        <v>0</v>
      </c>
      <c r="CP14" s="4" t="s">
        <v>132</v>
      </c>
      <c r="CQ14" s="5">
        <v>0</v>
      </c>
      <c r="CR14" s="4">
        <v>0</v>
      </c>
      <c r="CS14" s="132">
        <f t="shared" si="16"/>
        <v>0</v>
      </c>
      <c r="CT14" s="159">
        <f t="shared" si="17"/>
        <v>0</v>
      </c>
      <c r="CU14" s="168">
        <f t="shared" si="18"/>
        <v>325</v>
      </c>
      <c r="CV14" s="169">
        <f>(90*CT14)/100</f>
        <v>0</v>
      </c>
      <c r="CW14" s="82">
        <v>308.75</v>
      </c>
      <c r="CX14" s="79">
        <f>IF(ISBLANK(E14),"AddQuickPay",IF(E14=2,CU14*0.98,IF(E14=2.4,CU14*0.976,IF(E14=3,CU14*0.97,IF(E14=5,CU14*0.95,IF(E14=1.5,CU14*0.985,IF(E14=2.5,CU14*0.975,IF(E14=1.3,CU14*0.987,IF(E14=1,CU14*0.99,IF(E14=4,CU14*0.96,CU14*1))))))))))-Table1[[#This Row],[ComCheck+QuickPayFee]]</f>
        <v>308.75</v>
      </c>
      <c r="CY14" s="167">
        <f t="shared" si="19"/>
        <v>16.25</v>
      </c>
      <c r="CZ14" s="5">
        <f t="shared" si="20"/>
        <v>16.25</v>
      </c>
      <c r="DA14" s="258">
        <f>Table1[[#This Row],[OriginalDispatch]]-Table1[[#This Row],[QuickPayCharge]]</f>
        <v>0</v>
      </c>
      <c r="DB14" s="5">
        <v>0</v>
      </c>
      <c r="DC14" s="5" t="s">
        <v>133</v>
      </c>
      <c r="DD14" s="104">
        <f t="shared" si="21"/>
        <v>42188</v>
      </c>
      <c r="DE14" s="15">
        <f>MONTH(Table1[[#This Row],[Weekending]])</f>
        <v>7</v>
      </c>
      <c r="DF14" s="15">
        <f>YEAR(Table1[[#This Row],[Weekending]])</f>
        <v>2015</v>
      </c>
      <c r="DG14" s="4"/>
    </row>
    <row r="15" spans="1:111">
      <c r="A15" s="20" t="str">
        <f t="shared" si="0"/>
        <v>65878725</v>
      </c>
      <c r="B15" s="146">
        <v>42185</v>
      </c>
      <c r="C15" s="144">
        <v>176272465</v>
      </c>
      <c r="D15" s="298" t="s">
        <v>111</v>
      </c>
      <c r="E15" s="298">
        <v>2</v>
      </c>
      <c r="F15" s="298" t="str">
        <f>INDEX(BrokerTBL!$B:$B,MATCH(D15,BrokerTBL!$A:$A,0))</f>
        <v>P.O. Box 3474</v>
      </c>
      <c r="G15" s="298" t="str">
        <f>INDEX(BrokerTBL!$C:$C,MATCH(D15,BrokerTBL!$A:$A,0))</f>
        <v>Chicago</v>
      </c>
      <c r="H15" s="298" t="str">
        <f>INDEX(BrokerTBL!$D:$D,MATCH(D15,BrokerTBL!$A:$A,0))</f>
        <v>Il</v>
      </c>
      <c r="I15" s="298" t="str">
        <f>INDEX(BrokerTBL!$E:$E,MATCH(D15,BrokerTBL!$A:$A,0))</f>
        <v>US</v>
      </c>
      <c r="J15" s="298">
        <f>INDEX(BrokerTBL!$F:$F,MATCH(D15,BrokerTBL!$A:$A,0))</f>
        <v>60654</v>
      </c>
      <c r="K15" s="298" t="s">
        <v>250</v>
      </c>
      <c r="L15" s="145">
        <v>5612787</v>
      </c>
      <c r="M15" s="146">
        <v>42185</v>
      </c>
      <c r="N15" s="144" t="s">
        <v>288</v>
      </c>
      <c r="O15" s="298" t="s">
        <v>252</v>
      </c>
      <c r="P15" s="298" t="s">
        <v>253</v>
      </c>
      <c r="Q15" s="298" t="s">
        <v>139</v>
      </c>
      <c r="R15" s="298">
        <v>93637</v>
      </c>
      <c r="S15" s="298" t="s">
        <v>118</v>
      </c>
      <c r="T15" s="298" t="s">
        <v>254</v>
      </c>
      <c r="U15" s="298" t="s">
        <v>120</v>
      </c>
      <c r="V15" s="298">
        <v>53</v>
      </c>
      <c r="W15" s="298" t="s">
        <v>289</v>
      </c>
      <c r="X15" s="144">
        <v>34880</v>
      </c>
      <c r="Y15" s="298" t="s">
        <v>26</v>
      </c>
      <c r="Z15" s="298">
        <v>24</v>
      </c>
      <c r="AA15" s="298">
        <v>24</v>
      </c>
      <c r="AB15" s="298" t="s">
        <v>123</v>
      </c>
      <c r="AC15" s="298" t="s">
        <v>290</v>
      </c>
      <c r="AD15" s="145">
        <v>5612787</v>
      </c>
      <c r="AE15" s="146">
        <v>42186</v>
      </c>
      <c r="AF15" s="298" t="s">
        <v>291</v>
      </c>
      <c r="AG15" s="298" t="s">
        <v>292</v>
      </c>
      <c r="AH15" s="298" t="s">
        <v>293</v>
      </c>
      <c r="AI15" s="298" t="s">
        <v>139</v>
      </c>
      <c r="AJ15" s="298">
        <v>95476</v>
      </c>
      <c r="AK15" s="298" t="s">
        <v>118</v>
      </c>
      <c r="AL15" s="298" t="s">
        <v>294</v>
      </c>
      <c r="AM15" s="131" t="str">
        <f>INDEX(CarrierDriverTBL!$B:$B,MATCH(Table1[[#This Row],[DriverID]],CarrierDriverTBL!$A:$A,0))</f>
        <v>BoyalTrucking</v>
      </c>
      <c r="AN15" s="10" t="s">
        <v>162</v>
      </c>
      <c r="AO15" s="416" t="str">
        <f>INDEX(CarrierDriverTBL!$C:$C,MATCH(Table1[[#This Row],[DriverID]],CarrierDriverTBL!$A:$A,0))</f>
        <v>Satnam</v>
      </c>
      <c r="AP15" s="131" t="str">
        <f>INDEX(CarrierDriverTBL!$D:$D,MATCH(Table1[[#This Row],[DriverID]],CarrierDriverTBL!$A:$A,0))</f>
        <v>Boyal</v>
      </c>
      <c r="AQ15" s="171" t="str">
        <f>INDEX(CarrierDriverTBL!$X:$X,MATCH(Table1[[#This Row],[DriverID]],CarrierDriverTBL!$A:$A,0))</f>
        <v>B8245525</v>
      </c>
      <c r="AR15" s="172">
        <f>INDEX(CarrierDriverTBL!$Y:$Y,MATCH(Table1[[#This Row],[DriverID]],CarrierDriverTBL!$A:$A,0))</f>
        <v>42415</v>
      </c>
      <c r="AS15" s="142" t="str">
        <f t="shared" si="1"/>
        <v>GOOD</v>
      </c>
      <c r="AT15" s="20" t="str">
        <f>INDEX(CarrierDriverTBL!$E:$E,MATCH(Table1[[#This Row],[DriverID]],CarrierDriverTBL!$A:$A,0))</f>
        <v>MISSING</v>
      </c>
      <c r="AU15" s="163" t="str">
        <f ca="1">INDEX(CarrierDriverTBL!$F:$F,MATCH(Table1[[#This Row],[DriverID]],CarrierDriverTBL!$A:$A,0))</f>
        <v>MISSING</v>
      </c>
      <c r="AV15" s="131" t="str">
        <f>INDEX(CarrierDriverTBL!$K:$K,MATCH(Table1[[#This Row],[DriverID]],CarrierDriverTBL!$A:$A,0))</f>
        <v>209-589-5951</v>
      </c>
      <c r="AW15" s="131" t="str">
        <f>INDEX(CarrierDriverTBL!$M:$M,MATCH(Table1[[#This Row],[DriverID]],CarrierDriverTBL!$A:$A,0))</f>
        <v>2821 jubliee Drive</v>
      </c>
      <c r="AX15" s="131" t="str">
        <f>INDEX(CarrierDriverTBL!$N:$N,MATCH(Table1[[#This Row],[DriverID]],CarrierDriverTBL!$A:$A,0))</f>
        <v>Turlock</v>
      </c>
      <c r="AY15" s="131" t="str">
        <f>INDEX(CarrierDriverTBL!$O:$O,MATCH(Table1[[#This Row],[DriverID]],CarrierDriverTBL!$A:$A,0))</f>
        <v>CA</v>
      </c>
      <c r="AZ15" s="131">
        <f>INDEX(CarrierDriverTBL!$P:$P,MATCH(Table1[[#This Row],[DriverID]],CarrierDriverTBL!$A:$A,0))</f>
        <v>95380</v>
      </c>
      <c r="BA15" s="131" t="str">
        <f>INDEX(CarrierDriverTBL!$Q:$Q,MATCH(Table1[[#This Row],[DriverID]],CarrierDriverTBL!$A:$A,0))</f>
        <v>US</v>
      </c>
      <c r="BB15" s="176" t="str">
        <f>INDEX(CarrierDriverTBL!$R:$R,MATCH(Table1[[#This Row],[DriverID]],CarrierDriverTBL!$A:$A,0))</f>
        <v>samboyal@yahoo.com</v>
      </c>
      <c r="BC15" s="160" t="str">
        <f>INDEX(CarrierDriverTBL!$AB:$AB,MATCH(Table1[[#This Row],[DriverID]],CarrierDriverTBL!$A:$A,0))</f>
        <v>Missing</v>
      </c>
      <c r="BD15" s="142" t="str">
        <f ca="1">INDEX(CarrierDriverTBL!$AD:$AD,MATCH(LoadMaster!$AN:$AN,CarrierDriverTBL!$A:$A,0))</f>
        <v>MISSING</v>
      </c>
      <c r="BE15" s="171">
        <f>INDEX(CarrierDriverTBL!$AE:$AE,MATCH(Table1[DriverID],CarrierDriverTBL!$A:$A,0))</f>
        <v>748016</v>
      </c>
      <c r="BF15" s="131">
        <f>INDEX(CarrierDriverTBL!$AF:$AF,MATCH(Table1[DriverID],CarrierDriverTBL!$A:$A,0))</f>
        <v>1978408</v>
      </c>
      <c r="BG15" s="131" t="str">
        <f>INDEX(CarrierDriverTBL!$AG:$AG,MATCH(Table1[DriverID],CarrierDriverTBL!$A:$A,0))</f>
        <v>Missing</v>
      </c>
      <c r="BH15" s="131" t="str">
        <f>INDEX(CarrierDriverTBL!$AH:$AH,MATCH(Table1[DriverID],CarrierDriverTBL!$A:$A,0))</f>
        <v>Sentry Insurance</v>
      </c>
      <c r="BI15" s="131" t="str">
        <f>INDEX(CarrierDriverTBL!$AI:$AI,MATCH(Table1[DriverID],CarrierDriverTBL!$A:$A,0))</f>
        <v>A0036221001</v>
      </c>
      <c r="BJ15" s="20">
        <f>INDEX(CarrierDriverTBL!$AJ:$AJ,MATCH(Table1[[#This Row],[DriverID]],CarrierDriverTBL!$A:$A,0))</f>
        <v>42479</v>
      </c>
      <c r="BK15" s="10">
        <f t="shared" si="2"/>
        <v>294</v>
      </c>
      <c r="BL15" s="174">
        <v>600</v>
      </c>
      <c r="BM15" s="144">
        <v>197</v>
      </c>
      <c r="BN15" s="159">
        <f t="shared" si="3"/>
        <v>3.0456852791878171</v>
      </c>
      <c r="BO15" s="167">
        <v>550</v>
      </c>
      <c r="BP15" s="159">
        <f t="shared" si="4"/>
        <v>2.7918781725888326</v>
      </c>
      <c r="BQ15" s="66">
        <v>3.12</v>
      </c>
      <c r="BR15" s="166">
        <f t="shared" si="5"/>
        <v>0.20333333333333337</v>
      </c>
      <c r="BS15" s="167">
        <f t="shared" si="6"/>
        <v>2.5885448392554995</v>
      </c>
      <c r="BT15" s="159">
        <f t="shared" si="7"/>
        <v>40.056666666666672</v>
      </c>
      <c r="BU15" s="10" t="str">
        <f t="shared" si="8"/>
        <v>Ch Robinson</v>
      </c>
      <c r="BV15" s="15"/>
      <c r="BW15" s="4" t="str">
        <f>Table1[[#This Row],[BrokerAddress]]</f>
        <v>P.O. Box 3474</v>
      </c>
      <c r="BX15" s="4" t="str">
        <f t="shared" si="9"/>
        <v>Chicago</v>
      </c>
      <c r="BY15" s="4" t="str">
        <f t="shared" si="10"/>
        <v>Il</v>
      </c>
      <c r="BZ15" s="4">
        <f t="shared" si="11"/>
        <v>60654</v>
      </c>
      <c r="CA15" s="10" t="str">
        <f t="shared" si="12"/>
        <v>US</v>
      </c>
      <c r="CB15" s="4" t="s">
        <v>131</v>
      </c>
      <c r="CC15" s="62"/>
      <c r="CD15" s="15" t="s">
        <v>132</v>
      </c>
      <c r="CE15" s="64">
        <v>0</v>
      </c>
      <c r="CF15" s="4">
        <v>0</v>
      </c>
      <c r="CG15" s="132">
        <f t="shared" si="13"/>
        <v>0</v>
      </c>
      <c r="CH15" s="4" t="s">
        <v>132</v>
      </c>
      <c r="CI15" s="5">
        <v>0</v>
      </c>
      <c r="CJ15" s="4">
        <v>0</v>
      </c>
      <c r="CK15" s="132">
        <f t="shared" si="14"/>
        <v>0</v>
      </c>
      <c r="CL15" s="4" t="s">
        <v>132</v>
      </c>
      <c r="CM15" s="5">
        <v>0</v>
      </c>
      <c r="CN15" s="4">
        <v>0</v>
      </c>
      <c r="CO15" s="132">
        <f t="shared" si="15"/>
        <v>0</v>
      </c>
      <c r="CP15" s="4" t="s">
        <v>132</v>
      </c>
      <c r="CQ15" s="5">
        <v>0</v>
      </c>
      <c r="CR15" s="4">
        <v>0</v>
      </c>
      <c r="CS15" s="132">
        <f t="shared" si="16"/>
        <v>0</v>
      </c>
      <c r="CT15" s="159">
        <f t="shared" si="17"/>
        <v>0</v>
      </c>
      <c r="CU15" s="168">
        <f t="shared" si="18"/>
        <v>600</v>
      </c>
      <c r="CV15" s="169">
        <f>(100*CT15)/100</f>
        <v>0</v>
      </c>
      <c r="CW15" s="82">
        <f>BO15+CV15</f>
        <v>550</v>
      </c>
      <c r="CX15" s="79">
        <f>IF(ISBLANK(E15),"AddQuickPay",IF(E15=2,CU15*0.98,IF(E15=2.4,CU15*0.976,IF(E15=3,CU15*0.97,IF(E15=5,CU15*0.95,IF(E15=1.5,CU15*0.985,IF(E15=2.5,CU15*0.975,IF(E15=1.3,CU15*0.987,IF(E15=1,CU15*0.99,IF(E15=4,CU15*0.96,CU15*1))))))))))-Table1[[#This Row],[ComCheck+QuickPayFee]]</f>
        <v>588</v>
      </c>
      <c r="CY15" s="167">
        <f t="shared" si="19"/>
        <v>50</v>
      </c>
      <c r="CZ15" s="5">
        <f t="shared" si="20"/>
        <v>12</v>
      </c>
      <c r="DA15" s="258">
        <f>Table1[[#This Row],[OriginalDispatch]]-Table1[[#This Row],[QuickPayCharge]]</f>
        <v>38</v>
      </c>
      <c r="DB15" s="5">
        <v>0</v>
      </c>
      <c r="DC15" s="5" t="s">
        <v>133</v>
      </c>
      <c r="DD15" s="104">
        <f t="shared" si="21"/>
        <v>42188</v>
      </c>
      <c r="DE15" s="15">
        <f>MONTH(Table1[[#This Row],[Weekending]])</f>
        <v>7</v>
      </c>
      <c r="DF15" s="15">
        <f>YEAR(Table1[[#This Row],[Weekending]])</f>
        <v>2015</v>
      </c>
      <c r="DG15" s="4"/>
    </row>
    <row r="16" spans="1:111">
      <c r="A16" s="20" t="str">
        <f t="shared" si="0"/>
        <v>8083e349</v>
      </c>
      <c r="B16" s="146">
        <v>42185</v>
      </c>
      <c r="C16" s="144">
        <v>90580</v>
      </c>
      <c r="D16" s="298" t="s">
        <v>295</v>
      </c>
      <c r="E16" s="298">
        <v>3</v>
      </c>
      <c r="F16" s="298" t="str">
        <f>INDEX(BrokerTBL!$B:$B,MATCH(D16,BrokerTBL!$A:$A,0))</f>
        <v>Po Box 66670</v>
      </c>
      <c r="G16" s="298" t="str">
        <f>INDEX(BrokerTBL!$C:$C,MATCH(D16,BrokerTBL!$A:$A,0))</f>
        <v>Chicago</v>
      </c>
      <c r="H16" s="298" t="str">
        <f>INDEX(BrokerTBL!$D:$D,MATCH(D16,BrokerTBL!$A:$A,0))</f>
        <v>Il</v>
      </c>
      <c r="I16" s="298" t="str">
        <f>INDEX(BrokerTBL!$E:$E,MATCH(D16,BrokerTBL!$A:$A,0))</f>
        <v>US</v>
      </c>
      <c r="J16" s="298">
        <f>INDEX(BrokerTBL!$F:$F,MATCH(D16,BrokerTBL!$A:$A,0))</f>
        <v>60666</v>
      </c>
      <c r="K16" s="298" t="s">
        <v>296</v>
      </c>
      <c r="L16" s="145">
        <v>81681483</v>
      </c>
      <c r="M16" s="146">
        <v>42185</v>
      </c>
      <c r="N16" s="144" t="s">
        <v>297</v>
      </c>
      <c r="O16" s="298" t="s">
        <v>298</v>
      </c>
      <c r="P16" s="298" t="s">
        <v>299</v>
      </c>
      <c r="Q16" s="298" t="s">
        <v>139</v>
      </c>
      <c r="R16" s="298">
        <v>94601</v>
      </c>
      <c r="S16" s="298" t="s">
        <v>118</v>
      </c>
      <c r="T16" s="298" t="s">
        <v>300</v>
      </c>
      <c r="U16" s="298" t="s">
        <v>120</v>
      </c>
      <c r="V16" s="298">
        <v>53</v>
      </c>
      <c r="W16" s="298" t="s">
        <v>136</v>
      </c>
      <c r="X16" s="144">
        <v>42000</v>
      </c>
      <c r="Y16" s="298" t="s">
        <v>123</v>
      </c>
      <c r="Z16" s="298" t="s">
        <v>123</v>
      </c>
      <c r="AA16" s="298" t="s">
        <v>123</v>
      </c>
      <c r="AB16" s="298" t="s">
        <v>123</v>
      </c>
      <c r="AC16" s="298" t="s">
        <v>301</v>
      </c>
      <c r="AD16" s="145" t="s">
        <v>302</v>
      </c>
      <c r="AE16" s="146">
        <v>42186</v>
      </c>
      <c r="AF16" s="298" t="s">
        <v>303</v>
      </c>
      <c r="AG16" s="298" t="s">
        <v>304</v>
      </c>
      <c r="AH16" s="298" t="s">
        <v>214</v>
      </c>
      <c r="AI16" s="298" t="s">
        <v>305</v>
      </c>
      <c r="AJ16" s="298">
        <v>93727</v>
      </c>
      <c r="AK16" s="298" t="s">
        <v>118</v>
      </c>
      <c r="AL16" s="298" t="s">
        <v>306</v>
      </c>
      <c r="AM16" s="142" t="str">
        <f>INDEX(CarrierDriverTBL!$B:$B,MATCH(Table1[[#This Row],[DriverID]],CarrierDriverTBL!$A:$A,0))</f>
        <v>UBTrucking</v>
      </c>
      <c r="AN16" s="10" t="s">
        <v>192</v>
      </c>
      <c r="AO16" s="142" t="str">
        <f>INDEX(CarrierDriverTBL!$C:$C,MATCH(Table1[[#This Row],[DriverID]],CarrierDriverTBL!$A:$A,0))</f>
        <v>Albel</v>
      </c>
      <c r="AP16" s="142" t="str">
        <f>INDEX(CarrierDriverTBL!$D:$D,MATCH(Table1[[#This Row],[DriverID]],CarrierDriverTBL!$A:$A,0))</f>
        <v>Chahil</v>
      </c>
      <c r="AQ16" s="142" t="str">
        <f>INDEX(CarrierDriverTBL!$X:$X,MATCH(Table1[[#This Row],[DriverID]],CarrierDriverTBL!$A:$A,0))</f>
        <v>A8390649</v>
      </c>
      <c r="AR16" s="160">
        <f>INDEX(CarrierDriverTBL!$Y:$Y,MATCH(Table1[[#This Row],[DriverID]],CarrierDriverTBL!$A:$A,0))</f>
        <v>42402</v>
      </c>
      <c r="AS16" s="142" t="str">
        <f t="shared" si="1"/>
        <v>GOOD</v>
      </c>
      <c r="AT16" s="160">
        <f>INDEX(CarrierDriverTBL!$E:$E,MATCH(Table1[[#This Row],[DriverID]],CarrierDriverTBL!$A:$A,0))</f>
        <v>22314</v>
      </c>
      <c r="AU16" s="163">
        <f ca="1">INDEX(CarrierDriverTBL!$F:$F,MATCH(Table1[[#This Row],[DriverID]],CarrierDriverTBL!$A:$A,0))</f>
        <v>55.512328767123286</v>
      </c>
      <c r="AV16" s="142" t="str">
        <f>INDEX(CarrierDriverTBL!$K:$K,MATCH(Table1[[#This Row],[DriverID]],CarrierDriverTBL!$A:$A,0))</f>
        <v>510-773-9450</v>
      </c>
      <c r="AW16" s="142" t="str">
        <f>INDEX(CarrierDriverTBL!$M:$M,MATCH(Table1[[#This Row],[DriverID]],CarrierDriverTBL!$A:$A,0))</f>
        <v>3124 Cynthia CT</v>
      </c>
      <c r="AX16" s="142" t="str">
        <f>INDEX(CarrierDriverTBL!$N:$N,MATCH(Table1[[#This Row],[DriverID]],CarrierDriverTBL!$A:$A,0))</f>
        <v>Tracy</v>
      </c>
      <c r="AY16" s="142" t="str">
        <f>INDEX(CarrierDriverTBL!$O:$O,MATCH(Table1[[#This Row],[DriverID]],CarrierDriverTBL!$A:$A,0))</f>
        <v>CA</v>
      </c>
      <c r="AZ16" s="142">
        <f>INDEX(CarrierDriverTBL!$P:$P,MATCH(Table1[[#This Row],[DriverID]],CarrierDriverTBL!$A:$A,0))</f>
        <v>95377</v>
      </c>
      <c r="BA16" s="142" t="str">
        <f>INDEX(CarrierDriverTBL!$Q:$Q,MATCH(Table1[[#This Row],[DriverID]],CarrierDriverTBL!$A:$A,0))</f>
        <v>US</v>
      </c>
      <c r="BB16" s="176" t="str">
        <f>INDEX(CarrierDriverTBL!$R:$R,MATCH(Table1[[#This Row],[DriverID]],CarrierDriverTBL!$A:$A,0))</f>
        <v>ubgollc@gmail.com</v>
      </c>
      <c r="BC16" s="160">
        <f>INDEX(CarrierDriverTBL!$AB:$AB,MATCH(Table1[[#This Row],[DriverID]],CarrierDriverTBL!$A:$A,0))</f>
        <v>42167</v>
      </c>
      <c r="BD16" s="142" t="str">
        <f ca="1">INDEX(CarrierDriverTBL!$AD:$AD,MATCH(LoadMaster!$AN:$AN,CarrierDriverTBL!$A:$A,0))</f>
        <v>MISSING</v>
      </c>
      <c r="BE16" s="142">
        <f>INDEX(CarrierDriverTBL!$AE:$AE,MATCH(Table1[DriverID],CarrierDriverTBL!$A:$A,0))</f>
        <v>913971</v>
      </c>
      <c r="BF16" s="142">
        <f>INDEX(CarrierDriverTBL!$AF:$AF,MATCH(Table1[DriverID],CarrierDriverTBL!$A:$A,0))</f>
        <v>2627544</v>
      </c>
      <c r="BG16" s="142">
        <f>INDEX(CarrierDriverTBL!$AG:$AG,MATCH(Table1[DriverID],CarrierDriverTBL!$A:$A,0))</f>
        <v>466133</v>
      </c>
      <c r="BH16" s="142" t="str">
        <f>INDEX(CarrierDriverTBL!$AH:$AH,MATCH(Table1[DriverID],CarrierDriverTBL!$A:$A,0))</f>
        <v>GM Lawrence Ins</v>
      </c>
      <c r="BI16" s="142" t="str">
        <f>INDEX(CarrierDriverTBL!$AI:$AI,MATCH(Table1[DriverID],CarrierDriverTBL!$A:$A,0))</f>
        <v>DSK2842P160210</v>
      </c>
      <c r="BJ16" s="160">
        <f>INDEX(CarrierDriverTBL!$AJ:$AJ,MATCH(Table1[[#This Row],[DriverID]],CarrierDriverTBL!$A:$A,0))</f>
        <v>42778</v>
      </c>
      <c r="BK16" s="10">
        <f t="shared" si="2"/>
        <v>593</v>
      </c>
      <c r="BL16" s="174">
        <v>625</v>
      </c>
      <c r="BM16" s="144">
        <v>180</v>
      </c>
      <c r="BN16" s="159">
        <f t="shared" si="3"/>
        <v>3.4722222222222223</v>
      </c>
      <c r="BO16" s="167">
        <v>575</v>
      </c>
      <c r="BP16" s="159">
        <f t="shared" si="4"/>
        <v>3.1944444444444446</v>
      </c>
      <c r="BQ16" s="66">
        <v>3.12</v>
      </c>
      <c r="BR16" s="166">
        <f t="shared" si="5"/>
        <v>0.20333333333333337</v>
      </c>
      <c r="BS16" s="167">
        <f t="shared" si="6"/>
        <v>2.9911111111111115</v>
      </c>
      <c r="BT16" s="159">
        <f t="shared" si="7"/>
        <v>36.600000000000009</v>
      </c>
      <c r="BU16" s="10" t="str">
        <f t="shared" si="8"/>
        <v xml:space="preserve">Summit Expedited Logistics </v>
      </c>
      <c r="BV16" s="15"/>
      <c r="BW16" s="4" t="str">
        <f>Table1[[#This Row],[BrokerAddress]]</f>
        <v>Po Box 66670</v>
      </c>
      <c r="BX16" s="4" t="str">
        <f t="shared" si="9"/>
        <v>Chicago</v>
      </c>
      <c r="BY16" s="4" t="str">
        <f t="shared" si="10"/>
        <v>Il</v>
      </c>
      <c r="BZ16" s="4">
        <f t="shared" si="11"/>
        <v>60666</v>
      </c>
      <c r="CA16" s="10" t="str">
        <f t="shared" si="12"/>
        <v>US</v>
      </c>
      <c r="CB16" s="4" t="s">
        <v>131</v>
      </c>
      <c r="CC16" s="62"/>
      <c r="CD16" s="15" t="s">
        <v>307</v>
      </c>
      <c r="CE16" s="64">
        <v>0</v>
      </c>
      <c r="CF16" s="4">
        <v>1</v>
      </c>
      <c r="CG16" s="132">
        <f t="shared" si="13"/>
        <v>0</v>
      </c>
      <c r="CH16" s="4" t="s">
        <v>308</v>
      </c>
      <c r="CI16" s="5">
        <v>0</v>
      </c>
      <c r="CJ16" s="4">
        <v>2</v>
      </c>
      <c r="CK16" s="132">
        <f t="shared" si="14"/>
        <v>0</v>
      </c>
      <c r="CL16" s="4" t="s">
        <v>132</v>
      </c>
      <c r="CM16" s="5">
        <v>0</v>
      </c>
      <c r="CN16" s="4">
        <v>0</v>
      </c>
      <c r="CO16" s="132">
        <f t="shared" si="15"/>
        <v>0</v>
      </c>
      <c r="CP16" s="4" t="s">
        <v>132</v>
      </c>
      <c r="CQ16" s="5">
        <v>0</v>
      </c>
      <c r="CR16" s="4">
        <v>0</v>
      </c>
      <c r="CS16" s="132">
        <f t="shared" si="16"/>
        <v>0</v>
      </c>
      <c r="CT16" s="159">
        <f t="shared" si="17"/>
        <v>0</v>
      </c>
      <c r="CU16" s="168">
        <f t="shared" si="18"/>
        <v>625</v>
      </c>
      <c r="CV16" s="169">
        <v>0</v>
      </c>
      <c r="CW16" s="82">
        <f>BO16+CV16</f>
        <v>575</v>
      </c>
      <c r="CX16" s="79">
        <f>IF(ISBLANK(E16),"AddQuickPay",IF(E16=2,CU16*0.98,IF(E16=2.4,CU16*0.976,IF(E16=3,CU16*0.97,IF(E16=5,CU16*0.95,IF(E16=1.5,CU16*0.985,IF(E16=2.5,CU16*0.975,IF(E16=1.3,CU16*0.987,IF(E16=1,CU16*0.99,IF(E16=4,CU16*0.96,CU16*1))))))))))-Table1[[#This Row],[ComCheck+QuickPayFee]]</f>
        <v>606.25</v>
      </c>
      <c r="CY16" s="167">
        <f t="shared" si="19"/>
        <v>50</v>
      </c>
      <c r="CZ16" s="5">
        <f t="shared" si="20"/>
        <v>18.75</v>
      </c>
      <c r="DA16" s="258">
        <f>Table1[[#This Row],[OriginalDispatch]]-Table1[[#This Row],[QuickPayCharge]]</f>
        <v>31.25</v>
      </c>
      <c r="DB16" s="5">
        <v>0</v>
      </c>
      <c r="DC16" s="5" t="s">
        <v>133</v>
      </c>
      <c r="DD16" s="104">
        <f t="shared" si="21"/>
        <v>42188</v>
      </c>
      <c r="DE16" s="15">
        <f>MONTH(Table1[[#This Row],[Weekending]])</f>
        <v>7</v>
      </c>
      <c r="DF16" s="15">
        <f>YEAR(Table1[[#This Row],[Weekending]])</f>
        <v>2015</v>
      </c>
      <c r="DG16" s="4" t="s">
        <v>309</v>
      </c>
    </row>
    <row r="17" spans="1:111">
      <c r="A17" s="20" t="str">
        <f t="shared" si="0"/>
        <v>19030349</v>
      </c>
      <c r="B17" s="146">
        <v>42186</v>
      </c>
      <c r="C17" s="144">
        <v>176272519</v>
      </c>
      <c r="D17" s="298" t="s">
        <v>111</v>
      </c>
      <c r="E17" s="298">
        <v>2</v>
      </c>
      <c r="F17" s="298" t="str">
        <f>INDEX(BrokerTBL!$B:$B,MATCH(D17,BrokerTBL!$A:$A,0))</f>
        <v>P.O. Box 3474</v>
      </c>
      <c r="G17" s="298" t="str">
        <f>INDEX(BrokerTBL!$C:$C,MATCH(D17,BrokerTBL!$A:$A,0))</f>
        <v>Chicago</v>
      </c>
      <c r="H17" s="298" t="str">
        <f>INDEX(BrokerTBL!$D:$D,MATCH(D17,BrokerTBL!$A:$A,0))</f>
        <v>Il</v>
      </c>
      <c r="I17" s="298" t="str">
        <f>INDEX(BrokerTBL!$E:$E,MATCH(D17,BrokerTBL!$A:$A,0))</f>
        <v>US</v>
      </c>
      <c r="J17" s="298">
        <f>INDEX(BrokerTBL!$F:$F,MATCH(D17,BrokerTBL!$A:$A,0))</f>
        <v>60654</v>
      </c>
      <c r="K17" s="298" t="s">
        <v>250</v>
      </c>
      <c r="L17" s="145">
        <v>5612803</v>
      </c>
      <c r="M17" s="146">
        <v>42186</v>
      </c>
      <c r="N17" s="144" t="s">
        <v>288</v>
      </c>
      <c r="O17" s="298" t="s">
        <v>252</v>
      </c>
      <c r="P17" s="298" t="s">
        <v>253</v>
      </c>
      <c r="Q17" s="298" t="s">
        <v>139</v>
      </c>
      <c r="R17" s="298">
        <v>93637</v>
      </c>
      <c r="S17" s="298" t="s">
        <v>118</v>
      </c>
      <c r="T17" s="298" t="s">
        <v>254</v>
      </c>
      <c r="U17" s="298" t="s">
        <v>120</v>
      </c>
      <c r="V17" s="298">
        <v>53</v>
      </c>
      <c r="W17" s="298" t="s">
        <v>310</v>
      </c>
      <c r="X17" s="144">
        <v>35249</v>
      </c>
      <c r="Y17" s="298" t="s">
        <v>26</v>
      </c>
      <c r="Z17" s="298">
        <v>24</v>
      </c>
      <c r="AA17" s="298">
        <v>24</v>
      </c>
      <c r="AB17" s="298" t="s">
        <v>123</v>
      </c>
      <c r="AC17" s="298" t="s">
        <v>290</v>
      </c>
      <c r="AD17" s="145">
        <v>5612803</v>
      </c>
      <c r="AE17" s="146">
        <v>42187</v>
      </c>
      <c r="AF17" s="298" t="s">
        <v>311</v>
      </c>
      <c r="AG17" s="298" t="s">
        <v>292</v>
      </c>
      <c r="AH17" s="298" t="s">
        <v>293</v>
      </c>
      <c r="AI17" s="298" t="s">
        <v>139</v>
      </c>
      <c r="AJ17" s="298">
        <v>95476</v>
      </c>
      <c r="AK17" s="298" t="s">
        <v>118</v>
      </c>
      <c r="AL17" s="298" t="s">
        <v>294</v>
      </c>
      <c r="AM17" s="142" t="str">
        <f>INDEX(CarrierDriverTBL!$B:$B,MATCH(Table1[[#This Row],[DriverID]],CarrierDriverTBL!$A:$A,0))</f>
        <v>UBTrucking</v>
      </c>
      <c r="AN17" s="10" t="s">
        <v>192</v>
      </c>
      <c r="AO17" s="142" t="str">
        <f>INDEX(CarrierDriverTBL!$C:$C,MATCH(Table1[[#This Row],[DriverID]],CarrierDriverTBL!$A:$A,0))</f>
        <v>Albel</v>
      </c>
      <c r="AP17" s="142" t="str">
        <f>INDEX(CarrierDriverTBL!$D:$D,MATCH(Table1[[#This Row],[DriverID]],CarrierDriverTBL!$A:$A,0))</f>
        <v>Chahil</v>
      </c>
      <c r="AQ17" s="142" t="str">
        <f>INDEX(CarrierDriverTBL!$X:$X,MATCH(Table1[[#This Row],[DriverID]],CarrierDriverTBL!$A:$A,0))</f>
        <v>A8390649</v>
      </c>
      <c r="AR17" s="160">
        <f>INDEX(CarrierDriverTBL!$Y:$Y,MATCH(Table1[[#This Row],[DriverID]],CarrierDriverTBL!$A:$A,0))</f>
        <v>42402</v>
      </c>
      <c r="AS17" s="142" t="str">
        <f t="shared" si="1"/>
        <v>GOOD</v>
      </c>
      <c r="AT17" s="160">
        <f>INDEX(CarrierDriverTBL!$E:$E,MATCH(Table1[[#This Row],[DriverID]],CarrierDriverTBL!$A:$A,0))</f>
        <v>22314</v>
      </c>
      <c r="AU17" s="163">
        <f ca="1">INDEX(CarrierDriverTBL!$F:$F,MATCH(Table1[[#This Row],[DriverID]],CarrierDriverTBL!$A:$A,0))</f>
        <v>55.512328767123286</v>
      </c>
      <c r="AV17" s="142" t="str">
        <f>INDEX(CarrierDriverTBL!$K:$K,MATCH(Table1[[#This Row],[DriverID]],CarrierDriverTBL!$A:$A,0))</f>
        <v>510-773-9450</v>
      </c>
      <c r="AW17" s="142" t="str">
        <f>INDEX(CarrierDriverTBL!$M:$M,MATCH(Table1[[#This Row],[DriverID]],CarrierDriverTBL!$A:$A,0))</f>
        <v>3124 Cynthia CT</v>
      </c>
      <c r="AX17" s="142" t="str">
        <f>INDEX(CarrierDriverTBL!$N:$N,MATCH(Table1[[#This Row],[DriverID]],CarrierDriverTBL!$A:$A,0))</f>
        <v>Tracy</v>
      </c>
      <c r="AY17" s="142" t="str">
        <f>INDEX(CarrierDriverTBL!$O:$O,MATCH(Table1[[#This Row],[DriverID]],CarrierDriverTBL!$A:$A,0))</f>
        <v>CA</v>
      </c>
      <c r="AZ17" s="142">
        <f>INDEX(CarrierDriverTBL!$P:$P,MATCH(Table1[[#This Row],[DriverID]],CarrierDriverTBL!$A:$A,0))</f>
        <v>95377</v>
      </c>
      <c r="BA17" s="142" t="str">
        <f>INDEX(CarrierDriverTBL!$Q:$Q,MATCH(Table1[[#This Row],[DriverID]],CarrierDriverTBL!$A:$A,0))</f>
        <v>US</v>
      </c>
      <c r="BB17" s="176" t="str">
        <f>INDEX(CarrierDriverTBL!$R:$R,MATCH(Table1[[#This Row],[DriverID]],CarrierDriverTBL!$A:$A,0))</f>
        <v>ubgollc@gmail.com</v>
      </c>
      <c r="BC17" s="160">
        <f>INDEX(CarrierDriverTBL!$AB:$AB,MATCH(Table1[[#This Row],[DriverID]],CarrierDriverTBL!$A:$A,0))</f>
        <v>42167</v>
      </c>
      <c r="BD17" s="142" t="str">
        <f ca="1">INDEX(CarrierDriverTBL!$AD:$AD,MATCH(LoadMaster!$AN:$AN,CarrierDriverTBL!$A:$A,0))</f>
        <v>MISSING</v>
      </c>
      <c r="BE17" s="142">
        <f>INDEX(CarrierDriverTBL!$AE:$AE,MATCH(Table1[DriverID],CarrierDriverTBL!$A:$A,0))</f>
        <v>913971</v>
      </c>
      <c r="BF17" s="142">
        <f>INDEX(CarrierDriverTBL!$AF:$AF,MATCH(Table1[DriverID],CarrierDriverTBL!$A:$A,0))</f>
        <v>2627544</v>
      </c>
      <c r="BG17" s="142">
        <f>INDEX(CarrierDriverTBL!$AG:$AG,MATCH(Table1[DriverID],CarrierDriverTBL!$A:$A,0))</f>
        <v>466133</v>
      </c>
      <c r="BH17" s="142" t="str">
        <f>INDEX(CarrierDriverTBL!$AH:$AH,MATCH(Table1[DriverID],CarrierDriverTBL!$A:$A,0))</f>
        <v>GM Lawrence Ins</v>
      </c>
      <c r="BI17" s="142" t="str">
        <f>INDEX(CarrierDriverTBL!$AI:$AI,MATCH(Table1[DriverID],CarrierDriverTBL!$A:$A,0))</f>
        <v>DSK2842P160210</v>
      </c>
      <c r="BJ17" s="160">
        <f>INDEX(CarrierDriverTBL!$AJ:$AJ,MATCH(Table1[[#This Row],[DriverID]],CarrierDriverTBL!$A:$A,0))</f>
        <v>42778</v>
      </c>
      <c r="BK17" s="10">
        <f t="shared" si="2"/>
        <v>592</v>
      </c>
      <c r="BL17" s="174">
        <v>600</v>
      </c>
      <c r="BM17" s="144">
        <v>197</v>
      </c>
      <c r="BN17" s="159">
        <f t="shared" si="3"/>
        <v>3.0456852791878171</v>
      </c>
      <c r="BO17" s="167">
        <v>550</v>
      </c>
      <c r="BP17" s="159">
        <f t="shared" si="4"/>
        <v>2.7918781725888326</v>
      </c>
      <c r="BQ17" s="66">
        <v>3.12</v>
      </c>
      <c r="BR17" s="166">
        <f t="shared" si="5"/>
        <v>0.20333333333333337</v>
      </c>
      <c r="BS17" s="167">
        <f t="shared" si="6"/>
        <v>2.5885448392554995</v>
      </c>
      <c r="BT17" s="159">
        <f t="shared" si="7"/>
        <v>40.056666666666672</v>
      </c>
      <c r="BU17" s="10" t="str">
        <f t="shared" si="8"/>
        <v>Ch Robinson</v>
      </c>
      <c r="BV17" s="15"/>
      <c r="BW17" s="4" t="str">
        <f>Table1[[#This Row],[BrokerAddress]]</f>
        <v>P.O. Box 3474</v>
      </c>
      <c r="BX17" s="4" t="str">
        <f t="shared" si="9"/>
        <v>Chicago</v>
      </c>
      <c r="BY17" s="4" t="str">
        <f t="shared" si="10"/>
        <v>Il</v>
      </c>
      <c r="BZ17" s="4">
        <f t="shared" si="11"/>
        <v>60654</v>
      </c>
      <c r="CA17" s="10" t="str">
        <f t="shared" si="12"/>
        <v>US</v>
      </c>
      <c r="CB17" s="4" t="s">
        <v>131</v>
      </c>
      <c r="CC17" s="62"/>
      <c r="CD17" s="15" t="s">
        <v>132</v>
      </c>
      <c r="CE17" s="64">
        <v>0</v>
      </c>
      <c r="CF17" s="4">
        <v>0</v>
      </c>
      <c r="CG17" s="132">
        <f t="shared" si="13"/>
        <v>0</v>
      </c>
      <c r="CH17" s="4" t="s">
        <v>132</v>
      </c>
      <c r="CI17" s="5">
        <v>0</v>
      </c>
      <c r="CJ17" s="4">
        <v>0</v>
      </c>
      <c r="CK17" s="132">
        <f t="shared" si="14"/>
        <v>0</v>
      </c>
      <c r="CL17" s="4" t="s">
        <v>132</v>
      </c>
      <c r="CM17" s="5">
        <v>0</v>
      </c>
      <c r="CN17" s="4">
        <v>0</v>
      </c>
      <c r="CO17" s="132">
        <f t="shared" si="15"/>
        <v>0</v>
      </c>
      <c r="CP17" s="4" t="s">
        <v>132</v>
      </c>
      <c r="CQ17" s="5">
        <v>0</v>
      </c>
      <c r="CR17" s="4">
        <v>0</v>
      </c>
      <c r="CS17" s="132">
        <f t="shared" si="16"/>
        <v>0</v>
      </c>
      <c r="CT17" s="132">
        <f t="shared" si="17"/>
        <v>0</v>
      </c>
      <c r="CU17" s="168">
        <f t="shared" si="18"/>
        <v>600</v>
      </c>
      <c r="CV17" s="169">
        <f>(90*CT17)/100</f>
        <v>0</v>
      </c>
      <c r="CW17" s="82">
        <f>BO17+CV17</f>
        <v>550</v>
      </c>
      <c r="CX17" s="79">
        <f>IF(ISBLANK(E17),"AddQuickPay",IF(E17=2,CU17*0.98,IF(E17=2.4,CU17*0.976,IF(E17=3,CU17*0.97,IF(E17=5,CU17*0.95,IF(E17=1.5,CU17*0.985,IF(E17=2.5,CU17*0.975,IF(E17=1.3,CU17*0.987,IF(E17=1,CU17*0.99,IF(E17=4,CU17*0.96,CU17*1))))))))))-Table1[[#This Row],[ComCheck+QuickPayFee]]</f>
        <v>588</v>
      </c>
      <c r="CY17" s="167">
        <f t="shared" si="19"/>
        <v>50</v>
      </c>
      <c r="CZ17" s="5">
        <f t="shared" si="20"/>
        <v>12</v>
      </c>
      <c r="DA17" s="258">
        <f>Table1[[#This Row],[OriginalDispatch]]-Table1[[#This Row],[QuickPayCharge]]</f>
        <v>38</v>
      </c>
      <c r="DB17" s="5">
        <v>0</v>
      </c>
      <c r="DC17" s="5" t="s">
        <v>133</v>
      </c>
      <c r="DD17" s="104">
        <f t="shared" si="21"/>
        <v>42188</v>
      </c>
      <c r="DE17" s="15">
        <f>MONTH(Table1[[#This Row],[Weekending]])</f>
        <v>7</v>
      </c>
      <c r="DF17" s="15">
        <f>YEAR(Table1[[#This Row],[Weekending]])</f>
        <v>2015</v>
      </c>
      <c r="DG17" s="4" t="s">
        <v>312</v>
      </c>
    </row>
    <row r="18" spans="1:111">
      <c r="A18" s="20" t="str">
        <f t="shared" si="0"/>
        <v>19049</v>
      </c>
      <c r="B18" s="160">
        <v>42186</v>
      </c>
      <c r="C18" s="162">
        <v>176229619</v>
      </c>
      <c r="D18" s="142" t="s">
        <v>111</v>
      </c>
      <c r="E18" s="142">
        <v>2</v>
      </c>
      <c r="F18" s="142" t="str">
        <f>INDEX(BrokerTBL!$B:$B,MATCH(D18,BrokerTBL!$A:$A,0))</f>
        <v>P.O. Box 3474</v>
      </c>
      <c r="G18" s="142" t="str">
        <f>INDEX(BrokerTBL!$C:$C,MATCH(D18,BrokerTBL!$A:$A,0))</f>
        <v>Chicago</v>
      </c>
      <c r="H18" s="142" t="str">
        <f>INDEX(BrokerTBL!$D:$D,MATCH(D18,BrokerTBL!$A:$A,0))</f>
        <v>Il</v>
      </c>
      <c r="I18" s="142" t="str">
        <f>INDEX(BrokerTBL!$E:$E,MATCH(D18,BrokerTBL!$A:$A,0))</f>
        <v>US</v>
      </c>
      <c r="J18" s="142">
        <f>INDEX(BrokerTBL!$F:$F,MATCH(D18,BrokerTBL!$A:$A,0))</f>
        <v>60654</v>
      </c>
      <c r="K18" s="142" t="s">
        <v>313</v>
      </c>
      <c r="L18" s="161">
        <v>0</v>
      </c>
      <c r="M18" s="160">
        <v>42186</v>
      </c>
      <c r="N18" s="162" t="s">
        <v>314</v>
      </c>
      <c r="O18" s="142" t="s">
        <v>315</v>
      </c>
      <c r="P18" s="142" t="s">
        <v>253</v>
      </c>
      <c r="Q18" s="142" t="s">
        <v>139</v>
      </c>
      <c r="R18" s="142">
        <v>93637</v>
      </c>
      <c r="S18" s="142" t="s">
        <v>118</v>
      </c>
      <c r="T18" s="298" t="s">
        <v>136</v>
      </c>
      <c r="U18" s="142" t="s">
        <v>120</v>
      </c>
      <c r="V18" s="142">
        <v>53</v>
      </c>
      <c r="W18" s="142" t="s">
        <v>316</v>
      </c>
      <c r="X18" s="162">
        <v>40000</v>
      </c>
      <c r="Y18" s="142" t="s">
        <v>26</v>
      </c>
      <c r="Z18" s="142">
        <v>40000</v>
      </c>
      <c r="AA18" s="142" t="s">
        <v>123</v>
      </c>
      <c r="AB18" s="142" t="s">
        <v>123</v>
      </c>
      <c r="AC18" s="142" t="s">
        <v>317</v>
      </c>
      <c r="AD18" s="161"/>
      <c r="AE18" s="160">
        <v>42186</v>
      </c>
      <c r="AF18" s="142" t="s">
        <v>318</v>
      </c>
      <c r="AG18" s="142" t="s">
        <v>319</v>
      </c>
      <c r="AH18" s="142" t="s">
        <v>320</v>
      </c>
      <c r="AI18" s="142" t="s">
        <v>139</v>
      </c>
      <c r="AJ18" s="142">
        <v>94587</v>
      </c>
      <c r="AK18" s="142" t="s">
        <v>118</v>
      </c>
      <c r="AL18" s="142" t="s">
        <v>123</v>
      </c>
      <c r="AM18" s="142" t="str">
        <f>INDEX(CarrierDriverTBL!$B:$B,MATCH(Table1[[#This Row],[DriverID]],CarrierDriverTBL!$A:$A,0))</f>
        <v>UBTrucking</v>
      </c>
      <c r="AN18" s="10" t="s">
        <v>192</v>
      </c>
      <c r="AO18" s="142" t="str">
        <f>INDEX(CarrierDriverTBL!$C:$C,MATCH(Table1[[#This Row],[DriverID]],CarrierDriverTBL!$A:$A,0))</f>
        <v>Albel</v>
      </c>
      <c r="AP18" s="142" t="str">
        <f>INDEX(CarrierDriverTBL!$D:$D,MATCH(Table1[[#This Row],[DriverID]],CarrierDriverTBL!$A:$A,0))</f>
        <v>Chahil</v>
      </c>
      <c r="AQ18" s="142" t="str">
        <f>INDEX(CarrierDriverTBL!$X:$X,MATCH(Table1[[#This Row],[DriverID]],CarrierDriverTBL!$A:$A,0))</f>
        <v>A8390649</v>
      </c>
      <c r="AR18" s="160">
        <f>INDEX(CarrierDriverTBL!$Y:$Y,MATCH(Table1[[#This Row],[DriverID]],CarrierDriverTBL!$A:$A,0))</f>
        <v>42402</v>
      </c>
      <c r="AS18" s="142" t="str">
        <f t="shared" si="1"/>
        <v>GOOD</v>
      </c>
      <c r="AT18" s="160">
        <f>INDEX(CarrierDriverTBL!$E:$E,MATCH(Table1[[#This Row],[DriverID]],CarrierDriverTBL!$A:$A,0))</f>
        <v>22314</v>
      </c>
      <c r="AU18" s="163">
        <f ca="1">INDEX(CarrierDriverTBL!$F:$F,MATCH(Table1[[#This Row],[DriverID]],CarrierDriverTBL!$A:$A,0))</f>
        <v>55.512328767123286</v>
      </c>
      <c r="AV18" s="142" t="str">
        <f>INDEX(CarrierDriverTBL!$K:$K,MATCH(Table1[[#This Row],[DriverID]],CarrierDriverTBL!$A:$A,0))</f>
        <v>510-773-9450</v>
      </c>
      <c r="AW18" s="142" t="str">
        <f>INDEX(CarrierDriverTBL!$M:$M,MATCH(Table1[[#This Row],[DriverID]],CarrierDriverTBL!$A:$A,0))</f>
        <v>3124 Cynthia CT</v>
      </c>
      <c r="AX18" s="142" t="str">
        <f>INDEX(CarrierDriverTBL!$N:$N,MATCH(Table1[[#This Row],[DriverID]],CarrierDriverTBL!$A:$A,0))</f>
        <v>Tracy</v>
      </c>
      <c r="AY18" s="142" t="str">
        <f>INDEX(CarrierDriverTBL!$O:$O,MATCH(Table1[[#This Row],[DriverID]],CarrierDriverTBL!$A:$A,0))</f>
        <v>CA</v>
      </c>
      <c r="AZ18" s="142">
        <f>INDEX(CarrierDriverTBL!$P:$P,MATCH(Table1[[#This Row],[DriverID]],CarrierDriverTBL!$A:$A,0))</f>
        <v>95377</v>
      </c>
      <c r="BA18" s="142" t="str">
        <f>INDEX(CarrierDriverTBL!$Q:$Q,MATCH(Table1[[#This Row],[DriverID]],CarrierDriverTBL!$A:$A,0))</f>
        <v>US</v>
      </c>
      <c r="BB18" s="176" t="str">
        <f>INDEX(CarrierDriverTBL!$R:$R,MATCH(Table1[[#This Row],[DriverID]],CarrierDriverTBL!$A:$A,0))</f>
        <v>ubgollc@gmail.com</v>
      </c>
      <c r="BC18" s="160">
        <f>INDEX(CarrierDriverTBL!$AB:$AB,MATCH(Table1[[#This Row],[DriverID]],CarrierDriverTBL!$A:$A,0))</f>
        <v>42167</v>
      </c>
      <c r="BD18" s="142" t="str">
        <f ca="1">INDEX(CarrierDriverTBL!$AD:$AD,MATCH(LoadMaster!$AN:$AN,CarrierDriverTBL!$A:$A,0))</f>
        <v>MISSING</v>
      </c>
      <c r="BE18" s="142">
        <f>INDEX(CarrierDriverTBL!$AE:$AE,MATCH(Table1[DriverID],CarrierDriverTBL!$A:$A,0))</f>
        <v>913971</v>
      </c>
      <c r="BF18" s="142">
        <f>INDEX(CarrierDriverTBL!$AF:$AF,MATCH(Table1[DriverID],CarrierDriverTBL!$A:$A,0))</f>
        <v>2627544</v>
      </c>
      <c r="BG18" s="142">
        <f>INDEX(CarrierDriverTBL!$AG:$AG,MATCH(Table1[DriverID],CarrierDriverTBL!$A:$A,0))</f>
        <v>466133</v>
      </c>
      <c r="BH18" s="142" t="str">
        <f>INDEX(CarrierDriverTBL!$AH:$AH,MATCH(Table1[DriverID],CarrierDriverTBL!$A:$A,0))</f>
        <v>GM Lawrence Ins</v>
      </c>
      <c r="BI18" s="142" t="str">
        <f>INDEX(CarrierDriverTBL!$AI:$AI,MATCH(Table1[DriverID],CarrierDriverTBL!$A:$A,0))</f>
        <v>DSK2842P160210</v>
      </c>
      <c r="BJ18" s="160">
        <f>INDEX(CarrierDriverTBL!$AJ:$AJ,MATCH(Table1[[#This Row],[DriverID]],CarrierDriverTBL!$A:$A,0))</f>
        <v>42778</v>
      </c>
      <c r="BK18" s="10">
        <f t="shared" si="2"/>
        <v>592</v>
      </c>
      <c r="BL18" s="167">
        <v>150</v>
      </c>
      <c r="BM18" s="162"/>
      <c r="BN18" s="159"/>
      <c r="BO18" s="167">
        <v>125</v>
      </c>
      <c r="BP18" s="159"/>
      <c r="BQ18" s="165"/>
      <c r="BR18" s="166"/>
      <c r="BS18" s="167">
        <f t="shared" si="6"/>
        <v>0</v>
      </c>
      <c r="BT18" s="159">
        <f t="shared" si="7"/>
        <v>0</v>
      </c>
      <c r="BU18" s="10" t="str">
        <f t="shared" si="8"/>
        <v>Ch Robinson</v>
      </c>
      <c r="BV18" s="4"/>
      <c r="BW18" s="4" t="str">
        <f>Table1[[#This Row],[BrokerAddress]]</f>
        <v>P.O. Box 3474</v>
      </c>
      <c r="BX18" s="4" t="str">
        <f t="shared" si="9"/>
        <v>Chicago</v>
      </c>
      <c r="BY18" s="4" t="str">
        <f t="shared" si="10"/>
        <v>Il</v>
      </c>
      <c r="BZ18" s="4">
        <f t="shared" si="11"/>
        <v>60654</v>
      </c>
      <c r="CA18" s="10" t="str">
        <f t="shared" si="12"/>
        <v>US</v>
      </c>
      <c r="CB18" s="4" t="s">
        <v>131</v>
      </c>
      <c r="CC18" s="61"/>
      <c r="CD18" s="4" t="s">
        <v>132</v>
      </c>
      <c r="CE18" s="5">
        <v>0</v>
      </c>
      <c r="CF18" s="4">
        <v>0</v>
      </c>
      <c r="CG18" s="132">
        <f t="shared" si="13"/>
        <v>0</v>
      </c>
      <c r="CH18" s="4" t="s">
        <v>132</v>
      </c>
      <c r="CI18" s="5">
        <v>0</v>
      </c>
      <c r="CJ18" s="4">
        <v>0</v>
      </c>
      <c r="CK18" s="132">
        <f t="shared" si="14"/>
        <v>0</v>
      </c>
      <c r="CL18" s="4" t="s">
        <v>132</v>
      </c>
      <c r="CM18" s="5">
        <v>0</v>
      </c>
      <c r="CN18" s="4">
        <v>0</v>
      </c>
      <c r="CO18" s="132">
        <f t="shared" si="15"/>
        <v>0</v>
      </c>
      <c r="CP18" s="4" t="s">
        <v>132</v>
      </c>
      <c r="CQ18" s="5">
        <v>0</v>
      </c>
      <c r="CR18" s="4">
        <v>0</v>
      </c>
      <c r="CS18" s="132">
        <f t="shared" si="16"/>
        <v>0</v>
      </c>
      <c r="CT18" s="159">
        <f t="shared" si="17"/>
        <v>0</v>
      </c>
      <c r="CU18" s="168">
        <f t="shared" si="18"/>
        <v>150</v>
      </c>
      <c r="CV18" s="169">
        <f>(90*CT18)/100</f>
        <v>0</v>
      </c>
      <c r="CW18" s="82">
        <v>125</v>
      </c>
      <c r="CX18" s="79">
        <f>IF(ISBLANK(E18),"AddQuickPay",IF(E18=2,CU18*0.98,IF(E18=2.4,CU18*0.976,IF(E18=3,CU18*0.97,IF(E18=5,CU18*0.95,IF(E18=1.5,CU18*0.985,IF(E18=2.5,CU18*0.975,IF(E18=1.3,CU18*0.987,IF(E18=1,CU18*0.99,IF(E18=4,CU18*0.96,CU18*1))))))))))-Table1[[#This Row],[ComCheck+QuickPayFee]]</f>
        <v>147</v>
      </c>
      <c r="CY18" s="167">
        <f t="shared" si="19"/>
        <v>25</v>
      </c>
      <c r="CZ18" s="5">
        <f t="shared" si="20"/>
        <v>3</v>
      </c>
      <c r="DA18" s="258">
        <f>Table1[[#This Row],[OriginalDispatch]]-Table1[[#This Row],[QuickPayCharge]]</f>
        <v>22</v>
      </c>
      <c r="DB18" s="5">
        <v>0</v>
      </c>
      <c r="DC18" s="5" t="s">
        <v>133</v>
      </c>
      <c r="DD18" s="104">
        <f t="shared" si="21"/>
        <v>42188</v>
      </c>
      <c r="DE18" s="15">
        <f>MONTH(Table1[[#This Row],[Weekending]])</f>
        <v>7</v>
      </c>
      <c r="DF18" s="15">
        <f>YEAR(Table1[[#This Row],[Weekending]])</f>
        <v>2015</v>
      </c>
      <c r="DG18" s="4" t="s">
        <v>321</v>
      </c>
    </row>
    <row r="19" spans="1:111">
      <c r="A19" s="20" t="str">
        <f t="shared" si="0"/>
        <v>08556825</v>
      </c>
      <c r="B19" s="146">
        <v>42186</v>
      </c>
      <c r="C19" s="144">
        <v>176211108</v>
      </c>
      <c r="D19" s="298" t="s">
        <v>111</v>
      </c>
      <c r="E19" s="298">
        <v>2</v>
      </c>
      <c r="F19" s="298" t="str">
        <f>INDEX(BrokerTBL!$B:$B,MATCH(D19,BrokerTBL!$A:$A,0))</f>
        <v>P.O. Box 3474</v>
      </c>
      <c r="G19" s="298" t="str">
        <f>INDEX(BrokerTBL!$C:$C,MATCH(D19,BrokerTBL!$A:$A,0))</f>
        <v>Chicago</v>
      </c>
      <c r="H19" s="298" t="str">
        <f>INDEX(BrokerTBL!$D:$D,MATCH(D19,BrokerTBL!$A:$A,0))</f>
        <v>Il</v>
      </c>
      <c r="I19" s="298" t="str">
        <f>INDEX(BrokerTBL!$E:$E,MATCH(D19,BrokerTBL!$A:$A,0))</f>
        <v>US</v>
      </c>
      <c r="J19" s="298">
        <f>INDEX(BrokerTBL!$F:$F,MATCH(D19,BrokerTBL!$A:$A,0))</f>
        <v>60654</v>
      </c>
      <c r="K19" s="298" t="s">
        <v>322</v>
      </c>
      <c r="L19" s="145">
        <v>548355</v>
      </c>
      <c r="M19" s="146">
        <v>42186</v>
      </c>
      <c r="N19" s="144" t="s">
        <v>323</v>
      </c>
      <c r="O19" s="298" t="s">
        <v>324</v>
      </c>
      <c r="P19" s="298" t="s">
        <v>325</v>
      </c>
      <c r="Q19" s="298" t="s">
        <v>139</v>
      </c>
      <c r="R19" s="298">
        <v>94510</v>
      </c>
      <c r="S19" s="298" t="s">
        <v>118</v>
      </c>
      <c r="T19" s="298" t="s">
        <v>326</v>
      </c>
      <c r="U19" s="298" t="s">
        <v>120</v>
      </c>
      <c r="V19" s="298">
        <v>53</v>
      </c>
      <c r="W19" s="298" t="s">
        <v>327</v>
      </c>
      <c r="X19" s="144">
        <v>25675</v>
      </c>
      <c r="Y19" s="298" t="s">
        <v>328</v>
      </c>
      <c r="Z19" s="298">
        <v>1974</v>
      </c>
      <c r="AA19" s="298" t="s">
        <v>123</v>
      </c>
      <c r="AB19" s="298" t="s">
        <v>123</v>
      </c>
      <c r="AC19" s="298" t="s">
        <v>329</v>
      </c>
      <c r="AD19" s="145">
        <v>266368</v>
      </c>
      <c r="AE19" s="146">
        <v>42187</v>
      </c>
      <c r="AF19" s="298" t="s">
        <v>330</v>
      </c>
      <c r="AG19" s="298" t="s">
        <v>331</v>
      </c>
      <c r="AH19" s="298" t="s">
        <v>184</v>
      </c>
      <c r="AI19" s="298" t="s">
        <v>139</v>
      </c>
      <c r="AJ19" s="298">
        <v>95215</v>
      </c>
      <c r="AK19" s="298" t="s">
        <v>118</v>
      </c>
      <c r="AL19" s="298" t="s">
        <v>332</v>
      </c>
      <c r="AM19" s="171" t="str">
        <f>INDEX(CarrierDriverTBL!$B:$B,MATCH(Table1[[#This Row],[DriverID]],CarrierDriverTBL!$A:$A,0))</f>
        <v>BoyalTrucking</v>
      </c>
      <c r="AN19" s="10" t="s">
        <v>162</v>
      </c>
      <c r="AO19" s="171" t="str">
        <f>INDEX(CarrierDriverTBL!$C:$C,MATCH(Table1[[#This Row],[DriverID]],CarrierDriverTBL!$A:$A,0))</f>
        <v>Satnam</v>
      </c>
      <c r="AP19" s="171" t="str">
        <f>INDEX(CarrierDriverTBL!$D:$D,MATCH(Table1[[#This Row],[DriverID]],CarrierDriverTBL!$A:$A,0))</f>
        <v>Boyal</v>
      </c>
      <c r="AQ19" s="171" t="str">
        <f>INDEX(CarrierDriverTBL!$X:$X,MATCH(Table1[[#This Row],[DriverID]],CarrierDriverTBL!$A:$A,0))</f>
        <v>B8245525</v>
      </c>
      <c r="AR19" s="172">
        <f>INDEX(CarrierDriverTBL!$Y:$Y,MATCH(Table1[[#This Row],[DriverID]],CarrierDriverTBL!$A:$A,0))</f>
        <v>42415</v>
      </c>
      <c r="AS19" s="142" t="str">
        <f t="shared" si="1"/>
        <v>GOOD</v>
      </c>
      <c r="AT19" s="172" t="str">
        <f>INDEX(CarrierDriverTBL!$E:$E,MATCH(Table1[[#This Row],[DriverID]],CarrierDriverTBL!$A:$A,0))</f>
        <v>MISSING</v>
      </c>
      <c r="AU19" s="163" t="str">
        <f ca="1">INDEX(CarrierDriverTBL!$F:$F,MATCH(Table1[[#This Row],[DriverID]],CarrierDriverTBL!$A:$A,0))</f>
        <v>MISSING</v>
      </c>
      <c r="AV19" s="171" t="str">
        <f>INDEX(CarrierDriverTBL!$K:$K,MATCH(Table1[[#This Row],[DriverID]],CarrierDriverTBL!$A:$A,0))</f>
        <v>209-589-5951</v>
      </c>
      <c r="AW19" s="171" t="str">
        <f>INDEX(CarrierDriverTBL!$M:$M,MATCH(Table1[[#This Row],[DriverID]],CarrierDriverTBL!$A:$A,0))</f>
        <v>2821 jubliee Drive</v>
      </c>
      <c r="AX19" s="171" t="str">
        <f>INDEX(CarrierDriverTBL!$N:$N,MATCH(Table1[[#This Row],[DriverID]],CarrierDriverTBL!$A:$A,0))</f>
        <v>Turlock</v>
      </c>
      <c r="AY19" s="171" t="str">
        <f>INDEX(CarrierDriverTBL!$O:$O,MATCH(Table1[[#This Row],[DriverID]],CarrierDriverTBL!$A:$A,0))</f>
        <v>CA</v>
      </c>
      <c r="AZ19" s="171">
        <f>INDEX(CarrierDriverTBL!$P:$P,MATCH(Table1[[#This Row],[DriverID]],CarrierDriverTBL!$A:$A,0))</f>
        <v>95380</v>
      </c>
      <c r="BA19" s="171" t="str">
        <f>INDEX(CarrierDriverTBL!$Q:$Q,MATCH(Table1[[#This Row],[DriverID]],CarrierDriverTBL!$A:$A,0))</f>
        <v>US</v>
      </c>
      <c r="BB19" s="173" t="str">
        <f>INDEX(CarrierDriverTBL!$R:$R,MATCH(Table1[[#This Row],[DriverID]],CarrierDriverTBL!$A:$A,0))</f>
        <v>samboyal@yahoo.com</v>
      </c>
      <c r="BC19" s="160" t="str">
        <f>INDEX(CarrierDriverTBL!$AB:$AB,MATCH(Table1[[#This Row],[DriverID]],CarrierDriverTBL!$A:$A,0))</f>
        <v>Missing</v>
      </c>
      <c r="BD19" s="142" t="str">
        <f ca="1">INDEX(CarrierDriverTBL!$AD:$AD,MATCH(LoadMaster!$AN:$AN,CarrierDriverTBL!$A:$A,0))</f>
        <v>MISSING</v>
      </c>
      <c r="BE19" s="171">
        <f>INDEX(CarrierDriverTBL!$AE:$AE,MATCH(Table1[DriverID],CarrierDriverTBL!$A:$A,0))</f>
        <v>748016</v>
      </c>
      <c r="BF19" s="171">
        <f>INDEX(CarrierDriverTBL!$AF:$AF,MATCH(Table1[DriverID],CarrierDriverTBL!$A:$A,0))</f>
        <v>1978408</v>
      </c>
      <c r="BG19" s="10" t="str">
        <f>INDEX(CarrierDriverTBL!$AG:$AG,MATCH(Table1[DriverID],CarrierDriverTBL!$A:$A,0))</f>
        <v>Missing</v>
      </c>
      <c r="BH19" s="171" t="str">
        <f>INDEX(CarrierDriverTBL!$AH:$AH,MATCH(Table1[DriverID],CarrierDriverTBL!$A:$A,0))</f>
        <v>Sentry Insurance</v>
      </c>
      <c r="BI19" s="171" t="str">
        <f>INDEX(CarrierDriverTBL!$AI:$AI,MATCH(Table1[DriverID],CarrierDriverTBL!$A:$A,0))</f>
        <v>A0036221001</v>
      </c>
      <c r="BJ19" s="20">
        <f>INDEX(CarrierDriverTBL!$AJ:$AJ,MATCH(Table1[[#This Row],[DriverID]],CarrierDriverTBL!$A:$A,0))</f>
        <v>42479</v>
      </c>
      <c r="BK19" s="10">
        <f t="shared" si="2"/>
        <v>293</v>
      </c>
      <c r="BL19" s="174">
        <v>450</v>
      </c>
      <c r="BM19" s="144">
        <v>70</v>
      </c>
      <c r="BN19" s="159">
        <f t="shared" ref="BN19:BN35" si="23">BL19/BM19</f>
        <v>6.4285714285714288</v>
      </c>
      <c r="BO19" s="167">
        <v>400</v>
      </c>
      <c r="BP19" s="159">
        <f t="shared" ref="BP19:BP35" si="24">BO19/BM19</f>
        <v>5.7142857142857144</v>
      </c>
      <c r="BQ19" s="66">
        <v>3.12</v>
      </c>
      <c r="BR19" s="166">
        <f t="shared" ref="BR19:BR35" si="25">(BQ19-1.9)/6</f>
        <v>0.20333333333333337</v>
      </c>
      <c r="BS19" s="167">
        <f t="shared" si="6"/>
        <v>5.5109523809523813</v>
      </c>
      <c r="BT19" s="159">
        <f t="shared" si="7"/>
        <v>14.233333333333336</v>
      </c>
      <c r="BU19" s="10" t="str">
        <f t="shared" si="8"/>
        <v>Ch Robinson</v>
      </c>
      <c r="BV19" s="15"/>
      <c r="BW19" s="4" t="str">
        <f>Table1[[#This Row],[BrokerAddress]]</f>
        <v>P.O. Box 3474</v>
      </c>
      <c r="BX19" s="4" t="str">
        <f t="shared" si="9"/>
        <v>Chicago</v>
      </c>
      <c r="BY19" s="4" t="str">
        <f t="shared" si="10"/>
        <v>Il</v>
      </c>
      <c r="BZ19" s="4">
        <f t="shared" si="11"/>
        <v>60654</v>
      </c>
      <c r="CA19" s="10" t="str">
        <f t="shared" si="12"/>
        <v>US</v>
      </c>
      <c r="CB19" s="4" t="s">
        <v>131</v>
      </c>
      <c r="CC19" s="62"/>
      <c r="CD19" s="15" t="s">
        <v>132</v>
      </c>
      <c r="CE19" s="64">
        <v>0</v>
      </c>
      <c r="CF19" s="4">
        <v>0</v>
      </c>
      <c r="CG19" s="132">
        <f t="shared" si="13"/>
        <v>0</v>
      </c>
      <c r="CH19" s="4" t="s">
        <v>132</v>
      </c>
      <c r="CI19" s="5">
        <v>0</v>
      </c>
      <c r="CJ19" s="4">
        <v>0</v>
      </c>
      <c r="CK19" s="132">
        <f t="shared" si="14"/>
        <v>0</v>
      </c>
      <c r="CL19" s="4" t="s">
        <v>132</v>
      </c>
      <c r="CM19" s="5">
        <v>0</v>
      </c>
      <c r="CN19" s="4">
        <v>0</v>
      </c>
      <c r="CO19" s="132">
        <f t="shared" si="15"/>
        <v>0</v>
      </c>
      <c r="CP19" s="4" t="s">
        <v>132</v>
      </c>
      <c r="CQ19" s="5">
        <v>0</v>
      </c>
      <c r="CR19" s="4">
        <v>0</v>
      </c>
      <c r="CS19" s="132">
        <f t="shared" si="16"/>
        <v>0</v>
      </c>
      <c r="CT19" s="159">
        <f t="shared" si="17"/>
        <v>0</v>
      </c>
      <c r="CU19" s="168">
        <f t="shared" si="18"/>
        <v>450</v>
      </c>
      <c r="CV19" s="169">
        <f>(100*CT19)/100</f>
        <v>0</v>
      </c>
      <c r="CW19" s="82">
        <f t="shared" ref="CW19:CW24" si="26">BO19+CV19</f>
        <v>400</v>
      </c>
      <c r="CX19" s="79">
        <f>IF(ISBLANK(E19),"AddQuickPay",IF(E19=2,CU19*0.98,IF(E19=2.4,CU19*0.976,IF(E19=3,CU19*0.97,IF(E19=5,CU19*0.95,IF(E19=1.5,CU19*0.985,IF(E19=2.5,CU19*0.975,IF(E19=1.3,CU19*0.987,IF(E19=1,CU19*0.99,IF(E19=4,CU19*0.96,CU19*1))))))))))-Table1[[#This Row],[ComCheck+QuickPayFee]]</f>
        <v>441</v>
      </c>
      <c r="CY19" s="167">
        <f t="shared" si="19"/>
        <v>50</v>
      </c>
      <c r="CZ19" s="5">
        <f t="shared" si="20"/>
        <v>9</v>
      </c>
      <c r="DA19" s="258">
        <f>Table1[[#This Row],[OriginalDispatch]]-Table1[[#This Row],[QuickPayCharge]]</f>
        <v>41</v>
      </c>
      <c r="DB19" s="5">
        <v>0</v>
      </c>
      <c r="DC19" s="5" t="s">
        <v>133</v>
      </c>
      <c r="DD19" s="104">
        <f t="shared" si="21"/>
        <v>42188</v>
      </c>
      <c r="DE19" s="15">
        <f>MONTH(Table1[[#This Row],[Weekending]])</f>
        <v>7</v>
      </c>
      <c r="DF19" s="15">
        <f>YEAR(Table1[[#This Row],[Weekending]])</f>
        <v>2015</v>
      </c>
      <c r="DG19" s="4"/>
    </row>
    <row r="20" spans="1:111">
      <c r="A20" s="20" t="str">
        <f t="shared" si="0"/>
        <v>92339149</v>
      </c>
      <c r="B20" s="146">
        <v>42187</v>
      </c>
      <c r="C20" s="144">
        <v>176232692</v>
      </c>
      <c r="D20" s="298" t="s">
        <v>111</v>
      </c>
      <c r="E20" s="298">
        <v>2</v>
      </c>
      <c r="F20" s="298" t="str">
        <f>INDEX(BrokerTBL!$B:$B,MATCH(D20,BrokerTBL!$A:$A,0))</f>
        <v>P.O. Box 3474</v>
      </c>
      <c r="G20" s="298" t="str">
        <f>INDEX(BrokerTBL!$C:$C,MATCH(D20,BrokerTBL!$A:$A,0))</f>
        <v>Chicago</v>
      </c>
      <c r="H20" s="298" t="str">
        <f>INDEX(BrokerTBL!$D:$D,MATCH(D20,BrokerTBL!$A:$A,0))</f>
        <v>Il</v>
      </c>
      <c r="I20" s="298" t="str">
        <f>INDEX(BrokerTBL!$E:$E,MATCH(D20,BrokerTBL!$A:$A,0))</f>
        <v>US</v>
      </c>
      <c r="J20" s="298">
        <f>INDEX(BrokerTBL!$F:$F,MATCH(D20,BrokerTBL!$A:$A,0))</f>
        <v>60654</v>
      </c>
      <c r="K20" s="298" t="s">
        <v>333</v>
      </c>
      <c r="L20" s="145">
        <v>270633</v>
      </c>
      <c r="M20" s="146">
        <v>42187</v>
      </c>
      <c r="N20" s="162" t="s">
        <v>136</v>
      </c>
      <c r="O20" s="298" t="s">
        <v>334</v>
      </c>
      <c r="P20" s="298" t="s">
        <v>335</v>
      </c>
      <c r="Q20" s="298" t="s">
        <v>139</v>
      </c>
      <c r="R20" s="298">
        <v>94558</v>
      </c>
      <c r="S20" s="298" t="s">
        <v>118</v>
      </c>
      <c r="T20" s="298" t="s">
        <v>136</v>
      </c>
      <c r="U20" s="298" t="s">
        <v>120</v>
      </c>
      <c r="V20" s="298">
        <v>53</v>
      </c>
      <c r="W20" s="298" t="s">
        <v>336</v>
      </c>
      <c r="X20" s="144">
        <v>40251</v>
      </c>
      <c r="Y20" s="298" t="s">
        <v>337</v>
      </c>
      <c r="Z20" s="298">
        <v>958</v>
      </c>
      <c r="AA20" s="298" t="s">
        <v>123</v>
      </c>
      <c r="AB20" s="298" t="s">
        <v>123</v>
      </c>
      <c r="AC20" s="298" t="s">
        <v>338</v>
      </c>
      <c r="AD20" s="145">
        <v>9591</v>
      </c>
      <c r="AE20" s="146">
        <v>42187</v>
      </c>
      <c r="AF20" s="298" t="s">
        <v>339</v>
      </c>
      <c r="AG20" s="298" t="s">
        <v>340</v>
      </c>
      <c r="AH20" s="298" t="s">
        <v>320</v>
      </c>
      <c r="AI20" s="298" t="s">
        <v>139</v>
      </c>
      <c r="AJ20" s="298">
        <v>94587</v>
      </c>
      <c r="AK20" s="298" t="s">
        <v>118</v>
      </c>
      <c r="AL20" s="298" t="s">
        <v>341</v>
      </c>
      <c r="AM20" s="142" t="str">
        <f>INDEX(CarrierDriverTBL!$B:$B,MATCH(Table1[[#This Row],[DriverID]],CarrierDriverTBL!$A:$A,0))</f>
        <v>UBTrucking</v>
      </c>
      <c r="AN20" s="10" t="s">
        <v>192</v>
      </c>
      <c r="AO20" s="142" t="str">
        <f>INDEX(CarrierDriverTBL!$C:$C,MATCH(Table1[[#This Row],[DriverID]],CarrierDriverTBL!$A:$A,0))</f>
        <v>Albel</v>
      </c>
      <c r="AP20" s="142" t="str">
        <f>INDEX(CarrierDriverTBL!$D:$D,MATCH(Table1[[#This Row],[DriverID]],CarrierDriverTBL!$A:$A,0))</f>
        <v>Chahil</v>
      </c>
      <c r="AQ20" s="142" t="str">
        <f>INDEX(CarrierDriverTBL!$X:$X,MATCH(Table1[[#This Row],[DriverID]],CarrierDriverTBL!$A:$A,0))</f>
        <v>A8390649</v>
      </c>
      <c r="AR20" s="160">
        <f>INDEX(CarrierDriverTBL!$Y:$Y,MATCH(Table1[[#This Row],[DriverID]],CarrierDriverTBL!$A:$A,0))</f>
        <v>42402</v>
      </c>
      <c r="AS20" s="142" t="str">
        <f t="shared" si="1"/>
        <v>GOOD</v>
      </c>
      <c r="AT20" s="160">
        <f>INDEX(CarrierDriverTBL!$E:$E,MATCH(Table1[[#This Row],[DriverID]],CarrierDriverTBL!$A:$A,0))</f>
        <v>22314</v>
      </c>
      <c r="AU20" s="163">
        <f ca="1">INDEX(CarrierDriverTBL!$F:$F,MATCH(Table1[[#This Row],[DriverID]],CarrierDriverTBL!$A:$A,0))</f>
        <v>55.512328767123286</v>
      </c>
      <c r="AV20" s="142" t="str">
        <f>INDEX(CarrierDriverTBL!$K:$K,MATCH(Table1[[#This Row],[DriverID]],CarrierDriverTBL!$A:$A,0))</f>
        <v>510-773-9450</v>
      </c>
      <c r="AW20" s="142" t="str">
        <f>INDEX(CarrierDriverTBL!$M:$M,MATCH(Table1[[#This Row],[DriverID]],CarrierDriverTBL!$A:$A,0))</f>
        <v>3124 Cynthia CT</v>
      </c>
      <c r="AX20" s="142" t="str">
        <f>INDEX(CarrierDriverTBL!$N:$N,MATCH(Table1[[#This Row],[DriverID]],CarrierDriverTBL!$A:$A,0))</f>
        <v>Tracy</v>
      </c>
      <c r="AY20" s="142" t="str">
        <f>INDEX(CarrierDriverTBL!$O:$O,MATCH(Table1[[#This Row],[DriverID]],CarrierDriverTBL!$A:$A,0))</f>
        <v>CA</v>
      </c>
      <c r="AZ20" s="142">
        <f>INDEX(CarrierDriverTBL!$P:$P,MATCH(Table1[[#This Row],[DriverID]],CarrierDriverTBL!$A:$A,0))</f>
        <v>95377</v>
      </c>
      <c r="BA20" s="142" t="str">
        <f>INDEX(CarrierDriverTBL!$Q:$Q,MATCH(Table1[[#This Row],[DriverID]],CarrierDriverTBL!$A:$A,0))</f>
        <v>US</v>
      </c>
      <c r="BB20" s="176" t="str">
        <f>INDEX(CarrierDriverTBL!$R:$R,MATCH(Table1[[#This Row],[DriverID]],CarrierDriverTBL!$A:$A,0))</f>
        <v>ubgollc@gmail.com</v>
      </c>
      <c r="BC20" s="160">
        <f>INDEX(CarrierDriverTBL!$AB:$AB,MATCH(Table1[[#This Row],[DriverID]],CarrierDriverTBL!$A:$A,0))</f>
        <v>42167</v>
      </c>
      <c r="BD20" s="142" t="str">
        <f ca="1">INDEX(CarrierDriverTBL!$AD:$AD,MATCH(LoadMaster!$AN:$AN,CarrierDriverTBL!$A:$A,0))</f>
        <v>MISSING</v>
      </c>
      <c r="BE20" s="142">
        <f>INDEX(CarrierDriverTBL!$AE:$AE,MATCH(Table1[DriverID],CarrierDriverTBL!$A:$A,0))</f>
        <v>913971</v>
      </c>
      <c r="BF20" s="142">
        <f>INDEX(CarrierDriverTBL!$AF:$AF,MATCH(Table1[DriverID],CarrierDriverTBL!$A:$A,0))</f>
        <v>2627544</v>
      </c>
      <c r="BG20" s="142">
        <f>INDEX(CarrierDriverTBL!$AG:$AG,MATCH(Table1[DriverID],CarrierDriverTBL!$A:$A,0))</f>
        <v>466133</v>
      </c>
      <c r="BH20" s="142" t="str">
        <f>INDEX(CarrierDriverTBL!$AH:$AH,MATCH(Table1[DriverID],CarrierDriverTBL!$A:$A,0))</f>
        <v>GM Lawrence Ins</v>
      </c>
      <c r="BI20" s="142" t="str">
        <f>INDEX(CarrierDriverTBL!$AI:$AI,MATCH(Table1[DriverID],CarrierDriverTBL!$A:$A,0))</f>
        <v>DSK2842P160210</v>
      </c>
      <c r="BJ20" s="160">
        <f>INDEX(CarrierDriverTBL!$AJ:$AJ,MATCH(Table1[[#This Row],[DriverID]],CarrierDriverTBL!$A:$A,0))</f>
        <v>42778</v>
      </c>
      <c r="BK20" s="10">
        <f t="shared" si="2"/>
        <v>591</v>
      </c>
      <c r="BL20" s="174">
        <v>365</v>
      </c>
      <c r="BM20" s="144">
        <v>56.5</v>
      </c>
      <c r="BN20" s="159">
        <f t="shared" si="23"/>
        <v>6.4601769911504423</v>
      </c>
      <c r="BO20" s="167">
        <v>325</v>
      </c>
      <c r="BP20" s="159">
        <f t="shared" si="24"/>
        <v>5.7522123893805306</v>
      </c>
      <c r="BQ20" s="66">
        <v>3.12</v>
      </c>
      <c r="BR20" s="166">
        <f t="shared" si="25"/>
        <v>0.20333333333333337</v>
      </c>
      <c r="BS20" s="167">
        <f t="shared" si="6"/>
        <v>5.5488790560471974</v>
      </c>
      <c r="BT20" s="159">
        <f t="shared" si="7"/>
        <v>11.488333333333335</v>
      </c>
      <c r="BU20" s="10" t="str">
        <f t="shared" si="8"/>
        <v>Ch Robinson</v>
      </c>
      <c r="BV20" s="15"/>
      <c r="BW20" s="4" t="str">
        <f>Table1[[#This Row],[BrokerAddress]]</f>
        <v>P.O. Box 3474</v>
      </c>
      <c r="BX20" s="4" t="str">
        <f t="shared" si="9"/>
        <v>Chicago</v>
      </c>
      <c r="BY20" s="4" t="str">
        <f t="shared" si="10"/>
        <v>Il</v>
      </c>
      <c r="BZ20" s="4">
        <f t="shared" si="11"/>
        <v>60654</v>
      </c>
      <c r="CA20" s="10" t="str">
        <f t="shared" si="12"/>
        <v>US</v>
      </c>
      <c r="CB20" s="4" t="s">
        <v>131</v>
      </c>
      <c r="CC20" s="62"/>
      <c r="CD20" s="15" t="s">
        <v>132</v>
      </c>
      <c r="CE20" s="64">
        <v>0</v>
      </c>
      <c r="CF20" s="4">
        <v>0</v>
      </c>
      <c r="CG20" s="132">
        <f t="shared" si="13"/>
        <v>0</v>
      </c>
      <c r="CH20" s="4" t="s">
        <v>132</v>
      </c>
      <c r="CI20" s="5">
        <v>0</v>
      </c>
      <c r="CJ20" s="4">
        <v>0</v>
      </c>
      <c r="CK20" s="132">
        <f t="shared" si="14"/>
        <v>0</v>
      </c>
      <c r="CL20" s="4" t="s">
        <v>132</v>
      </c>
      <c r="CM20" s="5">
        <v>0</v>
      </c>
      <c r="CN20" s="4">
        <v>0</v>
      </c>
      <c r="CO20" s="132">
        <f t="shared" si="15"/>
        <v>0</v>
      </c>
      <c r="CP20" s="4" t="s">
        <v>132</v>
      </c>
      <c r="CQ20" s="5">
        <v>0</v>
      </c>
      <c r="CR20" s="4">
        <v>0</v>
      </c>
      <c r="CS20" s="132">
        <f t="shared" si="16"/>
        <v>0</v>
      </c>
      <c r="CT20" s="132">
        <f t="shared" si="17"/>
        <v>0</v>
      </c>
      <c r="CU20" s="168">
        <f t="shared" si="18"/>
        <v>365</v>
      </c>
      <c r="CV20" s="169">
        <f>(90*CT20)/100</f>
        <v>0</v>
      </c>
      <c r="CW20" s="82">
        <f t="shared" si="26"/>
        <v>325</v>
      </c>
      <c r="CX20" s="79">
        <f>IF(ISBLANK(E20),"AddQuickPay",IF(E20=2,CU20*0.98,IF(E20=2.4,CU20*0.976,IF(E20=3,CU20*0.97,IF(E20=5,CU20*0.95,IF(E20=1.5,CU20*0.985,IF(E20=2.5,CU20*0.975,IF(E20=1.3,CU20*0.987,IF(E20=1,CU20*0.99,IF(E20=4,CU20*0.96,CU20*1))))))))))-Table1[[#This Row],[ComCheck+QuickPayFee]]</f>
        <v>357.7</v>
      </c>
      <c r="CY20" s="167">
        <f t="shared" si="19"/>
        <v>40</v>
      </c>
      <c r="CZ20" s="5">
        <f t="shared" si="20"/>
        <v>7.3</v>
      </c>
      <c r="DA20" s="258">
        <f>Table1[[#This Row],[OriginalDispatch]]-Table1[[#This Row],[QuickPayCharge]]</f>
        <v>32.700000000000003</v>
      </c>
      <c r="DB20" s="5">
        <v>0</v>
      </c>
      <c r="DC20" s="5" t="s">
        <v>133</v>
      </c>
      <c r="DD20" s="104">
        <f t="shared" si="21"/>
        <v>42188</v>
      </c>
      <c r="DE20" s="15">
        <f>MONTH(Table1[[#This Row],[Weekending]])</f>
        <v>7</v>
      </c>
      <c r="DF20" s="15">
        <f>YEAR(Table1[[#This Row],[Weekending]])</f>
        <v>2015</v>
      </c>
      <c r="DG20" s="4"/>
    </row>
    <row r="21" spans="1:111">
      <c r="A21" s="20" t="str">
        <f t="shared" si="0"/>
        <v>31622725</v>
      </c>
      <c r="B21" s="146">
        <v>42191</v>
      </c>
      <c r="C21" s="144">
        <v>176505431</v>
      </c>
      <c r="D21" s="298" t="s">
        <v>111</v>
      </c>
      <c r="E21" s="298">
        <v>2</v>
      </c>
      <c r="F21" s="298" t="str">
        <f>INDEX(BrokerTBL!$B:$B,MATCH(D21,BrokerTBL!$A:$A,0))</f>
        <v>P.O. Box 3474</v>
      </c>
      <c r="G21" s="298" t="str">
        <f>INDEX(BrokerTBL!$C:$C,MATCH(D21,BrokerTBL!$A:$A,0))</f>
        <v>Chicago</v>
      </c>
      <c r="H21" s="298" t="str">
        <f>INDEX(BrokerTBL!$D:$D,MATCH(D21,BrokerTBL!$A:$A,0))</f>
        <v>Il</v>
      </c>
      <c r="I21" s="298" t="str">
        <f>INDEX(BrokerTBL!$E:$E,MATCH(D21,BrokerTBL!$A:$A,0))</f>
        <v>US</v>
      </c>
      <c r="J21" s="298">
        <f>INDEX(BrokerTBL!$F:$F,MATCH(D21,BrokerTBL!$A:$A,0))</f>
        <v>60654</v>
      </c>
      <c r="K21" s="298" t="s">
        <v>342</v>
      </c>
      <c r="L21" s="145" t="s">
        <v>343</v>
      </c>
      <c r="M21" s="146">
        <v>42191</v>
      </c>
      <c r="N21" s="162" t="s">
        <v>136</v>
      </c>
      <c r="O21" s="298" t="s">
        <v>344</v>
      </c>
      <c r="P21" s="298" t="s">
        <v>345</v>
      </c>
      <c r="Q21" s="298" t="s">
        <v>139</v>
      </c>
      <c r="R21" s="298">
        <v>93635</v>
      </c>
      <c r="S21" s="298" t="s">
        <v>118</v>
      </c>
      <c r="T21" s="298" t="s">
        <v>346</v>
      </c>
      <c r="U21" s="298" t="s">
        <v>120</v>
      </c>
      <c r="V21" s="298">
        <v>53</v>
      </c>
      <c r="W21" s="298" t="s">
        <v>347</v>
      </c>
      <c r="X21" s="144" t="s">
        <v>136</v>
      </c>
      <c r="Y21" s="298" t="s">
        <v>26</v>
      </c>
      <c r="Z21" s="298" t="s">
        <v>123</v>
      </c>
      <c r="AA21" s="298">
        <v>16</v>
      </c>
      <c r="AB21" s="298" t="s">
        <v>123</v>
      </c>
      <c r="AC21" s="298" t="s">
        <v>348</v>
      </c>
      <c r="AD21" s="145">
        <v>7127</v>
      </c>
      <c r="AE21" s="146">
        <v>42191</v>
      </c>
      <c r="AF21" s="146" t="s">
        <v>349</v>
      </c>
      <c r="AG21" s="298" t="s">
        <v>350</v>
      </c>
      <c r="AH21" s="298" t="s">
        <v>335</v>
      </c>
      <c r="AI21" s="298" t="s">
        <v>139</v>
      </c>
      <c r="AJ21" s="298">
        <v>94558</v>
      </c>
      <c r="AK21" s="298" t="s">
        <v>118</v>
      </c>
      <c r="AL21" s="298" t="s">
        <v>351</v>
      </c>
      <c r="AM21" s="171" t="str">
        <f>INDEX(CarrierDriverTBL!$B:$B,MATCH(Table1[[#This Row],[DriverID]],CarrierDriverTBL!$A:$A,0))</f>
        <v>BoyalTrucking</v>
      </c>
      <c r="AN21" s="10" t="s">
        <v>162</v>
      </c>
      <c r="AO21" s="171" t="str">
        <f>INDEX(CarrierDriverTBL!$C:$C,MATCH(Table1[[#This Row],[DriverID]],CarrierDriverTBL!$A:$A,0))</f>
        <v>Satnam</v>
      </c>
      <c r="AP21" s="171" t="str">
        <f>INDEX(CarrierDriverTBL!$D:$D,MATCH(Table1[[#This Row],[DriverID]],CarrierDriverTBL!$A:$A,0))</f>
        <v>Boyal</v>
      </c>
      <c r="AQ21" s="171" t="str">
        <f>INDEX(CarrierDriverTBL!$X:$X,MATCH(Table1[[#This Row],[DriverID]],CarrierDriverTBL!$A:$A,0))</f>
        <v>B8245525</v>
      </c>
      <c r="AR21" s="172">
        <f>INDEX(CarrierDriverTBL!$Y:$Y,MATCH(Table1[[#This Row],[DriverID]],CarrierDriverTBL!$A:$A,0))</f>
        <v>42415</v>
      </c>
      <c r="AS21" s="142" t="str">
        <f t="shared" si="1"/>
        <v>GOOD</v>
      </c>
      <c r="AT21" s="172" t="str">
        <f>INDEX(CarrierDriverTBL!$E:$E,MATCH(Table1[[#This Row],[DriverID]],CarrierDriverTBL!$A:$A,0))</f>
        <v>MISSING</v>
      </c>
      <c r="AU21" s="163" t="str">
        <f ca="1">INDEX(CarrierDriverTBL!$F:$F,MATCH(Table1[[#This Row],[DriverID]],CarrierDriverTBL!$A:$A,0))</f>
        <v>MISSING</v>
      </c>
      <c r="AV21" s="171" t="str">
        <f>INDEX(CarrierDriverTBL!$K:$K,MATCH(Table1[[#This Row],[DriverID]],CarrierDriverTBL!$A:$A,0))</f>
        <v>209-589-5951</v>
      </c>
      <c r="AW21" s="171" t="str">
        <f>INDEX(CarrierDriverTBL!$M:$M,MATCH(Table1[[#This Row],[DriverID]],CarrierDriverTBL!$A:$A,0))</f>
        <v>2821 jubliee Drive</v>
      </c>
      <c r="AX21" s="171" t="str">
        <f>INDEX(CarrierDriverTBL!$N:$N,MATCH(Table1[[#This Row],[DriverID]],CarrierDriverTBL!$A:$A,0))</f>
        <v>Turlock</v>
      </c>
      <c r="AY21" s="171" t="str">
        <f>INDEX(CarrierDriverTBL!$O:$O,MATCH(Table1[[#This Row],[DriverID]],CarrierDriverTBL!$A:$A,0))</f>
        <v>CA</v>
      </c>
      <c r="AZ21" s="171">
        <f>INDEX(CarrierDriverTBL!$P:$P,MATCH(Table1[[#This Row],[DriverID]],CarrierDriverTBL!$A:$A,0))</f>
        <v>95380</v>
      </c>
      <c r="BA21" s="171" t="str">
        <f>INDEX(CarrierDriverTBL!$Q:$Q,MATCH(Table1[[#This Row],[DriverID]],CarrierDriverTBL!$A:$A,0))</f>
        <v>US</v>
      </c>
      <c r="BB21" s="173" t="str">
        <f>INDEX(CarrierDriverTBL!$R:$R,MATCH(Table1[[#This Row],[DriverID]],CarrierDriverTBL!$A:$A,0))</f>
        <v>samboyal@yahoo.com</v>
      </c>
      <c r="BC21" s="160" t="str">
        <f>INDEX(CarrierDriverTBL!$AB:$AB,MATCH(Table1[[#This Row],[DriverID]],CarrierDriverTBL!$A:$A,0))</f>
        <v>Missing</v>
      </c>
      <c r="BD21" s="142" t="str">
        <f ca="1">INDEX(CarrierDriverTBL!$AD:$AD,MATCH(LoadMaster!$AN:$AN,CarrierDriverTBL!$A:$A,0))</f>
        <v>MISSING</v>
      </c>
      <c r="BE21" s="171">
        <f>INDEX(CarrierDriverTBL!$AE:$AE,MATCH(Table1[DriverID],CarrierDriverTBL!$A:$A,0))</f>
        <v>748016</v>
      </c>
      <c r="BF21" s="171">
        <f>INDEX(CarrierDriverTBL!$AF:$AF,MATCH(Table1[DriverID],CarrierDriverTBL!$A:$A,0))</f>
        <v>1978408</v>
      </c>
      <c r="BG21" s="10" t="str">
        <f>INDEX(CarrierDriverTBL!$AG:$AG,MATCH(Table1[DriverID],CarrierDriverTBL!$A:$A,0))</f>
        <v>Missing</v>
      </c>
      <c r="BH21" s="171" t="str">
        <f>INDEX(CarrierDriverTBL!$AH:$AH,MATCH(Table1[DriverID],CarrierDriverTBL!$A:$A,0))</f>
        <v>Sentry Insurance</v>
      </c>
      <c r="BI21" s="171" t="str">
        <f>INDEX(CarrierDriverTBL!$AI:$AI,MATCH(Table1[DriverID],CarrierDriverTBL!$A:$A,0))</f>
        <v>A0036221001</v>
      </c>
      <c r="BJ21" s="20">
        <f>INDEX(CarrierDriverTBL!$AJ:$AJ,MATCH(Table1[[#This Row],[DriverID]],CarrierDriverTBL!$A:$A,0))</f>
        <v>42479</v>
      </c>
      <c r="BK21" s="10">
        <f t="shared" si="2"/>
        <v>288</v>
      </c>
      <c r="BL21" s="174">
        <v>550</v>
      </c>
      <c r="BM21" s="144">
        <v>130</v>
      </c>
      <c r="BN21" s="159">
        <f t="shared" si="23"/>
        <v>4.2307692307692308</v>
      </c>
      <c r="BO21" s="167">
        <v>500</v>
      </c>
      <c r="BP21" s="159">
        <f t="shared" si="24"/>
        <v>3.8461538461538463</v>
      </c>
      <c r="BQ21" s="66">
        <v>3.12</v>
      </c>
      <c r="BR21" s="166">
        <f t="shared" si="25"/>
        <v>0.20333333333333337</v>
      </c>
      <c r="BS21" s="167">
        <f t="shared" si="6"/>
        <v>3.6428205128205127</v>
      </c>
      <c r="BT21" s="159">
        <f t="shared" si="7"/>
        <v>26.433333333333337</v>
      </c>
      <c r="BU21" s="10" t="str">
        <f t="shared" si="8"/>
        <v>Ch Robinson</v>
      </c>
      <c r="BV21" s="15"/>
      <c r="BW21" s="4" t="str">
        <f>Table1[[#This Row],[BrokerAddress]]</f>
        <v>P.O. Box 3474</v>
      </c>
      <c r="BX21" s="4" t="str">
        <f t="shared" si="9"/>
        <v>Chicago</v>
      </c>
      <c r="BY21" s="4" t="str">
        <f t="shared" si="10"/>
        <v>Il</v>
      </c>
      <c r="BZ21" s="4">
        <f t="shared" si="11"/>
        <v>60654</v>
      </c>
      <c r="CA21" s="10" t="str">
        <f t="shared" si="12"/>
        <v>US</v>
      </c>
      <c r="CB21" s="4" t="s">
        <v>131</v>
      </c>
      <c r="CC21" s="62"/>
      <c r="CD21" s="15" t="s">
        <v>132</v>
      </c>
      <c r="CE21" s="64">
        <v>0</v>
      </c>
      <c r="CF21" s="4">
        <v>0</v>
      </c>
      <c r="CG21" s="132">
        <f t="shared" si="13"/>
        <v>0</v>
      </c>
      <c r="CH21" s="4" t="s">
        <v>132</v>
      </c>
      <c r="CI21" s="5">
        <v>0</v>
      </c>
      <c r="CJ21" s="4">
        <v>0</v>
      </c>
      <c r="CK21" s="132">
        <f t="shared" si="14"/>
        <v>0</v>
      </c>
      <c r="CL21" s="4" t="s">
        <v>132</v>
      </c>
      <c r="CM21" s="5">
        <v>0</v>
      </c>
      <c r="CN21" s="4">
        <v>0</v>
      </c>
      <c r="CO21" s="132">
        <f t="shared" si="15"/>
        <v>0</v>
      </c>
      <c r="CP21" s="4" t="s">
        <v>132</v>
      </c>
      <c r="CQ21" s="5">
        <v>0</v>
      </c>
      <c r="CR21" s="4">
        <v>0</v>
      </c>
      <c r="CS21" s="132">
        <f t="shared" si="16"/>
        <v>0</v>
      </c>
      <c r="CT21" s="159">
        <f t="shared" si="17"/>
        <v>0</v>
      </c>
      <c r="CU21" s="168">
        <f t="shared" si="18"/>
        <v>550</v>
      </c>
      <c r="CV21" s="169">
        <f>(100*CT21)/100</f>
        <v>0</v>
      </c>
      <c r="CW21" s="82">
        <f t="shared" si="26"/>
        <v>500</v>
      </c>
      <c r="CX21" s="79">
        <f>IF(ISBLANK(E21),"AddQuickPay",IF(E21=2,CU21*0.98,IF(E21=2.4,CU21*0.976,IF(E21=3,CU21*0.97,IF(E21=5,CU21*0.95,IF(E21=1.5,CU21*0.985,IF(E21=2.5,CU21*0.975,IF(E21=1.3,CU21*0.987,IF(E21=1,CU21*0.99,IF(E21=4,CU21*0.96,CU21*1))))))))))-Table1[[#This Row],[ComCheck+QuickPayFee]]</f>
        <v>539</v>
      </c>
      <c r="CY21" s="167">
        <f t="shared" si="19"/>
        <v>50</v>
      </c>
      <c r="CZ21" s="5">
        <f t="shared" si="20"/>
        <v>11</v>
      </c>
      <c r="DA21" s="258">
        <f>Table1[[#This Row],[OriginalDispatch]]-Table1[[#This Row],[QuickPayCharge]]</f>
        <v>39</v>
      </c>
      <c r="DB21" s="5">
        <v>0</v>
      </c>
      <c r="DC21" s="5" t="s">
        <v>133</v>
      </c>
      <c r="DD21" s="104">
        <f t="shared" si="21"/>
        <v>42195</v>
      </c>
      <c r="DE21" s="15">
        <f>MONTH(Table1[[#This Row],[Weekending]])</f>
        <v>7</v>
      </c>
      <c r="DF21" s="15">
        <f>YEAR(Table1[[#This Row],[Weekending]])</f>
        <v>2015</v>
      </c>
      <c r="DG21" s="4" t="s">
        <v>352</v>
      </c>
    </row>
    <row r="22" spans="1:111">
      <c r="A22" s="20" t="str">
        <f t="shared" si="0"/>
        <v>29726549</v>
      </c>
      <c r="B22" s="146">
        <v>42191</v>
      </c>
      <c r="C22" s="144">
        <v>176336329</v>
      </c>
      <c r="D22" s="298" t="s">
        <v>111</v>
      </c>
      <c r="E22" s="298">
        <v>2</v>
      </c>
      <c r="F22" s="298" t="str">
        <f>INDEX(BrokerTBL!$B:$B,MATCH(D22,BrokerTBL!$A:$A,0))</f>
        <v>P.O. Box 3474</v>
      </c>
      <c r="G22" s="298" t="str">
        <f>INDEX(BrokerTBL!$C:$C,MATCH(D22,BrokerTBL!$A:$A,0))</f>
        <v>Chicago</v>
      </c>
      <c r="H22" s="298" t="str">
        <f>INDEX(BrokerTBL!$D:$D,MATCH(D22,BrokerTBL!$A:$A,0))</f>
        <v>Il</v>
      </c>
      <c r="I22" s="298" t="str">
        <f>INDEX(BrokerTBL!$E:$E,MATCH(D22,BrokerTBL!$A:$A,0))</f>
        <v>US</v>
      </c>
      <c r="J22" s="298">
        <f>INDEX(BrokerTBL!$F:$F,MATCH(D22,BrokerTBL!$A:$A,0))</f>
        <v>60654</v>
      </c>
      <c r="K22" s="298" t="s">
        <v>157</v>
      </c>
      <c r="L22" s="145">
        <v>86024172</v>
      </c>
      <c r="M22" s="146">
        <v>42191</v>
      </c>
      <c r="N22" s="144" t="s">
        <v>353</v>
      </c>
      <c r="O22" s="298" t="s">
        <v>159</v>
      </c>
      <c r="P22" s="298" t="s">
        <v>160</v>
      </c>
      <c r="Q22" s="298" t="s">
        <v>139</v>
      </c>
      <c r="R22" s="298">
        <v>94533</v>
      </c>
      <c r="S22" s="298" t="s">
        <v>118</v>
      </c>
      <c r="T22" s="298" t="s">
        <v>161</v>
      </c>
      <c r="U22" s="298" t="s">
        <v>120</v>
      </c>
      <c r="V22" s="298">
        <v>53</v>
      </c>
      <c r="W22" s="298" t="s">
        <v>354</v>
      </c>
      <c r="X22" s="144">
        <v>9000</v>
      </c>
      <c r="Y22" s="298" t="s">
        <v>123</v>
      </c>
      <c r="Z22" s="298" t="s">
        <v>123</v>
      </c>
      <c r="AA22" s="298" t="s">
        <v>123</v>
      </c>
      <c r="AB22" s="298" t="s">
        <v>123</v>
      </c>
      <c r="AC22" s="298" t="s">
        <v>150</v>
      </c>
      <c r="AD22" s="145" t="s">
        <v>355</v>
      </c>
      <c r="AE22" s="146">
        <v>42191</v>
      </c>
      <c r="AF22" s="298" t="s">
        <v>356</v>
      </c>
      <c r="AG22" s="298" t="s">
        <v>153</v>
      </c>
      <c r="AH22" s="298" t="s">
        <v>154</v>
      </c>
      <c r="AI22" s="298" t="s">
        <v>139</v>
      </c>
      <c r="AJ22" s="298">
        <v>93307</v>
      </c>
      <c r="AK22" s="298" t="s">
        <v>118</v>
      </c>
      <c r="AL22" s="298" t="s">
        <v>155</v>
      </c>
      <c r="AM22" s="142" t="str">
        <f>INDEX(CarrierDriverTBL!$B:$B,MATCH(Table1[[#This Row],[DriverID]],CarrierDriverTBL!$A:$A,0))</f>
        <v>UBTrucking</v>
      </c>
      <c r="AN22" s="10" t="s">
        <v>192</v>
      </c>
      <c r="AO22" s="142" t="str">
        <f>INDEX(CarrierDriverTBL!$C:$C,MATCH(Table1[[#This Row],[DriverID]],CarrierDriverTBL!$A:$A,0))</f>
        <v>Albel</v>
      </c>
      <c r="AP22" s="142" t="str">
        <f>INDEX(CarrierDriverTBL!$D:$D,MATCH(Table1[[#This Row],[DriverID]],CarrierDriverTBL!$A:$A,0))</f>
        <v>Chahil</v>
      </c>
      <c r="AQ22" s="142" t="str">
        <f>INDEX(CarrierDriverTBL!$X:$X,MATCH(Table1[[#This Row],[DriverID]],CarrierDriverTBL!$A:$A,0))</f>
        <v>A8390649</v>
      </c>
      <c r="AR22" s="160">
        <f>INDEX(CarrierDriverTBL!$Y:$Y,MATCH(Table1[[#This Row],[DriverID]],CarrierDriverTBL!$A:$A,0))</f>
        <v>42402</v>
      </c>
      <c r="AS22" s="142" t="str">
        <f t="shared" si="1"/>
        <v>GOOD</v>
      </c>
      <c r="AT22" s="160">
        <f>INDEX(CarrierDriverTBL!$E:$E,MATCH(Table1[[#This Row],[DriverID]],CarrierDriverTBL!$A:$A,0))</f>
        <v>22314</v>
      </c>
      <c r="AU22" s="163">
        <f ca="1">INDEX(CarrierDriverTBL!$F:$F,MATCH(Table1[[#This Row],[DriverID]],CarrierDriverTBL!$A:$A,0))</f>
        <v>55.512328767123286</v>
      </c>
      <c r="AV22" s="142" t="str">
        <f>INDEX(CarrierDriverTBL!$K:$K,MATCH(Table1[[#This Row],[DriverID]],CarrierDriverTBL!$A:$A,0))</f>
        <v>510-773-9450</v>
      </c>
      <c r="AW22" s="142" t="str">
        <f>INDEX(CarrierDriverTBL!$M:$M,MATCH(Table1[[#This Row],[DriverID]],CarrierDriverTBL!$A:$A,0))</f>
        <v>3124 Cynthia CT</v>
      </c>
      <c r="AX22" s="142" t="str">
        <f>INDEX(CarrierDriverTBL!$N:$N,MATCH(Table1[[#This Row],[DriverID]],CarrierDriverTBL!$A:$A,0))</f>
        <v>Tracy</v>
      </c>
      <c r="AY22" s="142" t="str">
        <f>INDEX(CarrierDriverTBL!$O:$O,MATCH(Table1[[#This Row],[DriverID]],CarrierDriverTBL!$A:$A,0))</f>
        <v>CA</v>
      </c>
      <c r="AZ22" s="142">
        <f>INDEX(CarrierDriverTBL!$P:$P,MATCH(Table1[[#This Row],[DriverID]],CarrierDriverTBL!$A:$A,0))</f>
        <v>95377</v>
      </c>
      <c r="BA22" s="142" t="str">
        <f>INDEX(CarrierDriverTBL!$Q:$Q,MATCH(Table1[[#This Row],[DriverID]],CarrierDriverTBL!$A:$A,0))</f>
        <v>US</v>
      </c>
      <c r="BB22" s="176" t="str">
        <f>INDEX(CarrierDriverTBL!$R:$R,MATCH(Table1[[#This Row],[DriverID]],CarrierDriverTBL!$A:$A,0))</f>
        <v>ubgollc@gmail.com</v>
      </c>
      <c r="BC22" s="160">
        <f>INDEX(CarrierDriverTBL!$AB:$AB,MATCH(Table1[[#This Row],[DriverID]],CarrierDriverTBL!$A:$A,0))</f>
        <v>42167</v>
      </c>
      <c r="BD22" s="142" t="str">
        <f ca="1">INDEX(CarrierDriverTBL!$AD:$AD,MATCH(LoadMaster!$AN:$AN,CarrierDriverTBL!$A:$A,0))</f>
        <v>MISSING</v>
      </c>
      <c r="BE22" s="142">
        <f>INDEX(CarrierDriverTBL!$AE:$AE,MATCH(Table1[DriverID],CarrierDriverTBL!$A:$A,0))</f>
        <v>913971</v>
      </c>
      <c r="BF22" s="142">
        <f>INDEX(CarrierDriverTBL!$AF:$AF,MATCH(Table1[DriverID],CarrierDriverTBL!$A:$A,0))</f>
        <v>2627544</v>
      </c>
      <c r="BG22" s="142">
        <f>INDEX(CarrierDriverTBL!$AG:$AG,MATCH(Table1[DriverID],CarrierDriverTBL!$A:$A,0))</f>
        <v>466133</v>
      </c>
      <c r="BH22" s="142" t="str">
        <f>INDEX(CarrierDriverTBL!$AH:$AH,MATCH(Table1[DriverID],CarrierDriverTBL!$A:$A,0))</f>
        <v>GM Lawrence Ins</v>
      </c>
      <c r="BI22" s="142" t="str">
        <f>INDEX(CarrierDriverTBL!$AI:$AI,MATCH(Table1[DriverID],CarrierDriverTBL!$A:$A,0))</f>
        <v>DSK2842P160210</v>
      </c>
      <c r="BJ22" s="160">
        <f>INDEX(CarrierDriverTBL!$AJ:$AJ,MATCH(Table1[[#This Row],[DriverID]],CarrierDriverTBL!$A:$A,0))</f>
        <v>42778</v>
      </c>
      <c r="BK22" s="10">
        <f t="shared" si="2"/>
        <v>587</v>
      </c>
      <c r="BL22" s="174">
        <v>750</v>
      </c>
      <c r="BM22" s="144">
        <v>301</v>
      </c>
      <c r="BN22" s="159">
        <f t="shared" si="23"/>
        <v>2.4916943521594686</v>
      </c>
      <c r="BO22" s="167">
        <v>700</v>
      </c>
      <c r="BP22" s="159">
        <f t="shared" si="24"/>
        <v>2.3255813953488373</v>
      </c>
      <c r="BQ22" s="66">
        <v>3.12</v>
      </c>
      <c r="BR22" s="166">
        <f t="shared" si="25"/>
        <v>0.20333333333333337</v>
      </c>
      <c r="BS22" s="167">
        <f t="shared" si="6"/>
        <v>2.1222480620155038</v>
      </c>
      <c r="BT22" s="159">
        <f t="shared" si="7"/>
        <v>61.20333333333334</v>
      </c>
      <c r="BU22" s="10" t="str">
        <f t="shared" si="8"/>
        <v>Ch Robinson</v>
      </c>
      <c r="BV22" s="15"/>
      <c r="BW22" s="4" t="str">
        <f>Table1[[#This Row],[BrokerAddress]]</f>
        <v>P.O. Box 3474</v>
      </c>
      <c r="BX22" s="4" t="str">
        <f t="shared" si="9"/>
        <v>Chicago</v>
      </c>
      <c r="BY22" s="4" t="str">
        <f t="shared" si="10"/>
        <v>Il</v>
      </c>
      <c r="BZ22" s="4">
        <f t="shared" si="11"/>
        <v>60654</v>
      </c>
      <c r="CA22" s="10" t="str">
        <f t="shared" si="12"/>
        <v>US</v>
      </c>
      <c r="CB22" s="4" t="s">
        <v>131</v>
      </c>
      <c r="CC22" s="62"/>
      <c r="CD22" s="15" t="s">
        <v>132</v>
      </c>
      <c r="CE22" s="64">
        <v>0</v>
      </c>
      <c r="CF22" s="4">
        <v>0</v>
      </c>
      <c r="CG22" s="132">
        <f t="shared" si="13"/>
        <v>0</v>
      </c>
      <c r="CH22" s="4" t="s">
        <v>132</v>
      </c>
      <c r="CI22" s="5">
        <v>0</v>
      </c>
      <c r="CJ22" s="4">
        <v>0</v>
      </c>
      <c r="CK22" s="132">
        <f t="shared" si="14"/>
        <v>0</v>
      </c>
      <c r="CL22" s="4" t="s">
        <v>132</v>
      </c>
      <c r="CM22" s="5">
        <v>0</v>
      </c>
      <c r="CN22" s="4">
        <v>0</v>
      </c>
      <c r="CO22" s="132">
        <f t="shared" si="15"/>
        <v>0</v>
      </c>
      <c r="CP22" s="4" t="s">
        <v>132</v>
      </c>
      <c r="CQ22" s="5">
        <v>0</v>
      </c>
      <c r="CR22" s="4">
        <v>0</v>
      </c>
      <c r="CS22" s="132">
        <f t="shared" si="16"/>
        <v>0</v>
      </c>
      <c r="CT22" s="132">
        <f t="shared" si="17"/>
        <v>0</v>
      </c>
      <c r="CU22" s="168">
        <f t="shared" si="18"/>
        <v>750</v>
      </c>
      <c r="CV22" s="169">
        <f>(90*CT22)/100</f>
        <v>0</v>
      </c>
      <c r="CW22" s="82">
        <f t="shared" si="26"/>
        <v>700</v>
      </c>
      <c r="CX22" s="79">
        <f>IF(ISBLANK(E22),"AddQuickPay",IF(E22=2,CU22*0.98,IF(E22=2.4,CU22*0.976,IF(E22=3,CU22*0.97,IF(E22=5,CU22*0.95,IF(E22=1.5,CU22*0.985,IF(E22=2.5,CU22*0.975,IF(E22=1.3,CU22*0.987,IF(E22=1,CU22*0.99,IF(E22=4,CU22*0.96,CU22*1))))))))))-Table1[[#This Row],[ComCheck+QuickPayFee]]</f>
        <v>735</v>
      </c>
      <c r="CY22" s="167">
        <f t="shared" si="19"/>
        <v>50</v>
      </c>
      <c r="CZ22" s="5">
        <f t="shared" si="20"/>
        <v>15</v>
      </c>
      <c r="DA22" s="258">
        <f>Table1[[#This Row],[OriginalDispatch]]-Table1[[#This Row],[QuickPayCharge]]</f>
        <v>35</v>
      </c>
      <c r="DB22" s="5">
        <v>0</v>
      </c>
      <c r="DC22" s="5" t="s">
        <v>133</v>
      </c>
      <c r="DD22" s="104">
        <f t="shared" si="21"/>
        <v>42195</v>
      </c>
      <c r="DE22" s="15">
        <f>MONTH(Table1[[#This Row],[Weekending]])</f>
        <v>7</v>
      </c>
      <c r="DF22" s="15">
        <f>YEAR(Table1[[#This Row],[Weekending]])</f>
        <v>2015</v>
      </c>
      <c r="DG22" s="4"/>
    </row>
    <row r="23" spans="1:111">
      <c r="A23" s="20" t="str">
        <f t="shared" si="0"/>
        <v>72070149</v>
      </c>
      <c r="B23" s="146">
        <v>42191</v>
      </c>
      <c r="C23" s="144">
        <v>176520172</v>
      </c>
      <c r="D23" s="298" t="s">
        <v>111</v>
      </c>
      <c r="E23" s="298">
        <v>2</v>
      </c>
      <c r="F23" s="298" t="str">
        <f>INDEX(BrokerTBL!$B:$B,MATCH(D23,BrokerTBL!$A:$A,0))</f>
        <v>P.O. Box 3474</v>
      </c>
      <c r="G23" s="298" t="str">
        <f>INDEX(BrokerTBL!$C:$C,MATCH(D23,BrokerTBL!$A:$A,0))</f>
        <v>Chicago</v>
      </c>
      <c r="H23" s="298" t="str">
        <f>INDEX(BrokerTBL!$D:$D,MATCH(D23,BrokerTBL!$A:$A,0))</f>
        <v>Il</v>
      </c>
      <c r="I23" s="298" t="str">
        <f>INDEX(BrokerTBL!$E:$E,MATCH(D23,BrokerTBL!$A:$A,0))</f>
        <v>US</v>
      </c>
      <c r="J23" s="298">
        <f>INDEX(BrokerTBL!$F:$F,MATCH(D23,BrokerTBL!$A:$A,0))</f>
        <v>60654</v>
      </c>
      <c r="K23" s="298" t="s">
        <v>250</v>
      </c>
      <c r="L23" s="145">
        <v>5616107</v>
      </c>
      <c r="M23" s="146">
        <v>42191</v>
      </c>
      <c r="N23" s="144" t="s">
        <v>288</v>
      </c>
      <c r="O23" s="298" t="s">
        <v>252</v>
      </c>
      <c r="P23" s="298" t="s">
        <v>253</v>
      </c>
      <c r="Q23" s="298" t="s">
        <v>139</v>
      </c>
      <c r="R23" s="298">
        <v>93637</v>
      </c>
      <c r="S23" s="298" t="s">
        <v>118</v>
      </c>
      <c r="T23" s="298" t="s">
        <v>254</v>
      </c>
      <c r="U23" s="298" t="s">
        <v>120</v>
      </c>
      <c r="V23" s="298">
        <v>53</v>
      </c>
      <c r="W23" s="298" t="s">
        <v>357</v>
      </c>
      <c r="X23" s="144">
        <v>38300</v>
      </c>
      <c r="Y23" s="298" t="s">
        <v>26</v>
      </c>
      <c r="Z23" s="298">
        <v>22</v>
      </c>
      <c r="AA23" s="298">
        <v>22</v>
      </c>
      <c r="AB23" s="298" t="s">
        <v>123</v>
      </c>
      <c r="AC23" s="298" t="s">
        <v>358</v>
      </c>
      <c r="AD23" s="145" t="s">
        <v>359</v>
      </c>
      <c r="AE23" s="146">
        <v>42192</v>
      </c>
      <c r="AF23" s="298" t="s">
        <v>360</v>
      </c>
      <c r="AG23" s="298" t="s">
        <v>361</v>
      </c>
      <c r="AH23" s="298" t="s">
        <v>335</v>
      </c>
      <c r="AI23" s="298" t="s">
        <v>139</v>
      </c>
      <c r="AJ23" s="298">
        <v>94558</v>
      </c>
      <c r="AK23" s="298" t="s">
        <v>118</v>
      </c>
      <c r="AL23" s="298" t="s">
        <v>362</v>
      </c>
      <c r="AM23" s="142" t="str">
        <f>INDEX(CarrierDriverTBL!$B:$B,MATCH(Table1[[#This Row],[DriverID]],CarrierDriverTBL!$A:$A,0))</f>
        <v>UBTrucking</v>
      </c>
      <c r="AN23" s="10" t="s">
        <v>192</v>
      </c>
      <c r="AO23" s="142" t="str">
        <f>INDEX(CarrierDriverTBL!$C:$C,MATCH(Table1[[#This Row],[DriverID]],CarrierDriverTBL!$A:$A,0))</f>
        <v>Albel</v>
      </c>
      <c r="AP23" s="142" t="str">
        <f>INDEX(CarrierDriverTBL!$D:$D,MATCH(Table1[[#This Row],[DriverID]],CarrierDriverTBL!$A:$A,0))</f>
        <v>Chahil</v>
      </c>
      <c r="AQ23" s="142" t="str">
        <f>INDEX(CarrierDriverTBL!$X:$X,MATCH(Table1[[#This Row],[DriverID]],CarrierDriverTBL!$A:$A,0))</f>
        <v>A8390649</v>
      </c>
      <c r="AR23" s="160">
        <f>INDEX(CarrierDriverTBL!$Y:$Y,MATCH(Table1[[#This Row],[DriverID]],CarrierDriverTBL!$A:$A,0))</f>
        <v>42402</v>
      </c>
      <c r="AS23" s="142" t="str">
        <f t="shared" si="1"/>
        <v>GOOD</v>
      </c>
      <c r="AT23" s="160">
        <f>INDEX(CarrierDriverTBL!$E:$E,MATCH(Table1[[#This Row],[DriverID]],CarrierDriverTBL!$A:$A,0))</f>
        <v>22314</v>
      </c>
      <c r="AU23" s="163">
        <f ca="1">INDEX(CarrierDriverTBL!$F:$F,MATCH(Table1[[#This Row],[DriverID]],CarrierDriverTBL!$A:$A,0))</f>
        <v>55.512328767123286</v>
      </c>
      <c r="AV23" s="142" t="str">
        <f>INDEX(CarrierDriverTBL!$K:$K,MATCH(Table1[[#This Row],[DriverID]],CarrierDriverTBL!$A:$A,0))</f>
        <v>510-773-9450</v>
      </c>
      <c r="AW23" s="142" t="str">
        <f>INDEX(CarrierDriverTBL!$M:$M,MATCH(Table1[[#This Row],[DriverID]],CarrierDriverTBL!$A:$A,0))</f>
        <v>3124 Cynthia CT</v>
      </c>
      <c r="AX23" s="142" t="str">
        <f>INDEX(CarrierDriverTBL!$N:$N,MATCH(Table1[[#This Row],[DriverID]],CarrierDriverTBL!$A:$A,0))</f>
        <v>Tracy</v>
      </c>
      <c r="AY23" s="142" t="str">
        <f>INDEX(CarrierDriverTBL!$O:$O,MATCH(Table1[[#This Row],[DriverID]],CarrierDriverTBL!$A:$A,0))</f>
        <v>CA</v>
      </c>
      <c r="AZ23" s="142">
        <f>INDEX(CarrierDriverTBL!$P:$P,MATCH(Table1[[#This Row],[DriverID]],CarrierDriverTBL!$A:$A,0))</f>
        <v>95377</v>
      </c>
      <c r="BA23" s="142" t="str">
        <f>INDEX(CarrierDriverTBL!$Q:$Q,MATCH(Table1[[#This Row],[DriverID]],CarrierDriverTBL!$A:$A,0))</f>
        <v>US</v>
      </c>
      <c r="BB23" s="176" t="str">
        <f>INDEX(CarrierDriverTBL!$R:$R,MATCH(Table1[[#This Row],[DriverID]],CarrierDriverTBL!$A:$A,0))</f>
        <v>ubgollc@gmail.com</v>
      </c>
      <c r="BC23" s="160">
        <f>INDEX(CarrierDriverTBL!$AB:$AB,MATCH(Table1[[#This Row],[DriverID]],CarrierDriverTBL!$A:$A,0))</f>
        <v>42167</v>
      </c>
      <c r="BD23" s="142" t="str">
        <f ca="1">INDEX(CarrierDriverTBL!$AD:$AD,MATCH(LoadMaster!$AN:$AN,CarrierDriverTBL!$A:$A,0))</f>
        <v>MISSING</v>
      </c>
      <c r="BE23" s="142">
        <f>INDEX(CarrierDriverTBL!$AE:$AE,MATCH(Table1[DriverID],CarrierDriverTBL!$A:$A,0))</f>
        <v>913971</v>
      </c>
      <c r="BF23" s="142">
        <f>INDEX(CarrierDriverTBL!$AF:$AF,MATCH(Table1[DriverID],CarrierDriverTBL!$A:$A,0))</f>
        <v>2627544</v>
      </c>
      <c r="BG23" s="142">
        <f>INDEX(CarrierDriverTBL!$AG:$AG,MATCH(Table1[DriverID],CarrierDriverTBL!$A:$A,0))</f>
        <v>466133</v>
      </c>
      <c r="BH23" s="142" t="str">
        <f>INDEX(CarrierDriverTBL!$AH:$AH,MATCH(Table1[DriverID],CarrierDriverTBL!$A:$A,0))</f>
        <v>GM Lawrence Ins</v>
      </c>
      <c r="BI23" s="142" t="str">
        <f>INDEX(CarrierDriverTBL!$AI:$AI,MATCH(Table1[DriverID],CarrierDriverTBL!$A:$A,0))</f>
        <v>DSK2842P160210</v>
      </c>
      <c r="BJ23" s="160">
        <f>INDEX(CarrierDriverTBL!$AJ:$AJ,MATCH(Table1[[#This Row],[DriverID]],CarrierDriverTBL!$A:$A,0))</f>
        <v>42778</v>
      </c>
      <c r="BK23" s="10">
        <f t="shared" si="2"/>
        <v>587</v>
      </c>
      <c r="BL23" s="174">
        <v>525</v>
      </c>
      <c r="BM23" s="144">
        <v>181</v>
      </c>
      <c r="BN23" s="159">
        <f t="shared" si="23"/>
        <v>2.9005524861878453</v>
      </c>
      <c r="BO23" s="167">
        <v>500</v>
      </c>
      <c r="BP23" s="159">
        <f t="shared" si="24"/>
        <v>2.7624309392265194</v>
      </c>
      <c r="BQ23" s="66">
        <v>3.12</v>
      </c>
      <c r="BR23" s="166">
        <f t="shared" si="25"/>
        <v>0.20333333333333337</v>
      </c>
      <c r="BS23" s="167">
        <f t="shared" si="6"/>
        <v>2.5590976058931858</v>
      </c>
      <c r="BT23" s="159">
        <f t="shared" si="7"/>
        <v>36.803333333333342</v>
      </c>
      <c r="BU23" s="10" t="str">
        <f t="shared" si="8"/>
        <v>Ch Robinson</v>
      </c>
      <c r="BV23" s="15"/>
      <c r="BW23" s="4" t="str">
        <f>Table1[[#This Row],[BrokerAddress]]</f>
        <v>P.O. Box 3474</v>
      </c>
      <c r="BX23" s="4" t="str">
        <f t="shared" si="9"/>
        <v>Chicago</v>
      </c>
      <c r="BY23" s="4" t="str">
        <f t="shared" si="10"/>
        <v>Il</v>
      </c>
      <c r="BZ23" s="4">
        <f t="shared" si="11"/>
        <v>60654</v>
      </c>
      <c r="CA23" s="10" t="str">
        <f t="shared" si="12"/>
        <v>US</v>
      </c>
      <c r="CB23" s="4" t="s">
        <v>131</v>
      </c>
      <c r="CC23" s="62"/>
      <c r="CD23" s="15" t="s">
        <v>132</v>
      </c>
      <c r="CE23" s="64">
        <v>0</v>
      </c>
      <c r="CF23" s="4">
        <v>0</v>
      </c>
      <c r="CG23" s="132">
        <f t="shared" si="13"/>
        <v>0</v>
      </c>
      <c r="CH23" s="4" t="s">
        <v>132</v>
      </c>
      <c r="CI23" s="5">
        <v>0</v>
      </c>
      <c r="CJ23" s="4">
        <v>0</v>
      </c>
      <c r="CK23" s="132">
        <f t="shared" si="14"/>
        <v>0</v>
      </c>
      <c r="CL23" s="4" t="s">
        <v>132</v>
      </c>
      <c r="CM23" s="5">
        <v>0</v>
      </c>
      <c r="CN23" s="4">
        <v>0</v>
      </c>
      <c r="CO23" s="132">
        <f t="shared" si="15"/>
        <v>0</v>
      </c>
      <c r="CP23" s="4" t="s">
        <v>132</v>
      </c>
      <c r="CQ23" s="5">
        <v>0</v>
      </c>
      <c r="CR23" s="4">
        <v>0</v>
      </c>
      <c r="CS23" s="132">
        <f t="shared" si="16"/>
        <v>0</v>
      </c>
      <c r="CT23" s="132">
        <f t="shared" si="17"/>
        <v>0</v>
      </c>
      <c r="CU23" s="168">
        <f t="shared" si="18"/>
        <v>525</v>
      </c>
      <c r="CV23" s="169">
        <f>(90*CT23)/100</f>
        <v>0</v>
      </c>
      <c r="CW23" s="82">
        <f t="shared" si="26"/>
        <v>500</v>
      </c>
      <c r="CX23" s="79">
        <f>IF(ISBLANK(E23),"AddQuickPay",IF(E23=2,CU23*0.98,IF(E23=2.4,CU23*0.976,IF(E23=3,CU23*0.97,IF(E23=5,CU23*0.95,IF(E23=1.5,CU23*0.985,IF(E23=2.5,CU23*0.975,IF(E23=1.3,CU23*0.987,IF(E23=1,CU23*0.99,IF(E23=4,CU23*0.96,CU23*1))))))))))-Table1[[#This Row],[ComCheck+QuickPayFee]]</f>
        <v>514.5</v>
      </c>
      <c r="CY23" s="167">
        <f t="shared" si="19"/>
        <v>25</v>
      </c>
      <c r="CZ23" s="5">
        <f t="shared" si="20"/>
        <v>10.5</v>
      </c>
      <c r="DA23" s="258">
        <f>Table1[[#This Row],[OriginalDispatch]]-Table1[[#This Row],[QuickPayCharge]]</f>
        <v>14.5</v>
      </c>
      <c r="DB23" s="5">
        <v>0</v>
      </c>
      <c r="DC23" s="5" t="s">
        <v>133</v>
      </c>
      <c r="DD23" s="104">
        <f t="shared" si="21"/>
        <v>42195</v>
      </c>
      <c r="DE23" s="15">
        <f>MONTH(Table1[[#This Row],[Weekending]])</f>
        <v>7</v>
      </c>
      <c r="DF23" s="15">
        <f>YEAR(Table1[[#This Row],[Weekending]])</f>
        <v>2015</v>
      </c>
      <c r="DG23" s="4"/>
    </row>
    <row r="24" spans="1:111">
      <c r="A24" s="20" t="str">
        <f t="shared" si="0"/>
        <v>58042549</v>
      </c>
      <c r="B24" s="146">
        <v>42192</v>
      </c>
      <c r="C24" s="144">
        <v>176518558</v>
      </c>
      <c r="D24" s="298" t="s">
        <v>111</v>
      </c>
      <c r="E24" s="298">
        <v>2</v>
      </c>
      <c r="F24" s="298" t="str">
        <f>INDEX(BrokerTBL!$B:$B,MATCH(D24,BrokerTBL!$A:$A,0))</f>
        <v>P.O. Box 3474</v>
      </c>
      <c r="G24" s="298" t="str">
        <f>INDEX(BrokerTBL!$C:$C,MATCH(D24,BrokerTBL!$A:$A,0))</f>
        <v>Chicago</v>
      </c>
      <c r="H24" s="298" t="str">
        <f>INDEX(BrokerTBL!$D:$D,MATCH(D24,BrokerTBL!$A:$A,0))</f>
        <v>Il</v>
      </c>
      <c r="I24" s="298" t="str">
        <f>INDEX(BrokerTBL!$E:$E,MATCH(D24,BrokerTBL!$A:$A,0))</f>
        <v>US</v>
      </c>
      <c r="J24" s="298">
        <f>INDEX(BrokerTBL!$F:$F,MATCH(D24,BrokerTBL!$A:$A,0))</f>
        <v>60654</v>
      </c>
      <c r="K24" s="298" t="s">
        <v>363</v>
      </c>
      <c r="L24" s="145">
        <v>99304</v>
      </c>
      <c r="M24" s="146">
        <v>42192</v>
      </c>
      <c r="N24" s="144" t="s">
        <v>364</v>
      </c>
      <c r="O24" s="298" t="s">
        <v>365</v>
      </c>
      <c r="P24" s="298" t="s">
        <v>366</v>
      </c>
      <c r="Q24" s="298" t="s">
        <v>139</v>
      </c>
      <c r="R24" s="298">
        <v>95776</v>
      </c>
      <c r="S24" s="298" t="s">
        <v>118</v>
      </c>
      <c r="T24" s="298" t="s">
        <v>367</v>
      </c>
      <c r="U24" s="298" t="s">
        <v>120</v>
      </c>
      <c r="V24" s="298">
        <v>53</v>
      </c>
      <c r="W24" s="298" t="s">
        <v>327</v>
      </c>
      <c r="X24" s="144">
        <v>42330</v>
      </c>
      <c r="Y24" s="298" t="s">
        <v>328</v>
      </c>
      <c r="Z24" s="298">
        <v>1700</v>
      </c>
      <c r="AA24" s="298" t="s">
        <v>123</v>
      </c>
      <c r="AB24" s="298" t="s">
        <v>123</v>
      </c>
      <c r="AC24" s="298" t="s">
        <v>368</v>
      </c>
      <c r="AD24" s="145">
        <v>2646725</v>
      </c>
      <c r="AE24" s="146">
        <v>42193</v>
      </c>
      <c r="AF24" s="298" t="s">
        <v>369</v>
      </c>
      <c r="AG24" s="298" t="s">
        <v>370</v>
      </c>
      <c r="AH24" s="298" t="s">
        <v>184</v>
      </c>
      <c r="AI24" s="298" t="s">
        <v>139</v>
      </c>
      <c r="AJ24" s="298">
        <v>95206</v>
      </c>
      <c r="AK24" s="298" t="s">
        <v>118</v>
      </c>
      <c r="AL24" s="298" t="s">
        <v>371</v>
      </c>
      <c r="AM24" s="142" t="str">
        <f>INDEX(CarrierDriverTBL!$B:$B,MATCH(Table1[[#This Row],[DriverID]],CarrierDriverTBL!$A:$A,0))</f>
        <v>UBTrucking</v>
      </c>
      <c r="AN24" s="10" t="s">
        <v>192</v>
      </c>
      <c r="AO24" s="142" t="str">
        <f>INDEX(CarrierDriverTBL!$C:$C,MATCH(Table1[[#This Row],[DriverID]],CarrierDriverTBL!$A:$A,0))</f>
        <v>Albel</v>
      </c>
      <c r="AP24" s="142" t="str">
        <f>INDEX(CarrierDriverTBL!$D:$D,MATCH(Table1[[#This Row],[DriverID]],CarrierDriverTBL!$A:$A,0))</f>
        <v>Chahil</v>
      </c>
      <c r="AQ24" s="142" t="str">
        <f>INDEX(CarrierDriverTBL!$X:$X,MATCH(Table1[[#This Row],[DriverID]],CarrierDriverTBL!$A:$A,0))</f>
        <v>A8390649</v>
      </c>
      <c r="AR24" s="160">
        <f>INDEX(CarrierDriverTBL!$Y:$Y,MATCH(Table1[[#This Row],[DriverID]],CarrierDriverTBL!$A:$A,0))</f>
        <v>42402</v>
      </c>
      <c r="AS24" s="142" t="str">
        <f t="shared" si="1"/>
        <v>GOOD</v>
      </c>
      <c r="AT24" s="160">
        <f>INDEX(CarrierDriverTBL!$E:$E,MATCH(Table1[[#This Row],[DriverID]],CarrierDriverTBL!$A:$A,0))</f>
        <v>22314</v>
      </c>
      <c r="AU24" s="163">
        <f ca="1">INDEX(CarrierDriverTBL!$F:$F,MATCH(Table1[[#This Row],[DriverID]],CarrierDriverTBL!$A:$A,0))</f>
        <v>55.512328767123286</v>
      </c>
      <c r="AV24" s="142" t="str">
        <f>INDEX(CarrierDriverTBL!$K:$K,MATCH(Table1[[#This Row],[DriverID]],CarrierDriverTBL!$A:$A,0))</f>
        <v>510-773-9450</v>
      </c>
      <c r="AW24" s="142" t="str">
        <f>INDEX(CarrierDriverTBL!$M:$M,MATCH(Table1[[#This Row],[DriverID]],CarrierDriverTBL!$A:$A,0))</f>
        <v>3124 Cynthia CT</v>
      </c>
      <c r="AX24" s="142" t="str">
        <f>INDEX(CarrierDriverTBL!$N:$N,MATCH(Table1[[#This Row],[DriverID]],CarrierDriverTBL!$A:$A,0))</f>
        <v>Tracy</v>
      </c>
      <c r="AY24" s="142" t="str">
        <f>INDEX(CarrierDriverTBL!$O:$O,MATCH(Table1[[#This Row],[DriverID]],CarrierDriverTBL!$A:$A,0))</f>
        <v>CA</v>
      </c>
      <c r="AZ24" s="142">
        <f>INDEX(CarrierDriverTBL!$P:$P,MATCH(Table1[[#This Row],[DriverID]],CarrierDriverTBL!$A:$A,0))</f>
        <v>95377</v>
      </c>
      <c r="BA24" s="142" t="str">
        <f>INDEX(CarrierDriverTBL!$Q:$Q,MATCH(Table1[[#This Row],[DriverID]],CarrierDriverTBL!$A:$A,0))</f>
        <v>US</v>
      </c>
      <c r="BB24" s="176" t="str">
        <f>INDEX(CarrierDriverTBL!$R:$R,MATCH(Table1[[#This Row],[DriverID]],CarrierDriverTBL!$A:$A,0))</f>
        <v>ubgollc@gmail.com</v>
      </c>
      <c r="BC24" s="160">
        <f>INDEX(CarrierDriverTBL!$AB:$AB,MATCH(Table1[[#This Row],[DriverID]],CarrierDriverTBL!$A:$A,0))</f>
        <v>42167</v>
      </c>
      <c r="BD24" s="142" t="str">
        <f ca="1">INDEX(CarrierDriverTBL!$AD:$AD,MATCH(LoadMaster!$AN:$AN,CarrierDriverTBL!$A:$A,0))</f>
        <v>MISSING</v>
      </c>
      <c r="BE24" s="142">
        <f>INDEX(CarrierDriverTBL!$AE:$AE,MATCH(Table1[DriverID],CarrierDriverTBL!$A:$A,0))</f>
        <v>913971</v>
      </c>
      <c r="BF24" s="142">
        <f>INDEX(CarrierDriverTBL!$AF:$AF,MATCH(Table1[DriverID],CarrierDriverTBL!$A:$A,0))</f>
        <v>2627544</v>
      </c>
      <c r="BG24" s="142">
        <f>INDEX(CarrierDriverTBL!$AG:$AG,MATCH(Table1[DriverID],CarrierDriverTBL!$A:$A,0))</f>
        <v>466133</v>
      </c>
      <c r="BH24" s="142" t="str">
        <f>INDEX(CarrierDriverTBL!$AH:$AH,MATCH(Table1[DriverID],CarrierDriverTBL!$A:$A,0))</f>
        <v>GM Lawrence Ins</v>
      </c>
      <c r="BI24" s="142" t="str">
        <f>INDEX(CarrierDriverTBL!$AI:$AI,MATCH(Table1[DriverID],CarrierDriverTBL!$A:$A,0))</f>
        <v>DSK2842P160210</v>
      </c>
      <c r="BJ24" s="160">
        <f>INDEX(CarrierDriverTBL!$AJ:$AJ,MATCH(Table1[[#This Row],[DriverID]],CarrierDriverTBL!$A:$A,0))</f>
        <v>42778</v>
      </c>
      <c r="BK24" s="10">
        <f t="shared" si="2"/>
        <v>586</v>
      </c>
      <c r="BL24" s="174">
        <v>350</v>
      </c>
      <c r="BM24" s="144">
        <v>72</v>
      </c>
      <c r="BN24" s="159">
        <f t="shared" si="23"/>
        <v>4.8611111111111107</v>
      </c>
      <c r="BO24" s="167">
        <v>340</v>
      </c>
      <c r="BP24" s="159">
        <f t="shared" si="24"/>
        <v>4.7222222222222223</v>
      </c>
      <c r="BQ24" s="66">
        <v>3.12</v>
      </c>
      <c r="BR24" s="166">
        <f t="shared" si="25"/>
        <v>0.20333333333333337</v>
      </c>
      <c r="BS24" s="167">
        <f t="shared" si="6"/>
        <v>4.5188888888888892</v>
      </c>
      <c r="BT24" s="159">
        <f t="shared" si="7"/>
        <v>14.640000000000002</v>
      </c>
      <c r="BU24" s="10" t="str">
        <f t="shared" si="8"/>
        <v>Ch Robinson</v>
      </c>
      <c r="BV24" s="15"/>
      <c r="BW24" s="4" t="str">
        <f>Table1[[#This Row],[BrokerAddress]]</f>
        <v>P.O. Box 3474</v>
      </c>
      <c r="BX24" s="4" t="str">
        <f t="shared" si="9"/>
        <v>Chicago</v>
      </c>
      <c r="BY24" s="4" t="str">
        <f t="shared" si="10"/>
        <v>Il</v>
      </c>
      <c r="BZ24" s="4">
        <f t="shared" si="11"/>
        <v>60654</v>
      </c>
      <c r="CA24" s="10" t="str">
        <f t="shared" si="12"/>
        <v>US</v>
      </c>
      <c r="CB24" s="4" t="s">
        <v>131</v>
      </c>
      <c r="CC24" s="62"/>
      <c r="CD24" s="15" t="s">
        <v>132</v>
      </c>
      <c r="CE24" s="64">
        <v>0</v>
      </c>
      <c r="CF24" s="4">
        <v>0</v>
      </c>
      <c r="CG24" s="132">
        <f t="shared" si="13"/>
        <v>0</v>
      </c>
      <c r="CH24" s="4" t="s">
        <v>132</v>
      </c>
      <c r="CI24" s="5">
        <v>0</v>
      </c>
      <c r="CJ24" s="4">
        <v>0</v>
      </c>
      <c r="CK24" s="132">
        <f t="shared" si="14"/>
        <v>0</v>
      </c>
      <c r="CL24" s="4" t="s">
        <v>132</v>
      </c>
      <c r="CM24" s="5">
        <v>0</v>
      </c>
      <c r="CN24" s="4">
        <v>0</v>
      </c>
      <c r="CO24" s="132">
        <f t="shared" si="15"/>
        <v>0</v>
      </c>
      <c r="CP24" s="4" t="s">
        <v>132</v>
      </c>
      <c r="CQ24" s="5">
        <v>0</v>
      </c>
      <c r="CR24" s="4">
        <v>0</v>
      </c>
      <c r="CS24" s="132">
        <f t="shared" si="16"/>
        <v>0</v>
      </c>
      <c r="CT24" s="132">
        <f t="shared" si="17"/>
        <v>0</v>
      </c>
      <c r="CU24" s="168">
        <f t="shared" si="18"/>
        <v>350</v>
      </c>
      <c r="CV24" s="169">
        <f t="shared" ref="CV24:CV41" si="27">(100*CT24)/100</f>
        <v>0</v>
      </c>
      <c r="CW24" s="82">
        <f t="shared" si="26"/>
        <v>340</v>
      </c>
      <c r="CX24" s="79">
        <f>IF(ISBLANK(E24),"AddQuickPay",IF(E24=2,CU24*0.98,IF(E24=2.4,CU24*0.976,IF(E24=3,CU24*0.97,IF(E24=5,CU24*0.95,IF(E24=1.5,CU24*0.985,IF(E24=2.5,CU24*0.975,IF(E24=1.3,CU24*0.987,IF(E24=1,CU24*0.99,IF(E24=4,CU24*0.96,CU24*1))))))))))-Table1[[#This Row],[ComCheck+QuickPayFee]]</f>
        <v>343</v>
      </c>
      <c r="CY24" s="5">
        <f t="shared" si="19"/>
        <v>10</v>
      </c>
      <c r="CZ24" s="5">
        <f t="shared" si="20"/>
        <v>7</v>
      </c>
      <c r="DA24" s="258">
        <f>Table1[[#This Row],[OriginalDispatch]]-Table1[[#This Row],[QuickPayCharge]]</f>
        <v>3</v>
      </c>
      <c r="DB24" s="5">
        <v>0</v>
      </c>
      <c r="DC24" s="5" t="s">
        <v>133</v>
      </c>
      <c r="DD24" s="104">
        <f t="shared" si="21"/>
        <v>42195</v>
      </c>
      <c r="DE24" s="15">
        <f>MONTH(Table1[[#This Row],[Weekending]])</f>
        <v>7</v>
      </c>
      <c r="DF24" s="15">
        <f>YEAR(Table1[[#This Row],[Weekending]])</f>
        <v>2015</v>
      </c>
      <c r="DG24" s="4"/>
    </row>
    <row r="25" spans="1:111">
      <c r="A25" s="20" t="str">
        <f t="shared" si="0"/>
        <v>70909025</v>
      </c>
      <c r="B25" s="146">
        <v>42192</v>
      </c>
      <c r="C25" s="144">
        <v>176243170</v>
      </c>
      <c r="D25" s="298" t="s">
        <v>111</v>
      </c>
      <c r="E25" s="298">
        <v>2</v>
      </c>
      <c r="F25" s="298" t="str">
        <f>INDEX(BrokerTBL!$B:$B,MATCH(D25,BrokerTBL!$A:$A,0))</f>
        <v>P.O. Box 3474</v>
      </c>
      <c r="G25" s="298" t="str">
        <f>INDEX(BrokerTBL!$C:$C,MATCH(D25,BrokerTBL!$A:$A,0))</f>
        <v>Chicago</v>
      </c>
      <c r="H25" s="298" t="str">
        <f>INDEX(BrokerTBL!$D:$D,MATCH(D25,BrokerTBL!$A:$A,0))</f>
        <v>Il</v>
      </c>
      <c r="I25" s="298" t="str">
        <f>INDEX(BrokerTBL!$E:$E,MATCH(D25,BrokerTBL!$A:$A,0))</f>
        <v>US</v>
      </c>
      <c r="J25" s="298">
        <f>INDEX(BrokerTBL!$F:$F,MATCH(D25,BrokerTBL!$A:$A,0))</f>
        <v>60654</v>
      </c>
      <c r="K25" s="298" t="s">
        <v>372</v>
      </c>
      <c r="L25" s="145">
        <v>798190</v>
      </c>
      <c r="M25" s="146">
        <v>42192</v>
      </c>
      <c r="N25" s="144" t="s">
        <v>339</v>
      </c>
      <c r="O25" s="298" t="s">
        <v>373</v>
      </c>
      <c r="P25" s="298" t="s">
        <v>374</v>
      </c>
      <c r="Q25" s="298" t="s">
        <v>139</v>
      </c>
      <c r="R25" s="298">
        <v>94510</v>
      </c>
      <c r="S25" s="298" t="s">
        <v>118</v>
      </c>
      <c r="T25" s="298" t="s">
        <v>375</v>
      </c>
      <c r="U25" s="298" t="s">
        <v>120</v>
      </c>
      <c r="V25" s="298">
        <v>53</v>
      </c>
      <c r="W25" s="298" t="s">
        <v>376</v>
      </c>
      <c r="X25" s="144">
        <v>10128</v>
      </c>
      <c r="Y25" s="298" t="s">
        <v>122</v>
      </c>
      <c r="Z25" s="298">
        <v>273</v>
      </c>
      <c r="AA25" s="298" t="s">
        <v>123</v>
      </c>
      <c r="AB25" s="298" t="s">
        <v>123</v>
      </c>
      <c r="AC25" s="298" t="s">
        <v>377</v>
      </c>
      <c r="AD25" s="145">
        <v>798190</v>
      </c>
      <c r="AE25" s="146">
        <v>42192</v>
      </c>
      <c r="AF25" s="298" t="s">
        <v>378</v>
      </c>
      <c r="AG25" s="298" t="s">
        <v>379</v>
      </c>
      <c r="AH25" s="298" t="s">
        <v>380</v>
      </c>
      <c r="AI25" s="298" t="s">
        <v>139</v>
      </c>
      <c r="AJ25" s="298">
        <v>95376</v>
      </c>
      <c r="AK25" s="298" t="s">
        <v>118</v>
      </c>
      <c r="AL25" s="298" t="s">
        <v>381</v>
      </c>
      <c r="AM25" s="171" t="str">
        <f>INDEX(CarrierDriverTBL!$B:$B,MATCH(Table1[[#This Row],[DriverID]],CarrierDriverTBL!$A:$A,0))</f>
        <v>BoyalTrucking</v>
      </c>
      <c r="AN25" s="10" t="s">
        <v>162</v>
      </c>
      <c r="AO25" s="171" t="str">
        <f>INDEX(CarrierDriverTBL!$C:$C,MATCH(Table1[[#This Row],[DriverID]],CarrierDriverTBL!$A:$A,0))</f>
        <v>Satnam</v>
      </c>
      <c r="AP25" s="171" t="str">
        <f>INDEX(CarrierDriverTBL!$D:$D,MATCH(Table1[[#This Row],[DriverID]],CarrierDriverTBL!$A:$A,0))</f>
        <v>Boyal</v>
      </c>
      <c r="AQ25" s="171" t="str">
        <f>INDEX(CarrierDriverTBL!$X:$X,MATCH(Table1[[#This Row],[DriverID]],CarrierDriverTBL!$A:$A,0))</f>
        <v>B8245525</v>
      </c>
      <c r="AR25" s="172">
        <f>INDEX(CarrierDriverTBL!$Y:$Y,MATCH(Table1[[#This Row],[DriverID]],CarrierDriverTBL!$A:$A,0))</f>
        <v>42415</v>
      </c>
      <c r="AS25" s="142" t="str">
        <f t="shared" si="1"/>
        <v>GOOD</v>
      </c>
      <c r="AT25" s="172" t="str">
        <f>INDEX(CarrierDriverTBL!$E:$E,MATCH(Table1[[#This Row],[DriverID]],CarrierDriverTBL!$A:$A,0))</f>
        <v>MISSING</v>
      </c>
      <c r="AU25" s="163" t="str">
        <f ca="1">INDEX(CarrierDriverTBL!$F:$F,MATCH(Table1[[#This Row],[DriverID]],CarrierDriverTBL!$A:$A,0))</f>
        <v>MISSING</v>
      </c>
      <c r="AV25" s="171" t="str">
        <f>INDEX(CarrierDriverTBL!$K:$K,MATCH(Table1[[#This Row],[DriverID]],CarrierDriverTBL!$A:$A,0))</f>
        <v>209-589-5951</v>
      </c>
      <c r="AW25" s="171" t="str">
        <f>INDEX(CarrierDriverTBL!$M:$M,MATCH(Table1[[#This Row],[DriverID]],CarrierDriverTBL!$A:$A,0))</f>
        <v>2821 jubliee Drive</v>
      </c>
      <c r="AX25" s="171" t="str">
        <f>INDEX(CarrierDriverTBL!$N:$N,MATCH(Table1[[#This Row],[DriverID]],CarrierDriverTBL!$A:$A,0))</f>
        <v>Turlock</v>
      </c>
      <c r="AY25" s="171" t="str">
        <f>INDEX(CarrierDriverTBL!$O:$O,MATCH(Table1[[#This Row],[DriverID]],CarrierDriverTBL!$A:$A,0))</f>
        <v>CA</v>
      </c>
      <c r="AZ25" s="171">
        <f>INDEX(CarrierDriverTBL!$P:$P,MATCH(Table1[[#This Row],[DriverID]],CarrierDriverTBL!$A:$A,0))</f>
        <v>95380</v>
      </c>
      <c r="BA25" s="171" t="str">
        <f>INDEX(CarrierDriverTBL!$Q:$Q,MATCH(Table1[[#This Row],[DriverID]],CarrierDriverTBL!$A:$A,0))</f>
        <v>US</v>
      </c>
      <c r="BB25" s="173" t="str">
        <f>INDEX(CarrierDriverTBL!$R:$R,MATCH(Table1[[#This Row],[DriverID]],CarrierDriverTBL!$A:$A,0))</f>
        <v>samboyal@yahoo.com</v>
      </c>
      <c r="BC25" s="160" t="str">
        <f>INDEX(CarrierDriverTBL!$AB:$AB,MATCH(Table1[[#This Row],[DriverID]],CarrierDriverTBL!$A:$A,0))</f>
        <v>Missing</v>
      </c>
      <c r="BD25" s="142" t="str">
        <f ca="1">INDEX(CarrierDriverTBL!$AD:$AD,MATCH(LoadMaster!$AN:$AN,CarrierDriverTBL!$A:$A,0))</f>
        <v>MISSING</v>
      </c>
      <c r="BE25" s="171">
        <f>INDEX(CarrierDriverTBL!$AE:$AE,MATCH(Table1[DriverID],CarrierDriverTBL!$A:$A,0))</f>
        <v>748016</v>
      </c>
      <c r="BF25" s="171">
        <f>INDEX(CarrierDriverTBL!$AF:$AF,MATCH(Table1[DriverID],CarrierDriverTBL!$A:$A,0))</f>
        <v>1978408</v>
      </c>
      <c r="BG25" s="10" t="str">
        <f>INDEX(CarrierDriverTBL!$AG:$AG,MATCH(Table1[DriverID],CarrierDriverTBL!$A:$A,0))</f>
        <v>Missing</v>
      </c>
      <c r="BH25" s="171" t="str">
        <f>INDEX(CarrierDriverTBL!$AH:$AH,MATCH(Table1[DriverID],CarrierDriverTBL!$A:$A,0))</f>
        <v>Sentry Insurance</v>
      </c>
      <c r="BI25" s="171" t="str">
        <f>INDEX(CarrierDriverTBL!$AI:$AI,MATCH(Table1[DriverID],CarrierDriverTBL!$A:$A,0))</f>
        <v>A0036221001</v>
      </c>
      <c r="BJ25" s="20">
        <f>INDEX(CarrierDriverTBL!$AJ:$AJ,MATCH(Table1[[#This Row],[DriverID]],CarrierDriverTBL!$A:$A,0))</f>
        <v>42479</v>
      </c>
      <c r="BK25" s="10">
        <f t="shared" si="2"/>
        <v>287</v>
      </c>
      <c r="BL25" s="174">
        <v>400</v>
      </c>
      <c r="BM25" s="144">
        <v>60</v>
      </c>
      <c r="BN25" s="159">
        <f t="shared" si="23"/>
        <v>6.666666666666667</v>
      </c>
      <c r="BO25" s="167">
        <v>400</v>
      </c>
      <c r="BP25" s="159">
        <f t="shared" si="24"/>
        <v>6.666666666666667</v>
      </c>
      <c r="BQ25" s="66">
        <v>3.12</v>
      </c>
      <c r="BR25" s="166">
        <f t="shared" si="25"/>
        <v>0.20333333333333337</v>
      </c>
      <c r="BS25" s="167">
        <f t="shared" si="6"/>
        <v>6.4633333333333338</v>
      </c>
      <c r="BT25" s="159">
        <f t="shared" si="7"/>
        <v>12.200000000000003</v>
      </c>
      <c r="BU25" s="10" t="str">
        <f t="shared" si="8"/>
        <v>Ch Robinson</v>
      </c>
      <c r="BV25" s="15"/>
      <c r="BW25" s="4" t="str">
        <f>Table1[[#This Row],[BrokerAddress]]</f>
        <v>P.O. Box 3474</v>
      </c>
      <c r="BX25" s="4" t="str">
        <f t="shared" si="9"/>
        <v>Chicago</v>
      </c>
      <c r="BY25" s="4" t="str">
        <f t="shared" si="10"/>
        <v>Il</v>
      </c>
      <c r="BZ25" s="4">
        <f t="shared" si="11"/>
        <v>60654</v>
      </c>
      <c r="CA25" s="10" t="str">
        <f t="shared" si="12"/>
        <v>US</v>
      </c>
      <c r="CB25" s="4" t="s">
        <v>131</v>
      </c>
      <c r="CC25" s="62"/>
      <c r="CD25" s="4" t="s">
        <v>149</v>
      </c>
      <c r="CE25" s="5">
        <v>35</v>
      </c>
      <c r="CF25" s="4">
        <v>3</v>
      </c>
      <c r="CG25" s="132">
        <f t="shared" si="13"/>
        <v>105</v>
      </c>
      <c r="CH25" s="4" t="s">
        <v>382</v>
      </c>
      <c r="CI25" s="5">
        <v>42</v>
      </c>
      <c r="CJ25" s="4">
        <v>1</v>
      </c>
      <c r="CK25" s="132">
        <f t="shared" si="14"/>
        <v>42</v>
      </c>
      <c r="CL25" s="4" t="s">
        <v>132</v>
      </c>
      <c r="CM25" s="5">
        <v>0</v>
      </c>
      <c r="CN25" s="4">
        <v>0</v>
      </c>
      <c r="CO25" s="132">
        <f t="shared" si="15"/>
        <v>0</v>
      </c>
      <c r="CP25" s="4" t="s">
        <v>132</v>
      </c>
      <c r="CQ25" s="5">
        <v>0</v>
      </c>
      <c r="CR25" s="4">
        <v>0</v>
      </c>
      <c r="CS25" s="132">
        <f t="shared" si="16"/>
        <v>0</v>
      </c>
      <c r="CT25" s="159">
        <f t="shared" si="17"/>
        <v>147</v>
      </c>
      <c r="CU25" s="168">
        <f t="shared" si="18"/>
        <v>547</v>
      </c>
      <c r="CV25" s="169">
        <f t="shared" si="27"/>
        <v>147</v>
      </c>
      <c r="CW25" s="82">
        <v>547</v>
      </c>
      <c r="CX25" s="79">
        <f>IF(ISBLANK(E25),"AddQuickPay",IF(E25=2,CU25*0.98,IF(E25=2.4,CU25*0.976,IF(E25=3,CU25*0.97,IF(E25=5,CU25*0.95,IF(E25=1.5,CU25*0.985,IF(E25=2.5,CU25*0.975,IF(E25=1.3,CU25*0.987,IF(E25=1,CU25*0.99,IF(E25=4,CU25*0.96,CU25*1))))))))))-Table1[[#This Row],[ComCheck+QuickPayFee]]</f>
        <v>536.05999999999995</v>
      </c>
      <c r="CY25" s="181">
        <f t="shared" si="19"/>
        <v>0</v>
      </c>
      <c r="CZ25" s="5">
        <f t="shared" si="20"/>
        <v>10.94</v>
      </c>
      <c r="DA25" s="259">
        <f>Table1[[#This Row],[OriginalDispatch]]-Table1[[#This Row],[QuickPayCharge]]</f>
        <v>-10.94</v>
      </c>
      <c r="DB25" s="5">
        <v>0</v>
      </c>
      <c r="DC25" s="5" t="s">
        <v>133</v>
      </c>
      <c r="DD25" s="104">
        <f t="shared" si="21"/>
        <v>42195</v>
      </c>
      <c r="DE25" s="15">
        <f>MONTH(Table1[[#This Row],[Weekending]])</f>
        <v>7</v>
      </c>
      <c r="DF25" s="15">
        <f>YEAR(Table1[[#This Row],[Weekending]])</f>
        <v>2015</v>
      </c>
      <c r="DG25" s="4" t="s">
        <v>383</v>
      </c>
    </row>
    <row r="26" spans="1:111">
      <c r="A26" s="20" t="str">
        <f t="shared" si="0"/>
        <v>255825</v>
      </c>
      <c r="B26" s="146">
        <v>42192</v>
      </c>
      <c r="C26" s="144">
        <v>1462425</v>
      </c>
      <c r="D26" s="298" t="s">
        <v>384</v>
      </c>
      <c r="E26" s="144">
        <v>1.3</v>
      </c>
      <c r="F26" s="298" t="str">
        <f>INDEX(BrokerTBL!$B:$B,MATCH(D26,BrokerTBL!$A:$A,0))</f>
        <v>11707 21St Ave Ct So</v>
      </c>
      <c r="G26" s="298" t="str">
        <f>INDEX(BrokerTBL!$C:$C,MATCH(D26,BrokerTBL!$A:$A,0))</f>
        <v>Tacoma</v>
      </c>
      <c r="H26" s="298" t="str">
        <f>INDEX(BrokerTBL!$D:$D,MATCH(D26,BrokerTBL!$A:$A,0))</f>
        <v>Wa</v>
      </c>
      <c r="I26" s="298" t="str">
        <f>INDEX(BrokerTBL!$E:$E,MATCH(D26,BrokerTBL!$A:$A,0))</f>
        <v>US</v>
      </c>
      <c r="J26" s="298">
        <f>INDEX(BrokerTBL!$F:$F,MATCH(D26,BrokerTBL!$A:$A,0))</f>
        <v>98444</v>
      </c>
      <c r="K26" s="298" t="s">
        <v>385</v>
      </c>
      <c r="L26" s="145" t="s">
        <v>386</v>
      </c>
      <c r="M26" s="146">
        <v>42192</v>
      </c>
      <c r="N26" s="182">
        <v>0.875</v>
      </c>
      <c r="O26" s="298" t="s">
        <v>387</v>
      </c>
      <c r="P26" s="298" t="s">
        <v>184</v>
      </c>
      <c r="Q26" s="298" t="s">
        <v>139</v>
      </c>
      <c r="R26" s="298">
        <v>95206</v>
      </c>
      <c r="S26" s="298" t="s">
        <v>118</v>
      </c>
      <c r="T26" s="298" t="s">
        <v>388</v>
      </c>
      <c r="U26" s="298" t="s">
        <v>120</v>
      </c>
      <c r="V26" s="298">
        <v>53</v>
      </c>
      <c r="W26" s="298" t="s">
        <v>136</v>
      </c>
      <c r="X26" s="144">
        <v>44308</v>
      </c>
      <c r="Y26" s="298" t="s">
        <v>123</v>
      </c>
      <c r="Z26" s="298" t="s">
        <v>123</v>
      </c>
      <c r="AA26" s="298" t="s">
        <v>123</v>
      </c>
      <c r="AB26" s="298" t="s">
        <v>123</v>
      </c>
      <c r="AC26" s="298" t="s">
        <v>389</v>
      </c>
      <c r="AD26" s="145"/>
      <c r="AE26" s="146">
        <v>42193</v>
      </c>
      <c r="AF26" s="182">
        <v>0.45833333333333298</v>
      </c>
      <c r="AG26" s="298" t="s">
        <v>390</v>
      </c>
      <c r="AH26" s="298" t="s">
        <v>154</v>
      </c>
      <c r="AI26" s="298" t="s">
        <v>139</v>
      </c>
      <c r="AJ26" s="298">
        <v>93307</v>
      </c>
      <c r="AK26" s="298" t="s">
        <v>118</v>
      </c>
      <c r="AL26" s="298" t="s">
        <v>391</v>
      </c>
      <c r="AM26" s="171" t="str">
        <f>INDEX(CarrierDriverTBL!$B:$B,MATCH(Table1[[#This Row],[DriverID]],CarrierDriverTBL!$A:$A,0))</f>
        <v>BoyalTrucking</v>
      </c>
      <c r="AN26" s="10" t="s">
        <v>162</v>
      </c>
      <c r="AO26" s="171" t="str">
        <f>INDEX(CarrierDriverTBL!$C:$C,MATCH(Table1[[#This Row],[DriverID]],CarrierDriverTBL!$A:$A,0))</f>
        <v>Satnam</v>
      </c>
      <c r="AP26" s="171" t="str">
        <f>INDEX(CarrierDriverTBL!$D:$D,MATCH(Table1[[#This Row],[DriverID]],CarrierDriverTBL!$A:$A,0))</f>
        <v>Boyal</v>
      </c>
      <c r="AQ26" s="171" t="str">
        <f>INDEX(CarrierDriverTBL!$X:$X,MATCH(Table1[[#This Row],[DriverID]],CarrierDriverTBL!$A:$A,0))</f>
        <v>B8245525</v>
      </c>
      <c r="AR26" s="172">
        <f>INDEX(CarrierDriverTBL!$Y:$Y,MATCH(Table1[[#This Row],[DriverID]],CarrierDriverTBL!$A:$A,0))</f>
        <v>42415</v>
      </c>
      <c r="AS26" s="142" t="str">
        <f t="shared" si="1"/>
        <v>GOOD</v>
      </c>
      <c r="AT26" s="172" t="str">
        <f>INDEX(CarrierDriverTBL!$E:$E,MATCH(Table1[[#This Row],[DriverID]],CarrierDriverTBL!$A:$A,0))</f>
        <v>MISSING</v>
      </c>
      <c r="AU26" s="163" t="str">
        <f ca="1">INDEX(CarrierDriverTBL!$F:$F,MATCH(Table1[[#This Row],[DriverID]],CarrierDriverTBL!$A:$A,0))</f>
        <v>MISSING</v>
      </c>
      <c r="AV26" s="171" t="str">
        <f>INDEX(CarrierDriverTBL!$K:$K,MATCH(Table1[[#This Row],[DriverID]],CarrierDriverTBL!$A:$A,0))</f>
        <v>209-589-5951</v>
      </c>
      <c r="AW26" s="171" t="str">
        <f>INDEX(CarrierDriverTBL!$M:$M,MATCH(Table1[[#This Row],[DriverID]],CarrierDriverTBL!$A:$A,0))</f>
        <v>2821 jubliee Drive</v>
      </c>
      <c r="AX26" s="171" t="str">
        <f>INDEX(CarrierDriverTBL!$N:$N,MATCH(Table1[[#This Row],[DriverID]],CarrierDriverTBL!$A:$A,0))</f>
        <v>Turlock</v>
      </c>
      <c r="AY26" s="171" t="str">
        <f>INDEX(CarrierDriverTBL!$O:$O,MATCH(Table1[[#This Row],[DriverID]],CarrierDriverTBL!$A:$A,0))</f>
        <v>CA</v>
      </c>
      <c r="AZ26" s="171">
        <f>INDEX(CarrierDriverTBL!$P:$P,MATCH(Table1[[#This Row],[DriverID]],CarrierDriverTBL!$A:$A,0))</f>
        <v>95380</v>
      </c>
      <c r="BA26" s="171" t="str">
        <f>INDEX(CarrierDriverTBL!$Q:$Q,MATCH(Table1[[#This Row],[DriverID]],CarrierDriverTBL!$A:$A,0))</f>
        <v>US</v>
      </c>
      <c r="BB26" s="173" t="str">
        <f>INDEX(CarrierDriverTBL!$R:$R,MATCH(Table1[[#This Row],[DriverID]],CarrierDriverTBL!$A:$A,0))</f>
        <v>samboyal@yahoo.com</v>
      </c>
      <c r="BC26" s="160" t="str">
        <f>INDEX(CarrierDriverTBL!$AB:$AB,MATCH(Table1[[#This Row],[DriverID]],CarrierDriverTBL!$A:$A,0))</f>
        <v>Missing</v>
      </c>
      <c r="BD26" s="142" t="str">
        <f ca="1">INDEX(CarrierDriverTBL!$AD:$AD,MATCH(LoadMaster!$AN:$AN,CarrierDriverTBL!$A:$A,0))</f>
        <v>MISSING</v>
      </c>
      <c r="BE26" s="171">
        <f>INDEX(CarrierDriverTBL!$AE:$AE,MATCH(Table1[DriverID],CarrierDriverTBL!$A:$A,0))</f>
        <v>748016</v>
      </c>
      <c r="BF26" s="171">
        <f>INDEX(CarrierDriverTBL!$AF:$AF,MATCH(Table1[DriverID],CarrierDriverTBL!$A:$A,0))</f>
        <v>1978408</v>
      </c>
      <c r="BG26" s="10" t="str">
        <f>INDEX(CarrierDriverTBL!$AG:$AG,MATCH(Table1[DriverID],CarrierDriverTBL!$A:$A,0))</f>
        <v>Missing</v>
      </c>
      <c r="BH26" s="171" t="str">
        <f>INDEX(CarrierDriverTBL!$AH:$AH,MATCH(Table1[DriverID],CarrierDriverTBL!$A:$A,0))</f>
        <v>Sentry Insurance</v>
      </c>
      <c r="BI26" s="171" t="str">
        <f>INDEX(CarrierDriverTBL!$AI:$AI,MATCH(Table1[DriverID],CarrierDriverTBL!$A:$A,0))</f>
        <v>A0036221001</v>
      </c>
      <c r="BJ26" s="20">
        <f>INDEX(CarrierDriverTBL!$AJ:$AJ,MATCH(Table1[[#This Row],[DriverID]],CarrierDriverTBL!$A:$A,0))</f>
        <v>42479</v>
      </c>
      <c r="BK26" s="10">
        <f t="shared" si="2"/>
        <v>287</v>
      </c>
      <c r="BL26" s="174">
        <v>525</v>
      </c>
      <c r="BM26" s="144">
        <v>240</v>
      </c>
      <c r="BN26" s="159">
        <f t="shared" si="23"/>
        <v>2.1875</v>
      </c>
      <c r="BO26" s="167">
        <v>475</v>
      </c>
      <c r="BP26" s="159">
        <f t="shared" si="24"/>
        <v>1.9791666666666667</v>
      </c>
      <c r="BQ26" s="66">
        <v>3.12</v>
      </c>
      <c r="BR26" s="166">
        <f t="shared" si="25"/>
        <v>0.20333333333333337</v>
      </c>
      <c r="BS26" s="167">
        <f t="shared" si="6"/>
        <v>1.7758333333333334</v>
      </c>
      <c r="BT26" s="159">
        <f t="shared" si="7"/>
        <v>48.800000000000011</v>
      </c>
      <c r="BU26" s="10" t="str">
        <f t="shared" si="8"/>
        <v>Interstate Distributor Co</v>
      </c>
      <c r="BV26" s="298"/>
      <c r="BW26" s="4" t="str">
        <f>Table1[[#This Row],[BrokerAddress]]</f>
        <v>11707 21St Ave Ct So</v>
      </c>
      <c r="BX26" s="4" t="str">
        <f t="shared" si="9"/>
        <v>Tacoma</v>
      </c>
      <c r="BY26" s="4" t="str">
        <f t="shared" si="10"/>
        <v>Wa</v>
      </c>
      <c r="BZ26" s="4">
        <f t="shared" si="11"/>
        <v>98444</v>
      </c>
      <c r="CA26" s="10" t="str">
        <f t="shared" si="12"/>
        <v>US</v>
      </c>
      <c r="CB26" s="4" t="s">
        <v>131</v>
      </c>
      <c r="CC26" s="62"/>
      <c r="CD26" s="15" t="s">
        <v>382</v>
      </c>
      <c r="CE26" s="64">
        <v>100</v>
      </c>
      <c r="CF26" s="4">
        <v>1</v>
      </c>
      <c r="CG26" s="132">
        <f t="shared" si="13"/>
        <v>100</v>
      </c>
      <c r="CH26" s="4" t="s">
        <v>308</v>
      </c>
      <c r="CI26" s="5">
        <v>50</v>
      </c>
      <c r="CJ26" s="4">
        <v>1</v>
      </c>
      <c r="CK26" s="132">
        <f t="shared" si="14"/>
        <v>50</v>
      </c>
      <c r="CL26" s="4" t="s">
        <v>132</v>
      </c>
      <c r="CM26" s="5">
        <v>0</v>
      </c>
      <c r="CN26" s="4">
        <v>0</v>
      </c>
      <c r="CO26" s="132">
        <f t="shared" si="15"/>
        <v>0</v>
      </c>
      <c r="CP26" s="4" t="s">
        <v>132</v>
      </c>
      <c r="CQ26" s="5">
        <v>0</v>
      </c>
      <c r="CR26" s="4">
        <v>0</v>
      </c>
      <c r="CS26" s="132">
        <f t="shared" si="16"/>
        <v>0</v>
      </c>
      <c r="CT26" s="159">
        <f t="shared" si="17"/>
        <v>150</v>
      </c>
      <c r="CU26" s="168">
        <f t="shared" si="18"/>
        <v>675</v>
      </c>
      <c r="CV26" s="169">
        <f t="shared" si="27"/>
        <v>150</v>
      </c>
      <c r="CW26" s="82">
        <f t="shared" ref="CW26:CW57" si="28">BO26+CV26</f>
        <v>625</v>
      </c>
      <c r="CX26" s="79">
        <f>IF(ISBLANK(E26),"AddQuickPay",IF(E26=2,CU26*0.98,IF(E26=2.4,CU26*0.976,IF(E26=3,CU26*0.97,IF(E26=5,CU26*0.95,IF(E26=1.5,CU26*0.985,IF(E26=2.5,CU26*0.975,IF(E26=1.3,CU26*0.987,IF(E26=1,CU26*0.99,IF(E26=4,CU26*0.96,CU26*1))))))))))-Table1[[#This Row],[ComCheck+QuickPayFee]]</f>
        <v>666.22500000000002</v>
      </c>
      <c r="CY26" s="5">
        <f t="shared" si="19"/>
        <v>50</v>
      </c>
      <c r="CZ26" s="5">
        <f t="shared" si="20"/>
        <v>8.7750000000000004</v>
      </c>
      <c r="DA26" s="258">
        <f>Table1[[#This Row],[OriginalDispatch]]-Table1[[#This Row],[QuickPayCharge]]</f>
        <v>41.225000000000001</v>
      </c>
      <c r="DB26" s="5">
        <v>0</v>
      </c>
      <c r="DC26" s="5" t="s">
        <v>133</v>
      </c>
      <c r="DD26" s="104">
        <f t="shared" si="21"/>
        <v>42195</v>
      </c>
      <c r="DE26" s="15">
        <f>MONTH(Table1[[#This Row],[Weekending]])</f>
        <v>7</v>
      </c>
      <c r="DF26" s="15">
        <f>YEAR(Table1[[#This Row],[Weekending]])</f>
        <v>2015</v>
      </c>
      <c r="DG26" s="4" t="s">
        <v>392</v>
      </c>
    </row>
    <row r="27" spans="1:111">
      <c r="A27" s="20" t="str">
        <f t="shared" si="0"/>
        <v>47049</v>
      </c>
      <c r="B27" s="146">
        <v>42193</v>
      </c>
      <c r="C27" s="144">
        <v>175966547</v>
      </c>
      <c r="D27" s="298" t="s">
        <v>111</v>
      </c>
      <c r="E27" s="298">
        <v>2</v>
      </c>
      <c r="F27" s="298" t="str">
        <f>INDEX(BrokerTBL!$B:$B,MATCH(D27,BrokerTBL!$A:$A,0))</f>
        <v>P.O. Box 3474</v>
      </c>
      <c r="G27" s="298" t="str">
        <f>INDEX(BrokerTBL!$C:$C,MATCH(D27,BrokerTBL!$A:$A,0))</f>
        <v>Chicago</v>
      </c>
      <c r="H27" s="298" t="str">
        <f>INDEX(BrokerTBL!$D:$D,MATCH(D27,BrokerTBL!$A:$A,0))</f>
        <v>Il</v>
      </c>
      <c r="I27" s="298" t="str">
        <f>INDEX(BrokerTBL!$E:$E,MATCH(D27,BrokerTBL!$A:$A,0))</f>
        <v>US</v>
      </c>
      <c r="J27" s="298">
        <f>INDEX(BrokerTBL!$F:$F,MATCH(D27,BrokerTBL!$A:$A,0))</f>
        <v>60654</v>
      </c>
      <c r="K27" s="298" t="s">
        <v>393</v>
      </c>
      <c r="L27" s="145">
        <v>0</v>
      </c>
      <c r="M27" s="146">
        <v>42193</v>
      </c>
      <c r="N27" s="182">
        <v>0.41666666666666702</v>
      </c>
      <c r="O27" s="298" t="s">
        <v>394</v>
      </c>
      <c r="P27" s="298" t="s">
        <v>395</v>
      </c>
      <c r="Q27" s="298" t="s">
        <v>139</v>
      </c>
      <c r="R27" s="298">
        <v>95345</v>
      </c>
      <c r="S27" s="298" t="s">
        <v>118</v>
      </c>
      <c r="T27" s="298" t="s">
        <v>396</v>
      </c>
      <c r="U27" s="298" t="s">
        <v>120</v>
      </c>
      <c r="V27" s="298">
        <v>53</v>
      </c>
      <c r="W27" s="298" t="s">
        <v>397</v>
      </c>
      <c r="X27" s="144">
        <v>32635</v>
      </c>
      <c r="Y27" s="298" t="s">
        <v>26</v>
      </c>
      <c r="Z27" s="298" t="s">
        <v>123</v>
      </c>
      <c r="AA27" s="298">
        <v>2</v>
      </c>
      <c r="AB27" s="298" t="s">
        <v>123</v>
      </c>
      <c r="AC27" s="298" t="s">
        <v>398</v>
      </c>
      <c r="AD27" s="145"/>
      <c r="AE27" s="146">
        <v>42193</v>
      </c>
      <c r="AF27" s="298" t="s">
        <v>399</v>
      </c>
      <c r="AG27" s="298" t="s">
        <v>400</v>
      </c>
      <c r="AH27" s="298" t="s">
        <v>401</v>
      </c>
      <c r="AI27" s="298" t="s">
        <v>139</v>
      </c>
      <c r="AJ27" s="298">
        <v>96003</v>
      </c>
      <c r="AK27" s="298" t="s">
        <v>118</v>
      </c>
      <c r="AL27" s="298" t="s">
        <v>402</v>
      </c>
      <c r="AM27" s="142" t="str">
        <f>INDEX(CarrierDriverTBL!$B:$B,MATCH(Table1[[#This Row],[DriverID]],CarrierDriverTBL!$A:$A,0))</f>
        <v>UBTrucking</v>
      </c>
      <c r="AN27" s="10" t="s">
        <v>192</v>
      </c>
      <c r="AO27" s="142" t="str">
        <f>INDEX(CarrierDriverTBL!$C:$C,MATCH(Table1[[#This Row],[DriverID]],CarrierDriverTBL!$A:$A,0))</f>
        <v>Albel</v>
      </c>
      <c r="AP27" s="142" t="str">
        <f>INDEX(CarrierDriverTBL!$D:$D,MATCH(Table1[[#This Row],[DriverID]],CarrierDriverTBL!$A:$A,0))</f>
        <v>Chahil</v>
      </c>
      <c r="AQ27" s="142" t="str">
        <f>INDEX(CarrierDriverTBL!$X:$X,MATCH(Table1[[#This Row],[DriverID]],CarrierDriverTBL!$A:$A,0))</f>
        <v>A8390649</v>
      </c>
      <c r="AR27" s="160">
        <f>INDEX(CarrierDriverTBL!$Y:$Y,MATCH(Table1[[#This Row],[DriverID]],CarrierDriverTBL!$A:$A,0))</f>
        <v>42402</v>
      </c>
      <c r="AS27" s="142" t="str">
        <f t="shared" si="1"/>
        <v>GOOD</v>
      </c>
      <c r="AT27" s="160">
        <f>INDEX(CarrierDriverTBL!$E:$E,MATCH(Table1[[#This Row],[DriverID]],CarrierDriverTBL!$A:$A,0))</f>
        <v>22314</v>
      </c>
      <c r="AU27" s="163">
        <f ca="1">INDEX(CarrierDriverTBL!$F:$F,MATCH(Table1[[#This Row],[DriverID]],CarrierDriverTBL!$A:$A,0))</f>
        <v>55.512328767123286</v>
      </c>
      <c r="AV27" s="142" t="str">
        <f>INDEX(CarrierDriverTBL!$K:$K,MATCH(Table1[[#This Row],[DriverID]],CarrierDriverTBL!$A:$A,0))</f>
        <v>510-773-9450</v>
      </c>
      <c r="AW27" s="142" t="str">
        <f>INDEX(CarrierDriverTBL!$M:$M,MATCH(Table1[[#This Row],[DriverID]],CarrierDriverTBL!$A:$A,0))</f>
        <v>3124 Cynthia CT</v>
      </c>
      <c r="AX27" s="142" t="str">
        <f>INDEX(CarrierDriverTBL!$N:$N,MATCH(Table1[[#This Row],[DriverID]],CarrierDriverTBL!$A:$A,0))</f>
        <v>Tracy</v>
      </c>
      <c r="AY27" s="142" t="str">
        <f>INDEX(CarrierDriverTBL!$O:$O,MATCH(Table1[[#This Row],[DriverID]],CarrierDriverTBL!$A:$A,0))</f>
        <v>CA</v>
      </c>
      <c r="AZ27" s="142">
        <f>INDEX(CarrierDriverTBL!$P:$P,MATCH(Table1[[#This Row],[DriverID]],CarrierDriverTBL!$A:$A,0))</f>
        <v>95377</v>
      </c>
      <c r="BA27" s="142" t="str">
        <f>INDEX(CarrierDriverTBL!$Q:$Q,MATCH(Table1[[#This Row],[DriverID]],CarrierDriverTBL!$A:$A,0))</f>
        <v>US</v>
      </c>
      <c r="BB27" s="176" t="str">
        <f>INDEX(CarrierDriverTBL!$R:$R,MATCH(Table1[[#This Row],[DriverID]],CarrierDriverTBL!$A:$A,0))</f>
        <v>ubgollc@gmail.com</v>
      </c>
      <c r="BC27" s="160">
        <f>INDEX(CarrierDriverTBL!$AB:$AB,MATCH(Table1[[#This Row],[DriverID]],CarrierDriverTBL!$A:$A,0))</f>
        <v>42167</v>
      </c>
      <c r="BD27" s="142" t="str">
        <f ca="1">INDEX(CarrierDriverTBL!$AD:$AD,MATCH(LoadMaster!$AN:$AN,CarrierDriverTBL!$A:$A,0))</f>
        <v>MISSING</v>
      </c>
      <c r="BE27" s="142">
        <f>INDEX(CarrierDriverTBL!$AE:$AE,MATCH(Table1[DriverID],CarrierDriverTBL!$A:$A,0))</f>
        <v>913971</v>
      </c>
      <c r="BF27" s="142">
        <f>INDEX(CarrierDriverTBL!$AF:$AF,MATCH(Table1[DriverID],CarrierDriverTBL!$A:$A,0))</f>
        <v>2627544</v>
      </c>
      <c r="BG27" s="142">
        <f>INDEX(CarrierDriverTBL!$AG:$AG,MATCH(Table1[DriverID],CarrierDriverTBL!$A:$A,0))</f>
        <v>466133</v>
      </c>
      <c r="BH27" s="142" t="str">
        <f>INDEX(CarrierDriverTBL!$AH:$AH,MATCH(Table1[DriverID],CarrierDriverTBL!$A:$A,0))</f>
        <v>GM Lawrence Ins</v>
      </c>
      <c r="BI27" s="142" t="str">
        <f>INDEX(CarrierDriverTBL!$AI:$AI,MATCH(Table1[DriverID],CarrierDriverTBL!$A:$A,0))</f>
        <v>DSK2842P160210</v>
      </c>
      <c r="BJ27" s="160">
        <f>INDEX(CarrierDriverTBL!$AJ:$AJ,MATCH(Table1[[#This Row],[DriverID]],CarrierDriverTBL!$A:$A,0))</f>
        <v>42778</v>
      </c>
      <c r="BK27" s="10">
        <f t="shared" si="2"/>
        <v>585</v>
      </c>
      <c r="BL27" s="174">
        <v>1000</v>
      </c>
      <c r="BM27" s="144">
        <v>256</v>
      </c>
      <c r="BN27" s="159">
        <f t="shared" si="23"/>
        <v>3.90625</v>
      </c>
      <c r="BO27" s="5">
        <v>950</v>
      </c>
      <c r="BP27" s="159">
        <f t="shared" si="24"/>
        <v>3.7109375</v>
      </c>
      <c r="BQ27" s="66">
        <v>3.12</v>
      </c>
      <c r="BR27" s="166">
        <f t="shared" si="25"/>
        <v>0.20333333333333337</v>
      </c>
      <c r="BS27" s="167">
        <f t="shared" si="6"/>
        <v>3.5076041666666669</v>
      </c>
      <c r="BT27" s="159">
        <f t="shared" si="7"/>
        <v>52.053333333333342</v>
      </c>
      <c r="BU27" s="10" t="str">
        <f t="shared" si="8"/>
        <v>Ch Robinson</v>
      </c>
      <c r="BV27" s="15"/>
      <c r="BW27" s="4" t="str">
        <f>Table1[[#This Row],[BrokerAddress]]</f>
        <v>P.O. Box 3474</v>
      </c>
      <c r="BX27" s="4" t="str">
        <f t="shared" si="9"/>
        <v>Chicago</v>
      </c>
      <c r="BY27" s="4" t="str">
        <f t="shared" si="10"/>
        <v>Il</v>
      </c>
      <c r="BZ27" s="4">
        <f t="shared" si="11"/>
        <v>60654</v>
      </c>
      <c r="CA27" s="10" t="str">
        <f t="shared" si="12"/>
        <v>US</v>
      </c>
      <c r="CB27" s="4" t="s">
        <v>131</v>
      </c>
      <c r="CC27" s="62"/>
      <c r="CD27" s="15" t="s">
        <v>132</v>
      </c>
      <c r="CE27" s="64">
        <v>0</v>
      </c>
      <c r="CF27" s="4">
        <v>0</v>
      </c>
      <c r="CG27" s="132">
        <f t="shared" si="13"/>
        <v>0</v>
      </c>
      <c r="CH27" s="4" t="s">
        <v>132</v>
      </c>
      <c r="CI27" s="5">
        <v>0</v>
      </c>
      <c r="CJ27" s="4">
        <v>0</v>
      </c>
      <c r="CK27" s="132">
        <f t="shared" si="14"/>
        <v>0</v>
      </c>
      <c r="CL27" s="4" t="s">
        <v>132</v>
      </c>
      <c r="CM27" s="5">
        <v>0</v>
      </c>
      <c r="CN27" s="4">
        <v>0</v>
      </c>
      <c r="CO27" s="132">
        <f t="shared" si="15"/>
        <v>0</v>
      </c>
      <c r="CP27" s="4" t="s">
        <v>132</v>
      </c>
      <c r="CQ27" s="5">
        <v>0</v>
      </c>
      <c r="CR27" s="4">
        <v>0</v>
      </c>
      <c r="CS27" s="132">
        <f t="shared" si="16"/>
        <v>0</v>
      </c>
      <c r="CT27" s="132">
        <f t="shared" si="17"/>
        <v>0</v>
      </c>
      <c r="CU27" s="168">
        <f t="shared" si="18"/>
        <v>1000</v>
      </c>
      <c r="CV27" s="169">
        <f t="shared" si="27"/>
        <v>0</v>
      </c>
      <c r="CW27" s="82">
        <f t="shared" si="28"/>
        <v>950</v>
      </c>
      <c r="CX27" s="79">
        <f>IF(ISBLANK(E27),"AddQuickPay",IF(E27=2,CU27*0.98,IF(E27=2.4,CU27*0.976,IF(E27=3,CU27*0.97,IF(E27=5,CU27*0.95,IF(E27=1.5,CU27*0.985,IF(E27=2.5,CU27*0.975,IF(E27=1.3,CU27*0.987,IF(E27=1,CU27*0.99,IF(E27=4,CU27*0.96,CU27*1))))))))))-Table1[[#This Row],[ComCheck+QuickPayFee]]</f>
        <v>980</v>
      </c>
      <c r="CY27" s="5">
        <f t="shared" si="19"/>
        <v>50</v>
      </c>
      <c r="CZ27" s="5">
        <f t="shared" si="20"/>
        <v>20</v>
      </c>
      <c r="DA27" s="258">
        <f>Table1[[#This Row],[OriginalDispatch]]-Table1[[#This Row],[QuickPayCharge]]</f>
        <v>30</v>
      </c>
      <c r="DB27" s="5">
        <v>0</v>
      </c>
      <c r="DC27" s="5" t="s">
        <v>133</v>
      </c>
      <c r="DD27" s="104">
        <f t="shared" si="21"/>
        <v>42195</v>
      </c>
      <c r="DE27" s="15">
        <f>MONTH(Table1[[#This Row],[Weekending]])</f>
        <v>7</v>
      </c>
      <c r="DF27" s="15">
        <f>YEAR(Table1[[#This Row],[Weekending]])</f>
        <v>2015</v>
      </c>
      <c r="DG27" s="4" t="s">
        <v>403</v>
      </c>
    </row>
    <row r="28" spans="1:111">
      <c r="A28" s="20" t="str">
        <f t="shared" si="0"/>
        <v>317349</v>
      </c>
      <c r="B28" s="146">
        <v>42194</v>
      </c>
      <c r="C28" s="144">
        <v>1464831</v>
      </c>
      <c r="D28" s="298" t="s">
        <v>384</v>
      </c>
      <c r="E28" s="144">
        <v>1.5</v>
      </c>
      <c r="F28" s="298" t="str">
        <f>INDEX(BrokerTBL!$B:$B,MATCH(D28,BrokerTBL!$A:$A,0))</f>
        <v>11707 21St Ave Ct So</v>
      </c>
      <c r="G28" s="298" t="str">
        <f>INDEX(BrokerTBL!$C:$C,MATCH(D28,BrokerTBL!$A:$A,0))</f>
        <v>Tacoma</v>
      </c>
      <c r="H28" s="298" t="str">
        <f>INDEX(BrokerTBL!$D:$D,MATCH(D28,BrokerTBL!$A:$A,0))</f>
        <v>Wa</v>
      </c>
      <c r="I28" s="298" t="str">
        <f>INDEX(BrokerTBL!$E:$E,MATCH(D28,BrokerTBL!$A:$A,0))</f>
        <v>US</v>
      </c>
      <c r="J28" s="298">
        <f>INDEX(BrokerTBL!$F:$F,MATCH(D28,BrokerTBL!$A:$A,0))</f>
        <v>98444</v>
      </c>
      <c r="K28" s="298" t="s">
        <v>404</v>
      </c>
      <c r="L28" s="145" t="s">
        <v>405</v>
      </c>
      <c r="M28" s="146">
        <v>42194</v>
      </c>
      <c r="N28" s="144" t="s">
        <v>406</v>
      </c>
      <c r="O28" s="298" t="s">
        <v>407</v>
      </c>
      <c r="P28" s="298" t="s">
        <v>184</v>
      </c>
      <c r="Q28" s="298" t="s">
        <v>139</v>
      </c>
      <c r="R28" s="298">
        <v>95206</v>
      </c>
      <c r="S28" s="298" t="s">
        <v>118</v>
      </c>
      <c r="T28" s="298" t="s">
        <v>408</v>
      </c>
      <c r="U28" s="298" t="s">
        <v>120</v>
      </c>
      <c r="V28" s="298">
        <v>53</v>
      </c>
      <c r="W28" s="298" t="s">
        <v>136</v>
      </c>
      <c r="X28" s="144">
        <v>44694</v>
      </c>
      <c r="Y28" s="298" t="s">
        <v>26</v>
      </c>
      <c r="Z28" s="298" t="s">
        <v>123</v>
      </c>
      <c r="AA28" s="298">
        <v>20</v>
      </c>
      <c r="AB28" s="298" t="s">
        <v>123</v>
      </c>
      <c r="AC28" s="298" t="s">
        <v>409</v>
      </c>
      <c r="AD28" s="145"/>
      <c r="AE28" s="146">
        <v>42194</v>
      </c>
      <c r="AF28" s="182">
        <v>0.41666666666666702</v>
      </c>
      <c r="AG28" s="298" t="s">
        <v>410</v>
      </c>
      <c r="AH28" s="298" t="s">
        <v>411</v>
      </c>
      <c r="AI28" s="298" t="s">
        <v>139</v>
      </c>
      <c r="AJ28" s="298">
        <v>95020</v>
      </c>
      <c r="AK28" s="298" t="s">
        <v>118</v>
      </c>
      <c r="AL28" s="298" t="s">
        <v>123</v>
      </c>
      <c r="AM28" s="142" t="str">
        <f>INDEX(CarrierDriverTBL!$B:$B,MATCH(Table1[[#This Row],[DriverID]],CarrierDriverTBL!$A:$A,0))</f>
        <v>UBTrucking</v>
      </c>
      <c r="AN28" s="10" t="s">
        <v>192</v>
      </c>
      <c r="AO28" s="142" t="str">
        <f>INDEX(CarrierDriverTBL!$C:$C,MATCH(Table1[[#This Row],[DriverID]],CarrierDriverTBL!$A:$A,0))</f>
        <v>Albel</v>
      </c>
      <c r="AP28" s="142" t="str">
        <f>INDEX(CarrierDriverTBL!$D:$D,MATCH(Table1[[#This Row],[DriverID]],CarrierDriverTBL!$A:$A,0))</f>
        <v>Chahil</v>
      </c>
      <c r="AQ28" s="142" t="str">
        <f>INDEX(CarrierDriverTBL!$X:$X,MATCH(Table1[[#This Row],[DriverID]],CarrierDriverTBL!$A:$A,0))</f>
        <v>A8390649</v>
      </c>
      <c r="AR28" s="160">
        <f>INDEX(CarrierDriverTBL!$Y:$Y,MATCH(Table1[[#This Row],[DriverID]],CarrierDriverTBL!$A:$A,0))</f>
        <v>42402</v>
      </c>
      <c r="AS28" s="142" t="str">
        <f t="shared" si="1"/>
        <v>GOOD</v>
      </c>
      <c r="AT28" s="160">
        <f>INDEX(CarrierDriverTBL!$E:$E,MATCH(Table1[[#This Row],[DriverID]],CarrierDriverTBL!$A:$A,0))</f>
        <v>22314</v>
      </c>
      <c r="AU28" s="163">
        <f ca="1">INDEX(CarrierDriverTBL!$F:$F,MATCH(Table1[[#This Row],[DriverID]],CarrierDriverTBL!$A:$A,0))</f>
        <v>55.512328767123286</v>
      </c>
      <c r="AV28" s="142" t="str">
        <f>INDEX(CarrierDriverTBL!$K:$K,MATCH(Table1[[#This Row],[DriverID]],CarrierDriverTBL!$A:$A,0))</f>
        <v>510-773-9450</v>
      </c>
      <c r="AW28" s="142" t="str">
        <f>INDEX(CarrierDriverTBL!$M:$M,MATCH(Table1[[#This Row],[DriverID]],CarrierDriverTBL!$A:$A,0))</f>
        <v>3124 Cynthia CT</v>
      </c>
      <c r="AX28" s="142" t="str">
        <f>INDEX(CarrierDriverTBL!$N:$N,MATCH(Table1[[#This Row],[DriverID]],CarrierDriverTBL!$A:$A,0))</f>
        <v>Tracy</v>
      </c>
      <c r="AY28" s="142" t="str">
        <f>INDEX(CarrierDriverTBL!$O:$O,MATCH(Table1[[#This Row],[DriverID]],CarrierDriverTBL!$A:$A,0))</f>
        <v>CA</v>
      </c>
      <c r="AZ28" s="142">
        <f>INDEX(CarrierDriverTBL!$P:$P,MATCH(Table1[[#This Row],[DriverID]],CarrierDriverTBL!$A:$A,0))</f>
        <v>95377</v>
      </c>
      <c r="BA28" s="142" t="str">
        <f>INDEX(CarrierDriverTBL!$Q:$Q,MATCH(Table1[[#This Row],[DriverID]],CarrierDriverTBL!$A:$A,0))</f>
        <v>US</v>
      </c>
      <c r="BB28" s="176" t="str">
        <f>INDEX(CarrierDriverTBL!$R:$R,MATCH(Table1[[#This Row],[DriverID]],CarrierDriverTBL!$A:$A,0))</f>
        <v>ubgollc@gmail.com</v>
      </c>
      <c r="BC28" s="160">
        <f>INDEX(CarrierDriverTBL!$AB:$AB,MATCH(Table1[[#This Row],[DriverID]],CarrierDriverTBL!$A:$A,0))</f>
        <v>42167</v>
      </c>
      <c r="BD28" s="142" t="str">
        <f ca="1">INDEX(CarrierDriverTBL!$AD:$AD,MATCH(LoadMaster!$AN:$AN,CarrierDriverTBL!$A:$A,0))</f>
        <v>MISSING</v>
      </c>
      <c r="BE28" s="142">
        <f>INDEX(CarrierDriverTBL!$AE:$AE,MATCH(Table1[DriverID],CarrierDriverTBL!$A:$A,0))</f>
        <v>913971</v>
      </c>
      <c r="BF28" s="142">
        <f>INDEX(CarrierDriverTBL!$AF:$AF,MATCH(Table1[DriverID],CarrierDriverTBL!$A:$A,0))</f>
        <v>2627544</v>
      </c>
      <c r="BG28" s="142">
        <f>INDEX(CarrierDriverTBL!$AG:$AG,MATCH(Table1[DriverID],CarrierDriverTBL!$A:$A,0))</f>
        <v>466133</v>
      </c>
      <c r="BH28" s="142" t="str">
        <f>INDEX(CarrierDriverTBL!$AH:$AH,MATCH(Table1[DriverID],CarrierDriverTBL!$A:$A,0))</f>
        <v>GM Lawrence Ins</v>
      </c>
      <c r="BI28" s="142" t="str">
        <f>INDEX(CarrierDriverTBL!$AI:$AI,MATCH(Table1[DriverID],CarrierDriverTBL!$A:$A,0))</f>
        <v>DSK2842P160210</v>
      </c>
      <c r="BJ28" s="160">
        <f>INDEX(CarrierDriverTBL!$AJ:$AJ,MATCH(Table1[[#This Row],[DriverID]],CarrierDriverTBL!$A:$A,0))</f>
        <v>42778</v>
      </c>
      <c r="BK28" s="10">
        <f t="shared" si="2"/>
        <v>584</v>
      </c>
      <c r="BL28" s="64">
        <v>525</v>
      </c>
      <c r="BM28" s="15">
        <v>105</v>
      </c>
      <c r="BN28" s="159">
        <f t="shared" si="23"/>
        <v>5</v>
      </c>
      <c r="BO28" s="5">
        <v>475</v>
      </c>
      <c r="BP28" s="159">
        <f t="shared" si="24"/>
        <v>4.5238095238095237</v>
      </c>
      <c r="BQ28" s="133">
        <v>3.12</v>
      </c>
      <c r="BR28" s="166">
        <f t="shared" si="25"/>
        <v>0.20333333333333337</v>
      </c>
      <c r="BS28" s="167">
        <f t="shared" si="6"/>
        <v>4.3204761904761906</v>
      </c>
      <c r="BT28" s="159">
        <f t="shared" si="7"/>
        <v>21.350000000000005</v>
      </c>
      <c r="BU28" s="10" t="str">
        <f t="shared" si="8"/>
        <v>Interstate Distributor Co</v>
      </c>
      <c r="BV28" s="15"/>
      <c r="BW28" s="4" t="str">
        <f>Table1[[#This Row],[BrokerAddress]]</f>
        <v>11707 21St Ave Ct So</v>
      </c>
      <c r="BX28" s="4" t="str">
        <f t="shared" si="9"/>
        <v>Tacoma</v>
      </c>
      <c r="BY28" s="4" t="str">
        <f t="shared" si="10"/>
        <v>Wa</v>
      </c>
      <c r="BZ28" s="4">
        <f t="shared" si="11"/>
        <v>98444</v>
      </c>
      <c r="CA28" s="10" t="str">
        <f t="shared" si="12"/>
        <v>US</v>
      </c>
      <c r="CB28" s="4" t="s">
        <v>131</v>
      </c>
      <c r="CC28" s="62"/>
      <c r="CD28" s="15" t="s">
        <v>149</v>
      </c>
      <c r="CE28" s="64">
        <v>25</v>
      </c>
      <c r="CF28" s="4">
        <v>1</v>
      </c>
      <c r="CG28" s="132">
        <f t="shared" si="13"/>
        <v>25</v>
      </c>
      <c r="CH28" s="4" t="s">
        <v>132</v>
      </c>
      <c r="CI28" s="5">
        <v>0</v>
      </c>
      <c r="CJ28" s="4">
        <v>0</v>
      </c>
      <c r="CK28" s="132">
        <f t="shared" si="14"/>
        <v>0</v>
      </c>
      <c r="CL28" s="4" t="s">
        <v>132</v>
      </c>
      <c r="CM28" s="5">
        <v>0</v>
      </c>
      <c r="CN28" s="4">
        <v>0</v>
      </c>
      <c r="CO28" s="132">
        <f t="shared" si="15"/>
        <v>0</v>
      </c>
      <c r="CP28" s="4" t="s">
        <v>132</v>
      </c>
      <c r="CQ28" s="5">
        <v>0</v>
      </c>
      <c r="CR28" s="4">
        <v>0</v>
      </c>
      <c r="CS28" s="132">
        <f t="shared" si="16"/>
        <v>0</v>
      </c>
      <c r="CT28" s="132">
        <f t="shared" si="17"/>
        <v>25</v>
      </c>
      <c r="CU28" s="168">
        <f t="shared" si="18"/>
        <v>550</v>
      </c>
      <c r="CV28" s="169">
        <f t="shared" si="27"/>
        <v>25</v>
      </c>
      <c r="CW28" s="82">
        <f t="shared" si="28"/>
        <v>500</v>
      </c>
      <c r="CX28" s="79">
        <f>IF(ISBLANK(E28),"AddQuickPay",IF(E28=2,CU28*0.98,IF(E28=2.4,CU28*0.976,IF(E28=3,CU28*0.97,IF(E28=5,CU28*0.95,IF(E28=1.5,CU28*0.985,IF(E28=2.5,CU28*0.975,IF(E28=1.3,CU28*0.987,IF(E28=1,CU28*0.99,IF(E28=4,CU28*0.96,CU28*1))))))))))-Table1[[#This Row],[ComCheck+QuickPayFee]]</f>
        <v>541.75</v>
      </c>
      <c r="CY28" s="5">
        <f t="shared" si="19"/>
        <v>50</v>
      </c>
      <c r="CZ28" s="5">
        <f t="shared" si="20"/>
        <v>8.25</v>
      </c>
      <c r="DA28" s="258">
        <f>Table1[[#This Row],[OriginalDispatch]]-Table1[[#This Row],[QuickPayCharge]]</f>
        <v>41.75</v>
      </c>
      <c r="DB28" s="5">
        <v>0</v>
      </c>
      <c r="DC28" s="5" t="s">
        <v>133</v>
      </c>
      <c r="DD28" s="104">
        <f t="shared" si="21"/>
        <v>42195</v>
      </c>
      <c r="DE28" s="15">
        <f>MONTH(Table1[[#This Row],[Weekending]])</f>
        <v>7</v>
      </c>
      <c r="DF28" s="15">
        <f>YEAR(Table1[[#This Row],[Weekending]])</f>
        <v>2015</v>
      </c>
      <c r="DG28" s="4" t="s">
        <v>163</v>
      </c>
    </row>
    <row r="29" spans="1:111">
      <c r="A29" s="20" t="str">
        <f t="shared" si="0"/>
        <v>530349</v>
      </c>
      <c r="B29" s="146">
        <v>42194</v>
      </c>
      <c r="C29" s="144">
        <v>176774353</v>
      </c>
      <c r="D29" s="298" t="s">
        <v>111</v>
      </c>
      <c r="E29" s="298">
        <v>2</v>
      </c>
      <c r="F29" s="298" t="str">
        <f>INDEX(BrokerTBL!$B:$B,MATCH(D29,BrokerTBL!$A:$A,0))</f>
        <v>P.O. Box 3474</v>
      </c>
      <c r="G29" s="298" t="str">
        <f>INDEX(BrokerTBL!$C:$C,MATCH(D29,BrokerTBL!$A:$A,0))</f>
        <v>Chicago</v>
      </c>
      <c r="H29" s="298" t="str">
        <f>INDEX(BrokerTBL!$D:$D,MATCH(D29,BrokerTBL!$A:$A,0))</f>
        <v>Il</v>
      </c>
      <c r="I29" s="298" t="str">
        <f>INDEX(BrokerTBL!$E:$E,MATCH(D29,BrokerTBL!$A:$A,0))</f>
        <v>US</v>
      </c>
      <c r="J29" s="298">
        <f>INDEX(BrokerTBL!$F:$F,MATCH(D29,BrokerTBL!$A:$A,0))</f>
        <v>60654</v>
      </c>
      <c r="K29" s="298" t="s">
        <v>412</v>
      </c>
      <c r="L29" s="145">
        <v>26103</v>
      </c>
      <c r="M29" s="146">
        <v>42194</v>
      </c>
      <c r="N29" s="182">
        <v>0.41666666666666702</v>
      </c>
      <c r="O29" s="298" t="s">
        <v>413</v>
      </c>
      <c r="P29" s="298" t="s">
        <v>414</v>
      </c>
      <c r="Q29" s="298" t="s">
        <v>139</v>
      </c>
      <c r="R29" s="298">
        <v>95076</v>
      </c>
      <c r="S29" s="298" t="s">
        <v>118</v>
      </c>
      <c r="T29" s="298" t="s">
        <v>415</v>
      </c>
      <c r="U29" s="298" t="s">
        <v>120</v>
      </c>
      <c r="V29" s="298">
        <v>53</v>
      </c>
      <c r="W29" s="298" t="s">
        <v>136</v>
      </c>
      <c r="X29" s="144">
        <v>45000</v>
      </c>
      <c r="Y29" s="298" t="s">
        <v>26</v>
      </c>
      <c r="Z29" s="298" t="s">
        <v>123</v>
      </c>
      <c r="AA29" s="298" t="s">
        <v>123</v>
      </c>
      <c r="AB29" s="298" t="s">
        <v>123</v>
      </c>
      <c r="AC29" s="298" t="s">
        <v>416</v>
      </c>
      <c r="AD29" s="145"/>
      <c r="AE29" s="146">
        <v>42194</v>
      </c>
      <c r="AF29" s="298" t="s">
        <v>417</v>
      </c>
      <c r="AG29" s="298" t="s">
        <v>418</v>
      </c>
      <c r="AH29" s="298" t="s">
        <v>419</v>
      </c>
      <c r="AI29" s="298" t="s">
        <v>139</v>
      </c>
      <c r="AJ29" s="298">
        <v>95076</v>
      </c>
      <c r="AK29" s="298" t="s">
        <v>118</v>
      </c>
      <c r="AL29" s="298" t="s">
        <v>420</v>
      </c>
      <c r="AM29" s="142" t="str">
        <f>INDEX(CarrierDriverTBL!$B:$B,MATCH(Table1[[#This Row],[DriverID]],CarrierDriverTBL!$A:$A,0))</f>
        <v>UBTrucking</v>
      </c>
      <c r="AN29" s="10" t="s">
        <v>192</v>
      </c>
      <c r="AO29" s="142" t="str">
        <f>INDEX(CarrierDriverTBL!$C:$C,MATCH(Table1[[#This Row],[DriverID]],CarrierDriverTBL!$A:$A,0))</f>
        <v>Albel</v>
      </c>
      <c r="AP29" s="142" t="str">
        <f>INDEX(CarrierDriverTBL!$D:$D,MATCH(Table1[[#This Row],[DriverID]],CarrierDriverTBL!$A:$A,0))</f>
        <v>Chahil</v>
      </c>
      <c r="AQ29" s="142" t="str">
        <f>INDEX(CarrierDriverTBL!$X:$X,MATCH(Table1[[#This Row],[DriverID]],CarrierDriverTBL!$A:$A,0))</f>
        <v>A8390649</v>
      </c>
      <c r="AR29" s="160">
        <f>INDEX(CarrierDriverTBL!$Y:$Y,MATCH(Table1[[#This Row],[DriverID]],CarrierDriverTBL!$A:$A,0))</f>
        <v>42402</v>
      </c>
      <c r="AS29" s="142" t="str">
        <f t="shared" si="1"/>
        <v>GOOD</v>
      </c>
      <c r="AT29" s="160">
        <f>INDEX(CarrierDriverTBL!$E:$E,MATCH(Table1[[#This Row],[DriverID]],CarrierDriverTBL!$A:$A,0))</f>
        <v>22314</v>
      </c>
      <c r="AU29" s="163">
        <f ca="1">INDEX(CarrierDriverTBL!$F:$F,MATCH(Table1[[#This Row],[DriverID]],CarrierDriverTBL!$A:$A,0))</f>
        <v>55.512328767123286</v>
      </c>
      <c r="AV29" s="142" t="str">
        <f>INDEX(CarrierDriverTBL!$K:$K,MATCH(Table1[[#This Row],[DriverID]],CarrierDriverTBL!$A:$A,0))</f>
        <v>510-773-9450</v>
      </c>
      <c r="AW29" s="142" t="str">
        <f>INDEX(CarrierDriverTBL!$M:$M,MATCH(Table1[[#This Row],[DriverID]],CarrierDriverTBL!$A:$A,0))</f>
        <v>3124 Cynthia CT</v>
      </c>
      <c r="AX29" s="142" t="str">
        <f>INDEX(CarrierDriverTBL!$N:$N,MATCH(Table1[[#This Row],[DriverID]],CarrierDriverTBL!$A:$A,0))</f>
        <v>Tracy</v>
      </c>
      <c r="AY29" s="142" t="str">
        <f>INDEX(CarrierDriverTBL!$O:$O,MATCH(Table1[[#This Row],[DriverID]],CarrierDriverTBL!$A:$A,0))</f>
        <v>CA</v>
      </c>
      <c r="AZ29" s="142">
        <f>INDEX(CarrierDriverTBL!$P:$P,MATCH(Table1[[#This Row],[DriverID]],CarrierDriverTBL!$A:$A,0))</f>
        <v>95377</v>
      </c>
      <c r="BA29" s="142" t="str">
        <f>INDEX(CarrierDriverTBL!$Q:$Q,MATCH(Table1[[#This Row],[DriverID]],CarrierDriverTBL!$A:$A,0))</f>
        <v>US</v>
      </c>
      <c r="BB29" s="176" t="str">
        <f>INDEX(CarrierDriverTBL!$R:$R,MATCH(Table1[[#This Row],[DriverID]],CarrierDriverTBL!$A:$A,0))</f>
        <v>ubgollc@gmail.com</v>
      </c>
      <c r="BC29" s="160">
        <f>INDEX(CarrierDriverTBL!$AB:$AB,MATCH(Table1[[#This Row],[DriverID]],CarrierDriverTBL!$A:$A,0))</f>
        <v>42167</v>
      </c>
      <c r="BD29" s="142" t="str">
        <f ca="1">INDEX(CarrierDriverTBL!$AD:$AD,MATCH(LoadMaster!$AN:$AN,CarrierDriverTBL!$A:$A,0))</f>
        <v>MISSING</v>
      </c>
      <c r="BE29" s="142">
        <f>INDEX(CarrierDriverTBL!$AE:$AE,MATCH(Table1[DriverID],CarrierDriverTBL!$A:$A,0))</f>
        <v>913971</v>
      </c>
      <c r="BF29" s="142">
        <f>INDEX(CarrierDriverTBL!$AF:$AF,MATCH(Table1[DriverID],CarrierDriverTBL!$A:$A,0))</f>
        <v>2627544</v>
      </c>
      <c r="BG29" s="142">
        <f>INDEX(CarrierDriverTBL!$AG:$AG,MATCH(Table1[DriverID],CarrierDriverTBL!$A:$A,0))</f>
        <v>466133</v>
      </c>
      <c r="BH29" s="142" t="str">
        <f>INDEX(CarrierDriverTBL!$AH:$AH,MATCH(Table1[DriverID],CarrierDriverTBL!$A:$A,0))</f>
        <v>GM Lawrence Ins</v>
      </c>
      <c r="BI29" s="142" t="str">
        <f>INDEX(CarrierDriverTBL!$AI:$AI,MATCH(Table1[DriverID],CarrierDriverTBL!$A:$A,0))</f>
        <v>DSK2842P160210</v>
      </c>
      <c r="BJ29" s="160">
        <f>INDEX(CarrierDriverTBL!$AJ:$AJ,MATCH(Table1[[#This Row],[DriverID]],CarrierDriverTBL!$A:$A,0))</f>
        <v>42778</v>
      </c>
      <c r="BK29" s="10">
        <f t="shared" si="2"/>
        <v>584</v>
      </c>
      <c r="BL29" s="174">
        <v>200</v>
      </c>
      <c r="BM29" s="144">
        <v>2</v>
      </c>
      <c r="BN29" s="159">
        <f t="shared" si="23"/>
        <v>100</v>
      </c>
      <c r="BO29" s="5">
        <v>175</v>
      </c>
      <c r="BP29" s="159">
        <f t="shared" si="24"/>
        <v>87.5</v>
      </c>
      <c r="BQ29" s="133">
        <v>3.12</v>
      </c>
      <c r="BR29" s="166">
        <f t="shared" si="25"/>
        <v>0.20333333333333337</v>
      </c>
      <c r="BS29" s="167">
        <f t="shared" si="6"/>
        <v>87.296666666666667</v>
      </c>
      <c r="BT29" s="159">
        <f t="shared" si="7"/>
        <v>0.40666666666666673</v>
      </c>
      <c r="BU29" s="10" t="str">
        <f t="shared" si="8"/>
        <v>Ch Robinson</v>
      </c>
      <c r="BV29" s="15"/>
      <c r="BW29" s="4" t="str">
        <f>Table1[[#This Row],[BrokerAddress]]</f>
        <v>P.O. Box 3474</v>
      </c>
      <c r="BX29" s="4" t="str">
        <f t="shared" si="9"/>
        <v>Chicago</v>
      </c>
      <c r="BY29" s="4" t="str">
        <f t="shared" si="10"/>
        <v>Il</v>
      </c>
      <c r="BZ29" s="4">
        <f t="shared" si="11"/>
        <v>60654</v>
      </c>
      <c r="CA29" s="10" t="str">
        <f t="shared" si="12"/>
        <v>US</v>
      </c>
      <c r="CB29" s="4" t="s">
        <v>131</v>
      </c>
      <c r="CC29" s="62"/>
      <c r="CD29" s="15" t="s">
        <v>132</v>
      </c>
      <c r="CE29" s="64">
        <v>0</v>
      </c>
      <c r="CF29" s="4">
        <v>0</v>
      </c>
      <c r="CG29" s="132">
        <f t="shared" si="13"/>
        <v>0</v>
      </c>
      <c r="CH29" s="4" t="s">
        <v>132</v>
      </c>
      <c r="CI29" s="5">
        <v>0</v>
      </c>
      <c r="CJ29" s="4">
        <v>0</v>
      </c>
      <c r="CK29" s="132">
        <f t="shared" si="14"/>
        <v>0</v>
      </c>
      <c r="CL29" s="4" t="s">
        <v>132</v>
      </c>
      <c r="CM29" s="5">
        <v>0</v>
      </c>
      <c r="CN29" s="4">
        <v>0</v>
      </c>
      <c r="CO29" s="132">
        <f t="shared" si="15"/>
        <v>0</v>
      </c>
      <c r="CP29" s="4" t="s">
        <v>132</v>
      </c>
      <c r="CQ29" s="5">
        <v>0</v>
      </c>
      <c r="CR29" s="4">
        <v>0</v>
      </c>
      <c r="CS29" s="132">
        <f t="shared" si="16"/>
        <v>0</v>
      </c>
      <c r="CT29" s="159">
        <f t="shared" si="17"/>
        <v>0</v>
      </c>
      <c r="CU29" s="168">
        <f t="shared" si="18"/>
        <v>200</v>
      </c>
      <c r="CV29" s="169">
        <f t="shared" si="27"/>
        <v>0</v>
      </c>
      <c r="CW29" s="82">
        <f t="shared" si="28"/>
        <v>175</v>
      </c>
      <c r="CX29" s="79">
        <f>IF(ISBLANK(E29),"AddQuickPay",IF(E29=2,CU29*0.98,IF(E29=2.4,CU29*0.976,IF(E29=3,CU29*0.97,IF(E29=5,CU29*0.95,IF(E29=1.5,CU29*0.985,IF(E29=2.5,CU29*0.975,IF(E29=1.3,CU29*0.987,IF(E29=1,CU29*0.99,IF(E29=4,CU29*0.96,CU29*1))))))))))-Table1[[#This Row],[ComCheck+QuickPayFee]]</f>
        <v>196</v>
      </c>
      <c r="CY29" s="5">
        <f t="shared" si="19"/>
        <v>25</v>
      </c>
      <c r="CZ29" s="5">
        <f t="shared" si="20"/>
        <v>4</v>
      </c>
      <c r="DA29" s="258">
        <f>Table1[[#This Row],[OriginalDispatch]]-Table1[[#This Row],[QuickPayCharge]]</f>
        <v>21</v>
      </c>
      <c r="DB29" s="5">
        <v>0</v>
      </c>
      <c r="DC29" s="5" t="s">
        <v>133</v>
      </c>
      <c r="DD29" s="104">
        <f t="shared" si="21"/>
        <v>42195</v>
      </c>
      <c r="DE29" s="15">
        <f>MONTH(Table1[[#This Row],[Weekending]])</f>
        <v>7</v>
      </c>
      <c r="DF29" s="15">
        <f>YEAR(Table1[[#This Row],[Weekending]])</f>
        <v>2015</v>
      </c>
      <c r="DG29" s="4"/>
    </row>
    <row r="30" spans="1:111">
      <c r="A30" s="20" t="str">
        <f t="shared" si="0"/>
        <v>257849</v>
      </c>
      <c r="B30" s="146">
        <v>42195</v>
      </c>
      <c r="C30" s="144">
        <v>176947125</v>
      </c>
      <c r="D30" s="298" t="s">
        <v>111</v>
      </c>
      <c r="E30" s="298">
        <v>2</v>
      </c>
      <c r="F30" s="298" t="str">
        <f>INDEX(BrokerTBL!$B:$B,MATCH(D30,BrokerTBL!$A:$A,0))</f>
        <v>P.O. Box 3474</v>
      </c>
      <c r="G30" s="298" t="str">
        <f>INDEX(BrokerTBL!$C:$C,MATCH(D30,BrokerTBL!$A:$A,0))</f>
        <v>Chicago</v>
      </c>
      <c r="H30" s="298" t="str">
        <f>INDEX(BrokerTBL!$D:$D,MATCH(D30,BrokerTBL!$A:$A,0))</f>
        <v>Il</v>
      </c>
      <c r="I30" s="298" t="str">
        <f>INDEX(BrokerTBL!$E:$E,MATCH(D30,BrokerTBL!$A:$A,0))</f>
        <v>US</v>
      </c>
      <c r="J30" s="298">
        <f>INDEX(BrokerTBL!$F:$F,MATCH(D30,BrokerTBL!$A:$A,0))</f>
        <v>60654</v>
      </c>
      <c r="K30" s="298" t="s">
        <v>421</v>
      </c>
      <c r="L30" s="145">
        <v>1524578</v>
      </c>
      <c r="M30" s="146">
        <v>42195</v>
      </c>
      <c r="N30" s="144" t="s">
        <v>422</v>
      </c>
      <c r="O30" s="298" t="s">
        <v>423</v>
      </c>
      <c r="P30" s="298" t="s">
        <v>160</v>
      </c>
      <c r="Q30" s="298" t="s">
        <v>139</v>
      </c>
      <c r="R30" s="298">
        <v>94534</v>
      </c>
      <c r="S30" s="298" t="s">
        <v>118</v>
      </c>
      <c r="T30" s="298" t="s">
        <v>424</v>
      </c>
      <c r="U30" s="298" t="s">
        <v>120</v>
      </c>
      <c r="V30" s="298">
        <v>53</v>
      </c>
      <c r="W30" s="298" t="s">
        <v>425</v>
      </c>
      <c r="X30" s="144">
        <v>42500</v>
      </c>
      <c r="Y30" s="298" t="s">
        <v>26</v>
      </c>
      <c r="Z30" s="298" t="s">
        <v>123</v>
      </c>
      <c r="AA30" s="298">
        <v>22</v>
      </c>
      <c r="AB30" s="298" t="s">
        <v>123</v>
      </c>
      <c r="AC30" s="298" t="s">
        <v>426</v>
      </c>
      <c r="AD30" s="145"/>
      <c r="AE30" s="146">
        <v>42195</v>
      </c>
      <c r="AF30" s="298" t="s">
        <v>427</v>
      </c>
      <c r="AG30" s="298" t="s">
        <v>428</v>
      </c>
      <c r="AH30" s="298" t="s">
        <v>429</v>
      </c>
      <c r="AI30" s="298" t="s">
        <v>139</v>
      </c>
      <c r="AJ30" s="298">
        <v>93446</v>
      </c>
      <c r="AK30" s="298" t="s">
        <v>118</v>
      </c>
      <c r="AL30" s="298" t="s">
        <v>430</v>
      </c>
      <c r="AM30" s="142" t="str">
        <f>INDEX(CarrierDriverTBL!$B:$B,MATCH(Table1[[#This Row],[DriverID]],CarrierDriverTBL!$A:$A,0))</f>
        <v>UBTrucking</v>
      </c>
      <c r="AN30" s="10" t="s">
        <v>192</v>
      </c>
      <c r="AO30" s="142" t="str">
        <f>INDEX(CarrierDriverTBL!$C:$C,MATCH(Table1[[#This Row],[DriverID]],CarrierDriverTBL!$A:$A,0))</f>
        <v>Albel</v>
      </c>
      <c r="AP30" s="142" t="str">
        <f>INDEX(CarrierDriverTBL!$D:$D,MATCH(Table1[[#This Row],[DriverID]],CarrierDriverTBL!$A:$A,0))</f>
        <v>Chahil</v>
      </c>
      <c r="AQ30" s="142" t="str">
        <f>INDEX(CarrierDriverTBL!$X:$X,MATCH(Table1[[#This Row],[DriverID]],CarrierDriverTBL!$A:$A,0))</f>
        <v>A8390649</v>
      </c>
      <c r="AR30" s="160">
        <f>INDEX(CarrierDriverTBL!$Y:$Y,MATCH(Table1[[#This Row],[DriverID]],CarrierDriverTBL!$A:$A,0))</f>
        <v>42402</v>
      </c>
      <c r="AS30" s="142" t="str">
        <f t="shared" si="1"/>
        <v>GOOD</v>
      </c>
      <c r="AT30" s="160">
        <f>INDEX(CarrierDriverTBL!$E:$E,MATCH(Table1[[#This Row],[DriverID]],CarrierDriverTBL!$A:$A,0))</f>
        <v>22314</v>
      </c>
      <c r="AU30" s="163">
        <f ca="1">INDEX(CarrierDriverTBL!$F:$F,MATCH(Table1[[#This Row],[DriverID]],CarrierDriverTBL!$A:$A,0))</f>
        <v>55.512328767123286</v>
      </c>
      <c r="AV30" s="142" t="str">
        <f>INDEX(CarrierDriverTBL!$K:$K,MATCH(Table1[[#This Row],[DriverID]],CarrierDriverTBL!$A:$A,0))</f>
        <v>510-773-9450</v>
      </c>
      <c r="AW30" s="142" t="str">
        <f>INDEX(CarrierDriverTBL!$M:$M,MATCH(Table1[[#This Row],[DriverID]],CarrierDriverTBL!$A:$A,0))</f>
        <v>3124 Cynthia CT</v>
      </c>
      <c r="AX30" s="142" t="str">
        <f>INDEX(CarrierDriverTBL!$N:$N,MATCH(Table1[[#This Row],[DriverID]],CarrierDriverTBL!$A:$A,0))</f>
        <v>Tracy</v>
      </c>
      <c r="AY30" s="142" t="str">
        <f>INDEX(CarrierDriverTBL!$O:$O,MATCH(Table1[[#This Row],[DriverID]],CarrierDriverTBL!$A:$A,0))</f>
        <v>CA</v>
      </c>
      <c r="AZ30" s="142">
        <f>INDEX(CarrierDriverTBL!$P:$P,MATCH(Table1[[#This Row],[DriverID]],CarrierDriverTBL!$A:$A,0))</f>
        <v>95377</v>
      </c>
      <c r="BA30" s="142" t="str">
        <f>INDEX(CarrierDriverTBL!$Q:$Q,MATCH(Table1[[#This Row],[DriverID]],CarrierDriverTBL!$A:$A,0))</f>
        <v>US</v>
      </c>
      <c r="BB30" s="176" t="str">
        <f>INDEX(CarrierDriverTBL!$R:$R,MATCH(Table1[[#This Row],[DriverID]],CarrierDriverTBL!$A:$A,0))</f>
        <v>ubgollc@gmail.com</v>
      </c>
      <c r="BC30" s="160">
        <f>INDEX(CarrierDriverTBL!$AB:$AB,MATCH(Table1[[#This Row],[DriverID]],CarrierDriverTBL!$A:$A,0))</f>
        <v>42167</v>
      </c>
      <c r="BD30" s="142" t="str">
        <f ca="1">INDEX(CarrierDriverTBL!$AD:$AD,MATCH(LoadMaster!$AN:$AN,CarrierDriverTBL!$A:$A,0))</f>
        <v>MISSING</v>
      </c>
      <c r="BE30" s="142">
        <f>INDEX(CarrierDriverTBL!$AE:$AE,MATCH(Table1[DriverID],CarrierDriverTBL!$A:$A,0))</f>
        <v>913971</v>
      </c>
      <c r="BF30" s="142">
        <f>INDEX(CarrierDriverTBL!$AF:$AF,MATCH(Table1[DriverID],CarrierDriverTBL!$A:$A,0))</f>
        <v>2627544</v>
      </c>
      <c r="BG30" s="142">
        <f>INDEX(CarrierDriverTBL!$AG:$AG,MATCH(Table1[DriverID],CarrierDriverTBL!$A:$A,0))</f>
        <v>466133</v>
      </c>
      <c r="BH30" s="142" t="str">
        <f>INDEX(CarrierDriverTBL!$AH:$AH,MATCH(Table1[DriverID],CarrierDriverTBL!$A:$A,0))</f>
        <v>GM Lawrence Ins</v>
      </c>
      <c r="BI30" s="142" t="str">
        <f>INDEX(CarrierDriverTBL!$AI:$AI,MATCH(Table1[DriverID],CarrierDriverTBL!$A:$A,0))</f>
        <v>DSK2842P160210</v>
      </c>
      <c r="BJ30" s="160">
        <f>INDEX(CarrierDriverTBL!$AJ:$AJ,MATCH(Table1[[#This Row],[DriverID]],CarrierDriverTBL!$A:$A,0))</f>
        <v>42778</v>
      </c>
      <c r="BK30" s="10">
        <f t="shared" si="2"/>
        <v>583</v>
      </c>
      <c r="BL30" s="174">
        <v>825</v>
      </c>
      <c r="BM30" s="144">
        <v>235</v>
      </c>
      <c r="BN30" s="159">
        <f t="shared" si="23"/>
        <v>3.5106382978723403</v>
      </c>
      <c r="BO30" s="167">
        <v>775</v>
      </c>
      <c r="BP30" s="159">
        <f t="shared" si="24"/>
        <v>3.2978723404255321</v>
      </c>
      <c r="BQ30" s="133">
        <v>3.12</v>
      </c>
      <c r="BR30" s="166">
        <f t="shared" si="25"/>
        <v>0.20333333333333337</v>
      </c>
      <c r="BS30" s="167">
        <f t="shared" si="6"/>
        <v>3.094539007092199</v>
      </c>
      <c r="BT30" s="159">
        <f t="shared" si="7"/>
        <v>47.783333333333339</v>
      </c>
      <c r="BU30" s="10" t="str">
        <f t="shared" si="8"/>
        <v>Ch Robinson</v>
      </c>
      <c r="BV30" s="15"/>
      <c r="BW30" s="4" t="str">
        <f>Table1[[#This Row],[BrokerAddress]]</f>
        <v>P.O. Box 3474</v>
      </c>
      <c r="BX30" s="4" t="str">
        <f t="shared" si="9"/>
        <v>Chicago</v>
      </c>
      <c r="BY30" s="4" t="str">
        <f t="shared" si="10"/>
        <v>Il</v>
      </c>
      <c r="BZ30" s="4">
        <f t="shared" si="11"/>
        <v>60654</v>
      </c>
      <c r="CA30" s="10" t="str">
        <f t="shared" si="12"/>
        <v>US</v>
      </c>
      <c r="CB30" s="4" t="s">
        <v>131</v>
      </c>
      <c r="CC30" s="62"/>
      <c r="CD30" s="15" t="s">
        <v>132</v>
      </c>
      <c r="CE30" s="64">
        <v>0</v>
      </c>
      <c r="CF30" s="4">
        <v>0</v>
      </c>
      <c r="CG30" s="132">
        <f t="shared" si="13"/>
        <v>0</v>
      </c>
      <c r="CH30" s="4" t="s">
        <v>132</v>
      </c>
      <c r="CI30" s="5">
        <v>0</v>
      </c>
      <c r="CJ30" s="4">
        <v>0</v>
      </c>
      <c r="CK30" s="132">
        <f t="shared" si="14"/>
        <v>0</v>
      </c>
      <c r="CL30" s="4" t="s">
        <v>132</v>
      </c>
      <c r="CM30" s="5">
        <v>0</v>
      </c>
      <c r="CN30" s="4">
        <v>0</v>
      </c>
      <c r="CO30" s="132">
        <f t="shared" si="15"/>
        <v>0</v>
      </c>
      <c r="CP30" s="4" t="s">
        <v>132</v>
      </c>
      <c r="CQ30" s="5">
        <v>0</v>
      </c>
      <c r="CR30" s="4">
        <v>0</v>
      </c>
      <c r="CS30" s="132">
        <f t="shared" si="16"/>
        <v>0</v>
      </c>
      <c r="CT30" s="159">
        <f t="shared" si="17"/>
        <v>0</v>
      </c>
      <c r="CU30" s="168">
        <f t="shared" si="18"/>
        <v>825</v>
      </c>
      <c r="CV30" s="169">
        <f t="shared" si="27"/>
        <v>0</v>
      </c>
      <c r="CW30" s="82">
        <f t="shared" si="28"/>
        <v>775</v>
      </c>
      <c r="CX30" s="79">
        <f>IF(ISBLANK(E30),"AddQuickPay",IF(E30=2,CU30*0.98,IF(E30=2.4,CU30*0.976,IF(E30=3,CU30*0.97,IF(E30=5,CU30*0.95,IF(E30=1.5,CU30*0.985,IF(E30=2.5,CU30*0.975,IF(E30=1.3,CU30*0.987,IF(E30=1,CU30*0.99,IF(E30=4,CU30*0.96,CU30*1))))))))))-Table1[[#This Row],[ComCheck+QuickPayFee]]</f>
        <v>808.5</v>
      </c>
      <c r="CY30" s="5">
        <f t="shared" si="19"/>
        <v>50</v>
      </c>
      <c r="CZ30" s="5">
        <f t="shared" si="20"/>
        <v>16.5</v>
      </c>
      <c r="DA30" s="258">
        <f>Table1[[#This Row],[OriginalDispatch]]-Table1[[#This Row],[QuickPayCharge]]</f>
        <v>33.5</v>
      </c>
      <c r="DB30" s="5">
        <v>0</v>
      </c>
      <c r="DC30" s="5" t="s">
        <v>133</v>
      </c>
      <c r="DD30" s="104">
        <f t="shared" si="21"/>
        <v>42195</v>
      </c>
      <c r="DE30" s="15">
        <f>MONTH(Table1[[#This Row],[Weekending]])</f>
        <v>7</v>
      </c>
      <c r="DF30" s="15">
        <f>YEAR(Table1[[#This Row],[Weekending]])</f>
        <v>2015</v>
      </c>
      <c r="DG30" s="4"/>
    </row>
    <row r="31" spans="1:111">
      <c r="A31" s="20" t="str">
        <f t="shared" si="0"/>
        <v>970949</v>
      </c>
      <c r="B31" s="146">
        <v>42228</v>
      </c>
      <c r="C31" s="144">
        <v>179057397</v>
      </c>
      <c r="D31" s="298" t="s">
        <v>111</v>
      </c>
      <c r="E31" s="298">
        <v>2</v>
      </c>
      <c r="F31" s="298" t="str">
        <f>INDEX(BrokerTBL!$B:$B,MATCH(D31,BrokerTBL!$A:$A,0))</f>
        <v>P.O. Box 3474</v>
      </c>
      <c r="G31" s="298" t="str">
        <f>INDEX(BrokerTBL!$C:$C,MATCH(D31,BrokerTBL!$A:$A,0))</f>
        <v>Chicago</v>
      </c>
      <c r="H31" s="298" t="str">
        <f>INDEX(BrokerTBL!$D:$D,MATCH(D31,BrokerTBL!$A:$A,0))</f>
        <v>Il</v>
      </c>
      <c r="I31" s="298" t="str">
        <f>INDEX(BrokerTBL!$E:$E,MATCH(D31,BrokerTBL!$A:$A,0))</f>
        <v>US</v>
      </c>
      <c r="J31" s="298">
        <f>INDEX(BrokerTBL!$F:$F,MATCH(D31,BrokerTBL!$A:$A,0))</f>
        <v>60654</v>
      </c>
      <c r="K31" s="298" t="s">
        <v>421</v>
      </c>
      <c r="L31" s="145">
        <v>5.2657445762830898E-4</v>
      </c>
      <c r="M31" s="146">
        <v>42195</v>
      </c>
      <c r="N31" s="144" t="s">
        <v>422</v>
      </c>
      <c r="O31" s="298" t="s">
        <v>423</v>
      </c>
      <c r="P31" s="298" t="s">
        <v>160</v>
      </c>
      <c r="Q31" s="298" t="s">
        <v>139</v>
      </c>
      <c r="R31" s="298">
        <v>94534</v>
      </c>
      <c r="S31" s="298" t="s">
        <v>118</v>
      </c>
      <c r="T31" s="298" t="s">
        <v>424</v>
      </c>
      <c r="U31" s="298" t="s">
        <v>120</v>
      </c>
      <c r="V31" s="298">
        <v>53</v>
      </c>
      <c r="W31" s="298" t="s">
        <v>425</v>
      </c>
      <c r="X31" s="144">
        <v>42000</v>
      </c>
      <c r="Y31" s="298" t="s">
        <v>26</v>
      </c>
      <c r="Z31" s="298" t="s">
        <v>123</v>
      </c>
      <c r="AA31" s="298">
        <v>21</v>
      </c>
      <c r="AB31" s="298" t="s">
        <v>123</v>
      </c>
      <c r="AC31" s="298" t="s">
        <v>431</v>
      </c>
      <c r="AD31" s="145"/>
      <c r="AE31" s="146">
        <v>42228</v>
      </c>
      <c r="AF31" s="298" t="s">
        <v>432</v>
      </c>
      <c r="AG31" s="298" t="s">
        <v>433</v>
      </c>
      <c r="AH31" s="298" t="s">
        <v>335</v>
      </c>
      <c r="AI31" s="298" t="s">
        <v>139</v>
      </c>
      <c r="AJ31" s="298">
        <v>94558</v>
      </c>
      <c r="AK31" s="298" t="s">
        <v>118</v>
      </c>
      <c r="AL31" s="298" t="s">
        <v>434</v>
      </c>
      <c r="AM31" s="142" t="str">
        <f>INDEX(CarrierDriverTBL!$B:$B,MATCH(Table1[[#This Row],[DriverID]],CarrierDriverTBL!$A:$A,0))</f>
        <v>UBTrucking</v>
      </c>
      <c r="AN31" s="10" t="s">
        <v>192</v>
      </c>
      <c r="AO31" s="142" t="str">
        <f>INDEX(CarrierDriverTBL!$C:$C,MATCH(Table1[[#This Row],[DriverID]],CarrierDriverTBL!$A:$A,0))</f>
        <v>Albel</v>
      </c>
      <c r="AP31" s="142" t="str">
        <f>INDEX(CarrierDriverTBL!$D:$D,MATCH(Table1[[#This Row],[DriverID]],CarrierDriverTBL!$A:$A,0))</f>
        <v>Chahil</v>
      </c>
      <c r="AQ31" s="142" t="str">
        <f>INDEX(CarrierDriverTBL!$X:$X,MATCH(Table1[[#This Row],[DriverID]],CarrierDriverTBL!$A:$A,0))</f>
        <v>A8390649</v>
      </c>
      <c r="AR31" s="160">
        <f>INDEX(CarrierDriverTBL!$Y:$Y,MATCH(Table1[[#This Row],[DriverID]],CarrierDriverTBL!$A:$A,0))</f>
        <v>42402</v>
      </c>
      <c r="AS31" s="142" t="str">
        <f t="shared" si="1"/>
        <v>GOOD</v>
      </c>
      <c r="AT31" s="160">
        <f>INDEX(CarrierDriverTBL!$E:$E,MATCH(Table1[[#This Row],[DriverID]],CarrierDriverTBL!$A:$A,0))</f>
        <v>22314</v>
      </c>
      <c r="AU31" s="163">
        <f ca="1">INDEX(CarrierDriverTBL!$F:$F,MATCH(Table1[[#This Row],[DriverID]],CarrierDriverTBL!$A:$A,0))</f>
        <v>55.512328767123286</v>
      </c>
      <c r="AV31" s="142" t="str">
        <f>INDEX(CarrierDriverTBL!$K:$K,MATCH(Table1[[#This Row],[DriverID]],CarrierDriverTBL!$A:$A,0))</f>
        <v>510-773-9450</v>
      </c>
      <c r="AW31" s="142" t="str">
        <f>INDEX(CarrierDriverTBL!$M:$M,MATCH(Table1[[#This Row],[DriverID]],CarrierDriverTBL!$A:$A,0))</f>
        <v>3124 Cynthia CT</v>
      </c>
      <c r="AX31" s="142" t="str">
        <f>INDEX(CarrierDriverTBL!$N:$N,MATCH(Table1[[#This Row],[DriverID]],CarrierDriverTBL!$A:$A,0))</f>
        <v>Tracy</v>
      </c>
      <c r="AY31" s="142" t="str">
        <f>INDEX(CarrierDriverTBL!$O:$O,MATCH(Table1[[#This Row],[DriverID]],CarrierDriverTBL!$A:$A,0))</f>
        <v>CA</v>
      </c>
      <c r="AZ31" s="142">
        <f>INDEX(CarrierDriverTBL!$P:$P,MATCH(Table1[[#This Row],[DriverID]],CarrierDriverTBL!$A:$A,0))</f>
        <v>95377</v>
      </c>
      <c r="BA31" s="142" t="str">
        <f>INDEX(CarrierDriverTBL!$Q:$Q,MATCH(Table1[[#This Row],[DriverID]],CarrierDriverTBL!$A:$A,0))</f>
        <v>US</v>
      </c>
      <c r="BB31" s="176" t="str">
        <f>INDEX(CarrierDriverTBL!$R:$R,MATCH(Table1[[#This Row],[DriverID]],CarrierDriverTBL!$A:$A,0))</f>
        <v>ubgollc@gmail.com</v>
      </c>
      <c r="BC31" s="160">
        <f>INDEX(CarrierDriverTBL!$AB:$AB,MATCH(Table1[[#This Row],[DriverID]],CarrierDriverTBL!$A:$A,0))</f>
        <v>42167</v>
      </c>
      <c r="BD31" s="142" t="str">
        <f ca="1">INDEX(CarrierDriverTBL!$AD:$AD,MATCH(LoadMaster!$AN:$AN,CarrierDriverTBL!$A:$A,0))</f>
        <v>MISSING</v>
      </c>
      <c r="BE31" s="142">
        <f>INDEX(CarrierDriverTBL!$AE:$AE,MATCH(Table1[DriverID],CarrierDriverTBL!$A:$A,0))</f>
        <v>913971</v>
      </c>
      <c r="BF31" s="142">
        <f>INDEX(CarrierDriverTBL!$AF:$AF,MATCH(Table1[DriverID],CarrierDriverTBL!$A:$A,0))</f>
        <v>2627544</v>
      </c>
      <c r="BG31" s="142">
        <f>INDEX(CarrierDriverTBL!$AG:$AG,MATCH(Table1[DriverID],CarrierDriverTBL!$A:$A,0))</f>
        <v>466133</v>
      </c>
      <c r="BH31" s="142" t="str">
        <f>INDEX(CarrierDriverTBL!$AH:$AH,MATCH(Table1[DriverID],CarrierDriverTBL!$A:$A,0))</f>
        <v>GM Lawrence Ins</v>
      </c>
      <c r="BI31" s="142" t="str">
        <f>INDEX(CarrierDriverTBL!$AI:$AI,MATCH(Table1[DriverID],CarrierDriverTBL!$A:$A,0))</f>
        <v>DSK2842P160210</v>
      </c>
      <c r="BJ31" s="160">
        <f>INDEX(CarrierDriverTBL!$AJ:$AJ,MATCH(Table1[[#This Row],[DriverID]],CarrierDriverTBL!$A:$A,0))</f>
        <v>42778</v>
      </c>
      <c r="BK31" s="10">
        <f t="shared" si="2"/>
        <v>583</v>
      </c>
      <c r="BL31" s="174">
        <v>250</v>
      </c>
      <c r="BM31" s="144">
        <v>25</v>
      </c>
      <c r="BN31" s="159">
        <f t="shared" si="23"/>
        <v>10</v>
      </c>
      <c r="BO31" s="167">
        <v>200</v>
      </c>
      <c r="BP31" s="159">
        <f t="shared" si="24"/>
        <v>8</v>
      </c>
      <c r="BQ31" s="133">
        <v>2.9</v>
      </c>
      <c r="BR31" s="166">
        <f t="shared" si="25"/>
        <v>0.16666666666666666</v>
      </c>
      <c r="BS31" s="167">
        <f t="shared" si="6"/>
        <v>7.833333333333333</v>
      </c>
      <c r="BT31" s="159">
        <f t="shared" si="7"/>
        <v>4.1666666666666661</v>
      </c>
      <c r="BU31" s="10" t="str">
        <f t="shared" si="8"/>
        <v>Ch Robinson</v>
      </c>
      <c r="BV31" s="15"/>
      <c r="BW31" s="4" t="str">
        <f>Table1[[#This Row],[BrokerAddress]]</f>
        <v>P.O. Box 3474</v>
      </c>
      <c r="BX31" s="4" t="str">
        <f t="shared" si="9"/>
        <v>Chicago</v>
      </c>
      <c r="BY31" s="4" t="str">
        <f t="shared" si="10"/>
        <v>Il</v>
      </c>
      <c r="BZ31" s="4">
        <f t="shared" si="11"/>
        <v>60654</v>
      </c>
      <c r="CA31" s="10" t="str">
        <f t="shared" si="12"/>
        <v>US</v>
      </c>
      <c r="CB31" s="15" t="s">
        <v>131</v>
      </c>
      <c r="CC31" s="62"/>
      <c r="CD31" s="15" t="s">
        <v>132</v>
      </c>
      <c r="CE31" s="64">
        <v>0</v>
      </c>
      <c r="CF31" s="4">
        <v>0</v>
      </c>
      <c r="CG31" s="132">
        <f t="shared" si="13"/>
        <v>0</v>
      </c>
      <c r="CH31" s="4" t="s">
        <v>132</v>
      </c>
      <c r="CI31" s="5">
        <v>0</v>
      </c>
      <c r="CJ31" s="4">
        <v>0</v>
      </c>
      <c r="CK31" s="132">
        <f t="shared" si="14"/>
        <v>0</v>
      </c>
      <c r="CL31" s="4" t="s">
        <v>132</v>
      </c>
      <c r="CM31" s="5">
        <v>0</v>
      </c>
      <c r="CN31" s="4">
        <v>0</v>
      </c>
      <c r="CO31" s="132">
        <f t="shared" si="15"/>
        <v>0</v>
      </c>
      <c r="CP31" s="4" t="s">
        <v>132</v>
      </c>
      <c r="CQ31" s="5">
        <v>0</v>
      </c>
      <c r="CR31" s="4">
        <v>0</v>
      </c>
      <c r="CS31" s="132">
        <f t="shared" si="16"/>
        <v>0</v>
      </c>
      <c r="CT31" s="159">
        <f t="shared" si="17"/>
        <v>0</v>
      </c>
      <c r="CU31" s="168">
        <f t="shared" si="18"/>
        <v>250</v>
      </c>
      <c r="CV31" s="183">
        <f t="shared" si="27"/>
        <v>0</v>
      </c>
      <c r="CW31" s="82">
        <f t="shared" si="28"/>
        <v>200</v>
      </c>
      <c r="CX31" s="79">
        <f>IF(ISBLANK(E31),"AddQuickPay",IF(E31=2,CU31*0.98,IF(E31=2.4,CU31*0.976,IF(E31=3,CU31*0.97,IF(E31=5,CU31*0.95,IF(E31=1.5,CU31*0.985,IF(E31=2.5,CU31*0.975,IF(E31=1.3,CU31*0.987,IF(E31=1,CU31*0.99,IF(E31=4,CU31*0.96,CU31*1))))))))))-Table1[[#This Row],[ComCheck+QuickPayFee]]</f>
        <v>245</v>
      </c>
      <c r="CY31" s="5">
        <f t="shared" si="19"/>
        <v>50</v>
      </c>
      <c r="CZ31" s="5">
        <f t="shared" si="20"/>
        <v>5</v>
      </c>
      <c r="DA31" s="258">
        <f>Table1[[#This Row],[OriginalDispatch]]-Table1[[#This Row],[QuickPayCharge]]</f>
        <v>45</v>
      </c>
      <c r="DB31" s="5">
        <v>0</v>
      </c>
      <c r="DC31" s="5" t="s">
        <v>133</v>
      </c>
      <c r="DD31" s="104">
        <f t="shared" si="21"/>
        <v>42195</v>
      </c>
      <c r="DE31" s="15">
        <f>MONTH(Table1[[#This Row],[Weekending]])</f>
        <v>7</v>
      </c>
      <c r="DF31" s="15">
        <f>YEAR(Table1[[#This Row],[Weekending]])</f>
        <v>2015</v>
      </c>
      <c r="DG31" s="4"/>
    </row>
    <row r="32" spans="1:111">
      <c r="A32" s="20" t="str">
        <f t="shared" si="0"/>
        <v>27901249</v>
      </c>
      <c r="B32" s="146">
        <v>42198</v>
      </c>
      <c r="C32" s="144">
        <v>27</v>
      </c>
      <c r="D32" s="298" t="s">
        <v>435</v>
      </c>
      <c r="E32" s="298">
        <v>3</v>
      </c>
      <c r="F32" s="298" t="str">
        <f>INDEX(BrokerTBL!$B:$B,MATCH(D32,BrokerTBL!$A:$A,0))</f>
        <v xml:space="preserve">920 Riverside Prkwy Suite #10 </v>
      </c>
      <c r="G32" s="298" t="str">
        <f>INDEX(BrokerTBL!$C:$C,MATCH(D32,BrokerTBL!$A:$A,0))</f>
        <v>West Sacramento</v>
      </c>
      <c r="H32" s="298" t="str">
        <f>INDEX(BrokerTBL!$D:$D,MATCH(D32,BrokerTBL!$A:$A,0))</f>
        <v>Ca</v>
      </c>
      <c r="I32" s="298" t="str">
        <f>INDEX(BrokerTBL!$E:$E,MATCH(D32,BrokerTBL!$A:$A,0))</f>
        <v>US</v>
      </c>
      <c r="J32" s="298">
        <f>INDEX(BrokerTBL!$F:$F,MATCH(D32,BrokerTBL!$A:$A,0))</f>
        <v>95605</v>
      </c>
      <c r="K32" s="298" t="s">
        <v>436</v>
      </c>
      <c r="L32" s="145">
        <v>416098890</v>
      </c>
      <c r="M32" s="146">
        <v>42198</v>
      </c>
      <c r="N32" s="182">
        <v>8.3333333333333301E-2</v>
      </c>
      <c r="O32" s="298" t="s">
        <v>437</v>
      </c>
      <c r="P32" s="298" t="s">
        <v>438</v>
      </c>
      <c r="Q32" s="298" t="s">
        <v>139</v>
      </c>
      <c r="R32" s="298">
        <v>94080</v>
      </c>
      <c r="S32" s="298" t="s">
        <v>118</v>
      </c>
      <c r="T32" s="298" t="s">
        <v>136</v>
      </c>
      <c r="U32" s="298" t="s">
        <v>120</v>
      </c>
      <c r="V32" s="298">
        <v>53</v>
      </c>
      <c r="W32" s="298" t="s">
        <v>136</v>
      </c>
      <c r="X32" s="144" t="s">
        <v>136</v>
      </c>
      <c r="Y32" s="298" t="s">
        <v>123</v>
      </c>
      <c r="Z32" s="298" t="s">
        <v>123</v>
      </c>
      <c r="AA32" s="298" t="s">
        <v>123</v>
      </c>
      <c r="AB32" s="298" t="s">
        <v>123</v>
      </c>
      <c r="AC32" s="298" t="s">
        <v>439</v>
      </c>
      <c r="AD32" s="145" t="s">
        <v>440</v>
      </c>
      <c r="AE32" s="146">
        <v>42199</v>
      </c>
      <c r="AF32" s="298" t="s">
        <v>441</v>
      </c>
      <c r="AG32" s="298" t="s">
        <v>442</v>
      </c>
      <c r="AH32" s="298" t="s">
        <v>443</v>
      </c>
      <c r="AI32" s="298" t="s">
        <v>139</v>
      </c>
      <c r="AJ32" s="298">
        <v>95765</v>
      </c>
      <c r="AK32" s="298" t="s">
        <v>118</v>
      </c>
      <c r="AL32" s="298" t="s">
        <v>123</v>
      </c>
      <c r="AM32" s="142" t="str">
        <f>INDEX(CarrierDriverTBL!$B:$B,MATCH(Table1[[#This Row],[DriverID]],CarrierDriverTBL!$A:$A,0))</f>
        <v>UBTrucking</v>
      </c>
      <c r="AN32" s="10" t="s">
        <v>192</v>
      </c>
      <c r="AO32" s="142" t="str">
        <f>INDEX(CarrierDriverTBL!$C:$C,MATCH(Table1[[#This Row],[DriverID]],CarrierDriverTBL!$A:$A,0))</f>
        <v>Albel</v>
      </c>
      <c r="AP32" s="142" t="str">
        <f>INDEX(CarrierDriverTBL!$D:$D,MATCH(Table1[[#This Row],[DriverID]],CarrierDriverTBL!$A:$A,0))</f>
        <v>Chahil</v>
      </c>
      <c r="AQ32" s="142" t="str">
        <f>INDEX(CarrierDriverTBL!$X:$X,MATCH(Table1[[#This Row],[DriverID]],CarrierDriverTBL!$A:$A,0))</f>
        <v>A8390649</v>
      </c>
      <c r="AR32" s="160">
        <f>INDEX(CarrierDriverTBL!$Y:$Y,MATCH(Table1[[#This Row],[DriverID]],CarrierDriverTBL!$A:$A,0))</f>
        <v>42402</v>
      </c>
      <c r="AS32" s="142" t="str">
        <f t="shared" si="1"/>
        <v>GOOD</v>
      </c>
      <c r="AT32" s="160">
        <f>INDEX(CarrierDriverTBL!$E:$E,MATCH(Table1[[#This Row],[DriverID]],CarrierDriverTBL!$A:$A,0))</f>
        <v>22314</v>
      </c>
      <c r="AU32" s="163">
        <f ca="1">INDEX(CarrierDriverTBL!$F:$F,MATCH(Table1[[#This Row],[DriverID]],CarrierDriverTBL!$A:$A,0))</f>
        <v>55.512328767123286</v>
      </c>
      <c r="AV32" s="142" t="str">
        <f>INDEX(CarrierDriverTBL!$K:$K,MATCH(Table1[[#This Row],[DriverID]],CarrierDriverTBL!$A:$A,0))</f>
        <v>510-773-9450</v>
      </c>
      <c r="AW32" s="142" t="str">
        <f>INDEX(CarrierDriverTBL!$M:$M,MATCH(Table1[[#This Row],[DriverID]],CarrierDriverTBL!$A:$A,0))</f>
        <v>3124 Cynthia CT</v>
      </c>
      <c r="AX32" s="142" t="str">
        <f>INDEX(CarrierDriverTBL!$N:$N,MATCH(Table1[[#This Row],[DriverID]],CarrierDriverTBL!$A:$A,0))</f>
        <v>Tracy</v>
      </c>
      <c r="AY32" s="142" t="str">
        <f>INDEX(CarrierDriverTBL!$O:$O,MATCH(Table1[[#This Row],[DriverID]],CarrierDriverTBL!$A:$A,0))</f>
        <v>CA</v>
      </c>
      <c r="AZ32" s="142">
        <f>INDEX(CarrierDriverTBL!$P:$P,MATCH(Table1[[#This Row],[DriverID]],CarrierDriverTBL!$A:$A,0))</f>
        <v>95377</v>
      </c>
      <c r="BA32" s="142" t="str">
        <f>INDEX(CarrierDriverTBL!$Q:$Q,MATCH(Table1[[#This Row],[DriverID]],CarrierDriverTBL!$A:$A,0))</f>
        <v>US</v>
      </c>
      <c r="BB32" s="176" t="str">
        <f>INDEX(CarrierDriverTBL!$R:$R,MATCH(Table1[[#This Row],[DriverID]],CarrierDriverTBL!$A:$A,0))</f>
        <v>ubgollc@gmail.com</v>
      </c>
      <c r="BC32" s="160">
        <f>INDEX(CarrierDriverTBL!$AB:$AB,MATCH(Table1[[#This Row],[DriverID]],CarrierDriverTBL!$A:$A,0))</f>
        <v>42167</v>
      </c>
      <c r="BD32" s="142" t="str">
        <f ca="1">INDEX(CarrierDriverTBL!$AD:$AD,MATCH(LoadMaster!$AN:$AN,CarrierDriverTBL!$A:$A,0))</f>
        <v>MISSING</v>
      </c>
      <c r="BE32" s="142">
        <f>INDEX(CarrierDriverTBL!$AE:$AE,MATCH(Table1[DriverID],CarrierDriverTBL!$A:$A,0))</f>
        <v>913971</v>
      </c>
      <c r="BF32" s="142">
        <f>INDEX(CarrierDriverTBL!$AF:$AF,MATCH(Table1[DriverID],CarrierDriverTBL!$A:$A,0))</f>
        <v>2627544</v>
      </c>
      <c r="BG32" s="142">
        <f>INDEX(CarrierDriverTBL!$AG:$AG,MATCH(Table1[DriverID],CarrierDriverTBL!$A:$A,0))</f>
        <v>466133</v>
      </c>
      <c r="BH32" s="142" t="str">
        <f>INDEX(CarrierDriverTBL!$AH:$AH,MATCH(Table1[DriverID],CarrierDriverTBL!$A:$A,0))</f>
        <v>GM Lawrence Ins</v>
      </c>
      <c r="BI32" s="142" t="str">
        <f>INDEX(CarrierDriverTBL!$AI:$AI,MATCH(Table1[DriverID],CarrierDriverTBL!$A:$A,0))</f>
        <v>DSK2842P160210</v>
      </c>
      <c r="BJ32" s="160">
        <f>INDEX(CarrierDriverTBL!$AJ:$AJ,MATCH(Table1[[#This Row],[DriverID]],CarrierDriverTBL!$A:$A,0))</f>
        <v>42778</v>
      </c>
      <c r="BK32" s="10">
        <f t="shared" si="2"/>
        <v>580</v>
      </c>
      <c r="BL32" s="174">
        <v>450</v>
      </c>
      <c r="BM32" s="144">
        <v>120</v>
      </c>
      <c r="BN32" s="159">
        <f t="shared" si="23"/>
        <v>3.75</v>
      </c>
      <c r="BO32" s="167">
        <v>400</v>
      </c>
      <c r="BP32" s="159">
        <f t="shared" si="24"/>
        <v>3.3333333333333335</v>
      </c>
      <c r="BQ32" s="133">
        <v>3.12</v>
      </c>
      <c r="BR32" s="166">
        <f t="shared" si="25"/>
        <v>0.20333333333333337</v>
      </c>
      <c r="BS32" s="167">
        <f t="shared" si="6"/>
        <v>3.13</v>
      </c>
      <c r="BT32" s="159">
        <f t="shared" si="7"/>
        <v>24.400000000000006</v>
      </c>
      <c r="BU32" s="10" t="str">
        <f t="shared" si="8"/>
        <v>Global Freight Management</v>
      </c>
      <c r="BV32" s="15"/>
      <c r="BW32" s="4" t="str">
        <f>Table1[[#This Row],[BrokerAddress]]</f>
        <v xml:space="preserve">920 Riverside Prkwy Suite #10 </v>
      </c>
      <c r="BX32" s="4" t="str">
        <f t="shared" si="9"/>
        <v>West Sacramento</v>
      </c>
      <c r="BY32" s="4" t="str">
        <f t="shared" si="10"/>
        <v>Ca</v>
      </c>
      <c r="BZ32" s="4">
        <f t="shared" si="11"/>
        <v>95605</v>
      </c>
      <c r="CA32" s="10" t="str">
        <f t="shared" si="12"/>
        <v>US</v>
      </c>
      <c r="CB32" s="15" t="s">
        <v>444</v>
      </c>
      <c r="CC32" s="62"/>
      <c r="CD32" s="15" t="s">
        <v>132</v>
      </c>
      <c r="CE32" s="64">
        <v>0</v>
      </c>
      <c r="CF32" s="4">
        <v>0</v>
      </c>
      <c r="CG32" s="132">
        <f t="shared" si="13"/>
        <v>0</v>
      </c>
      <c r="CH32" s="4" t="s">
        <v>132</v>
      </c>
      <c r="CI32" s="5">
        <v>0</v>
      </c>
      <c r="CJ32" s="4">
        <v>0</v>
      </c>
      <c r="CK32" s="132">
        <f t="shared" si="14"/>
        <v>0</v>
      </c>
      <c r="CL32" s="4" t="s">
        <v>132</v>
      </c>
      <c r="CM32" s="5">
        <v>0</v>
      </c>
      <c r="CN32" s="4">
        <v>0</v>
      </c>
      <c r="CO32" s="132">
        <f t="shared" si="15"/>
        <v>0</v>
      </c>
      <c r="CP32" s="4" t="s">
        <v>132</v>
      </c>
      <c r="CQ32" s="5">
        <v>0</v>
      </c>
      <c r="CR32" s="4">
        <v>0</v>
      </c>
      <c r="CS32" s="132">
        <f t="shared" si="16"/>
        <v>0</v>
      </c>
      <c r="CT32" s="159">
        <f t="shared" si="17"/>
        <v>0</v>
      </c>
      <c r="CU32" s="168">
        <f t="shared" si="18"/>
        <v>450</v>
      </c>
      <c r="CV32" s="169">
        <f t="shared" si="27"/>
        <v>0</v>
      </c>
      <c r="CW32" s="82">
        <f t="shared" si="28"/>
        <v>400</v>
      </c>
      <c r="CX32" s="79">
        <f>IF(ISBLANK(E32),"AddQuickPay",IF(E32=2,CU32*0.98,IF(E32=2.4,CU32*0.976,IF(E32=3,CU32*0.97,IF(E32=5,CU32*0.95,IF(E32=1.5,CU32*0.985,IF(E32=2.5,CU32*0.975,IF(E32=1.3,CU32*0.987,IF(E32=1,CU32*0.99,IF(E32=4,CU32*0.96,CU32*1))))))))))-Table1[[#This Row],[ComCheck+QuickPayFee]]</f>
        <v>436.5</v>
      </c>
      <c r="CY32" s="5">
        <f t="shared" si="19"/>
        <v>50</v>
      </c>
      <c r="CZ32" s="5">
        <f t="shared" si="20"/>
        <v>13.5</v>
      </c>
      <c r="DA32" s="258">
        <f>Table1[[#This Row],[OriginalDispatch]]-Table1[[#This Row],[QuickPayCharge]]</f>
        <v>36.5</v>
      </c>
      <c r="DB32" s="5">
        <v>0</v>
      </c>
      <c r="DC32" s="5" t="s">
        <v>133</v>
      </c>
      <c r="DD32" s="104">
        <f t="shared" si="21"/>
        <v>42202</v>
      </c>
      <c r="DE32" s="15">
        <f>MONTH(Table1[[#This Row],[Weekending]])</f>
        <v>7</v>
      </c>
      <c r="DF32" s="15">
        <f>YEAR(Table1[[#This Row],[Weekending]])</f>
        <v>2015</v>
      </c>
      <c r="DG32" s="4"/>
    </row>
    <row r="33" spans="1:111">
      <c r="A33" s="20" t="str">
        <f t="shared" si="0"/>
        <v>00705249</v>
      </c>
      <c r="B33" s="146">
        <v>42198</v>
      </c>
      <c r="C33" s="144">
        <v>5897300</v>
      </c>
      <c r="D33" s="298" t="s">
        <v>445</v>
      </c>
      <c r="E33" s="298">
        <v>3</v>
      </c>
      <c r="F33" s="298" t="str">
        <f>INDEX(BrokerTBL!$B:$B,MATCH(D33,BrokerTBL!$A:$A,0))</f>
        <v>960 Northpoint Parkway Suite 150</v>
      </c>
      <c r="G33" s="298" t="str">
        <f>INDEX(BrokerTBL!$C:$C,MATCH(D33,BrokerTBL!$A:$A,0))</f>
        <v>Alpharetta</v>
      </c>
      <c r="H33" s="298" t="str">
        <f>INDEX(BrokerTBL!$D:$D,MATCH(D33,BrokerTBL!$A:$A,0))</f>
        <v>Ga</v>
      </c>
      <c r="I33" s="298" t="str">
        <f>INDEX(BrokerTBL!$E:$E,MATCH(D33,BrokerTBL!$A:$A,0))</f>
        <v>US</v>
      </c>
      <c r="J33" s="298">
        <f>INDEX(BrokerTBL!$F:$F,MATCH(D33,BrokerTBL!$A:$A,0))</f>
        <v>30005</v>
      </c>
      <c r="K33" s="298" t="s">
        <v>446</v>
      </c>
      <c r="L33" s="145" t="s">
        <v>447</v>
      </c>
      <c r="M33" s="146">
        <v>42198</v>
      </c>
      <c r="N33" s="182">
        <v>0.41666666666666702</v>
      </c>
      <c r="O33" s="298" t="s">
        <v>448</v>
      </c>
      <c r="P33" s="298" t="s">
        <v>449</v>
      </c>
      <c r="Q33" s="298" t="s">
        <v>139</v>
      </c>
      <c r="R33" s="298">
        <v>95050</v>
      </c>
      <c r="S33" s="298" t="s">
        <v>118</v>
      </c>
      <c r="T33" s="298" t="s">
        <v>136</v>
      </c>
      <c r="U33" s="298" t="s">
        <v>120</v>
      </c>
      <c r="V33" s="298">
        <v>53</v>
      </c>
      <c r="W33" s="298" t="s">
        <v>450</v>
      </c>
      <c r="X33" s="144">
        <v>45000</v>
      </c>
      <c r="Y33" s="298" t="s">
        <v>123</v>
      </c>
      <c r="Z33" s="298">
        <v>26</v>
      </c>
      <c r="AA33" s="298" t="s">
        <v>123</v>
      </c>
      <c r="AB33" s="298" t="s">
        <v>123</v>
      </c>
      <c r="AC33" s="298" t="s">
        <v>451</v>
      </c>
      <c r="AD33" s="145">
        <v>12552</v>
      </c>
      <c r="AE33" s="146">
        <v>41834</v>
      </c>
      <c r="AF33" s="182">
        <v>0.25</v>
      </c>
      <c r="AG33" s="298" t="s">
        <v>452</v>
      </c>
      <c r="AH33" s="298" t="s">
        <v>184</v>
      </c>
      <c r="AI33" s="298" t="s">
        <v>139</v>
      </c>
      <c r="AJ33" s="298">
        <v>95215</v>
      </c>
      <c r="AK33" s="298" t="s">
        <v>118</v>
      </c>
      <c r="AL33" s="298" t="s">
        <v>123</v>
      </c>
      <c r="AM33" s="142" t="str">
        <f>INDEX(CarrierDriverTBL!$B:$B,MATCH(Table1[[#This Row],[DriverID]],CarrierDriverTBL!$A:$A,0))</f>
        <v>UBTrucking</v>
      </c>
      <c r="AN33" s="10" t="s">
        <v>192</v>
      </c>
      <c r="AO33" s="142" t="str">
        <f>INDEX(CarrierDriverTBL!$C:$C,MATCH(Table1[[#This Row],[DriverID]],CarrierDriverTBL!$A:$A,0))</f>
        <v>Albel</v>
      </c>
      <c r="AP33" s="142" t="str">
        <f>INDEX(CarrierDriverTBL!$D:$D,MATCH(Table1[[#This Row],[DriverID]],CarrierDriverTBL!$A:$A,0))</f>
        <v>Chahil</v>
      </c>
      <c r="AQ33" s="142" t="str">
        <f>INDEX(CarrierDriverTBL!$X:$X,MATCH(Table1[[#This Row],[DriverID]],CarrierDriverTBL!$A:$A,0))</f>
        <v>A8390649</v>
      </c>
      <c r="AR33" s="160">
        <f>INDEX(CarrierDriverTBL!$Y:$Y,MATCH(Table1[[#This Row],[DriverID]],CarrierDriverTBL!$A:$A,0))</f>
        <v>42402</v>
      </c>
      <c r="AS33" s="142" t="str">
        <f t="shared" si="1"/>
        <v>GOOD</v>
      </c>
      <c r="AT33" s="160">
        <f>INDEX(CarrierDriverTBL!$E:$E,MATCH(Table1[[#This Row],[DriverID]],CarrierDriverTBL!$A:$A,0))</f>
        <v>22314</v>
      </c>
      <c r="AU33" s="163">
        <f ca="1">INDEX(CarrierDriverTBL!$F:$F,MATCH(Table1[[#This Row],[DriverID]],CarrierDriverTBL!$A:$A,0))</f>
        <v>55.512328767123286</v>
      </c>
      <c r="AV33" s="142" t="str">
        <f>INDEX(CarrierDriverTBL!$K:$K,MATCH(Table1[[#This Row],[DriverID]],CarrierDriverTBL!$A:$A,0))</f>
        <v>510-773-9450</v>
      </c>
      <c r="AW33" s="142" t="str">
        <f>INDEX(CarrierDriverTBL!$M:$M,MATCH(Table1[[#This Row],[DriverID]],CarrierDriverTBL!$A:$A,0))</f>
        <v>3124 Cynthia CT</v>
      </c>
      <c r="AX33" s="142" t="str">
        <f>INDEX(CarrierDriverTBL!$N:$N,MATCH(Table1[[#This Row],[DriverID]],CarrierDriverTBL!$A:$A,0))</f>
        <v>Tracy</v>
      </c>
      <c r="AY33" s="142" t="str">
        <f>INDEX(CarrierDriverTBL!$O:$O,MATCH(Table1[[#This Row],[DriverID]],CarrierDriverTBL!$A:$A,0))</f>
        <v>CA</v>
      </c>
      <c r="AZ33" s="142">
        <f>INDEX(CarrierDriverTBL!$P:$P,MATCH(Table1[[#This Row],[DriverID]],CarrierDriverTBL!$A:$A,0))</f>
        <v>95377</v>
      </c>
      <c r="BA33" s="142" t="str">
        <f>INDEX(CarrierDriverTBL!$Q:$Q,MATCH(Table1[[#This Row],[DriverID]],CarrierDriverTBL!$A:$A,0))</f>
        <v>US</v>
      </c>
      <c r="BB33" s="176" t="str">
        <f>INDEX(CarrierDriverTBL!$R:$R,MATCH(Table1[[#This Row],[DriverID]],CarrierDriverTBL!$A:$A,0))</f>
        <v>ubgollc@gmail.com</v>
      </c>
      <c r="BC33" s="160">
        <f>INDEX(CarrierDriverTBL!$AB:$AB,MATCH(Table1[[#This Row],[DriverID]],CarrierDriverTBL!$A:$A,0))</f>
        <v>42167</v>
      </c>
      <c r="BD33" s="142" t="str">
        <f ca="1">INDEX(CarrierDriverTBL!$AD:$AD,MATCH(LoadMaster!$AN:$AN,CarrierDriverTBL!$A:$A,0))</f>
        <v>MISSING</v>
      </c>
      <c r="BE33" s="142">
        <f>INDEX(CarrierDriverTBL!$AE:$AE,MATCH(Table1[DriverID],CarrierDriverTBL!$A:$A,0))</f>
        <v>913971</v>
      </c>
      <c r="BF33" s="142">
        <f>INDEX(CarrierDriverTBL!$AF:$AF,MATCH(Table1[DriverID],CarrierDriverTBL!$A:$A,0))</f>
        <v>2627544</v>
      </c>
      <c r="BG33" s="142">
        <f>INDEX(CarrierDriverTBL!$AG:$AG,MATCH(Table1[DriverID],CarrierDriverTBL!$A:$A,0))</f>
        <v>466133</v>
      </c>
      <c r="BH33" s="142" t="str">
        <f>INDEX(CarrierDriverTBL!$AH:$AH,MATCH(Table1[DriverID],CarrierDriverTBL!$A:$A,0))</f>
        <v>GM Lawrence Ins</v>
      </c>
      <c r="BI33" s="142" t="str">
        <f>INDEX(CarrierDriverTBL!$AI:$AI,MATCH(Table1[DriverID],CarrierDriverTBL!$A:$A,0))</f>
        <v>DSK2842P160210</v>
      </c>
      <c r="BJ33" s="160">
        <f>INDEX(CarrierDriverTBL!$AJ:$AJ,MATCH(Table1[[#This Row],[DriverID]],CarrierDriverTBL!$A:$A,0))</f>
        <v>42778</v>
      </c>
      <c r="BK33" s="10">
        <f t="shared" si="2"/>
        <v>580</v>
      </c>
      <c r="BL33" s="64">
        <v>150</v>
      </c>
      <c r="BM33" s="144">
        <v>120</v>
      </c>
      <c r="BN33" s="159">
        <f t="shared" si="23"/>
        <v>1.25</v>
      </c>
      <c r="BO33" s="134">
        <v>125</v>
      </c>
      <c r="BP33" s="159">
        <f t="shared" si="24"/>
        <v>1.0416666666666667</v>
      </c>
      <c r="BQ33" s="133">
        <v>3.12</v>
      </c>
      <c r="BR33" s="166">
        <f t="shared" si="25"/>
        <v>0.20333333333333337</v>
      </c>
      <c r="BS33" s="167">
        <f t="shared" si="6"/>
        <v>0.83833333333333337</v>
      </c>
      <c r="BT33" s="159">
        <f t="shared" si="7"/>
        <v>24.400000000000006</v>
      </c>
      <c r="BU33" s="10" t="str">
        <f t="shared" si="8"/>
        <v>Coyote</v>
      </c>
      <c r="BV33" s="15"/>
      <c r="BW33" s="4" t="str">
        <f>Table1[[#This Row],[BrokerAddress]]</f>
        <v>960 Northpoint Parkway Suite 150</v>
      </c>
      <c r="BX33" s="4" t="str">
        <f t="shared" si="9"/>
        <v>Alpharetta</v>
      </c>
      <c r="BY33" s="4" t="str">
        <f t="shared" si="10"/>
        <v>Ga</v>
      </c>
      <c r="BZ33" s="4">
        <f t="shared" si="11"/>
        <v>30005</v>
      </c>
      <c r="CA33" s="10" t="str">
        <f t="shared" si="12"/>
        <v>US</v>
      </c>
      <c r="CB33" s="15" t="s">
        <v>453</v>
      </c>
      <c r="CC33" s="62"/>
      <c r="CD33" s="15" t="s">
        <v>132</v>
      </c>
      <c r="CE33" s="64">
        <v>0</v>
      </c>
      <c r="CF33" s="4">
        <v>0</v>
      </c>
      <c r="CG33" s="132">
        <f t="shared" si="13"/>
        <v>0</v>
      </c>
      <c r="CH33" s="4" t="s">
        <v>132</v>
      </c>
      <c r="CI33" s="5">
        <v>0</v>
      </c>
      <c r="CJ33" s="4">
        <v>0</v>
      </c>
      <c r="CK33" s="132">
        <f t="shared" si="14"/>
        <v>0</v>
      </c>
      <c r="CL33" s="4" t="s">
        <v>132</v>
      </c>
      <c r="CM33" s="5">
        <v>0</v>
      </c>
      <c r="CN33" s="4">
        <v>0</v>
      </c>
      <c r="CO33" s="132">
        <f t="shared" si="15"/>
        <v>0</v>
      </c>
      <c r="CP33" s="4" t="s">
        <v>132</v>
      </c>
      <c r="CQ33" s="5">
        <v>0</v>
      </c>
      <c r="CR33" s="4">
        <v>0</v>
      </c>
      <c r="CS33" s="132">
        <f t="shared" si="16"/>
        <v>0</v>
      </c>
      <c r="CT33" s="159">
        <f t="shared" si="17"/>
        <v>0</v>
      </c>
      <c r="CU33" s="168">
        <f t="shared" si="18"/>
        <v>150</v>
      </c>
      <c r="CV33" s="169">
        <f t="shared" si="27"/>
        <v>0</v>
      </c>
      <c r="CW33" s="82">
        <f t="shared" si="28"/>
        <v>125</v>
      </c>
      <c r="CX33" s="79">
        <f>IF(ISBLANK(E33),"AddQuickPay",IF(E33=2,CU33*0.98,IF(E33=2.4,CU33*0.976,IF(E33=3,CU33*0.97,IF(E33=5,CU33*0.95,IF(E33=1.5,CU33*0.985,IF(E33=2.5,CU33*0.975,IF(E33=1.3,CU33*0.987,IF(E33=1,CU33*0.99,IF(E33=4,CU33*0.96,CU33*1))))))))))-Table1[[#This Row],[ComCheck+QuickPayFee]]</f>
        <v>145.5</v>
      </c>
      <c r="CY33" s="5">
        <f t="shared" si="19"/>
        <v>25</v>
      </c>
      <c r="CZ33" s="5">
        <f t="shared" si="20"/>
        <v>4.5</v>
      </c>
      <c r="DA33" s="258">
        <f>Table1[[#This Row],[OriginalDispatch]]-Table1[[#This Row],[QuickPayCharge]]</f>
        <v>20.5</v>
      </c>
      <c r="DB33" s="5">
        <v>0</v>
      </c>
      <c r="DC33" s="5" t="s">
        <v>133</v>
      </c>
      <c r="DD33" s="104">
        <f t="shared" si="21"/>
        <v>42202</v>
      </c>
      <c r="DE33" s="15">
        <f>MONTH(Table1[[#This Row],[Weekending]])</f>
        <v>7</v>
      </c>
      <c r="DF33" s="15">
        <f>YEAR(Table1[[#This Row],[Weekending]])</f>
        <v>2015</v>
      </c>
      <c r="DG33" s="4" t="s">
        <v>454</v>
      </c>
    </row>
    <row r="34" spans="1:111">
      <c r="A34" s="20" t="str">
        <f t="shared" si="0"/>
        <v>96681949</v>
      </c>
      <c r="B34" s="146">
        <v>42199</v>
      </c>
      <c r="C34" s="144">
        <v>77496</v>
      </c>
      <c r="D34" s="298" t="s">
        <v>455</v>
      </c>
      <c r="E34" s="144">
        <v>0</v>
      </c>
      <c r="F34" s="15" t="str">
        <f>INDEX(BrokerTBL!$B:$B,MATCH(D34,BrokerTBL!$A:$A,0))</f>
        <v>5600 Headquarters Drive C2D11</v>
      </c>
      <c r="G34" s="298" t="str">
        <f>INDEX(BrokerTBL!$C:$C,MATCH(D34,BrokerTBL!$A:$A,0))</f>
        <v>Plano</v>
      </c>
      <c r="H34" s="298" t="str">
        <f>INDEX(BrokerTBL!$D:$D,MATCH(D34,BrokerTBL!$A:$A,0))</f>
        <v>Tx</v>
      </c>
      <c r="I34" s="298" t="str">
        <f>INDEX(BrokerTBL!$E:$E,MATCH(D34,BrokerTBL!$A:$A,0))</f>
        <v>US</v>
      </c>
      <c r="J34" s="298">
        <f>INDEX(BrokerTBL!$F:$F,MATCH(D34,BrokerTBL!$A:$A,0))</f>
        <v>75024</v>
      </c>
      <c r="K34" s="298" t="s">
        <v>456</v>
      </c>
      <c r="L34" s="145">
        <v>60663068</v>
      </c>
      <c r="M34" s="146">
        <v>42199</v>
      </c>
      <c r="N34" s="182">
        <v>0.29166666666666702</v>
      </c>
      <c r="O34" s="298" t="s">
        <v>457</v>
      </c>
      <c r="P34" s="298" t="s">
        <v>458</v>
      </c>
      <c r="Q34" s="298" t="s">
        <v>139</v>
      </c>
      <c r="R34" s="298">
        <v>95654</v>
      </c>
      <c r="S34" s="298" t="s">
        <v>118</v>
      </c>
      <c r="T34" s="298" t="s">
        <v>459</v>
      </c>
      <c r="U34" s="298" t="s">
        <v>120</v>
      </c>
      <c r="V34" s="298">
        <v>53</v>
      </c>
      <c r="W34" s="298" t="s">
        <v>136</v>
      </c>
      <c r="X34" s="144" t="s">
        <v>136</v>
      </c>
      <c r="Y34" s="298" t="s">
        <v>123</v>
      </c>
      <c r="Z34" s="298" t="s">
        <v>123</v>
      </c>
      <c r="AA34" s="298" t="s">
        <v>123</v>
      </c>
      <c r="AB34" s="298" t="s">
        <v>123</v>
      </c>
      <c r="AC34" s="298" t="s">
        <v>460</v>
      </c>
      <c r="AD34" s="145">
        <v>300019</v>
      </c>
      <c r="AE34" s="146">
        <v>41834</v>
      </c>
      <c r="AF34" s="182">
        <v>0.46597222222222201</v>
      </c>
      <c r="AG34" s="298" t="s">
        <v>461</v>
      </c>
      <c r="AH34" s="298" t="s">
        <v>462</v>
      </c>
      <c r="AI34" s="298" t="s">
        <v>139</v>
      </c>
      <c r="AJ34" s="298">
        <v>93227</v>
      </c>
      <c r="AK34" s="298" t="s">
        <v>118</v>
      </c>
      <c r="AL34" s="298" t="s">
        <v>463</v>
      </c>
      <c r="AM34" s="142" t="str">
        <f>INDEX(CarrierDriverTBL!$B:$B,MATCH(Table1[[#This Row],[DriverID]],CarrierDriverTBL!$A:$A,0))</f>
        <v>UBTrucking</v>
      </c>
      <c r="AN34" s="10" t="s">
        <v>192</v>
      </c>
      <c r="AO34" s="142" t="str">
        <f>INDEX(CarrierDriverTBL!$C:$C,MATCH(Table1[[#This Row],[DriverID]],CarrierDriverTBL!$A:$A,0))</f>
        <v>Albel</v>
      </c>
      <c r="AP34" s="142" t="str">
        <f>INDEX(CarrierDriverTBL!$D:$D,MATCH(Table1[[#This Row],[DriverID]],CarrierDriverTBL!$A:$A,0))</f>
        <v>Chahil</v>
      </c>
      <c r="AQ34" s="142" t="str">
        <f>INDEX(CarrierDriverTBL!$X:$X,MATCH(Table1[[#This Row],[DriverID]],CarrierDriverTBL!$A:$A,0))</f>
        <v>A8390649</v>
      </c>
      <c r="AR34" s="160">
        <f>INDEX(CarrierDriverTBL!$Y:$Y,MATCH(Table1[[#This Row],[DriverID]],CarrierDriverTBL!$A:$A,0))</f>
        <v>42402</v>
      </c>
      <c r="AS34" s="142" t="str">
        <f t="shared" si="1"/>
        <v>GOOD</v>
      </c>
      <c r="AT34" s="160">
        <f>INDEX(CarrierDriverTBL!$E:$E,MATCH(Table1[[#This Row],[DriverID]],CarrierDriverTBL!$A:$A,0))</f>
        <v>22314</v>
      </c>
      <c r="AU34" s="163">
        <f ca="1">INDEX(CarrierDriverTBL!$F:$F,MATCH(Table1[[#This Row],[DriverID]],CarrierDriverTBL!$A:$A,0))</f>
        <v>55.512328767123286</v>
      </c>
      <c r="AV34" s="142" t="str">
        <f>INDEX(CarrierDriverTBL!$K:$K,MATCH(Table1[[#This Row],[DriverID]],CarrierDriverTBL!$A:$A,0))</f>
        <v>510-773-9450</v>
      </c>
      <c r="AW34" s="142" t="str">
        <f>INDEX(CarrierDriverTBL!$M:$M,MATCH(Table1[[#This Row],[DriverID]],CarrierDriverTBL!$A:$A,0))</f>
        <v>3124 Cynthia CT</v>
      </c>
      <c r="AX34" s="142" t="str">
        <f>INDEX(CarrierDriverTBL!$N:$N,MATCH(Table1[[#This Row],[DriverID]],CarrierDriverTBL!$A:$A,0))</f>
        <v>Tracy</v>
      </c>
      <c r="AY34" s="142" t="str">
        <f>INDEX(CarrierDriverTBL!$O:$O,MATCH(Table1[[#This Row],[DriverID]],CarrierDriverTBL!$A:$A,0))</f>
        <v>CA</v>
      </c>
      <c r="AZ34" s="142">
        <f>INDEX(CarrierDriverTBL!$P:$P,MATCH(Table1[[#This Row],[DriverID]],CarrierDriverTBL!$A:$A,0))</f>
        <v>95377</v>
      </c>
      <c r="BA34" s="142" t="str">
        <f>INDEX(CarrierDriverTBL!$Q:$Q,MATCH(Table1[[#This Row],[DriverID]],CarrierDriverTBL!$A:$A,0))</f>
        <v>US</v>
      </c>
      <c r="BB34" s="176" t="str">
        <f>INDEX(CarrierDriverTBL!$R:$R,MATCH(Table1[[#This Row],[DriverID]],CarrierDriverTBL!$A:$A,0))</f>
        <v>ubgollc@gmail.com</v>
      </c>
      <c r="BC34" s="160">
        <f>INDEX(CarrierDriverTBL!$AB:$AB,MATCH(Table1[[#This Row],[DriverID]],CarrierDriverTBL!$A:$A,0))</f>
        <v>42167</v>
      </c>
      <c r="BD34" s="142" t="str">
        <f ca="1">INDEX(CarrierDriverTBL!$AD:$AD,MATCH(LoadMaster!$AN:$AN,CarrierDriverTBL!$A:$A,0))</f>
        <v>MISSING</v>
      </c>
      <c r="BE34" s="142">
        <f>INDEX(CarrierDriverTBL!$AE:$AE,MATCH(Table1[DriverID],CarrierDriverTBL!$A:$A,0))</f>
        <v>913971</v>
      </c>
      <c r="BF34" s="142">
        <f>INDEX(CarrierDriverTBL!$AF:$AF,MATCH(Table1[DriverID],CarrierDriverTBL!$A:$A,0))</f>
        <v>2627544</v>
      </c>
      <c r="BG34" s="142">
        <f>INDEX(CarrierDriverTBL!$AG:$AG,MATCH(Table1[DriverID],CarrierDriverTBL!$A:$A,0))</f>
        <v>466133</v>
      </c>
      <c r="BH34" s="142" t="str">
        <f>INDEX(CarrierDriverTBL!$AH:$AH,MATCH(Table1[DriverID],CarrierDriverTBL!$A:$A,0))</f>
        <v>GM Lawrence Ins</v>
      </c>
      <c r="BI34" s="142" t="str">
        <f>INDEX(CarrierDriverTBL!$AI:$AI,MATCH(Table1[DriverID],CarrierDriverTBL!$A:$A,0))</f>
        <v>DSK2842P160210</v>
      </c>
      <c r="BJ34" s="160">
        <f>INDEX(CarrierDriverTBL!$AJ:$AJ,MATCH(Table1[[#This Row],[DriverID]],CarrierDriverTBL!$A:$A,0))</f>
        <v>42778</v>
      </c>
      <c r="BK34" s="10">
        <f t="shared" si="2"/>
        <v>579</v>
      </c>
      <c r="BL34" s="174">
        <v>525</v>
      </c>
      <c r="BM34" s="144">
        <v>198</v>
      </c>
      <c r="BN34" s="159">
        <f t="shared" si="23"/>
        <v>2.6515151515151514</v>
      </c>
      <c r="BO34" s="167">
        <v>475</v>
      </c>
      <c r="BP34" s="159">
        <f t="shared" si="24"/>
        <v>2.3989898989898988</v>
      </c>
      <c r="BQ34" s="133">
        <v>3.12</v>
      </c>
      <c r="BR34" s="166">
        <f t="shared" si="25"/>
        <v>0.20333333333333337</v>
      </c>
      <c r="BS34" s="167">
        <f t="shared" si="6"/>
        <v>2.1956565656565656</v>
      </c>
      <c r="BT34" s="159">
        <f t="shared" si="7"/>
        <v>40.260000000000005</v>
      </c>
      <c r="BU34" s="10" t="str">
        <f t="shared" si="8"/>
        <v>Pepsi Logistics Company Inc</v>
      </c>
      <c r="BV34" s="15"/>
      <c r="BW34" s="4" t="str">
        <f>Table1[[#This Row],[BrokerAddress]]</f>
        <v>5600 Headquarters Drive C2D11</v>
      </c>
      <c r="BX34" s="4" t="str">
        <f t="shared" si="9"/>
        <v>Plano</v>
      </c>
      <c r="BY34" s="4" t="str">
        <f t="shared" si="10"/>
        <v>Tx</v>
      </c>
      <c r="BZ34" s="4">
        <f t="shared" si="11"/>
        <v>75024</v>
      </c>
      <c r="CA34" s="10" t="str">
        <f t="shared" si="12"/>
        <v>US</v>
      </c>
      <c r="CB34" s="15" t="s">
        <v>131</v>
      </c>
      <c r="CC34" s="62"/>
      <c r="CD34" s="15" t="s">
        <v>132</v>
      </c>
      <c r="CE34" s="64">
        <v>0</v>
      </c>
      <c r="CF34" s="4">
        <v>0</v>
      </c>
      <c r="CG34" s="132">
        <f t="shared" si="13"/>
        <v>0</v>
      </c>
      <c r="CH34" s="4" t="s">
        <v>132</v>
      </c>
      <c r="CI34" s="5">
        <v>0</v>
      </c>
      <c r="CJ34" s="4">
        <v>0</v>
      </c>
      <c r="CK34" s="132">
        <f t="shared" si="14"/>
        <v>0</v>
      </c>
      <c r="CL34" s="4" t="s">
        <v>132</v>
      </c>
      <c r="CM34" s="5">
        <v>0</v>
      </c>
      <c r="CN34" s="4">
        <v>0</v>
      </c>
      <c r="CO34" s="132">
        <f t="shared" si="15"/>
        <v>0</v>
      </c>
      <c r="CP34" s="4" t="s">
        <v>132</v>
      </c>
      <c r="CQ34" s="5">
        <v>0</v>
      </c>
      <c r="CR34" s="4">
        <v>0</v>
      </c>
      <c r="CS34" s="132">
        <f t="shared" si="16"/>
        <v>0</v>
      </c>
      <c r="CT34" s="159">
        <f t="shared" si="17"/>
        <v>0</v>
      </c>
      <c r="CU34" s="168">
        <f t="shared" si="18"/>
        <v>525</v>
      </c>
      <c r="CV34" s="169">
        <f t="shared" si="27"/>
        <v>0</v>
      </c>
      <c r="CW34" s="82">
        <f t="shared" si="28"/>
        <v>475</v>
      </c>
      <c r="CX34" s="79">
        <f>IF(ISBLANK(E34),"AddQuickPay",IF(E34=2,CU34*0.98,IF(E34=2.4,CU34*0.976,IF(E34=3,CU34*0.97,IF(E34=5,CU34*0.95,IF(E34=1.5,CU34*0.985,IF(E34=2.5,CU34*0.975,IF(E34=1.3,CU34*0.987,IF(E34=1,CU34*0.99,IF(E34=4,CU34*0.96,CU34*1))))))))))-Table1[[#This Row],[ComCheck+QuickPayFee]]</f>
        <v>525</v>
      </c>
      <c r="CY34" s="5">
        <f t="shared" si="19"/>
        <v>50</v>
      </c>
      <c r="CZ34" s="5">
        <f t="shared" si="20"/>
        <v>0</v>
      </c>
      <c r="DA34" s="258">
        <f>Table1[[#This Row],[OriginalDispatch]]-Table1[[#This Row],[QuickPayCharge]]</f>
        <v>50</v>
      </c>
      <c r="DB34" s="5">
        <v>0</v>
      </c>
      <c r="DC34" s="5" t="s">
        <v>133</v>
      </c>
      <c r="DD34" s="104">
        <f t="shared" si="21"/>
        <v>42202</v>
      </c>
      <c r="DE34" s="15">
        <f>MONTH(Table1[[#This Row],[Weekending]])</f>
        <v>7</v>
      </c>
      <c r="DF34" s="15">
        <f>YEAR(Table1[[#This Row],[Weekending]])</f>
        <v>2015</v>
      </c>
      <c r="DG34" s="4"/>
    </row>
    <row r="35" spans="1:111">
      <c r="A35" s="20" t="str">
        <f t="shared" si="0"/>
        <v>24606049</v>
      </c>
      <c r="B35" s="146">
        <v>42200</v>
      </c>
      <c r="C35" s="144">
        <v>5908024</v>
      </c>
      <c r="D35" s="298" t="s">
        <v>445</v>
      </c>
      <c r="E35" s="298">
        <v>3</v>
      </c>
      <c r="F35" s="298" t="str">
        <f>INDEX(BrokerTBL!$B:$B,MATCH(D35,BrokerTBL!$A:$A,0))</f>
        <v>960 Northpoint Parkway Suite 150</v>
      </c>
      <c r="G35" s="298" t="str">
        <f>INDEX(BrokerTBL!$C:$C,MATCH(D35,BrokerTBL!$A:$A,0))</f>
        <v>Alpharetta</v>
      </c>
      <c r="H35" s="298" t="str">
        <f>INDEX(BrokerTBL!$D:$D,MATCH(D35,BrokerTBL!$A:$A,0))</f>
        <v>Ga</v>
      </c>
      <c r="I35" s="298" t="str">
        <f>INDEX(BrokerTBL!$E:$E,MATCH(D35,BrokerTBL!$A:$A,0))</f>
        <v>US</v>
      </c>
      <c r="J35" s="298">
        <f>INDEX(BrokerTBL!$F:$F,MATCH(D35,BrokerTBL!$A:$A,0))</f>
        <v>30005</v>
      </c>
      <c r="K35" s="298" t="s">
        <v>464</v>
      </c>
      <c r="L35" s="145">
        <v>48560</v>
      </c>
      <c r="M35" s="146">
        <v>42200</v>
      </c>
      <c r="N35" s="144" t="s">
        <v>465</v>
      </c>
      <c r="O35" s="298" t="s">
        <v>466</v>
      </c>
      <c r="P35" s="298" t="s">
        <v>467</v>
      </c>
      <c r="Q35" s="298" t="s">
        <v>139</v>
      </c>
      <c r="R35" s="298">
        <v>95624</v>
      </c>
      <c r="S35" s="298" t="s">
        <v>118</v>
      </c>
      <c r="T35" s="298" t="s">
        <v>136</v>
      </c>
      <c r="U35" s="298" t="s">
        <v>120</v>
      </c>
      <c r="V35" s="298">
        <v>53</v>
      </c>
      <c r="W35" s="298" t="s">
        <v>468</v>
      </c>
      <c r="X35" s="144" t="s">
        <v>136</v>
      </c>
      <c r="Y35" s="298" t="s">
        <v>123</v>
      </c>
      <c r="Z35" s="298" t="s">
        <v>123</v>
      </c>
      <c r="AA35" s="298" t="s">
        <v>123</v>
      </c>
      <c r="AB35" s="298" t="s">
        <v>123</v>
      </c>
      <c r="AC35" s="298" t="s">
        <v>464</v>
      </c>
      <c r="AD35" s="145">
        <v>48560</v>
      </c>
      <c r="AE35" s="146">
        <v>42200</v>
      </c>
      <c r="AF35" s="416" t="s">
        <v>123</v>
      </c>
      <c r="AG35" s="298" t="s">
        <v>469</v>
      </c>
      <c r="AH35" s="298" t="s">
        <v>470</v>
      </c>
      <c r="AI35" s="298" t="s">
        <v>139</v>
      </c>
      <c r="AJ35" s="298">
        <v>93901</v>
      </c>
      <c r="AK35" s="298" t="s">
        <v>118</v>
      </c>
      <c r="AL35" s="298" t="s">
        <v>123</v>
      </c>
      <c r="AM35" s="142" t="str">
        <f>INDEX(CarrierDriverTBL!$B:$B,MATCH(Table1[[#This Row],[DriverID]],CarrierDriverTBL!$A:$A,0))</f>
        <v>UBTrucking</v>
      </c>
      <c r="AN35" s="10" t="s">
        <v>192</v>
      </c>
      <c r="AO35" s="142" t="str">
        <f>INDEX(CarrierDriverTBL!$C:$C,MATCH(Table1[[#This Row],[DriverID]],CarrierDriverTBL!$A:$A,0))</f>
        <v>Albel</v>
      </c>
      <c r="AP35" s="142" t="str">
        <f>INDEX(CarrierDriverTBL!$D:$D,MATCH(Table1[[#This Row],[DriverID]],CarrierDriverTBL!$A:$A,0))</f>
        <v>Chahil</v>
      </c>
      <c r="AQ35" s="142" t="str">
        <f>INDEX(CarrierDriverTBL!$X:$X,MATCH(Table1[[#This Row],[DriverID]],CarrierDriverTBL!$A:$A,0))</f>
        <v>A8390649</v>
      </c>
      <c r="AR35" s="160">
        <f>INDEX(CarrierDriverTBL!$Y:$Y,MATCH(Table1[[#This Row],[DriverID]],CarrierDriverTBL!$A:$A,0))</f>
        <v>42402</v>
      </c>
      <c r="AS35" s="142" t="str">
        <f t="shared" si="1"/>
        <v>GOOD</v>
      </c>
      <c r="AT35" s="160">
        <f>INDEX(CarrierDriverTBL!$E:$E,MATCH(Table1[[#This Row],[DriverID]],CarrierDriverTBL!$A:$A,0))</f>
        <v>22314</v>
      </c>
      <c r="AU35" s="163">
        <f ca="1">INDEX(CarrierDriverTBL!$F:$F,MATCH(Table1[[#This Row],[DriverID]],CarrierDriverTBL!$A:$A,0))</f>
        <v>55.512328767123286</v>
      </c>
      <c r="AV35" s="142" t="str">
        <f>INDEX(CarrierDriverTBL!$K:$K,MATCH(Table1[[#This Row],[DriverID]],CarrierDriverTBL!$A:$A,0))</f>
        <v>510-773-9450</v>
      </c>
      <c r="AW35" s="142" t="str">
        <f>INDEX(CarrierDriverTBL!$M:$M,MATCH(Table1[[#This Row],[DriverID]],CarrierDriverTBL!$A:$A,0))</f>
        <v>3124 Cynthia CT</v>
      </c>
      <c r="AX35" s="142" t="str">
        <f>INDEX(CarrierDriverTBL!$N:$N,MATCH(Table1[[#This Row],[DriverID]],CarrierDriverTBL!$A:$A,0))</f>
        <v>Tracy</v>
      </c>
      <c r="AY35" s="142" t="str">
        <f>INDEX(CarrierDriverTBL!$O:$O,MATCH(Table1[[#This Row],[DriverID]],CarrierDriverTBL!$A:$A,0))</f>
        <v>CA</v>
      </c>
      <c r="AZ35" s="142">
        <f>INDEX(CarrierDriverTBL!$P:$P,MATCH(Table1[[#This Row],[DriverID]],CarrierDriverTBL!$A:$A,0))</f>
        <v>95377</v>
      </c>
      <c r="BA35" s="142" t="str">
        <f>INDEX(CarrierDriverTBL!$Q:$Q,MATCH(Table1[[#This Row],[DriverID]],CarrierDriverTBL!$A:$A,0))</f>
        <v>US</v>
      </c>
      <c r="BB35" s="176" t="str">
        <f>INDEX(CarrierDriverTBL!$R:$R,MATCH(Table1[[#This Row],[DriverID]],CarrierDriverTBL!$A:$A,0))</f>
        <v>ubgollc@gmail.com</v>
      </c>
      <c r="BC35" s="160">
        <f>INDEX(CarrierDriverTBL!$AB:$AB,MATCH(Table1[[#This Row],[DriverID]],CarrierDriverTBL!$A:$A,0))</f>
        <v>42167</v>
      </c>
      <c r="BD35" s="142" t="str">
        <f ca="1">INDEX(CarrierDriverTBL!$AD:$AD,MATCH(LoadMaster!$AN:$AN,CarrierDriverTBL!$A:$A,0))</f>
        <v>MISSING</v>
      </c>
      <c r="BE35" s="142">
        <f>INDEX(CarrierDriverTBL!$AE:$AE,MATCH(Table1[DriverID],CarrierDriverTBL!$A:$A,0))</f>
        <v>913971</v>
      </c>
      <c r="BF35" s="142">
        <f>INDEX(CarrierDriverTBL!$AF:$AF,MATCH(Table1[DriverID],CarrierDriverTBL!$A:$A,0))</f>
        <v>2627544</v>
      </c>
      <c r="BG35" s="142">
        <f>INDEX(CarrierDriverTBL!$AG:$AG,MATCH(Table1[DriverID],CarrierDriverTBL!$A:$A,0))</f>
        <v>466133</v>
      </c>
      <c r="BH35" s="142" t="str">
        <f>INDEX(CarrierDriverTBL!$AH:$AH,MATCH(Table1[DriverID],CarrierDriverTBL!$A:$A,0))</f>
        <v>GM Lawrence Ins</v>
      </c>
      <c r="BI35" s="142" t="str">
        <f>INDEX(CarrierDriverTBL!$AI:$AI,MATCH(Table1[DriverID],CarrierDriverTBL!$A:$A,0))</f>
        <v>DSK2842P160210</v>
      </c>
      <c r="BJ35" s="160">
        <f>INDEX(CarrierDriverTBL!$AJ:$AJ,MATCH(Table1[[#This Row],[DriverID]],CarrierDriverTBL!$A:$A,0))</f>
        <v>42778</v>
      </c>
      <c r="BK35" s="10">
        <f t="shared" si="2"/>
        <v>578</v>
      </c>
      <c r="BL35" s="174">
        <v>550</v>
      </c>
      <c r="BM35" s="144">
        <v>170</v>
      </c>
      <c r="BN35" s="159">
        <f t="shared" si="23"/>
        <v>3.2352941176470589</v>
      </c>
      <c r="BO35" s="167">
        <v>500</v>
      </c>
      <c r="BP35" s="159">
        <f t="shared" si="24"/>
        <v>2.9411764705882355</v>
      </c>
      <c r="BQ35" s="133">
        <v>3.12</v>
      </c>
      <c r="BR35" s="166">
        <f t="shared" si="25"/>
        <v>0.20333333333333337</v>
      </c>
      <c r="BS35" s="167">
        <f t="shared" si="6"/>
        <v>2.7378431372549024</v>
      </c>
      <c r="BT35" s="159">
        <f t="shared" si="7"/>
        <v>34.56666666666667</v>
      </c>
      <c r="BU35" s="10" t="str">
        <f t="shared" si="8"/>
        <v>Coyote</v>
      </c>
      <c r="BV35" s="15"/>
      <c r="BW35" s="4" t="str">
        <f>Table1[[#This Row],[BrokerAddress]]</f>
        <v>960 Northpoint Parkway Suite 150</v>
      </c>
      <c r="BX35" s="4" t="str">
        <f t="shared" si="9"/>
        <v>Alpharetta</v>
      </c>
      <c r="BY35" s="4" t="str">
        <f t="shared" si="10"/>
        <v>Ga</v>
      </c>
      <c r="BZ35" s="4">
        <f t="shared" si="11"/>
        <v>30005</v>
      </c>
      <c r="CA35" s="10" t="str">
        <f t="shared" si="12"/>
        <v>US</v>
      </c>
      <c r="CB35" s="15" t="s">
        <v>131</v>
      </c>
      <c r="CC35" s="62"/>
      <c r="CD35" s="15" t="s">
        <v>132</v>
      </c>
      <c r="CE35" s="64">
        <v>0</v>
      </c>
      <c r="CF35" s="4">
        <v>0</v>
      </c>
      <c r="CG35" s="132">
        <f t="shared" si="13"/>
        <v>0</v>
      </c>
      <c r="CH35" s="4" t="s">
        <v>132</v>
      </c>
      <c r="CI35" s="5">
        <v>0</v>
      </c>
      <c r="CJ35" s="4">
        <v>0</v>
      </c>
      <c r="CK35" s="132">
        <f t="shared" si="14"/>
        <v>0</v>
      </c>
      <c r="CL35" s="4" t="s">
        <v>132</v>
      </c>
      <c r="CM35" s="5">
        <v>0</v>
      </c>
      <c r="CN35" s="4">
        <v>0</v>
      </c>
      <c r="CO35" s="132">
        <f t="shared" si="15"/>
        <v>0</v>
      </c>
      <c r="CP35" s="4" t="s">
        <v>132</v>
      </c>
      <c r="CQ35" s="5">
        <v>0</v>
      </c>
      <c r="CR35" s="4">
        <v>0</v>
      </c>
      <c r="CS35" s="132">
        <f t="shared" si="16"/>
        <v>0</v>
      </c>
      <c r="CT35" s="159">
        <f t="shared" si="17"/>
        <v>0</v>
      </c>
      <c r="CU35" s="168">
        <f t="shared" si="18"/>
        <v>550</v>
      </c>
      <c r="CV35" s="169">
        <f t="shared" si="27"/>
        <v>0</v>
      </c>
      <c r="CW35" s="82">
        <f t="shared" si="28"/>
        <v>500</v>
      </c>
      <c r="CX35" s="79">
        <f>IF(ISBLANK(E35),"AddQuickPay",IF(E35=2,CU35*0.98,IF(E35=2.4,CU35*0.976,IF(E35=3,CU35*0.97,IF(E35=5,CU35*0.95,IF(E35=1.5,CU35*0.985,IF(E35=2.5,CU35*0.975,IF(E35=1.3,CU35*0.987,IF(E35=1,CU35*0.99,IF(E35=4,CU35*0.96,CU35*1))))))))))-Table1[[#This Row],[ComCheck+QuickPayFee]]</f>
        <v>533.5</v>
      </c>
      <c r="CY35" s="5">
        <f t="shared" si="19"/>
        <v>50</v>
      </c>
      <c r="CZ35" s="5">
        <f t="shared" si="20"/>
        <v>16.5</v>
      </c>
      <c r="DA35" s="258">
        <f>Table1[[#This Row],[OriginalDispatch]]-Table1[[#This Row],[QuickPayCharge]]</f>
        <v>33.5</v>
      </c>
      <c r="DB35" s="5">
        <v>0</v>
      </c>
      <c r="DC35" s="5" t="s">
        <v>133</v>
      </c>
      <c r="DD35" s="104">
        <f t="shared" si="21"/>
        <v>42202</v>
      </c>
      <c r="DE35" s="15">
        <f>MONTH(Table1[[#This Row],[Weekending]])</f>
        <v>7</v>
      </c>
      <c r="DF35" s="15">
        <f>YEAR(Table1[[#This Row],[Weekending]])</f>
        <v>2015</v>
      </c>
      <c r="DG35" s="4"/>
    </row>
    <row r="36" spans="1:111">
      <c r="A36" s="20" t="str">
        <f t="shared" si="0"/>
        <v>58sfsf49</v>
      </c>
      <c r="B36" s="146">
        <v>42200</v>
      </c>
      <c r="C36" s="144">
        <v>177361558</v>
      </c>
      <c r="D36" s="298" t="s">
        <v>111</v>
      </c>
      <c r="E36" s="298">
        <v>2</v>
      </c>
      <c r="F36" s="298" t="str">
        <f>INDEX(BrokerTBL!$B:$B,MATCH(D36,BrokerTBL!$A:$A,0))</f>
        <v>P.O. Box 3474</v>
      </c>
      <c r="G36" s="298" t="str">
        <f>INDEX(BrokerTBL!$C:$C,MATCH(D36,BrokerTBL!$A:$A,0))</f>
        <v>Chicago</v>
      </c>
      <c r="H36" s="298" t="str">
        <f>INDEX(BrokerTBL!$D:$D,MATCH(D36,BrokerTBL!$A:$A,0))</f>
        <v>Il</v>
      </c>
      <c r="I36" s="298" t="str">
        <f>INDEX(BrokerTBL!$E:$E,MATCH(D36,BrokerTBL!$A:$A,0))</f>
        <v>US</v>
      </c>
      <c r="J36" s="298">
        <f>INDEX(BrokerTBL!$F:$F,MATCH(D36,BrokerTBL!$A:$A,0))</f>
        <v>60654</v>
      </c>
      <c r="K36" s="298" t="s">
        <v>471</v>
      </c>
      <c r="L36" s="145" t="s">
        <v>472</v>
      </c>
      <c r="M36" s="146">
        <v>42200</v>
      </c>
      <c r="N36" s="144" t="s">
        <v>473</v>
      </c>
      <c r="O36" s="298" t="s">
        <v>474</v>
      </c>
      <c r="P36" s="298" t="s">
        <v>380</v>
      </c>
      <c r="Q36" s="298" t="s">
        <v>139</v>
      </c>
      <c r="R36" s="298">
        <v>95304</v>
      </c>
      <c r="S36" s="298" t="s">
        <v>118</v>
      </c>
      <c r="T36" s="298" t="s">
        <v>475</v>
      </c>
      <c r="U36" s="298" t="s">
        <v>120</v>
      </c>
      <c r="V36" s="298">
        <v>53</v>
      </c>
      <c r="W36" s="298" t="s">
        <v>141</v>
      </c>
      <c r="X36" s="144">
        <v>25000</v>
      </c>
      <c r="Y36" s="298" t="s">
        <v>26</v>
      </c>
      <c r="Z36" s="298" t="s">
        <v>123</v>
      </c>
      <c r="AA36" s="298" t="s">
        <v>123</v>
      </c>
      <c r="AB36" s="298" t="s">
        <v>123</v>
      </c>
      <c r="AC36" s="298" t="s">
        <v>476</v>
      </c>
      <c r="AD36" s="145" t="s">
        <v>472</v>
      </c>
      <c r="AE36" s="146">
        <v>42200</v>
      </c>
      <c r="AF36" s="298" t="s">
        <v>477</v>
      </c>
      <c r="AG36" s="298" t="s">
        <v>478</v>
      </c>
      <c r="AH36" s="298" t="s">
        <v>479</v>
      </c>
      <c r="AI36" s="298" t="s">
        <v>139</v>
      </c>
      <c r="AJ36" s="298">
        <v>95363</v>
      </c>
      <c r="AK36" s="298" t="s">
        <v>118</v>
      </c>
      <c r="AL36" s="298" t="s">
        <v>480</v>
      </c>
      <c r="AM36" s="171" t="str">
        <f>INDEX(CarrierDriverTBL!$B:$B,MATCH(Table1[[#This Row],[DriverID]],CarrierDriverTBL!$A:$A,0))</f>
        <v>UBTrucking</v>
      </c>
      <c r="AN36" s="10" t="s">
        <v>192</v>
      </c>
      <c r="AO36" s="171" t="str">
        <f>INDEX(CarrierDriverTBL!$C:$C,MATCH(Table1[[#This Row],[DriverID]],CarrierDriverTBL!$A:$A,0))</f>
        <v>Albel</v>
      </c>
      <c r="AP36" s="171" t="str">
        <f>INDEX(CarrierDriverTBL!$D:$D,MATCH(Table1[[#This Row],[DriverID]],CarrierDriverTBL!$A:$A,0))</f>
        <v>Chahil</v>
      </c>
      <c r="AQ36" s="171" t="str">
        <f>INDEX(CarrierDriverTBL!$X:$X,MATCH(Table1[[#This Row],[DriverID]],CarrierDriverTBL!$A:$A,0))</f>
        <v>A8390649</v>
      </c>
      <c r="AR36" s="172">
        <f>INDEX(CarrierDriverTBL!$Y:$Y,MATCH(Table1[[#This Row],[DriverID]],CarrierDriverTBL!$A:$A,0))</f>
        <v>42402</v>
      </c>
      <c r="AS36" s="142" t="str">
        <f t="shared" si="1"/>
        <v>GOOD</v>
      </c>
      <c r="AT36" s="160">
        <f>INDEX(CarrierDriverTBL!$E:$E,MATCH(Table1[[#This Row],[DriverID]],CarrierDriverTBL!$A:$A,0))</f>
        <v>22314</v>
      </c>
      <c r="AU36" s="163">
        <f ca="1">INDEX(CarrierDriverTBL!$F:$F,MATCH(Table1[[#This Row],[DriverID]],CarrierDriverTBL!$A:$A,0))</f>
        <v>55.512328767123286</v>
      </c>
      <c r="AV36" s="171" t="str">
        <f>INDEX(CarrierDriverTBL!$K:$K,MATCH(Table1[[#This Row],[DriverID]],CarrierDriverTBL!$A:$A,0))</f>
        <v>510-773-9450</v>
      </c>
      <c r="AW36" s="171" t="str">
        <f>INDEX(CarrierDriverTBL!$M:$M,MATCH(Table1[[#This Row],[DriverID]],CarrierDriverTBL!$A:$A,0))</f>
        <v>3124 Cynthia CT</v>
      </c>
      <c r="AX36" s="171" t="str">
        <f>INDEX(CarrierDriverTBL!$N:$N,MATCH(Table1[[#This Row],[DriverID]],CarrierDriverTBL!$A:$A,0))</f>
        <v>Tracy</v>
      </c>
      <c r="AY36" s="171" t="str">
        <f>INDEX(CarrierDriverTBL!$O:$O,MATCH(Table1[[#This Row],[DriverID]],CarrierDriverTBL!$A:$A,0))</f>
        <v>CA</v>
      </c>
      <c r="AZ36" s="171">
        <f>INDEX(CarrierDriverTBL!$P:$P,MATCH(Table1[[#This Row],[DriverID]],CarrierDriverTBL!$A:$A,0))</f>
        <v>95377</v>
      </c>
      <c r="BA36" s="171" t="str">
        <f>INDEX(CarrierDriverTBL!$Q:$Q,MATCH(Table1[[#This Row],[DriverID]],CarrierDriverTBL!$A:$A,0))</f>
        <v>US</v>
      </c>
      <c r="BB36" s="173" t="str">
        <f>INDEX(CarrierDriverTBL!$R:$R,MATCH(Table1[[#This Row],[DriverID]],CarrierDriverTBL!$A:$A,0))</f>
        <v>ubgollc@gmail.com</v>
      </c>
      <c r="BC36" s="160">
        <f>INDEX(CarrierDriverTBL!$AB:$AB,MATCH(Table1[[#This Row],[DriverID]],CarrierDriverTBL!$A:$A,0))</f>
        <v>42167</v>
      </c>
      <c r="BD36" s="142" t="str">
        <f ca="1">INDEX(CarrierDriverTBL!$AD:$AD,MATCH(LoadMaster!$AN:$AN,CarrierDriverTBL!$A:$A,0))</f>
        <v>MISSING</v>
      </c>
      <c r="BE36" s="171">
        <f>INDEX(CarrierDriverTBL!$AE:$AE,MATCH(Table1[DriverID],CarrierDriverTBL!$A:$A,0))</f>
        <v>913971</v>
      </c>
      <c r="BF36" s="171">
        <f>INDEX(CarrierDriverTBL!$AF:$AF,MATCH(Table1[DriverID],CarrierDriverTBL!$A:$A,0))</f>
        <v>2627544</v>
      </c>
      <c r="BG36" s="10">
        <f>INDEX(CarrierDriverTBL!$AG:$AG,MATCH(Table1[DriverID],CarrierDriverTBL!$A:$A,0))</f>
        <v>466133</v>
      </c>
      <c r="BH36" s="171" t="str">
        <f>INDEX(CarrierDriverTBL!$AH:$AH,MATCH(Table1[DriverID],CarrierDriverTBL!$A:$A,0))</f>
        <v>GM Lawrence Ins</v>
      </c>
      <c r="BI36" s="171" t="str">
        <f>INDEX(CarrierDriverTBL!$AI:$AI,MATCH(Table1[DriverID],CarrierDriverTBL!$A:$A,0))</f>
        <v>DSK2842P160210</v>
      </c>
      <c r="BJ36" s="172">
        <f>INDEX(CarrierDriverTBL!$AJ:$AJ,MATCH(Table1[[#This Row],[DriverID]],CarrierDriverTBL!$A:$A,0))</f>
        <v>42778</v>
      </c>
      <c r="BK36" s="10">
        <f t="shared" si="2"/>
        <v>578</v>
      </c>
      <c r="BL36" s="64">
        <v>150</v>
      </c>
      <c r="BN36" s="159"/>
      <c r="BO36" s="134">
        <v>125</v>
      </c>
      <c r="BP36" s="159"/>
      <c r="BQ36" s="133"/>
      <c r="BR36" s="166"/>
      <c r="BS36" s="167">
        <f t="shared" si="6"/>
        <v>0</v>
      </c>
      <c r="BT36" s="159">
        <f t="shared" si="7"/>
        <v>0</v>
      </c>
      <c r="BU36" s="10" t="str">
        <f t="shared" si="8"/>
        <v>Ch Robinson</v>
      </c>
      <c r="BV36" s="15"/>
      <c r="BW36" s="4" t="str">
        <f>Table1[[#This Row],[BrokerAddress]]</f>
        <v>P.O. Box 3474</v>
      </c>
      <c r="BX36" s="4" t="str">
        <f t="shared" si="9"/>
        <v>Chicago</v>
      </c>
      <c r="BY36" s="4" t="str">
        <f t="shared" si="10"/>
        <v>Il</v>
      </c>
      <c r="BZ36" s="4">
        <f t="shared" si="11"/>
        <v>60654</v>
      </c>
      <c r="CA36" s="10" t="str">
        <f t="shared" si="12"/>
        <v>US</v>
      </c>
      <c r="CB36" s="15" t="s">
        <v>131</v>
      </c>
      <c r="CC36" s="62"/>
      <c r="CD36" s="15" t="s">
        <v>132</v>
      </c>
      <c r="CE36" s="64">
        <v>0</v>
      </c>
      <c r="CF36" s="4">
        <v>0</v>
      </c>
      <c r="CG36" s="132">
        <f t="shared" si="13"/>
        <v>0</v>
      </c>
      <c r="CH36" s="4" t="s">
        <v>132</v>
      </c>
      <c r="CI36" s="5">
        <v>0</v>
      </c>
      <c r="CJ36" s="4">
        <v>0</v>
      </c>
      <c r="CK36" s="132">
        <f t="shared" si="14"/>
        <v>0</v>
      </c>
      <c r="CL36" s="4" t="s">
        <v>132</v>
      </c>
      <c r="CM36" s="5">
        <v>0</v>
      </c>
      <c r="CN36" s="4">
        <v>0</v>
      </c>
      <c r="CO36" s="132">
        <f t="shared" si="15"/>
        <v>0</v>
      </c>
      <c r="CP36" s="4" t="s">
        <v>132</v>
      </c>
      <c r="CQ36" s="5">
        <v>0</v>
      </c>
      <c r="CR36" s="4">
        <v>0</v>
      </c>
      <c r="CS36" s="132">
        <f t="shared" si="16"/>
        <v>0</v>
      </c>
      <c r="CT36" s="159">
        <f t="shared" si="17"/>
        <v>0</v>
      </c>
      <c r="CU36" s="168">
        <f t="shared" si="18"/>
        <v>150</v>
      </c>
      <c r="CV36" s="169">
        <f t="shared" si="27"/>
        <v>0</v>
      </c>
      <c r="CW36" s="82">
        <f t="shared" si="28"/>
        <v>125</v>
      </c>
      <c r="CX36" s="79">
        <f>IF(ISBLANK(E36),"AddQuickPay",IF(E36=2,CU36*0.98,IF(E36=2.4,CU36*0.976,IF(E36=3,CU36*0.97,IF(E36=5,CU36*0.95,IF(E36=1.5,CU36*0.985,IF(E36=2.5,CU36*0.975,IF(E36=1.3,CU36*0.987,IF(E36=1,CU36*0.99,IF(E36=4,CU36*0.96,CU36*1))))))))))-Table1[[#This Row],[ComCheck+QuickPayFee]]</f>
        <v>147</v>
      </c>
      <c r="CY36" s="5">
        <f t="shared" si="19"/>
        <v>25</v>
      </c>
      <c r="CZ36" s="5">
        <f t="shared" si="20"/>
        <v>3</v>
      </c>
      <c r="DA36" s="258">
        <f>Table1[[#This Row],[OriginalDispatch]]-Table1[[#This Row],[QuickPayCharge]]</f>
        <v>22</v>
      </c>
      <c r="DB36" s="5">
        <v>0</v>
      </c>
      <c r="DC36" s="5" t="s">
        <v>133</v>
      </c>
      <c r="DD36" s="104">
        <f t="shared" si="21"/>
        <v>42202</v>
      </c>
      <c r="DE36" s="15">
        <f>MONTH(Table1[[#This Row],[Weekending]])</f>
        <v>7</v>
      </c>
      <c r="DF36" s="15">
        <f>YEAR(Table1[[#This Row],[Weekending]])</f>
        <v>2015</v>
      </c>
      <c r="DG36" s="4"/>
    </row>
    <row r="37" spans="1:111">
      <c r="A37" s="20" t="str">
        <f t="shared" si="0"/>
        <v>08979749</v>
      </c>
      <c r="B37" s="146">
        <v>42205</v>
      </c>
      <c r="C37" s="144">
        <v>5930008</v>
      </c>
      <c r="D37" s="298" t="s">
        <v>445</v>
      </c>
      <c r="E37" s="298">
        <v>3</v>
      </c>
      <c r="F37" s="298" t="str">
        <f>INDEX(BrokerTBL!$B:$B,MATCH(D37,BrokerTBL!$A:$A,0))</f>
        <v>960 Northpoint Parkway Suite 150</v>
      </c>
      <c r="G37" s="298" t="str">
        <f>INDEX(BrokerTBL!$C:$C,MATCH(D37,BrokerTBL!$A:$A,0))</f>
        <v>Alpharetta</v>
      </c>
      <c r="H37" s="298" t="str">
        <f>INDEX(BrokerTBL!$D:$D,MATCH(D37,BrokerTBL!$A:$A,0))</f>
        <v>Ga</v>
      </c>
      <c r="I37" s="298" t="str">
        <f>INDEX(BrokerTBL!$E:$E,MATCH(D37,BrokerTBL!$A:$A,0))</f>
        <v>US</v>
      </c>
      <c r="J37" s="298">
        <f>INDEX(BrokerTBL!$F:$F,MATCH(D37,BrokerTBL!$A:$A,0))</f>
        <v>30005</v>
      </c>
      <c r="K37" s="298" t="s">
        <v>481</v>
      </c>
      <c r="L37" s="145">
        <v>20592797</v>
      </c>
      <c r="M37" s="146">
        <v>42205</v>
      </c>
      <c r="N37" s="182">
        <v>0.64583333333333304</v>
      </c>
      <c r="O37" s="298" t="s">
        <v>482</v>
      </c>
      <c r="P37" s="298" t="s">
        <v>160</v>
      </c>
      <c r="Q37" s="298" t="s">
        <v>139</v>
      </c>
      <c r="R37" s="298">
        <v>94534</v>
      </c>
      <c r="S37" s="298" t="s">
        <v>118</v>
      </c>
      <c r="T37" s="298" t="s">
        <v>136</v>
      </c>
      <c r="U37" s="298" t="s">
        <v>120</v>
      </c>
      <c r="V37" s="298">
        <v>53</v>
      </c>
      <c r="W37" s="298" t="s">
        <v>483</v>
      </c>
      <c r="X37" s="144">
        <v>45500</v>
      </c>
      <c r="Y37" s="298" t="s">
        <v>26</v>
      </c>
      <c r="Z37" s="298" t="s">
        <v>123</v>
      </c>
      <c r="AA37" s="298" t="s">
        <v>123</v>
      </c>
      <c r="AB37" s="298" t="s">
        <v>123</v>
      </c>
      <c r="AC37" s="298" t="s">
        <v>484</v>
      </c>
      <c r="AD37" s="145">
        <v>20592797</v>
      </c>
      <c r="AE37" s="146">
        <v>42206</v>
      </c>
      <c r="AF37" s="182">
        <v>0.41666666666666702</v>
      </c>
      <c r="AG37" s="298" t="s">
        <v>485</v>
      </c>
      <c r="AH37" s="298" t="s">
        <v>214</v>
      </c>
      <c r="AI37" s="298" t="s">
        <v>139</v>
      </c>
      <c r="AJ37" s="298">
        <v>93725</v>
      </c>
      <c r="AK37" s="298" t="s">
        <v>118</v>
      </c>
      <c r="AL37" s="298" t="s">
        <v>123</v>
      </c>
      <c r="AM37" s="171" t="str">
        <f>INDEX(CarrierDriverTBL!$B:$B,MATCH(Table1[[#This Row],[DriverID]],CarrierDriverTBL!$A:$A,0))</f>
        <v>UBTrucking</v>
      </c>
      <c r="AN37" s="10" t="s">
        <v>192</v>
      </c>
      <c r="AO37" s="171" t="str">
        <f>INDEX(CarrierDriverTBL!$C:$C,MATCH(Table1[[#This Row],[DriverID]],CarrierDriverTBL!$A:$A,0))</f>
        <v>Albel</v>
      </c>
      <c r="AP37" s="171" t="str">
        <f>INDEX(CarrierDriverTBL!$D:$D,MATCH(Table1[[#This Row],[DriverID]],CarrierDriverTBL!$A:$A,0))</f>
        <v>Chahil</v>
      </c>
      <c r="AQ37" s="171" t="str">
        <f>INDEX(CarrierDriverTBL!$X:$X,MATCH(Table1[[#This Row],[DriverID]],CarrierDriverTBL!$A:$A,0))</f>
        <v>A8390649</v>
      </c>
      <c r="AR37" s="172">
        <f>INDEX(CarrierDriverTBL!$Y:$Y,MATCH(Table1[[#This Row],[DriverID]],CarrierDriverTBL!$A:$A,0))</f>
        <v>42402</v>
      </c>
      <c r="AS37" s="142" t="str">
        <f t="shared" si="1"/>
        <v>GOOD</v>
      </c>
      <c r="AT37" s="160">
        <f>INDEX(CarrierDriverTBL!$E:$E,MATCH(Table1[[#This Row],[DriverID]],CarrierDriverTBL!$A:$A,0))</f>
        <v>22314</v>
      </c>
      <c r="AU37" s="163">
        <f ca="1">INDEX(CarrierDriverTBL!$F:$F,MATCH(Table1[[#This Row],[DriverID]],CarrierDriverTBL!$A:$A,0))</f>
        <v>55.512328767123286</v>
      </c>
      <c r="AV37" s="171" t="str">
        <f>INDEX(CarrierDriverTBL!$K:$K,MATCH(Table1[[#This Row],[DriverID]],CarrierDriverTBL!$A:$A,0))</f>
        <v>510-773-9450</v>
      </c>
      <c r="AW37" s="171" t="str">
        <f>INDEX(CarrierDriverTBL!$M:$M,MATCH(Table1[[#This Row],[DriverID]],CarrierDriverTBL!$A:$A,0))</f>
        <v>3124 Cynthia CT</v>
      </c>
      <c r="AX37" s="171" t="str">
        <f>INDEX(CarrierDriverTBL!$N:$N,MATCH(Table1[[#This Row],[DriverID]],CarrierDriverTBL!$A:$A,0))</f>
        <v>Tracy</v>
      </c>
      <c r="AY37" s="171" t="str">
        <f>INDEX(CarrierDriverTBL!$O:$O,MATCH(Table1[[#This Row],[DriverID]],CarrierDriverTBL!$A:$A,0))</f>
        <v>CA</v>
      </c>
      <c r="AZ37" s="171">
        <f>INDEX(CarrierDriverTBL!$P:$P,MATCH(Table1[[#This Row],[DriverID]],CarrierDriverTBL!$A:$A,0))</f>
        <v>95377</v>
      </c>
      <c r="BA37" s="171" t="str">
        <f>INDEX(CarrierDriverTBL!$Q:$Q,MATCH(Table1[[#This Row],[DriverID]],CarrierDriverTBL!$A:$A,0))</f>
        <v>US</v>
      </c>
      <c r="BB37" s="173" t="str">
        <f>INDEX(CarrierDriverTBL!$R:$R,MATCH(Table1[[#This Row],[DriverID]],CarrierDriverTBL!$A:$A,0))</f>
        <v>ubgollc@gmail.com</v>
      </c>
      <c r="BC37" s="160">
        <f>INDEX(CarrierDriverTBL!$AB:$AB,MATCH(Table1[[#This Row],[DriverID]],CarrierDriverTBL!$A:$A,0))</f>
        <v>42167</v>
      </c>
      <c r="BD37" s="142" t="str">
        <f ca="1">INDEX(CarrierDriverTBL!$AD:$AD,MATCH(LoadMaster!$AN:$AN,CarrierDriverTBL!$A:$A,0))</f>
        <v>MISSING</v>
      </c>
      <c r="BE37" s="171">
        <f>INDEX(CarrierDriverTBL!$AE:$AE,MATCH(Table1[DriverID],CarrierDriverTBL!$A:$A,0))</f>
        <v>913971</v>
      </c>
      <c r="BF37" s="171">
        <f>INDEX(CarrierDriverTBL!$AF:$AF,MATCH(Table1[DriverID],CarrierDriverTBL!$A:$A,0))</f>
        <v>2627544</v>
      </c>
      <c r="BG37" s="10">
        <f>INDEX(CarrierDriverTBL!$AG:$AG,MATCH(Table1[DriverID],CarrierDriverTBL!$A:$A,0))</f>
        <v>466133</v>
      </c>
      <c r="BH37" s="171" t="str">
        <f>INDEX(CarrierDriverTBL!$AH:$AH,MATCH(Table1[DriverID],CarrierDriverTBL!$A:$A,0))</f>
        <v>GM Lawrence Ins</v>
      </c>
      <c r="BI37" s="171" t="str">
        <f>INDEX(CarrierDriverTBL!$AI:$AI,MATCH(Table1[DriverID],CarrierDriverTBL!$A:$A,0))</f>
        <v>DSK2842P160210</v>
      </c>
      <c r="BJ37" s="172">
        <f>INDEX(CarrierDriverTBL!$AJ:$AJ,MATCH(Table1[[#This Row],[DriverID]],CarrierDriverTBL!$A:$A,0))</f>
        <v>42778</v>
      </c>
      <c r="BK37" s="10">
        <f t="shared" si="2"/>
        <v>573</v>
      </c>
      <c r="BL37" s="174">
        <v>600</v>
      </c>
      <c r="BM37" s="144">
        <v>182</v>
      </c>
      <c r="BN37" s="159">
        <f>BL37/BM37</f>
        <v>3.2967032967032965</v>
      </c>
      <c r="BO37" s="167">
        <v>550</v>
      </c>
      <c r="BP37" s="159">
        <f>BO37/BM37</f>
        <v>3.0219780219780219</v>
      </c>
      <c r="BQ37" s="133">
        <v>3.12</v>
      </c>
      <c r="BR37" s="166">
        <f>(BQ37-1.9)/6</f>
        <v>0.20333333333333337</v>
      </c>
      <c r="BS37" s="167">
        <f t="shared" si="6"/>
        <v>2.8186446886446888</v>
      </c>
      <c r="BT37" s="159">
        <f t="shared" si="7"/>
        <v>37.006666666666675</v>
      </c>
      <c r="BU37" s="10" t="str">
        <f t="shared" si="8"/>
        <v>Coyote</v>
      </c>
      <c r="BV37" s="298"/>
      <c r="BW37" s="4" t="str">
        <f>Table1[[#This Row],[BrokerAddress]]</f>
        <v>960 Northpoint Parkway Suite 150</v>
      </c>
      <c r="BX37" s="4" t="str">
        <f t="shared" si="9"/>
        <v>Alpharetta</v>
      </c>
      <c r="BY37" s="4" t="str">
        <f t="shared" si="10"/>
        <v>Ga</v>
      </c>
      <c r="BZ37" s="4">
        <f t="shared" si="11"/>
        <v>30005</v>
      </c>
      <c r="CA37" s="10" t="str">
        <f t="shared" si="12"/>
        <v>US</v>
      </c>
      <c r="CB37" s="15" t="s">
        <v>131</v>
      </c>
      <c r="CC37" s="62"/>
      <c r="CD37" s="15" t="s">
        <v>149</v>
      </c>
      <c r="CE37" s="64"/>
      <c r="CF37" s="4">
        <v>0.5</v>
      </c>
      <c r="CG37" s="132">
        <f t="shared" si="13"/>
        <v>0</v>
      </c>
      <c r="CH37" s="4" t="s">
        <v>132</v>
      </c>
      <c r="CI37" s="5">
        <v>0</v>
      </c>
      <c r="CJ37" s="4">
        <v>0</v>
      </c>
      <c r="CK37" s="132">
        <f t="shared" si="14"/>
        <v>0</v>
      </c>
      <c r="CL37" s="4" t="s">
        <v>132</v>
      </c>
      <c r="CM37" s="5">
        <v>0</v>
      </c>
      <c r="CN37" s="4">
        <v>0</v>
      </c>
      <c r="CO37" s="132">
        <f t="shared" si="15"/>
        <v>0</v>
      </c>
      <c r="CP37" s="4" t="s">
        <v>132</v>
      </c>
      <c r="CQ37" s="5">
        <v>0</v>
      </c>
      <c r="CR37" s="4">
        <v>0</v>
      </c>
      <c r="CS37" s="132">
        <f t="shared" si="16"/>
        <v>0</v>
      </c>
      <c r="CT37" s="159">
        <f t="shared" si="17"/>
        <v>0</v>
      </c>
      <c r="CU37" s="168">
        <f t="shared" si="18"/>
        <v>600</v>
      </c>
      <c r="CV37" s="169">
        <f t="shared" si="27"/>
        <v>0</v>
      </c>
      <c r="CW37" s="82">
        <f t="shared" si="28"/>
        <v>550</v>
      </c>
      <c r="CX37" s="79">
        <f>IF(ISBLANK(E37),"AddQuickPay",IF(E37=2,CU37*0.98,IF(E37=2.4,CU37*0.976,IF(E37=3,CU37*0.97,IF(E37=5,CU37*0.95,IF(E37=1.5,CU37*0.985,IF(E37=2.5,CU37*0.975,IF(E37=1.3,CU37*0.987,IF(E37=1,CU37*0.99,IF(E37=4,CU37*0.96,CU37*1))))))))))-Table1[[#This Row],[ComCheck+QuickPayFee]]</f>
        <v>582</v>
      </c>
      <c r="CY37" s="5">
        <f t="shared" si="19"/>
        <v>50</v>
      </c>
      <c r="CZ37" s="5">
        <f t="shared" si="20"/>
        <v>18</v>
      </c>
      <c r="DA37" s="258">
        <f>Table1[[#This Row],[OriginalDispatch]]-Table1[[#This Row],[QuickPayCharge]]</f>
        <v>32</v>
      </c>
      <c r="DB37" s="5">
        <v>0</v>
      </c>
      <c r="DC37" s="5" t="s">
        <v>133</v>
      </c>
      <c r="DD37" s="104">
        <f t="shared" si="21"/>
        <v>42209</v>
      </c>
      <c r="DE37" s="15">
        <f>MONTH(Table1[[#This Row],[Weekending]])</f>
        <v>7</v>
      </c>
      <c r="DF37" s="15">
        <f>YEAR(Table1[[#This Row],[Weekending]])</f>
        <v>2015</v>
      </c>
      <c r="DG37" s="29" t="s">
        <v>486</v>
      </c>
    </row>
    <row r="38" spans="1:111">
      <c r="A38" s="20" t="str">
        <f t="shared" si="0"/>
        <v>941649</v>
      </c>
      <c r="B38" s="146">
        <v>42206</v>
      </c>
      <c r="C38" s="144">
        <v>6101794</v>
      </c>
      <c r="D38" s="298" t="s">
        <v>487</v>
      </c>
      <c r="E38" s="298">
        <v>2</v>
      </c>
      <c r="F38" s="298" t="str">
        <f>INDEX(BrokerTBL!$B:$B,MATCH(D38,BrokerTBL!$A:$A,0))</f>
        <v>P.O. Box 19137</v>
      </c>
      <c r="G38" s="298" t="str">
        <f>INDEX(BrokerTBL!$C:$C,MATCH(D38,BrokerTBL!$A:$A,0))</f>
        <v>Jacksonville</v>
      </c>
      <c r="H38" s="298" t="str">
        <f>INDEX(BrokerTBL!$D:$D,MATCH(D38,BrokerTBL!$A:$A,0))</f>
        <v>Fl</v>
      </c>
      <c r="I38" s="298" t="str">
        <f>INDEX(BrokerTBL!$E:$E,MATCH(D38,BrokerTBL!$A:$A,0))</f>
        <v>US</v>
      </c>
      <c r="J38" s="298">
        <f>INDEX(BrokerTBL!$F:$F,MATCH(D38,BrokerTBL!$A:$A,0))</f>
        <v>32224</v>
      </c>
      <c r="K38" s="298" t="s">
        <v>488</v>
      </c>
      <c r="L38" s="145">
        <v>73416</v>
      </c>
      <c r="M38" s="146">
        <v>42206</v>
      </c>
      <c r="N38" s="182">
        <v>0.64583333333333304</v>
      </c>
      <c r="O38" s="298" t="s">
        <v>489</v>
      </c>
      <c r="P38" s="298" t="s">
        <v>248</v>
      </c>
      <c r="Q38" s="298" t="s">
        <v>139</v>
      </c>
      <c r="R38" s="298">
        <v>93291</v>
      </c>
      <c r="S38" s="298" t="s">
        <v>118</v>
      </c>
      <c r="T38" s="298" t="s">
        <v>136</v>
      </c>
      <c r="U38" s="298" t="s">
        <v>120</v>
      </c>
      <c r="V38" s="298">
        <v>53</v>
      </c>
      <c r="W38" s="298" t="s">
        <v>490</v>
      </c>
      <c r="X38" s="144">
        <v>42000</v>
      </c>
      <c r="Y38" s="298" t="s">
        <v>123</v>
      </c>
      <c r="Z38" s="298" t="s">
        <v>123</v>
      </c>
      <c r="AA38" s="298" t="s">
        <v>123</v>
      </c>
      <c r="AB38" s="298" t="s">
        <v>123</v>
      </c>
      <c r="AC38" s="298" t="s">
        <v>491</v>
      </c>
      <c r="AD38" s="145"/>
      <c r="AE38" s="146">
        <v>42207</v>
      </c>
      <c r="AF38" s="182">
        <v>0.33333333333333298</v>
      </c>
      <c r="AG38" s="298" t="s">
        <v>492</v>
      </c>
      <c r="AH38" s="298" t="s">
        <v>493</v>
      </c>
      <c r="AI38" s="298" t="s">
        <v>139</v>
      </c>
      <c r="AJ38" s="298">
        <v>93606</v>
      </c>
      <c r="AK38" s="298" t="s">
        <v>118</v>
      </c>
      <c r="AL38" s="298" t="s">
        <v>494</v>
      </c>
      <c r="AM38" s="171" t="str">
        <f>INDEX(CarrierDriverTBL!$B:$B,MATCH(Table1[[#This Row],[DriverID]],CarrierDriverTBL!$A:$A,0))</f>
        <v>UBTrucking</v>
      </c>
      <c r="AN38" s="10" t="s">
        <v>192</v>
      </c>
      <c r="AO38" s="171" t="str">
        <f>INDEX(CarrierDriverTBL!$C:$C,MATCH(Table1[[#This Row],[DriverID]],CarrierDriverTBL!$A:$A,0))</f>
        <v>Albel</v>
      </c>
      <c r="AP38" s="171" t="str">
        <f>INDEX(CarrierDriverTBL!$D:$D,MATCH(Table1[[#This Row],[DriverID]],CarrierDriverTBL!$A:$A,0))</f>
        <v>Chahil</v>
      </c>
      <c r="AQ38" s="171" t="str">
        <f>INDEX(CarrierDriverTBL!$X:$X,MATCH(Table1[[#This Row],[DriverID]],CarrierDriverTBL!$A:$A,0))</f>
        <v>A8390649</v>
      </c>
      <c r="AR38" s="172">
        <f>INDEX(CarrierDriverTBL!$Y:$Y,MATCH(Table1[[#This Row],[DriverID]],CarrierDriverTBL!$A:$A,0))</f>
        <v>42402</v>
      </c>
      <c r="AS38" s="142" t="str">
        <f t="shared" si="1"/>
        <v>GOOD</v>
      </c>
      <c r="AT38" s="160">
        <f>INDEX(CarrierDriverTBL!$E:$E,MATCH(Table1[[#This Row],[DriverID]],CarrierDriverTBL!$A:$A,0))</f>
        <v>22314</v>
      </c>
      <c r="AU38" s="163">
        <f ca="1">INDEX(CarrierDriverTBL!$F:$F,MATCH(Table1[[#This Row],[DriverID]],CarrierDriverTBL!$A:$A,0))</f>
        <v>55.512328767123286</v>
      </c>
      <c r="AV38" s="171" t="str">
        <f>INDEX(CarrierDriverTBL!$K:$K,MATCH(Table1[[#This Row],[DriverID]],CarrierDriverTBL!$A:$A,0))</f>
        <v>510-773-9450</v>
      </c>
      <c r="AW38" s="171" t="str">
        <f>INDEX(CarrierDriverTBL!$M:$M,MATCH(Table1[[#This Row],[DriverID]],CarrierDriverTBL!$A:$A,0))</f>
        <v>3124 Cynthia CT</v>
      </c>
      <c r="AX38" s="171" t="str">
        <f>INDEX(CarrierDriverTBL!$N:$N,MATCH(Table1[[#This Row],[DriverID]],CarrierDriverTBL!$A:$A,0))</f>
        <v>Tracy</v>
      </c>
      <c r="AY38" s="171" t="str">
        <f>INDEX(CarrierDriverTBL!$O:$O,MATCH(Table1[[#This Row],[DriverID]],CarrierDriverTBL!$A:$A,0))</f>
        <v>CA</v>
      </c>
      <c r="AZ38" s="171">
        <f>INDEX(CarrierDriverTBL!$P:$P,MATCH(Table1[[#This Row],[DriverID]],CarrierDriverTBL!$A:$A,0))</f>
        <v>95377</v>
      </c>
      <c r="BA38" s="171" t="str">
        <f>INDEX(CarrierDriverTBL!$Q:$Q,MATCH(Table1[[#This Row],[DriverID]],CarrierDriverTBL!$A:$A,0))</f>
        <v>US</v>
      </c>
      <c r="BB38" s="173" t="str">
        <f>INDEX(CarrierDriverTBL!$R:$R,MATCH(Table1[[#This Row],[DriverID]],CarrierDriverTBL!$A:$A,0))</f>
        <v>ubgollc@gmail.com</v>
      </c>
      <c r="BC38" s="160">
        <f>INDEX(CarrierDriverTBL!$AB:$AB,MATCH(Table1[[#This Row],[DriverID]],CarrierDriverTBL!$A:$A,0))</f>
        <v>42167</v>
      </c>
      <c r="BD38" s="142" t="str">
        <f ca="1">INDEX(CarrierDriverTBL!$AD:$AD,MATCH(LoadMaster!$AN:$AN,CarrierDriverTBL!$A:$A,0))</f>
        <v>MISSING</v>
      </c>
      <c r="BE38" s="171">
        <f>INDEX(CarrierDriverTBL!$AE:$AE,MATCH(Table1[DriverID],CarrierDriverTBL!$A:$A,0))</f>
        <v>913971</v>
      </c>
      <c r="BF38" s="171">
        <f>INDEX(CarrierDriverTBL!$AF:$AF,MATCH(Table1[DriverID],CarrierDriverTBL!$A:$A,0))</f>
        <v>2627544</v>
      </c>
      <c r="BG38" s="10">
        <f>INDEX(CarrierDriverTBL!$AG:$AG,MATCH(Table1[DriverID],CarrierDriverTBL!$A:$A,0))</f>
        <v>466133</v>
      </c>
      <c r="BH38" s="171" t="str">
        <f>INDEX(CarrierDriverTBL!$AH:$AH,MATCH(Table1[DriverID],CarrierDriverTBL!$A:$A,0))</f>
        <v>GM Lawrence Ins</v>
      </c>
      <c r="BI38" s="171" t="str">
        <f>INDEX(CarrierDriverTBL!$AI:$AI,MATCH(Table1[DriverID],CarrierDriverTBL!$A:$A,0))</f>
        <v>DSK2842P160210</v>
      </c>
      <c r="BJ38" s="172">
        <f>INDEX(CarrierDriverTBL!$AJ:$AJ,MATCH(Table1[[#This Row],[DriverID]],CarrierDriverTBL!$A:$A,0))</f>
        <v>42778</v>
      </c>
      <c r="BK38" s="10">
        <f t="shared" si="2"/>
        <v>572</v>
      </c>
      <c r="BL38" s="174">
        <v>450</v>
      </c>
      <c r="BM38" s="144">
        <v>54</v>
      </c>
      <c r="BN38" s="159">
        <f>BL38/BM38</f>
        <v>8.3333333333333339</v>
      </c>
      <c r="BO38" s="167">
        <v>400</v>
      </c>
      <c r="BP38" s="159">
        <f>BO38/BM38</f>
        <v>7.4074074074074074</v>
      </c>
      <c r="BQ38" s="133">
        <v>3.12</v>
      </c>
      <c r="BR38" s="166">
        <f>(BQ38-1.9)/6</f>
        <v>0.20333333333333337</v>
      </c>
      <c r="BS38" s="167">
        <f t="shared" si="6"/>
        <v>7.2040740740740743</v>
      </c>
      <c r="BT38" s="159">
        <f t="shared" si="7"/>
        <v>10.980000000000002</v>
      </c>
      <c r="BU38" s="10" t="str">
        <f t="shared" si="8"/>
        <v>Landstar</v>
      </c>
      <c r="BV38" s="15"/>
      <c r="BW38" s="4" t="str">
        <f>Table1[[#This Row],[BrokerAddress]]</f>
        <v>P.O. Box 19137</v>
      </c>
      <c r="BX38" s="4" t="str">
        <f t="shared" si="9"/>
        <v>Jacksonville</v>
      </c>
      <c r="BY38" s="4" t="str">
        <f t="shared" si="10"/>
        <v>Fl</v>
      </c>
      <c r="BZ38" s="4">
        <f t="shared" si="11"/>
        <v>32224</v>
      </c>
      <c r="CA38" s="10" t="str">
        <f t="shared" si="12"/>
        <v>US</v>
      </c>
      <c r="CB38" s="15" t="s">
        <v>131</v>
      </c>
      <c r="CC38" s="62"/>
      <c r="CD38" s="15" t="s">
        <v>132</v>
      </c>
      <c r="CE38" s="64">
        <v>0</v>
      </c>
      <c r="CF38" s="4">
        <v>0</v>
      </c>
      <c r="CG38" s="132">
        <f t="shared" si="13"/>
        <v>0</v>
      </c>
      <c r="CH38" s="4" t="s">
        <v>132</v>
      </c>
      <c r="CI38" s="5">
        <v>0</v>
      </c>
      <c r="CJ38" s="4">
        <v>0</v>
      </c>
      <c r="CK38" s="132">
        <f t="shared" si="14"/>
        <v>0</v>
      </c>
      <c r="CL38" s="4" t="s">
        <v>132</v>
      </c>
      <c r="CM38" s="5">
        <v>0</v>
      </c>
      <c r="CN38" s="4">
        <v>0</v>
      </c>
      <c r="CO38" s="132">
        <f t="shared" si="15"/>
        <v>0</v>
      </c>
      <c r="CP38" s="4" t="s">
        <v>132</v>
      </c>
      <c r="CQ38" s="5">
        <v>0</v>
      </c>
      <c r="CR38" s="4">
        <v>0</v>
      </c>
      <c r="CS38" s="132">
        <f t="shared" si="16"/>
        <v>0</v>
      </c>
      <c r="CT38" s="159">
        <f t="shared" si="17"/>
        <v>0</v>
      </c>
      <c r="CU38" s="168">
        <f t="shared" si="18"/>
        <v>450</v>
      </c>
      <c r="CV38" s="169">
        <f t="shared" si="27"/>
        <v>0</v>
      </c>
      <c r="CW38" s="82">
        <f t="shared" si="28"/>
        <v>400</v>
      </c>
      <c r="CX38" s="79">
        <f>IF(ISBLANK(E38),"AddQuickPay",IF(E38=2,CU38*0.98,IF(E38=2.4,CU38*0.976,IF(E38=3,CU38*0.97,IF(E38=5,CU38*0.95,IF(E38=1.5,CU38*0.985,IF(E38=2.5,CU38*0.975,IF(E38=1.3,CU38*0.987,IF(E38=1,CU38*0.99,IF(E38=4,CU38*0.96,CU38*1))))))))))-Table1[[#This Row],[ComCheck+QuickPayFee]]</f>
        <v>441</v>
      </c>
      <c r="CY38" s="5">
        <f t="shared" si="19"/>
        <v>50</v>
      </c>
      <c r="CZ38" s="5">
        <f t="shared" si="20"/>
        <v>9</v>
      </c>
      <c r="DA38" s="258">
        <f>Table1[[#This Row],[OriginalDispatch]]-Table1[[#This Row],[QuickPayCharge]]</f>
        <v>41</v>
      </c>
      <c r="DB38" s="5">
        <v>0</v>
      </c>
      <c r="DC38" s="5" t="s">
        <v>133</v>
      </c>
      <c r="DD38" s="104">
        <f t="shared" si="21"/>
        <v>42209</v>
      </c>
      <c r="DE38" s="15">
        <f>MONTH(Table1[[#This Row],[Weekending]])</f>
        <v>7</v>
      </c>
      <c r="DF38" s="15">
        <f>YEAR(Table1[[#This Row],[Weekending]])</f>
        <v>2015</v>
      </c>
      <c r="DG38" s="4"/>
    </row>
    <row r="39" spans="1:111">
      <c r="A39" s="20" t="str">
        <f t="shared" si="0"/>
        <v>77021449</v>
      </c>
      <c r="B39" s="146">
        <v>42207</v>
      </c>
      <c r="C39" s="144">
        <v>177323977</v>
      </c>
      <c r="D39" s="298" t="s">
        <v>111</v>
      </c>
      <c r="E39" s="298">
        <v>2</v>
      </c>
      <c r="F39" s="298" t="str">
        <f>INDEX(BrokerTBL!$B:$B,MATCH(D39,BrokerTBL!$A:$A,0))</f>
        <v>P.O. Box 3474</v>
      </c>
      <c r="G39" s="298" t="str">
        <f>INDEX(BrokerTBL!$C:$C,MATCH(D39,BrokerTBL!$A:$A,0))</f>
        <v>Chicago</v>
      </c>
      <c r="H39" s="298" t="str">
        <f>INDEX(BrokerTBL!$D:$D,MATCH(D39,BrokerTBL!$A:$A,0))</f>
        <v>Il</v>
      </c>
      <c r="I39" s="298" t="str">
        <f>INDEX(BrokerTBL!$E:$E,MATCH(D39,BrokerTBL!$A:$A,0))</f>
        <v>US</v>
      </c>
      <c r="J39" s="298">
        <f>INDEX(BrokerTBL!$F:$F,MATCH(D39,BrokerTBL!$A:$A,0))</f>
        <v>60654</v>
      </c>
      <c r="K39" s="298" t="s">
        <v>495</v>
      </c>
      <c r="L39" s="145">
        <v>100202</v>
      </c>
      <c r="M39" s="146">
        <v>42207</v>
      </c>
      <c r="N39" s="144" t="s">
        <v>496</v>
      </c>
      <c r="O39" s="298" t="s">
        <v>497</v>
      </c>
      <c r="P39" s="298" t="s">
        <v>411</v>
      </c>
      <c r="Q39" s="298" t="s">
        <v>139</v>
      </c>
      <c r="R39" s="298">
        <v>95020</v>
      </c>
      <c r="S39" s="298" t="s">
        <v>118</v>
      </c>
      <c r="T39" s="298">
        <v>18002895060</v>
      </c>
      <c r="U39" s="298" t="s">
        <v>120</v>
      </c>
      <c r="V39" s="298">
        <v>53</v>
      </c>
      <c r="W39" s="298" t="s">
        <v>498</v>
      </c>
      <c r="X39" s="144">
        <v>14560</v>
      </c>
      <c r="Y39" s="298" t="s">
        <v>337</v>
      </c>
      <c r="Z39" s="298">
        <v>560</v>
      </c>
      <c r="AA39" s="298" t="s">
        <v>123</v>
      </c>
      <c r="AB39" s="298" t="s">
        <v>123</v>
      </c>
      <c r="AC39" s="298" t="s">
        <v>499</v>
      </c>
      <c r="AD39" s="145">
        <v>2538414</v>
      </c>
      <c r="AE39" s="146">
        <v>42207</v>
      </c>
      <c r="AF39" s="298" t="s">
        <v>500</v>
      </c>
      <c r="AG39" s="298" t="s">
        <v>501</v>
      </c>
      <c r="AH39" s="298" t="s">
        <v>502</v>
      </c>
      <c r="AI39" s="298" t="s">
        <v>139</v>
      </c>
      <c r="AJ39" s="298">
        <v>95215</v>
      </c>
      <c r="AK39" s="298" t="s">
        <v>118</v>
      </c>
      <c r="AL39" s="298" t="s">
        <v>503</v>
      </c>
      <c r="AM39" s="171" t="str">
        <f>INDEX(CarrierDriverTBL!$B:$B,MATCH(Table1[[#This Row],[DriverID]],CarrierDriverTBL!$A:$A,0))</f>
        <v>UBTrucking</v>
      </c>
      <c r="AN39" s="10" t="s">
        <v>192</v>
      </c>
      <c r="AO39" s="171" t="str">
        <f>INDEX(CarrierDriverTBL!$C:$C,MATCH(Table1[[#This Row],[DriverID]],CarrierDriverTBL!$A:$A,0))</f>
        <v>Albel</v>
      </c>
      <c r="AP39" s="171" t="str">
        <f>INDEX(CarrierDriverTBL!$D:$D,MATCH(Table1[[#This Row],[DriverID]],CarrierDriverTBL!$A:$A,0))</f>
        <v>Chahil</v>
      </c>
      <c r="AQ39" s="171" t="str">
        <f>INDEX(CarrierDriverTBL!$X:$X,MATCH(Table1[[#This Row],[DriverID]],CarrierDriverTBL!$A:$A,0))</f>
        <v>A8390649</v>
      </c>
      <c r="AR39" s="172">
        <f>INDEX(CarrierDriverTBL!$Y:$Y,MATCH(Table1[[#This Row],[DriverID]],CarrierDriverTBL!$A:$A,0))</f>
        <v>42402</v>
      </c>
      <c r="AS39" s="142" t="str">
        <f t="shared" si="1"/>
        <v>GOOD</v>
      </c>
      <c r="AT39" s="160">
        <f>INDEX(CarrierDriverTBL!$E:$E,MATCH(Table1[[#This Row],[DriverID]],CarrierDriverTBL!$A:$A,0))</f>
        <v>22314</v>
      </c>
      <c r="AU39" s="163">
        <f ca="1">INDEX(CarrierDriverTBL!$F:$F,MATCH(Table1[[#This Row],[DriverID]],CarrierDriverTBL!$A:$A,0))</f>
        <v>55.512328767123286</v>
      </c>
      <c r="AV39" s="171" t="str">
        <f>INDEX(CarrierDriverTBL!$K:$K,MATCH(Table1[[#This Row],[DriverID]],CarrierDriverTBL!$A:$A,0))</f>
        <v>510-773-9450</v>
      </c>
      <c r="AW39" s="171" t="str">
        <f>INDEX(CarrierDriverTBL!$M:$M,MATCH(Table1[[#This Row],[DriverID]],CarrierDriverTBL!$A:$A,0))</f>
        <v>3124 Cynthia CT</v>
      </c>
      <c r="AX39" s="171" t="str">
        <f>INDEX(CarrierDriverTBL!$N:$N,MATCH(Table1[[#This Row],[DriverID]],CarrierDriverTBL!$A:$A,0))</f>
        <v>Tracy</v>
      </c>
      <c r="AY39" s="171" t="str">
        <f>INDEX(CarrierDriverTBL!$O:$O,MATCH(Table1[[#This Row],[DriverID]],CarrierDriverTBL!$A:$A,0))</f>
        <v>CA</v>
      </c>
      <c r="AZ39" s="171">
        <f>INDEX(CarrierDriverTBL!$P:$P,MATCH(Table1[[#This Row],[DriverID]],CarrierDriverTBL!$A:$A,0))</f>
        <v>95377</v>
      </c>
      <c r="BA39" s="171" t="str">
        <f>INDEX(CarrierDriverTBL!$Q:$Q,MATCH(Table1[[#This Row],[DriverID]],CarrierDriverTBL!$A:$A,0))</f>
        <v>US</v>
      </c>
      <c r="BB39" s="173" t="str">
        <f>INDEX(CarrierDriverTBL!$R:$R,MATCH(Table1[[#This Row],[DriverID]],CarrierDriverTBL!$A:$A,0))</f>
        <v>ubgollc@gmail.com</v>
      </c>
      <c r="BC39" s="160">
        <f>INDEX(CarrierDriverTBL!$AB:$AB,MATCH(Table1[[#This Row],[DriverID]],CarrierDriverTBL!$A:$A,0))</f>
        <v>42167</v>
      </c>
      <c r="BD39" s="142" t="str">
        <f ca="1">INDEX(CarrierDriverTBL!$AD:$AD,MATCH(LoadMaster!$AN:$AN,CarrierDriverTBL!$A:$A,0))</f>
        <v>MISSING</v>
      </c>
      <c r="BE39" s="171">
        <f>INDEX(CarrierDriverTBL!$AE:$AE,MATCH(Table1[DriverID],CarrierDriverTBL!$A:$A,0))</f>
        <v>913971</v>
      </c>
      <c r="BF39" s="171">
        <f>INDEX(CarrierDriverTBL!$AF:$AF,MATCH(Table1[DriverID],CarrierDriverTBL!$A:$A,0))</f>
        <v>2627544</v>
      </c>
      <c r="BG39" s="10">
        <f>INDEX(CarrierDriverTBL!$AG:$AG,MATCH(Table1[DriverID],CarrierDriverTBL!$A:$A,0))</f>
        <v>466133</v>
      </c>
      <c r="BH39" s="171" t="str">
        <f>INDEX(CarrierDriverTBL!$AH:$AH,MATCH(Table1[DriverID],CarrierDriverTBL!$A:$A,0))</f>
        <v>GM Lawrence Ins</v>
      </c>
      <c r="BI39" s="171" t="str">
        <f>INDEX(CarrierDriverTBL!$AI:$AI,MATCH(Table1[DriverID],CarrierDriverTBL!$A:$A,0))</f>
        <v>DSK2842P160210</v>
      </c>
      <c r="BJ39" s="172">
        <f>INDEX(CarrierDriverTBL!$AJ:$AJ,MATCH(Table1[[#This Row],[DriverID]],CarrierDriverTBL!$A:$A,0))</f>
        <v>42778</v>
      </c>
      <c r="BK39" s="10">
        <f t="shared" si="2"/>
        <v>571</v>
      </c>
      <c r="BL39" s="64">
        <v>75</v>
      </c>
      <c r="BN39" s="159"/>
      <c r="BO39" s="134">
        <v>50</v>
      </c>
      <c r="BP39" s="159"/>
      <c r="BQ39" s="133"/>
      <c r="BR39" s="166"/>
      <c r="BS39" s="167">
        <f t="shared" si="6"/>
        <v>0</v>
      </c>
      <c r="BT39" s="159">
        <f t="shared" si="7"/>
        <v>0</v>
      </c>
      <c r="BU39" s="10" t="str">
        <f t="shared" si="8"/>
        <v>Ch Robinson</v>
      </c>
      <c r="BV39" s="15"/>
      <c r="BW39" s="4" t="str">
        <f>Table1[[#This Row],[BrokerAddress]]</f>
        <v>P.O. Box 3474</v>
      </c>
      <c r="BX39" s="4" t="str">
        <f t="shared" si="9"/>
        <v>Chicago</v>
      </c>
      <c r="BY39" s="4" t="str">
        <f t="shared" si="10"/>
        <v>Il</v>
      </c>
      <c r="BZ39" s="4">
        <f t="shared" si="11"/>
        <v>60654</v>
      </c>
      <c r="CA39" s="10" t="str">
        <f t="shared" si="12"/>
        <v>US</v>
      </c>
      <c r="CB39" s="15" t="s">
        <v>131</v>
      </c>
      <c r="CC39" s="62"/>
      <c r="CD39" s="15" t="s">
        <v>132</v>
      </c>
      <c r="CE39" s="64">
        <v>0</v>
      </c>
      <c r="CF39" s="4">
        <v>0</v>
      </c>
      <c r="CG39" s="132">
        <f t="shared" si="13"/>
        <v>0</v>
      </c>
      <c r="CH39" s="4" t="s">
        <v>132</v>
      </c>
      <c r="CI39" s="5">
        <v>0</v>
      </c>
      <c r="CJ39" s="4">
        <v>0</v>
      </c>
      <c r="CK39" s="132">
        <f t="shared" si="14"/>
        <v>0</v>
      </c>
      <c r="CL39" s="4" t="s">
        <v>132</v>
      </c>
      <c r="CM39" s="5">
        <v>0</v>
      </c>
      <c r="CN39" s="4">
        <v>0</v>
      </c>
      <c r="CO39" s="132">
        <f t="shared" si="15"/>
        <v>0</v>
      </c>
      <c r="CP39" s="4" t="s">
        <v>132</v>
      </c>
      <c r="CQ39" s="5">
        <v>0</v>
      </c>
      <c r="CR39" s="4">
        <v>0</v>
      </c>
      <c r="CS39" s="132">
        <f t="shared" si="16"/>
        <v>0</v>
      </c>
      <c r="CT39" s="159">
        <f t="shared" si="17"/>
        <v>0</v>
      </c>
      <c r="CU39" s="168">
        <f t="shared" si="18"/>
        <v>75</v>
      </c>
      <c r="CV39" s="169">
        <f t="shared" si="27"/>
        <v>0</v>
      </c>
      <c r="CW39" s="82">
        <f t="shared" si="28"/>
        <v>50</v>
      </c>
      <c r="CX39" s="79">
        <f>IF(ISBLANK(E39),"AddQuickPay",IF(E39=2,CU39*0.98,IF(E39=2.4,CU39*0.976,IF(E39=3,CU39*0.97,IF(E39=5,CU39*0.95,IF(E39=1.5,CU39*0.985,IF(E39=2.5,CU39*0.975,IF(E39=1.3,CU39*0.987,IF(E39=1,CU39*0.99,IF(E39=4,CU39*0.96,CU39*1))))))))))-Table1[[#This Row],[ComCheck+QuickPayFee]]</f>
        <v>73.5</v>
      </c>
      <c r="CY39" s="5">
        <f t="shared" si="19"/>
        <v>25</v>
      </c>
      <c r="CZ39" s="5">
        <f t="shared" si="20"/>
        <v>1.5</v>
      </c>
      <c r="DA39" s="258">
        <f>Table1[[#This Row],[OriginalDispatch]]-Table1[[#This Row],[QuickPayCharge]]</f>
        <v>23.5</v>
      </c>
      <c r="DB39" s="5">
        <v>0</v>
      </c>
      <c r="DC39" s="5" t="s">
        <v>133</v>
      </c>
      <c r="DD39" s="104">
        <f t="shared" si="21"/>
        <v>42209</v>
      </c>
      <c r="DE39" s="15">
        <f>MONTH(Table1[[#This Row],[Weekending]])</f>
        <v>7</v>
      </c>
      <c r="DF39" s="15">
        <f>YEAR(Table1[[#This Row],[Weekending]])</f>
        <v>2015</v>
      </c>
      <c r="DG39" s="4"/>
    </row>
    <row r="40" spans="1:111">
      <c r="A40" s="20" t="str">
        <f t="shared" si="0"/>
        <v>89023A49</v>
      </c>
      <c r="B40" s="146">
        <v>42207</v>
      </c>
      <c r="C40" s="144">
        <v>87589</v>
      </c>
      <c r="D40" s="298" t="s">
        <v>504</v>
      </c>
      <c r="E40" s="298">
        <v>3</v>
      </c>
      <c r="F40" s="298" t="str">
        <f>INDEX(BrokerTBL!$B:$B,MATCH(D40,BrokerTBL!$A:$A,0))</f>
        <v>215 Marine Drive Suite 200#5</v>
      </c>
      <c r="G40" s="298" t="str">
        <f>INDEX(BrokerTBL!$C:$C,MATCH(D40,BrokerTBL!$A:$A,0))</f>
        <v>Blaine</v>
      </c>
      <c r="H40" s="298" t="str">
        <f>INDEX(BrokerTBL!$D:$D,MATCH(D40,BrokerTBL!$A:$A,0))</f>
        <v>Wa</v>
      </c>
      <c r="I40" s="298" t="str">
        <f>INDEX(BrokerTBL!$E:$E,MATCH(D40,BrokerTBL!$A:$A,0))</f>
        <v>US</v>
      </c>
      <c r="J40" s="298">
        <f>INDEX(BrokerTBL!$F:$F,MATCH(D40,BrokerTBL!$A:$A,0))</f>
        <v>98230</v>
      </c>
      <c r="K40" s="298" t="s">
        <v>505</v>
      </c>
      <c r="L40" s="145">
        <v>22802</v>
      </c>
      <c r="M40" s="146">
        <v>42207</v>
      </c>
      <c r="N40" s="182">
        <v>8.3333333333333301E-2</v>
      </c>
      <c r="O40" s="298" t="s">
        <v>506</v>
      </c>
      <c r="P40" s="298" t="s">
        <v>160</v>
      </c>
      <c r="Q40" s="298" t="s">
        <v>139</v>
      </c>
      <c r="R40" s="298">
        <v>94534</v>
      </c>
      <c r="S40" s="298" t="s">
        <v>118</v>
      </c>
      <c r="T40" s="298" t="s">
        <v>136</v>
      </c>
      <c r="U40" s="298" t="s">
        <v>120</v>
      </c>
      <c r="V40" s="298">
        <v>53</v>
      </c>
      <c r="W40" s="298" t="s">
        <v>507</v>
      </c>
      <c r="X40" s="144" t="s">
        <v>136</v>
      </c>
      <c r="Y40" s="298" t="s">
        <v>123</v>
      </c>
      <c r="Z40" s="298" t="s">
        <v>123</v>
      </c>
      <c r="AA40" s="298" t="s">
        <v>123</v>
      </c>
      <c r="AB40" s="298" t="s">
        <v>123</v>
      </c>
      <c r="AC40" s="298" t="s">
        <v>508</v>
      </c>
      <c r="AD40" s="145" t="s">
        <v>509</v>
      </c>
      <c r="AE40" s="146">
        <v>42208</v>
      </c>
      <c r="AF40" s="182">
        <v>0.33333333333333298</v>
      </c>
      <c r="AG40" s="298" t="s">
        <v>510</v>
      </c>
      <c r="AH40" s="298" t="s">
        <v>214</v>
      </c>
      <c r="AI40" s="298" t="s">
        <v>139</v>
      </c>
      <c r="AJ40" s="298">
        <v>93779</v>
      </c>
      <c r="AK40" s="298" t="s">
        <v>118</v>
      </c>
      <c r="AL40" s="298" t="s">
        <v>123</v>
      </c>
      <c r="AM40" s="171" t="str">
        <f>INDEX(CarrierDriverTBL!$B:$B,MATCH(Table1[[#This Row],[DriverID]],CarrierDriverTBL!$A:$A,0))</f>
        <v>UBTrucking</v>
      </c>
      <c r="AN40" s="10" t="s">
        <v>192</v>
      </c>
      <c r="AO40" s="171" t="str">
        <f>INDEX(CarrierDriverTBL!$C:$C,MATCH(Table1[[#This Row],[DriverID]],CarrierDriverTBL!$A:$A,0))</f>
        <v>Albel</v>
      </c>
      <c r="AP40" s="171" t="str">
        <f>INDEX(CarrierDriverTBL!$D:$D,MATCH(Table1[[#This Row],[DriverID]],CarrierDriverTBL!$A:$A,0))</f>
        <v>Chahil</v>
      </c>
      <c r="AQ40" s="171" t="str">
        <f>INDEX(CarrierDriverTBL!$X:$X,MATCH(Table1[[#This Row],[DriverID]],CarrierDriverTBL!$A:$A,0))</f>
        <v>A8390649</v>
      </c>
      <c r="AR40" s="172">
        <f>INDEX(CarrierDriverTBL!$Y:$Y,MATCH(Table1[[#This Row],[DriverID]],CarrierDriverTBL!$A:$A,0))</f>
        <v>42402</v>
      </c>
      <c r="AS40" s="142" t="str">
        <f t="shared" si="1"/>
        <v>GOOD</v>
      </c>
      <c r="AT40" s="160">
        <f>INDEX(CarrierDriverTBL!$E:$E,MATCH(Table1[[#This Row],[DriverID]],CarrierDriverTBL!$A:$A,0))</f>
        <v>22314</v>
      </c>
      <c r="AU40" s="163">
        <f ca="1">INDEX(CarrierDriverTBL!$F:$F,MATCH(Table1[[#This Row],[DriverID]],CarrierDriverTBL!$A:$A,0))</f>
        <v>55.512328767123286</v>
      </c>
      <c r="AV40" s="171" t="str">
        <f>INDEX(CarrierDriverTBL!$K:$K,MATCH(Table1[[#This Row],[DriverID]],CarrierDriverTBL!$A:$A,0))</f>
        <v>510-773-9450</v>
      </c>
      <c r="AW40" s="171" t="str">
        <f>INDEX(CarrierDriverTBL!$M:$M,MATCH(Table1[[#This Row],[DriverID]],CarrierDriverTBL!$A:$A,0))</f>
        <v>3124 Cynthia CT</v>
      </c>
      <c r="AX40" s="171" t="str">
        <f>INDEX(CarrierDriverTBL!$N:$N,MATCH(Table1[[#This Row],[DriverID]],CarrierDriverTBL!$A:$A,0))</f>
        <v>Tracy</v>
      </c>
      <c r="AY40" s="171" t="str">
        <f>INDEX(CarrierDriverTBL!$O:$O,MATCH(Table1[[#This Row],[DriverID]],CarrierDriverTBL!$A:$A,0))</f>
        <v>CA</v>
      </c>
      <c r="AZ40" s="171">
        <f>INDEX(CarrierDriverTBL!$P:$P,MATCH(Table1[[#This Row],[DriverID]],CarrierDriverTBL!$A:$A,0))</f>
        <v>95377</v>
      </c>
      <c r="BA40" s="171" t="str">
        <f>INDEX(CarrierDriverTBL!$Q:$Q,MATCH(Table1[[#This Row],[DriverID]],CarrierDriverTBL!$A:$A,0))</f>
        <v>US</v>
      </c>
      <c r="BB40" s="173" t="str">
        <f>INDEX(CarrierDriverTBL!$R:$R,MATCH(Table1[[#This Row],[DriverID]],CarrierDriverTBL!$A:$A,0))</f>
        <v>ubgollc@gmail.com</v>
      </c>
      <c r="BC40" s="160">
        <f>INDEX(CarrierDriverTBL!$AB:$AB,MATCH(Table1[[#This Row],[DriverID]],CarrierDriverTBL!$A:$A,0))</f>
        <v>42167</v>
      </c>
      <c r="BD40" s="142" t="str">
        <f ca="1">INDEX(CarrierDriverTBL!$AD:$AD,MATCH(LoadMaster!$AN:$AN,CarrierDriverTBL!$A:$A,0))</f>
        <v>MISSING</v>
      </c>
      <c r="BE40" s="171">
        <f>INDEX(CarrierDriverTBL!$AE:$AE,MATCH(Table1[DriverID],CarrierDriverTBL!$A:$A,0))</f>
        <v>913971</v>
      </c>
      <c r="BF40" s="171">
        <f>INDEX(CarrierDriverTBL!$AF:$AF,MATCH(Table1[DriverID],CarrierDriverTBL!$A:$A,0))</f>
        <v>2627544</v>
      </c>
      <c r="BG40" s="10">
        <f>INDEX(CarrierDriverTBL!$AG:$AG,MATCH(Table1[DriverID],CarrierDriverTBL!$A:$A,0))</f>
        <v>466133</v>
      </c>
      <c r="BH40" s="171" t="str">
        <f>INDEX(CarrierDriverTBL!$AH:$AH,MATCH(Table1[DriverID],CarrierDriverTBL!$A:$A,0))</f>
        <v>GM Lawrence Ins</v>
      </c>
      <c r="BI40" s="171" t="str">
        <f>INDEX(CarrierDriverTBL!$AI:$AI,MATCH(Table1[DriverID],CarrierDriverTBL!$A:$A,0))</f>
        <v>DSK2842P160210</v>
      </c>
      <c r="BJ40" s="172">
        <f>INDEX(CarrierDriverTBL!$AJ:$AJ,MATCH(Table1[[#This Row],[DriverID]],CarrierDriverTBL!$A:$A,0))</f>
        <v>42778</v>
      </c>
      <c r="BK40" s="10">
        <f t="shared" si="2"/>
        <v>571</v>
      </c>
      <c r="BL40" s="174">
        <v>700</v>
      </c>
      <c r="BM40" s="144">
        <v>180</v>
      </c>
      <c r="BN40" s="159">
        <f t="shared" ref="BN40:BN71" si="29">BL40/BM40</f>
        <v>3.8888888888888888</v>
      </c>
      <c r="BO40" s="167">
        <v>650</v>
      </c>
      <c r="BP40" s="159">
        <f t="shared" ref="BP40:BP71" si="30">BO40/BM40</f>
        <v>3.6111111111111112</v>
      </c>
      <c r="BQ40" s="133">
        <v>3.12</v>
      </c>
      <c r="BR40" s="166">
        <f t="shared" ref="BR40:BR71" si="31">(BQ40-1.9)/6</f>
        <v>0.20333333333333337</v>
      </c>
      <c r="BS40" s="167">
        <f t="shared" si="6"/>
        <v>3.4077777777777776</v>
      </c>
      <c r="BT40" s="159">
        <f t="shared" si="7"/>
        <v>36.600000000000009</v>
      </c>
      <c r="BU40" s="10" t="str">
        <f t="shared" si="8"/>
        <v xml:space="preserve">Kam-Way </v>
      </c>
      <c r="BV40" s="15"/>
      <c r="BW40" s="4" t="str">
        <f>Table1[[#This Row],[BrokerAddress]]</f>
        <v>215 Marine Drive Suite 200#5</v>
      </c>
      <c r="BX40" s="4" t="str">
        <f t="shared" si="9"/>
        <v>Blaine</v>
      </c>
      <c r="BY40" s="4" t="str">
        <f t="shared" si="10"/>
        <v>Wa</v>
      </c>
      <c r="BZ40" s="4">
        <f t="shared" si="11"/>
        <v>98230</v>
      </c>
      <c r="CA40" s="10" t="str">
        <f t="shared" si="12"/>
        <v>US</v>
      </c>
      <c r="CB40" s="15" t="s">
        <v>131</v>
      </c>
      <c r="CC40" s="62"/>
      <c r="CD40" s="15" t="s">
        <v>132</v>
      </c>
      <c r="CE40" s="64">
        <v>0</v>
      </c>
      <c r="CF40" s="4">
        <v>0</v>
      </c>
      <c r="CG40" s="132">
        <f t="shared" si="13"/>
        <v>0</v>
      </c>
      <c r="CH40" s="4" t="s">
        <v>132</v>
      </c>
      <c r="CI40" s="5">
        <v>0</v>
      </c>
      <c r="CJ40" s="4">
        <v>0</v>
      </c>
      <c r="CK40" s="132">
        <f t="shared" si="14"/>
        <v>0</v>
      </c>
      <c r="CL40" s="4" t="s">
        <v>132</v>
      </c>
      <c r="CM40" s="5">
        <v>0</v>
      </c>
      <c r="CN40" s="4">
        <v>0</v>
      </c>
      <c r="CO40" s="132">
        <f t="shared" si="15"/>
        <v>0</v>
      </c>
      <c r="CP40" s="4" t="s">
        <v>132</v>
      </c>
      <c r="CQ40" s="5">
        <v>0</v>
      </c>
      <c r="CR40" s="4">
        <v>0</v>
      </c>
      <c r="CS40" s="132">
        <f t="shared" si="16"/>
        <v>0</v>
      </c>
      <c r="CT40" s="159">
        <f t="shared" si="17"/>
        <v>0</v>
      </c>
      <c r="CU40" s="168">
        <f t="shared" si="18"/>
        <v>700</v>
      </c>
      <c r="CV40" s="169">
        <f t="shared" si="27"/>
        <v>0</v>
      </c>
      <c r="CW40" s="82">
        <f t="shared" si="28"/>
        <v>650</v>
      </c>
      <c r="CX40" s="79">
        <f>IF(ISBLANK(E40),"AddQuickPay",IF(E40=2,CU40*0.98,IF(E40=2.4,CU40*0.976,IF(E40=3,CU40*0.97,IF(E40=5,CU40*0.95,IF(E40=1.5,CU40*0.985,IF(E40=2.5,CU40*0.975,IF(E40=1.3,CU40*0.987,IF(E40=1,CU40*0.99,IF(E40=4,CU40*0.96,CU40*1))))))))))-Table1[[#This Row],[ComCheck+QuickPayFee]]</f>
        <v>679</v>
      </c>
      <c r="CY40" s="5">
        <f t="shared" si="19"/>
        <v>50</v>
      </c>
      <c r="CZ40" s="5">
        <f t="shared" si="20"/>
        <v>21</v>
      </c>
      <c r="DA40" s="258">
        <f>Table1[[#This Row],[OriginalDispatch]]-Table1[[#This Row],[QuickPayCharge]]</f>
        <v>29</v>
      </c>
      <c r="DB40" s="5">
        <v>0</v>
      </c>
      <c r="DC40" s="5" t="s">
        <v>133</v>
      </c>
      <c r="DD40" s="104">
        <f t="shared" si="21"/>
        <v>42209</v>
      </c>
      <c r="DE40" s="15">
        <f>MONTH(Table1[[#This Row],[Weekending]])</f>
        <v>7</v>
      </c>
      <c r="DF40" s="15">
        <f>YEAR(Table1[[#This Row],[Weekending]])</f>
        <v>2015</v>
      </c>
      <c r="DG40" s="4"/>
    </row>
    <row r="41" spans="1:111">
      <c r="A41" s="20" t="str">
        <f t="shared" si="0"/>
        <v>832649</v>
      </c>
      <c r="B41" s="146">
        <v>42208</v>
      </c>
      <c r="C41" s="144">
        <v>177743283</v>
      </c>
      <c r="D41" s="298" t="s">
        <v>111</v>
      </c>
      <c r="E41" s="298">
        <v>2</v>
      </c>
      <c r="F41" s="298" t="str">
        <f>INDEX(BrokerTBL!$B:$B,MATCH(D41,BrokerTBL!$A:$A,0))</f>
        <v>P.O. Box 3474</v>
      </c>
      <c r="G41" s="298" t="str">
        <f>INDEX(BrokerTBL!$C:$C,MATCH(D41,BrokerTBL!$A:$A,0))</f>
        <v>Chicago</v>
      </c>
      <c r="H41" s="298" t="str">
        <f>INDEX(BrokerTBL!$D:$D,MATCH(D41,BrokerTBL!$A:$A,0))</f>
        <v>Il</v>
      </c>
      <c r="I41" s="298" t="str">
        <f>INDEX(BrokerTBL!$E:$E,MATCH(D41,BrokerTBL!$A:$A,0))</f>
        <v>US</v>
      </c>
      <c r="J41" s="298">
        <f>INDEX(BrokerTBL!$F:$F,MATCH(D41,BrokerTBL!$A:$A,0))</f>
        <v>60654</v>
      </c>
      <c r="K41" s="298" t="s">
        <v>134</v>
      </c>
      <c r="L41" s="145" t="s">
        <v>511</v>
      </c>
      <c r="M41" s="146">
        <v>42208</v>
      </c>
      <c r="N41" s="144" t="s">
        <v>234</v>
      </c>
      <c r="O41" s="298" t="s">
        <v>137</v>
      </c>
      <c r="P41" s="298" t="s">
        <v>138</v>
      </c>
      <c r="Q41" s="298" t="s">
        <v>139</v>
      </c>
      <c r="R41" s="298">
        <v>93230</v>
      </c>
      <c r="S41" s="298" t="s">
        <v>118</v>
      </c>
      <c r="T41" s="298" t="s">
        <v>140</v>
      </c>
      <c r="U41" s="298" t="s">
        <v>120</v>
      </c>
      <c r="V41" s="298">
        <v>53</v>
      </c>
      <c r="W41" s="298" t="s">
        <v>141</v>
      </c>
      <c r="X41" s="144" t="s">
        <v>512</v>
      </c>
      <c r="Y41" s="298" t="s">
        <v>123</v>
      </c>
      <c r="Z41" s="298" t="s">
        <v>123</v>
      </c>
      <c r="AA41" s="298" t="s">
        <v>123</v>
      </c>
      <c r="AB41" s="298" t="s">
        <v>123</v>
      </c>
      <c r="AC41" s="298" t="s">
        <v>513</v>
      </c>
      <c r="AD41" s="145"/>
      <c r="AE41" s="146">
        <v>42209</v>
      </c>
      <c r="AF41" s="298" t="s">
        <v>126</v>
      </c>
      <c r="AG41" s="298" t="s">
        <v>514</v>
      </c>
      <c r="AH41" s="298" t="s">
        <v>515</v>
      </c>
      <c r="AI41" s="298" t="s">
        <v>139</v>
      </c>
      <c r="AJ41" s="298" t="s">
        <v>516</v>
      </c>
      <c r="AK41" s="298" t="s">
        <v>118</v>
      </c>
      <c r="AL41" s="298" t="s">
        <v>517</v>
      </c>
      <c r="AM41" s="142" t="str">
        <f>INDEX(CarrierDriverTBL!$B:$B,MATCH(Table1[[#This Row],[DriverID]],CarrierDriverTBL!$A:$A,0))</f>
        <v>UBTrucking</v>
      </c>
      <c r="AN41" s="10" t="s">
        <v>192</v>
      </c>
      <c r="AO41" s="142" t="str">
        <f>INDEX(CarrierDriverTBL!$C:$C,MATCH(Table1[[#This Row],[DriverID]],CarrierDriverTBL!$A:$A,0))</f>
        <v>Albel</v>
      </c>
      <c r="AP41" s="142" t="str">
        <f>INDEX(CarrierDriverTBL!$D:$D,MATCH(Table1[[#This Row],[DriverID]],CarrierDriverTBL!$A:$A,0))</f>
        <v>Chahil</v>
      </c>
      <c r="AQ41" s="142" t="str">
        <f>INDEX(CarrierDriverTBL!$X:$X,MATCH(Table1[[#This Row],[DriverID]],CarrierDriverTBL!$A:$A,0))</f>
        <v>A8390649</v>
      </c>
      <c r="AR41" s="160">
        <f>INDEX(CarrierDriverTBL!$Y:$Y,MATCH(Table1[[#This Row],[DriverID]],CarrierDriverTBL!$A:$A,0))</f>
        <v>42402</v>
      </c>
      <c r="AS41" s="142" t="str">
        <f t="shared" si="1"/>
        <v>GOOD</v>
      </c>
      <c r="AT41" s="160">
        <f>INDEX(CarrierDriverTBL!$E:$E,MATCH(Table1[[#This Row],[DriverID]],CarrierDriverTBL!$A:$A,0))</f>
        <v>22314</v>
      </c>
      <c r="AU41" s="163">
        <f ca="1">INDEX(CarrierDriverTBL!$F:$F,MATCH(Table1[[#This Row],[DriverID]],CarrierDriverTBL!$A:$A,0))</f>
        <v>55.512328767123286</v>
      </c>
      <c r="AV41" s="142" t="str">
        <f>INDEX(CarrierDriverTBL!$K:$K,MATCH(Table1[[#This Row],[DriverID]],CarrierDriverTBL!$A:$A,0))</f>
        <v>510-773-9450</v>
      </c>
      <c r="AW41" s="142" t="str">
        <f>INDEX(CarrierDriverTBL!$M:$M,MATCH(Table1[[#This Row],[DriverID]],CarrierDriverTBL!$A:$A,0))</f>
        <v>3124 Cynthia CT</v>
      </c>
      <c r="AX41" s="142" t="str">
        <f>INDEX(CarrierDriverTBL!$N:$N,MATCH(Table1[[#This Row],[DriverID]],CarrierDriverTBL!$A:$A,0))</f>
        <v>Tracy</v>
      </c>
      <c r="AY41" s="142" t="str">
        <f>INDEX(CarrierDriverTBL!$O:$O,MATCH(Table1[[#This Row],[DriverID]],CarrierDriverTBL!$A:$A,0))</f>
        <v>CA</v>
      </c>
      <c r="AZ41" s="142">
        <f>INDEX(CarrierDriverTBL!$P:$P,MATCH(Table1[[#This Row],[DriverID]],CarrierDriverTBL!$A:$A,0))</f>
        <v>95377</v>
      </c>
      <c r="BA41" s="142" t="str">
        <f>INDEX(CarrierDriverTBL!$Q:$Q,MATCH(Table1[[#This Row],[DriverID]],CarrierDriverTBL!$A:$A,0))</f>
        <v>US</v>
      </c>
      <c r="BB41" s="176" t="str">
        <f>INDEX(CarrierDriverTBL!$R:$R,MATCH(Table1[[#This Row],[DriverID]],CarrierDriverTBL!$A:$A,0))</f>
        <v>ubgollc@gmail.com</v>
      </c>
      <c r="BC41" s="160">
        <f>INDEX(CarrierDriverTBL!$AB:$AB,MATCH(Table1[[#This Row],[DriverID]],CarrierDriverTBL!$A:$A,0))</f>
        <v>42167</v>
      </c>
      <c r="BD41" s="142" t="str">
        <f ca="1">INDEX(CarrierDriverTBL!$AD:$AD,MATCH(LoadMaster!$AN:$AN,CarrierDriverTBL!$A:$A,0))</f>
        <v>MISSING</v>
      </c>
      <c r="BE41" s="142">
        <f>INDEX(CarrierDriverTBL!$AE:$AE,MATCH(Table1[DriverID],CarrierDriverTBL!$A:$A,0))</f>
        <v>913971</v>
      </c>
      <c r="BF41" s="142">
        <f>INDEX(CarrierDriverTBL!$AF:$AF,MATCH(Table1[DriverID],CarrierDriverTBL!$A:$A,0))</f>
        <v>2627544</v>
      </c>
      <c r="BG41" s="142">
        <f>INDEX(CarrierDriverTBL!$AG:$AG,MATCH(Table1[DriverID],CarrierDriverTBL!$A:$A,0))</f>
        <v>466133</v>
      </c>
      <c r="BH41" s="142" t="str">
        <f>INDEX(CarrierDriverTBL!$AH:$AH,MATCH(Table1[DriverID],CarrierDriverTBL!$A:$A,0))</f>
        <v>GM Lawrence Ins</v>
      </c>
      <c r="BI41" s="142" t="str">
        <f>INDEX(CarrierDriverTBL!$AI:$AI,MATCH(Table1[DriverID],CarrierDriverTBL!$A:$A,0))</f>
        <v>DSK2842P160210</v>
      </c>
      <c r="BJ41" s="160">
        <f>INDEX(CarrierDriverTBL!$AJ:$AJ,MATCH(Table1[[#This Row],[DriverID]],CarrierDriverTBL!$A:$A,0))</f>
        <v>42778</v>
      </c>
      <c r="BK41" s="10">
        <f t="shared" si="2"/>
        <v>570</v>
      </c>
      <c r="BL41" s="174">
        <v>650</v>
      </c>
      <c r="BM41" s="144">
        <v>300</v>
      </c>
      <c r="BN41" s="159">
        <f t="shared" si="29"/>
        <v>2.1666666666666665</v>
      </c>
      <c r="BO41" s="167">
        <v>600</v>
      </c>
      <c r="BP41" s="159">
        <f t="shared" si="30"/>
        <v>2</v>
      </c>
      <c r="BQ41" s="133">
        <v>3.12</v>
      </c>
      <c r="BR41" s="166">
        <f t="shared" si="31"/>
        <v>0.20333333333333337</v>
      </c>
      <c r="BS41" s="167">
        <f t="shared" si="6"/>
        <v>1.7966666666666666</v>
      </c>
      <c r="BT41" s="159">
        <f t="shared" si="7"/>
        <v>61.000000000000007</v>
      </c>
      <c r="BU41" s="10" t="str">
        <f t="shared" si="8"/>
        <v>Ch Robinson</v>
      </c>
      <c r="BV41" s="15"/>
      <c r="BW41" s="4" t="str">
        <f>Table1[[#This Row],[BrokerAddress]]</f>
        <v>P.O. Box 3474</v>
      </c>
      <c r="BX41" s="4" t="str">
        <f t="shared" si="9"/>
        <v>Chicago</v>
      </c>
      <c r="BY41" s="4" t="str">
        <f t="shared" si="10"/>
        <v>Il</v>
      </c>
      <c r="BZ41" s="4">
        <f t="shared" si="11"/>
        <v>60654</v>
      </c>
      <c r="CA41" s="10" t="str">
        <f t="shared" si="12"/>
        <v>US</v>
      </c>
      <c r="CB41" s="15" t="s">
        <v>131</v>
      </c>
      <c r="CC41" s="62"/>
      <c r="CD41" s="15" t="s">
        <v>132</v>
      </c>
      <c r="CE41" s="64">
        <v>0</v>
      </c>
      <c r="CF41" s="4">
        <v>0</v>
      </c>
      <c r="CG41" s="132">
        <f t="shared" si="13"/>
        <v>0</v>
      </c>
      <c r="CH41" s="4" t="s">
        <v>132</v>
      </c>
      <c r="CI41" s="5">
        <v>0</v>
      </c>
      <c r="CJ41" s="4">
        <v>0</v>
      </c>
      <c r="CK41" s="132">
        <f t="shared" si="14"/>
        <v>0</v>
      </c>
      <c r="CL41" s="4" t="s">
        <v>132</v>
      </c>
      <c r="CM41" s="5">
        <v>0</v>
      </c>
      <c r="CN41" s="4">
        <v>0</v>
      </c>
      <c r="CO41" s="132">
        <f t="shared" si="15"/>
        <v>0</v>
      </c>
      <c r="CP41" s="4" t="s">
        <v>132</v>
      </c>
      <c r="CQ41" s="5">
        <v>0</v>
      </c>
      <c r="CR41" s="4">
        <v>0</v>
      </c>
      <c r="CS41" s="132">
        <f t="shared" si="16"/>
        <v>0</v>
      </c>
      <c r="CT41" s="159">
        <f t="shared" si="17"/>
        <v>0</v>
      </c>
      <c r="CU41" s="168">
        <f t="shared" si="18"/>
        <v>650</v>
      </c>
      <c r="CV41" s="169">
        <f t="shared" si="27"/>
        <v>0</v>
      </c>
      <c r="CW41" s="82">
        <f t="shared" si="28"/>
        <v>600</v>
      </c>
      <c r="CX41" s="79">
        <f>IF(ISBLANK(E41),"AddQuickPay",IF(E41=2,CU41*0.98,IF(E41=2.4,CU41*0.976,IF(E41=3,CU41*0.97,IF(E41=5,CU41*0.95,IF(E41=1.5,CU41*0.985,IF(E41=2.5,CU41*0.975,IF(E41=1.3,CU41*0.987,IF(E41=1,CU41*0.99,IF(E41=4,CU41*0.96,CU41*1))))))))))-Table1[[#This Row],[ComCheck+QuickPayFee]]</f>
        <v>637</v>
      </c>
      <c r="CY41" s="5">
        <f t="shared" si="19"/>
        <v>50</v>
      </c>
      <c r="CZ41" s="5">
        <f t="shared" si="20"/>
        <v>13</v>
      </c>
      <c r="DA41" s="258">
        <f>Table1[[#This Row],[OriginalDispatch]]-Table1[[#This Row],[QuickPayCharge]]</f>
        <v>37</v>
      </c>
      <c r="DB41" s="5">
        <v>0</v>
      </c>
      <c r="DC41" s="5" t="s">
        <v>133</v>
      </c>
      <c r="DD41" s="104">
        <f t="shared" si="21"/>
        <v>42209</v>
      </c>
      <c r="DE41" s="15">
        <f>MONTH(Table1[[#This Row],[Weekending]])</f>
        <v>7</v>
      </c>
      <c r="DF41" s="15">
        <f>YEAR(Table1[[#This Row],[Weekending]])</f>
        <v>2015</v>
      </c>
      <c r="DG41" s="4"/>
    </row>
    <row r="42" spans="1:111">
      <c r="A42" s="20" t="str">
        <f t="shared" si="0"/>
        <v>33555549</v>
      </c>
      <c r="B42" s="146">
        <v>42209</v>
      </c>
      <c r="C42" s="144">
        <v>177951733</v>
      </c>
      <c r="D42" s="298" t="s">
        <v>111</v>
      </c>
      <c r="E42" s="298">
        <v>2</v>
      </c>
      <c r="F42" s="298" t="str">
        <f>INDEX(BrokerTBL!$B:$B,MATCH(D42,BrokerTBL!$A:$A,0))</f>
        <v>P.O. Box 3474</v>
      </c>
      <c r="G42" s="298" t="str">
        <f>INDEX(BrokerTBL!$C:$C,MATCH(D42,BrokerTBL!$A:$A,0))</f>
        <v>Chicago</v>
      </c>
      <c r="H42" s="298" t="str">
        <f>INDEX(BrokerTBL!$D:$D,MATCH(D42,BrokerTBL!$A:$A,0))</f>
        <v>Il</v>
      </c>
      <c r="I42" s="298" t="str">
        <f>INDEX(BrokerTBL!$E:$E,MATCH(D42,BrokerTBL!$A:$A,0))</f>
        <v>US</v>
      </c>
      <c r="J42" s="298">
        <f>INDEX(BrokerTBL!$F:$F,MATCH(D42,BrokerTBL!$A:$A,0))</f>
        <v>60654</v>
      </c>
      <c r="K42" s="298" t="s">
        <v>518</v>
      </c>
      <c r="L42" s="145">
        <v>15355</v>
      </c>
      <c r="M42" s="146">
        <v>42209</v>
      </c>
      <c r="N42" s="182">
        <v>0.5</v>
      </c>
      <c r="O42" s="298" t="s">
        <v>519</v>
      </c>
      <c r="P42" s="298" t="s">
        <v>520</v>
      </c>
      <c r="Q42" s="298" t="s">
        <v>139</v>
      </c>
      <c r="R42" s="298">
        <v>95046</v>
      </c>
      <c r="S42" s="298" t="s">
        <v>118</v>
      </c>
      <c r="T42" s="298" t="s">
        <v>521</v>
      </c>
      <c r="U42" s="298" t="s">
        <v>120</v>
      </c>
      <c r="V42" s="298">
        <v>53</v>
      </c>
      <c r="W42" s="298" t="s">
        <v>522</v>
      </c>
      <c r="X42" s="144">
        <v>44000</v>
      </c>
      <c r="Y42" s="298" t="s">
        <v>26</v>
      </c>
      <c r="Z42" s="298" t="s">
        <v>123</v>
      </c>
      <c r="AA42" s="298">
        <v>24</v>
      </c>
      <c r="AB42" s="298" t="s">
        <v>123</v>
      </c>
      <c r="AC42" s="298" t="s">
        <v>523</v>
      </c>
      <c r="AD42" s="145">
        <v>15355</v>
      </c>
      <c r="AE42" s="146">
        <v>42212</v>
      </c>
      <c r="AF42" s="182">
        <v>0.39583333333333298</v>
      </c>
      <c r="AG42" s="298" t="s">
        <v>524</v>
      </c>
      <c r="AH42" s="298" t="s">
        <v>525</v>
      </c>
      <c r="AI42" s="298" t="s">
        <v>139</v>
      </c>
      <c r="AJ42" s="298">
        <v>95046</v>
      </c>
      <c r="AK42" s="298" t="s">
        <v>118</v>
      </c>
      <c r="AL42" s="298" t="s">
        <v>526</v>
      </c>
      <c r="AM42" s="142" t="str">
        <f>INDEX(CarrierDriverTBL!$B:$B,MATCH(Table1[[#This Row],[DriverID]],CarrierDriverTBL!$A:$A,0))</f>
        <v>UBTrucking</v>
      </c>
      <c r="AN42" s="10" t="s">
        <v>192</v>
      </c>
      <c r="AO42" s="142" t="str">
        <f>INDEX(CarrierDriverTBL!$C:$C,MATCH(Table1[[#This Row],[DriverID]],CarrierDriverTBL!$A:$A,0))</f>
        <v>Albel</v>
      </c>
      <c r="AP42" s="142" t="str">
        <f>INDEX(CarrierDriverTBL!$D:$D,MATCH(Table1[[#This Row],[DriverID]],CarrierDriverTBL!$A:$A,0))</f>
        <v>Chahil</v>
      </c>
      <c r="AQ42" s="142" t="str">
        <f>INDEX(CarrierDriverTBL!$X:$X,MATCH(Table1[[#This Row],[DriverID]],CarrierDriverTBL!$A:$A,0))</f>
        <v>A8390649</v>
      </c>
      <c r="AR42" s="160">
        <f>INDEX(CarrierDriverTBL!$Y:$Y,MATCH(Table1[[#This Row],[DriverID]],CarrierDriverTBL!$A:$A,0))</f>
        <v>42402</v>
      </c>
      <c r="AS42" s="142" t="str">
        <f t="shared" si="1"/>
        <v>GOOD</v>
      </c>
      <c r="AT42" s="160">
        <f>INDEX(CarrierDriverTBL!$E:$E,MATCH(Table1[[#This Row],[DriverID]],CarrierDriverTBL!$A:$A,0))</f>
        <v>22314</v>
      </c>
      <c r="AU42" s="163">
        <f ca="1">INDEX(CarrierDriverTBL!$F:$F,MATCH(Table1[[#This Row],[DriverID]],CarrierDriverTBL!$A:$A,0))</f>
        <v>55.512328767123286</v>
      </c>
      <c r="AV42" s="142" t="str">
        <f>INDEX(CarrierDriverTBL!$K:$K,MATCH(Table1[[#This Row],[DriverID]],CarrierDriverTBL!$A:$A,0))</f>
        <v>510-773-9450</v>
      </c>
      <c r="AW42" s="142" t="str">
        <f>INDEX(CarrierDriverTBL!$M:$M,MATCH(Table1[[#This Row],[DriverID]],CarrierDriverTBL!$A:$A,0))</f>
        <v>3124 Cynthia CT</v>
      </c>
      <c r="AX42" s="142" t="str">
        <f>INDEX(CarrierDriverTBL!$N:$N,MATCH(Table1[[#This Row],[DriverID]],CarrierDriverTBL!$A:$A,0))</f>
        <v>Tracy</v>
      </c>
      <c r="AY42" s="142" t="str">
        <f>INDEX(CarrierDriverTBL!$O:$O,MATCH(Table1[[#This Row],[DriverID]],CarrierDriverTBL!$A:$A,0))</f>
        <v>CA</v>
      </c>
      <c r="AZ42" s="142">
        <f>INDEX(CarrierDriverTBL!$P:$P,MATCH(Table1[[#This Row],[DriverID]],CarrierDriverTBL!$A:$A,0))</f>
        <v>95377</v>
      </c>
      <c r="BA42" s="142" t="str">
        <f>INDEX(CarrierDriverTBL!$Q:$Q,MATCH(Table1[[#This Row],[DriverID]],CarrierDriverTBL!$A:$A,0))</f>
        <v>US</v>
      </c>
      <c r="BB42" s="176" t="str">
        <f>INDEX(CarrierDriverTBL!$R:$R,MATCH(Table1[[#This Row],[DriverID]],CarrierDriverTBL!$A:$A,0))</f>
        <v>ubgollc@gmail.com</v>
      </c>
      <c r="BC42" s="160">
        <f>INDEX(CarrierDriverTBL!$AB:$AB,MATCH(Table1[[#This Row],[DriverID]],CarrierDriverTBL!$A:$A,0))</f>
        <v>42167</v>
      </c>
      <c r="BD42" s="142" t="str">
        <f ca="1">INDEX(CarrierDriverTBL!$AD:$AD,MATCH(LoadMaster!$AN:$AN,CarrierDriverTBL!$A:$A,0))</f>
        <v>MISSING</v>
      </c>
      <c r="BE42" s="142">
        <f>INDEX(CarrierDriverTBL!$AE:$AE,MATCH(Table1[DriverID],CarrierDriverTBL!$A:$A,0))</f>
        <v>913971</v>
      </c>
      <c r="BF42" s="142">
        <f>INDEX(CarrierDriverTBL!$AF:$AF,MATCH(Table1[DriverID],CarrierDriverTBL!$A:$A,0))</f>
        <v>2627544</v>
      </c>
      <c r="BG42" s="142">
        <f>INDEX(CarrierDriverTBL!$AG:$AG,MATCH(Table1[DriverID],CarrierDriverTBL!$A:$A,0))</f>
        <v>466133</v>
      </c>
      <c r="BH42" s="142" t="str">
        <f>INDEX(CarrierDriverTBL!$AH:$AH,MATCH(Table1[DriverID],CarrierDriverTBL!$A:$A,0))</f>
        <v>GM Lawrence Ins</v>
      </c>
      <c r="BI42" s="142" t="str">
        <f>INDEX(CarrierDriverTBL!$AI:$AI,MATCH(Table1[DriverID],CarrierDriverTBL!$A:$A,0))</f>
        <v>DSK2842P160210</v>
      </c>
      <c r="BJ42" s="160">
        <f>INDEX(CarrierDriverTBL!$AJ:$AJ,MATCH(Table1[[#This Row],[DriverID]],CarrierDriverTBL!$A:$A,0))</f>
        <v>42778</v>
      </c>
      <c r="BK42" s="10">
        <f t="shared" si="2"/>
        <v>569</v>
      </c>
      <c r="BL42" s="174">
        <v>600</v>
      </c>
      <c r="BM42" s="144">
        <v>163</v>
      </c>
      <c r="BN42" s="159">
        <f t="shared" si="29"/>
        <v>3.6809815950920246</v>
      </c>
      <c r="BO42" s="167">
        <v>550</v>
      </c>
      <c r="BP42" s="159">
        <f t="shared" si="30"/>
        <v>3.3742331288343559</v>
      </c>
      <c r="BQ42" s="133">
        <v>3.12</v>
      </c>
      <c r="BR42" s="166">
        <f t="shared" si="31"/>
        <v>0.20333333333333337</v>
      </c>
      <c r="BS42" s="167">
        <f t="shared" si="6"/>
        <v>3.1708997955010227</v>
      </c>
      <c r="BT42" s="159">
        <f t="shared" si="7"/>
        <v>33.143333333333338</v>
      </c>
      <c r="BU42" s="10" t="str">
        <f t="shared" si="8"/>
        <v>Ch Robinson</v>
      </c>
      <c r="BV42" s="15"/>
      <c r="BW42" s="4" t="str">
        <f>Table1[[#This Row],[BrokerAddress]]</f>
        <v>P.O. Box 3474</v>
      </c>
      <c r="BX42" s="4" t="str">
        <f t="shared" si="9"/>
        <v>Chicago</v>
      </c>
      <c r="BY42" s="4" t="str">
        <f t="shared" si="10"/>
        <v>Il</v>
      </c>
      <c r="BZ42" s="4">
        <f t="shared" si="11"/>
        <v>60654</v>
      </c>
      <c r="CA42" s="10" t="str">
        <f t="shared" si="12"/>
        <v>US</v>
      </c>
      <c r="CB42" s="15" t="s">
        <v>131</v>
      </c>
      <c r="CC42" s="62"/>
      <c r="CD42" s="15" t="s">
        <v>149</v>
      </c>
      <c r="CE42" s="64">
        <v>40.908999999999999</v>
      </c>
      <c r="CF42" s="4">
        <v>5.5</v>
      </c>
      <c r="CG42" s="132">
        <f t="shared" si="13"/>
        <v>224.99949999999998</v>
      </c>
      <c r="CH42" s="4" t="s">
        <v>132</v>
      </c>
      <c r="CI42" s="5">
        <v>0</v>
      </c>
      <c r="CJ42" s="4">
        <v>0</v>
      </c>
      <c r="CK42" s="132">
        <f t="shared" si="14"/>
        <v>0</v>
      </c>
      <c r="CL42" s="4" t="s">
        <v>132</v>
      </c>
      <c r="CM42" s="5">
        <v>0</v>
      </c>
      <c r="CN42" s="4">
        <v>0</v>
      </c>
      <c r="CO42" s="132">
        <f t="shared" si="15"/>
        <v>0</v>
      </c>
      <c r="CP42" s="4" t="s">
        <v>132</v>
      </c>
      <c r="CQ42" s="5">
        <v>0</v>
      </c>
      <c r="CR42" s="4">
        <v>0</v>
      </c>
      <c r="CS42" s="132">
        <f t="shared" si="16"/>
        <v>0</v>
      </c>
      <c r="CT42" s="159">
        <f t="shared" si="17"/>
        <v>224.99949999999998</v>
      </c>
      <c r="CU42" s="168">
        <f t="shared" si="18"/>
        <v>824.99950000000001</v>
      </c>
      <c r="CV42" s="169">
        <v>200</v>
      </c>
      <c r="CW42" s="82">
        <f t="shared" si="28"/>
        <v>750</v>
      </c>
      <c r="CX42" s="79">
        <f>IF(ISBLANK(E42),"AddQuickPay",IF(E42=2,CU42*0.98,IF(E42=2.4,CU42*0.976,IF(E42=3,CU42*0.97,IF(E42=5,CU42*0.95,IF(E42=1.5,CU42*0.985,IF(E42=2.5,CU42*0.975,IF(E42=1.3,CU42*0.987,IF(E42=1,CU42*0.99,IF(E42=4,CU42*0.96,CU42*1))))))))))-Table1[[#This Row],[ComCheck+QuickPayFee]]</f>
        <v>808.49950999999999</v>
      </c>
      <c r="CY42" s="5">
        <f t="shared" si="19"/>
        <v>74.999500000000012</v>
      </c>
      <c r="CZ42" s="5">
        <f t="shared" si="20"/>
        <v>16.49999</v>
      </c>
      <c r="DA42" s="258">
        <f>Table1[[#This Row],[OriginalDispatch]]-Table1[[#This Row],[QuickPayCharge]]</f>
        <v>58.499510000000015</v>
      </c>
      <c r="DB42" s="5">
        <v>0</v>
      </c>
      <c r="DC42" s="5" t="s">
        <v>133</v>
      </c>
      <c r="DD42" s="104">
        <f t="shared" si="21"/>
        <v>42209</v>
      </c>
      <c r="DE42" s="15">
        <f>MONTH(Table1[[#This Row],[Weekending]])</f>
        <v>7</v>
      </c>
      <c r="DF42" s="15">
        <f>YEAR(Table1[[#This Row],[Weekending]])</f>
        <v>2015</v>
      </c>
      <c r="DG42" s="4" t="s">
        <v>527</v>
      </c>
    </row>
    <row r="43" spans="1:111">
      <c r="A43" s="20" t="str">
        <f t="shared" si="0"/>
        <v>51484849</v>
      </c>
      <c r="B43" s="146">
        <v>42213</v>
      </c>
      <c r="C43" s="144">
        <v>10957051</v>
      </c>
      <c r="D43" s="298" t="s">
        <v>196</v>
      </c>
      <c r="E43" s="298">
        <v>2</v>
      </c>
      <c r="F43" s="298" t="str">
        <f>INDEX(BrokerTBL!$B:$B,MATCH(D43,BrokerTBL!$A:$A,0))</f>
        <v>Po Box 1147</v>
      </c>
      <c r="G43" s="298" t="str">
        <f>INDEX(BrokerTBL!$C:$C,MATCH(D43,BrokerTBL!$A:$A,0))</f>
        <v>Medford</v>
      </c>
      <c r="H43" s="298" t="str">
        <f>INDEX(BrokerTBL!$D:$D,MATCH(D43,BrokerTBL!$A:$A,0))</f>
        <v>Or</v>
      </c>
      <c r="I43" s="298" t="str">
        <f>INDEX(BrokerTBL!$E:$E,MATCH(D43,BrokerTBL!$A:$A,0))</f>
        <v>US</v>
      </c>
      <c r="J43" s="298">
        <f>INDEX(BrokerTBL!$F:$F,MATCH(D43,BrokerTBL!$A:$A,0))</f>
        <v>97501</v>
      </c>
      <c r="K43" s="298" t="s">
        <v>528</v>
      </c>
      <c r="L43" s="145" t="s">
        <v>529</v>
      </c>
      <c r="M43" s="146">
        <v>42212</v>
      </c>
      <c r="N43" s="182">
        <v>0.61458333333333304</v>
      </c>
      <c r="O43" s="298" t="s">
        <v>530</v>
      </c>
      <c r="P43" s="298" t="s">
        <v>531</v>
      </c>
      <c r="Q43" s="298" t="s">
        <v>139</v>
      </c>
      <c r="R43" s="298">
        <v>94577</v>
      </c>
      <c r="S43" s="298" t="s">
        <v>118</v>
      </c>
      <c r="T43" s="298" t="s">
        <v>532</v>
      </c>
      <c r="U43" s="298" t="s">
        <v>120</v>
      </c>
      <c r="V43" s="298">
        <v>53</v>
      </c>
      <c r="W43" s="298" t="s">
        <v>533</v>
      </c>
      <c r="X43" s="144" t="s">
        <v>136</v>
      </c>
      <c r="Y43" s="298" t="s">
        <v>123</v>
      </c>
      <c r="Z43" s="298" t="s">
        <v>123</v>
      </c>
      <c r="AA43" s="298" t="s">
        <v>123</v>
      </c>
      <c r="AB43" s="298" t="s">
        <v>123</v>
      </c>
      <c r="AC43" s="298" t="s">
        <v>534</v>
      </c>
      <c r="AD43" s="145" t="s">
        <v>529</v>
      </c>
      <c r="AE43" s="146">
        <v>42213</v>
      </c>
      <c r="AF43" s="182">
        <v>0.33333333333333298</v>
      </c>
      <c r="AG43" s="298" t="s">
        <v>535</v>
      </c>
      <c r="AH43" s="298" t="s">
        <v>536</v>
      </c>
      <c r="AI43" s="298" t="s">
        <v>139</v>
      </c>
      <c r="AJ43" s="298">
        <v>95963</v>
      </c>
      <c r="AK43" s="298" t="s">
        <v>118</v>
      </c>
      <c r="AL43" s="298" t="s">
        <v>537</v>
      </c>
      <c r="AM43" s="142" t="str">
        <f>INDEX(CarrierDriverTBL!$B:$B,MATCH(Table1[[#This Row],[DriverID]],CarrierDriverTBL!$A:$A,0))</f>
        <v>UBTrucking</v>
      </c>
      <c r="AN43" s="10" t="s">
        <v>192</v>
      </c>
      <c r="AO43" s="142" t="str">
        <f>INDEX(CarrierDriverTBL!$C:$C,MATCH(Table1[[#This Row],[DriverID]],CarrierDriverTBL!$A:$A,0))</f>
        <v>Albel</v>
      </c>
      <c r="AP43" s="142" t="str">
        <f>INDEX(CarrierDriverTBL!$D:$D,MATCH(Table1[[#This Row],[DriverID]],CarrierDriverTBL!$A:$A,0))</f>
        <v>Chahil</v>
      </c>
      <c r="AQ43" s="142" t="str">
        <f>INDEX(CarrierDriverTBL!$X:$X,MATCH(Table1[[#This Row],[DriverID]],CarrierDriverTBL!$A:$A,0))</f>
        <v>A8390649</v>
      </c>
      <c r="AR43" s="160">
        <f>INDEX(CarrierDriverTBL!$Y:$Y,MATCH(Table1[[#This Row],[DriverID]],CarrierDriverTBL!$A:$A,0))</f>
        <v>42402</v>
      </c>
      <c r="AS43" s="142" t="str">
        <f t="shared" si="1"/>
        <v>GOOD</v>
      </c>
      <c r="AT43" s="160">
        <f>INDEX(CarrierDriverTBL!$E:$E,MATCH(Table1[[#This Row],[DriverID]],CarrierDriverTBL!$A:$A,0))</f>
        <v>22314</v>
      </c>
      <c r="AU43" s="163">
        <f ca="1">INDEX(CarrierDriverTBL!$F:$F,MATCH(Table1[[#This Row],[DriverID]],CarrierDriverTBL!$A:$A,0))</f>
        <v>55.512328767123286</v>
      </c>
      <c r="AV43" s="142" t="str">
        <f>INDEX(CarrierDriverTBL!$K:$K,MATCH(Table1[[#This Row],[DriverID]],CarrierDriverTBL!$A:$A,0))</f>
        <v>510-773-9450</v>
      </c>
      <c r="AW43" s="142" t="str">
        <f>INDEX(CarrierDriverTBL!$M:$M,MATCH(Table1[[#This Row],[DriverID]],CarrierDriverTBL!$A:$A,0))</f>
        <v>3124 Cynthia CT</v>
      </c>
      <c r="AX43" s="142" t="str">
        <f>INDEX(CarrierDriverTBL!$N:$N,MATCH(Table1[[#This Row],[DriverID]],CarrierDriverTBL!$A:$A,0))</f>
        <v>Tracy</v>
      </c>
      <c r="AY43" s="142" t="str">
        <f>INDEX(CarrierDriverTBL!$O:$O,MATCH(Table1[[#This Row],[DriverID]],CarrierDriverTBL!$A:$A,0))</f>
        <v>CA</v>
      </c>
      <c r="AZ43" s="142">
        <f>INDEX(CarrierDriverTBL!$P:$P,MATCH(Table1[[#This Row],[DriverID]],CarrierDriverTBL!$A:$A,0))</f>
        <v>95377</v>
      </c>
      <c r="BA43" s="142" t="str">
        <f>INDEX(CarrierDriverTBL!$Q:$Q,MATCH(Table1[[#This Row],[DriverID]],CarrierDriverTBL!$A:$A,0))</f>
        <v>US</v>
      </c>
      <c r="BB43" s="176" t="str">
        <f>INDEX(CarrierDriverTBL!$R:$R,MATCH(Table1[[#This Row],[DriverID]],CarrierDriverTBL!$A:$A,0))</f>
        <v>ubgollc@gmail.com</v>
      </c>
      <c r="BC43" s="160">
        <f>INDEX(CarrierDriverTBL!$AB:$AB,MATCH(Table1[[#This Row],[DriverID]],CarrierDriverTBL!$A:$A,0))</f>
        <v>42167</v>
      </c>
      <c r="BD43" s="142" t="str">
        <f ca="1">INDEX(CarrierDriverTBL!$AD:$AD,MATCH(LoadMaster!$AN:$AN,CarrierDriverTBL!$A:$A,0))</f>
        <v>MISSING</v>
      </c>
      <c r="BE43" s="142">
        <f>INDEX(CarrierDriverTBL!$AE:$AE,MATCH(Table1[DriverID],CarrierDriverTBL!$A:$A,0))</f>
        <v>913971</v>
      </c>
      <c r="BF43" s="142">
        <f>INDEX(CarrierDriverTBL!$AF:$AF,MATCH(Table1[DriverID],CarrierDriverTBL!$A:$A,0))</f>
        <v>2627544</v>
      </c>
      <c r="BG43" s="142">
        <f>INDEX(CarrierDriverTBL!$AG:$AG,MATCH(Table1[DriverID],CarrierDriverTBL!$A:$A,0))</f>
        <v>466133</v>
      </c>
      <c r="BH43" s="142" t="str">
        <f>INDEX(CarrierDriverTBL!$AH:$AH,MATCH(Table1[DriverID],CarrierDriverTBL!$A:$A,0))</f>
        <v>GM Lawrence Ins</v>
      </c>
      <c r="BI43" s="142" t="str">
        <f>INDEX(CarrierDriverTBL!$AI:$AI,MATCH(Table1[DriverID],CarrierDriverTBL!$A:$A,0))</f>
        <v>DSK2842P160210</v>
      </c>
      <c r="BJ43" s="160">
        <f>INDEX(CarrierDriverTBL!$AJ:$AJ,MATCH(Table1[[#This Row],[DriverID]],CarrierDriverTBL!$A:$A,0))</f>
        <v>42778</v>
      </c>
      <c r="BK43" s="10">
        <f t="shared" si="2"/>
        <v>566</v>
      </c>
      <c r="BL43" s="174">
        <v>650</v>
      </c>
      <c r="BM43" s="144">
        <v>175</v>
      </c>
      <c r="BN43" s="159">
        <f t="shared" si="29"/>
        <v>3.7142857142857144</v>
      </c>
      <c r="BO43" s="167">
        <v>600</v>
      </c>
      <c r="BP43" s="159">
        <f t="shared" si="30"/>
        <v>3.4285714285714284</v>
      </c>
      <c r="BQ43" s="133">
        <v>3.12</v>
      </c>
      <c r="BR43" s="166">
        <f t="shared" si="31"/>
        <v>0.20333333333333337</v>
      </c>
      <c r="BS43" s="167">
        <f t="shared" si="6"/>
        <v>3.2252380952380948</v>
      </c>
      <c r="BT43" s="159">
        <f t="shared" si="7"/>
        <v>35.583333333333336</v>
      </c>
      <c r="BU43" s="10" t="str">
        <f t="shared" si="8"/>
        <v>Uti</v>
      </c>
      <c r="BV43" s="15">
        <v>18005472053</v>
      </c>
      <c r="BW43" s="4" t="str">
        <f>Table1[[#This Row],[BrokerAddress]]</f>
        <v>Po Box 1147</v>
      </c>
      <c r="BX43" s="4" t="str">
        <f t="shared" si="9"/>
        <v>Medford</v>
      </c>
      <c r="BY43" s="4" t="str">
        <f t="shared" si="10"/>
        <v>Or</v>
      </c>
      <c r="BZ43" s="4">
        <f t="shared" si="11"/>
        <v>97501</v>
      </c>
      <c r="CA43" s="10" t="str">
        <f t="shared" si="12"/>
        <v>US</v>
      </c>
      <c r="CB43" s="15" t="s">
        <v>538</v>
      </c>
      <c r="CC43" s="62"/>
      <c r="CD43" s="15" t="s">
        <v>539</v>
      </c>
      <c r="CE43" s="64">
        <v>0</v>
      </c>
      <c r="CF43" s="4">
        <v>0.45</v>
      </c>
      <c r="CG43" s="132">
        <f t="shared" si="13"/>
        <v>0</v>
      </c>
      <c r="CH43" s="4" t="s">
        <v>132</v>
      </c>
      <c r="CI43" s="5">
        <v>0</v>
      </c>
      <c r="CJ43" s="4">
        <v>0</v>
      </c>
      <c r="CK43" s="132">
        <f t="shared" si="14"/>
        <v>0</v>
      </c>
      <c r="CL43" s="4" t="s">
        <v>132</v>
      </c>
      <c r="CM43" s="5">
        <v>0</v>
      </c>
      <c r="CN43" s="4">
        <v>0</v>
      </c>
      <c r="CO43" s="132">
        <f t="shared" si="15"/>
        <v>0</v>
      </c>
      <c r="CP43" s="4" t="s">
        <v>132</v>
      </c>
      <c r="CQ43" s="5">
        <v>0</v>
      </c>
      <c r="CR43" s="4">
        <v>0</v>
      </c>
      <c r="CS43" s="132">
        <f t="shared" si="16"/>
        <v>0</v>
      </c>
      <c r="CT43" s="159">
        <f t="shared" si="17"/>
        <v>0</v>
      </c>
      <c r="CU43" s="168">
        <f t="shared" si="18"/>
        <v>650</v>
      </c>
      <c r="CV43" s="169">
        <f t="shared" ref="CV43:CV70" si="32">(100*CT43)/100</f>
        <v>0</v>
      </c>
      <c r="CW43" s="82">
        <f t="shared" si="28"/>
        <v>600</v>
      </c>
      <c r="CX43" s="79">
        <f>IF(ISBLANK(E43),"AddQuickPay",IF(E43=2,CU43*0.98,IF(E43=2.4,CU43*0.976,IF(E43=3,CU43*0.97,IF(E43=5,CU43*0.95,IF(E43=1.5,CU43*0.985,IF(E43=2.5,CU43*0.975,IF(E43=1.3,CU43*0.987,IF(E43=1,CU43*0.99,IF(E43=4,CU43*0.96,CU43*1))))))))))-Table1[[#This Row],[ComCheck+QuickPayFee]]</f>
        <v>637</v>
      </c>
      <c r="CY43" s="5">
        <f t="shared" si="19"/>
        <v>50</v>
      </c>
      <c r="CZ43" s="5">
        <f t="shared" si="20"/>
        <v>13</v>
      </c>
      <c r="DA43" s="258">
        <f>Table1[[#This Row],[OriginalDispatch]]-Table1[[#This Row],[QuickPayCharge]]</f>
        <v>37</v>
      </c>
      <c r="DB43" s="5">
        <v>0</v>
      </c>
      <c r="DC43" s="5" t="s">
        <v>133</v>
      </c>
      <c r="DD43" s="104">
        <f t="shared" si="21"/>
        <v>42216</v>
      </c>
      <c r="DE43" s="15">
        <f>MONTH(Table1[[#This Row],[Weekending]])</f>
        <v>7</v>
      </c>
      <c r="DF43" s="15">
        <f>YEAR(Table1[[#This Row],[Weekending]])</f>
        <v>2015</v>
      </c>
      <c r="DG43" s="29" t="s">
        <v>540</v>
      </c>
    </row>
    <row r="44" spans="1:111">
      <c r="A44" s="20" t="str">
        <f t="shared" si="0"/>
        <v>38868649</v>
      </c>
      <c r="B44" s="146">
        <v>42212</v>
      </c>
      <c r="C44" s="144">
        <v>178040538</v>
      </c>
      <c r="D44" s="298" t="s">
        <v>111</v>
      </c>
      <c r="E44" s="298">
        <v>2</v>
      </c>
      <c r="F44" s="298" t="str">
        <f>INDEX(BrokerTBL!$B:$B,MATCH(D44,BrokerTBL!$A:$A,0))</f>
        <v>P.O. Box 3474</v>
      </c>
      <c r="G44" s="298" t="str">
        <f>INDEX(BrokerTBL!$C:$C,MATCH(D44,BrokerTBL!$A:$A,0))</f>
        <v>Chicago</v>
      </c>
      <c r="H44" s="298" t="str">
        <f>INDEX(BrokerTBL!$D:$D,MATCH(D44,BrokerTBL!$A:$A,0))</f>
        <v>Il</v>
      </c>
      <c r="I44" s="298" t="str">
        <f>INDEX(BrokerTBL!$E:$E,MATCH(D44,BrokerTBL!$A:$A,0))</f>
        <v>US</v>
      </c>
      <c r="J44" s="298">
        <f>INDEX(BrokerTBL!$F:$F,MATCH(D44,BrokerTBL!$A:$A,0))</f>
        <v>60654</v>
      </c>
      <c r="K44" s="298" t="s">
        <v>541</v>
      </c>
      <c r="L44" s="145">
        <v>20586</v>
      </c>
      <c r="M44" s="146">
        <v>42212</v>
      </c>
      <c r="N44" s="144" t="s">
        <v>542</v>
      </c>
      <c r="O44" s="298" t="s">
        <v>543</v>
      </c>
      <c r="P44" s="298" t="s">
        <v>414</v>
      </c>
      <c r="Q44" s="298" t="s">
        <v>139</v>
      </c>
      <c r="R44" s="298">
        <v>95076</v>
      </c>
      <c r="S44" s="298" t="s">
        <v>118</v>
      </c>
      <c r="T44" s="298" t="s">
        <v>136</v>
      </c>
      <c r="U44" s="298" t="s">
        <v>120</v>
      </c>
      <c r="V44" s="298">
        <v>53</v>
      </c>
      <c r="W44" s="298" t="s">
        <v>544</v>
      </c>
      <c r="X44" s="144">
        <v>3900</v>
      </c>
      <c r="Y44" s="298" t="s">
        <v>337</v>
      </c>
      <c r="Z44" s="298">
        <v>192</v>
      </c>
      <c r="AA44" s="298">
        <v>2</v>
      </c>
      <c r="AB44" s="298" t="s">
        <v>123</v>
      </c>
      <c r="AC44" s="298" t="s">
        <v>545</v>
      </c>
      <c r="AD44" s="145">
        <v>20586</v>
      </c>
      <c r="AE44" s="146">
        <v>42212</v>
      </c>
      <c r="AF44" s="182">
        <v>0.5625</v>
      </c>
      <c r="AG44" s="298" t="s">
        <v>546</v>
      </c>
      <c r="AH44" s="298" t="s">
        <v>547</v>
      </c>
      <c r="AI44" s="298" t="s">
        <v>139</v>
      </c>
      <c r="AJ44" s="298">
        <v>94608</v>
      </c>
      <c r="AK44" s="298" t="s">
        <v>118</v>
      </c>
      <c r="AL44" s="298" t="s">
        <v>123</v>
      </c>
      <c r="AM44" s="142" t="str">
        <f>INDEX(CarrierDriverTBL!$B:$B,MATCH(Table1[[#This Row],[DriverID]],CarrierDriverTBL!$A:$A,0))</f>
        <v>UBTrucking</v>
      </c>
      <c r="AN44" s="10" t="s">
        <v>192</v>
      </c>
      <c r="AO44" s="142" t="str">
        <f>INDEX(CarrierDriverTBL!$C:$C,MATCH(Table1[[#This Row],[DriverID]],CarrierDriverTBL!$A:$A,0))</f>
        <v>Albel</v>
      </c>
      <c r="AP44" s="142" t="str">
        <f>INDEX(CarrierDriverTBL!$D:$D,MATCH(Table1[[#This Row],[DriverID]],CarrierDriverTBL!$A:$A,0))</f>
        <v>Chahil</v>
      </c>
      <c r="AQ44" s="142" t="str">
        <f>INDEX(CarrierDriverTBL!$X:$X,MATCH(Table1[[#This Row],[DriverID]],CarrierDriverTBL!$A:$A,0))</f>
        <v>A8390649</v>
      </c>
      <c r="AR44" s="160">
        <f>INDEX(CarrierDriverTBL!$Y:$Y,MATCH(Table1[[#This Row],[DriverID]],CarrierDriverTBL!$A:$A,0))</f>
        <v>42402</v>
      </c>
      <c r="AS44" s="142" t="str">
        <f t="shared" si="1"/>
        <v>GOOD</v>
      </c>
      <c r="AT44" s="160">
        <f>INDEX(CarrierDriverTBL!$E:$E,MATCH(Table1[[#This Row],[DriverID]],CarrierDriverTBL!$A:$A,0))</f>
        <v>22314</v>
      </c>
      <c r="AU44" s="163">
        <f ca="1">INDEX(CarrierDriverTBL!$F:$F,MATCH(Table1[[#This Row],[DriverID]],CarrierDriverTBL!$A:$A,0))</f>
        <v>55.512328767123286</v>
      </c>
      <c r="AV44" s="142" t="str">
        <f>INDEX(CarrierDriverTBL!$K:$K,MATCH(Table1[[#This Row],[DriverID]],CarrierDriverTBL!$A:$A,0))</f>
        <v>510-773-9450</v>
      </c>
      <c r="AW44" s="142" t="str">
        <f>INDEX(CarrierDriverTBL!$M:$M,MATCH(Table1[[#This Row],[DriverID]],CarrierDriverTBL!$A:$A,0))</f>
        <v>3124 Cynthia CT</v>
      </c>
      <c r="AX44" s="142" t="str">
        <f>INDEX(CarrierDriverTBL!$N:$N,MATCH(Table1[[#This Row],[DriverID]],CarrierDriverTBL!$A:$A,0))</f>
        <v>Tracy</v>
      </c>
      <c r="AY44" s="142" t="str">
        <f>INDEX(CarrierDriverTBL!$O:$O,MATCH(Table1[[#This Row],[DriverID]],CarrierDriverTBL!$A:$A,0))</f>
        <v>CA</v>
      </c>
      <c r="AZ44" s="142">
        <f>INDEX(CarrierDriverTBL!$P:$P,MATCH(Table1[[#This Row],[DriverID]],CarrierDriverTBL!$A:$A,0))</f>
        <v>95377</v>
      </c>
      <c r="BA44" s="142" t="str">
        <f>INDEX(CarrierDriverTBL!$Q:$Q,MATCH(Table1[[#This Row],[DriverID]],CarrierDriverTBL!$A:$A,0))</f>
        <v>US</v>
      </c>
      <c r="BB44" s="176" t="str">
        <f>INDEX(CarrierDriverTBL!$R:$R,MATCH(Table1[[#This Row],[DriverID]],CarrierDriverTBL!$A:$A,0))</f>
        <v>ubgollc@gmail.com</v>
      </c>
      <c r="BC44" s="160">
        <f>INDEX(CarrierDriverTBL!$AB:$AB,MATCH(Table1[[#This Row],[DriverID]],CarrierDriverTBL!$A:$A,0))</f>
        <v>42167</v>
      </c>
      <c r="BD44" s="142" t="str">
        <f ca="1">INDEX(CarrierDriverTBL!$AD:$AD,MATCH(LoadMaster!$AN:$AN,CarrierDriverTBL!$A:$A,0))</f>
        <v>MISSING</v>
      </c>
      <c r="BE44" s="142">
        <f>INDEX(CarrierDriverTBL!$AE:$AE,MATCH(Table1[DriverID],CarrierDriverTBL!$A:$A,0))</f>
        <v>913971</v>
      </c>
      <c r="BF44" s="142">
        <f>INDEX(CarrierDriverTBL!$AF:$AF,MATCH(Table1[DriverID],CarrierDriverTBL!$A:$A,0))</f>
        <v>2627544</v>
      </c>
      <c r="BG44" s="142">
        <f>INDEX(CarrierDriverTBL!$AG:$AG,MATCH(Table1[DriverID],CarrierDriverTBL!$A:$A,0))</f>
        <v>466133</v>
      </c>
      <c r="BH44" s="142" t="str">
        <f>INDEX(CarrierDriverTBL!$AH:$AH,MATCH(Table1[DriverID],CarrierDriverTBL!$A:$A,0))</f>
        <v>GM Lawrence Ins</v>
      </c>
      <c r="BI44" s="142" t="str">
        <f>INDEX(CarrierDriverTBL!$AI:$AI,MATCH(Table1[DriverID],CarrierDriverTBL!$A:$A,0))</f>
        <v>DSK2842P160210</v>
      </c>
      <c r="BJ44" s="160">
        <f>INDEX(CarrierDriverTBL!$AJ:$AJ,MATCH(Table1[[#This Row],[DriverID]],CarrierDriverTBL!$A:$A,0))</f>
        <v>42778</v>
      </c>
      <c r="BK44" s="10">
        <f t="shared" si="2"/>
        <v>566</v>
      </c>
      <c r="BL44" s="174">
        <v>400</v>
      </c>
      <c r="BM44" s="144">
        <v>90</v>
      </c>
      <c r="BN44" s="159">
        <f t="shared" si="29"/>
        <v>4.4444444444444446</v>
      </c>
      <c r="BO44" s="167">
        <v>350</v>
      </c>
      <c r="BP44" s="159">
        <f t="shared" si="30"/>
        <v>3.8888888888888888</v>
      </c>
      <c r="BQ44" s="133">
        <v>3.12</v>
      </c>
      <c r="BR44" s="166">
        <f t="shared" si="31"/>
        <v>0.20333333333333337</v>
      </c>
      <c r="BS44" s="167">
        <f t="shared" si="6"/>
        <v>3.6855555555555553</v>
      </c>
      <c r="BT44" s="159">
        <f t="shared" si="7"/>
        <v>18.300000000000004</v>
      </c>
      <c r="BU44" s="10" t="str">
        <f t="shared" si="8"/>
        <v>Ch Robinson</v>
      </c>
      <c r="BV44" s="15"/>
      <c r="BW44" s="4" t="str">
        <f>Table1[[#This Row],[BrokerAddress]]</f>
        <v>P.O. Box 3474</v>
      </c>
      <c r="BX44" s="4" t="str">
        <f t="shared" si="9"/>
        <v>Chicago</v>
      </c>
      <c r="BY44" s="4" t="str">
        <f t="shared" si="10"/>
        <v>Il</v>
      </c>
      <c r="BZ44" s="4">
        <f t="shared" si="11"/>
        <v>60654</v>
      </c>
      <c r="CA44" s="10" t="str">
        <f t="shared" si="12"/>
        <v>US</v>
      </c>
      <c r="CB44" s="15" t="s">
        <v>131</v>
      </c>
      <c r="CC44" s="62"/>
      <c r="CD44" s="15" t="s">
        <v>132</v>
      </c>
      <c r="CE44" s="64">
        <v>0</v>
      </c>
      <c r="CF44" s="4">
        <v>0</v>
      </c>
      <c r="CG44" s="132">
        <f t="shared" si="13"/>
        <v>0</v>
      </c>
      <c r="CH44" s="4" t="s">
        <v>132</v>
      </c>
      <c r="CI44" s="5">
        <v>0</v>
      </c>
      <c r="CJ44" s="4">
        <v>0</v>
      </c>
      <c r="CK44" s="132">
        <f t="shared" si="14"/>
        <v>0</v>
      </c>
      <c r="CL44" s="4" t="s">
        <v>132</v>
      </c>
      <c r="CM44" s="5">
        <v>0</v>
      </c>
      <c r="CN44" s="4">
        <v>0</v>
      </c>
      <c r="CO44" s="132">
        <f t="shared" si="15"/>
        <v>0</v>
      </c>
      <c r="CP44" s="4" t="s">
        <v>132</v>
      </c>
      <c r="CQ44" s="5">
        <v>0</v>
      </c>
      <c r="CR44" s="4">
        <v>0</v>
      </c>
      <c r="CS44" s="132">
        <f t="shared" si="16"/>
        <v>0</v>
      </c>
      <c r="CT44" s="159">
        <f t="shared" si="17"/>
        <v>0</v>
      </c>
      <c r="CU44" s="168">
        <f t="shared" si="18"/>
        <v>400</v>
      </c>
      <c r="CV44" s="169">
        <f t="shared" si="32"/>
        <v>0</v>
      </c>
      <c r="CW44" s="82">
        <f t="shared" si="28"/>
        <v>350</v>
      </c>
      <c r="CX44" s="79">
        <f>IF(ISBLANK(E44),"AddQuickPay",IF(E44=2,CU44*0.98,IF(E44=2.4,CU44*0.976,IF(E44=3,CU44*0.97,IF(E44=5,CU44*0.95,IF(E44=1.5,CU44*0.985,IF(E44=2.5,CU44*0.975,IF(E44=1.3,CU44*0.987,IF(E44=1,CU44*0.99,IF(E44=4,CU44*0.96,CU44*1))))))))))-Table1[[#This Row],[ComCheck+QuickPayFee]]</f>
        <v>392</v>
      </c>
      <c r="CY44" s="5">
        <f t="shared" si="19"/>
        <v>50</v>
      </c>
      <c r="CZ44" s="5">
        <f t="shared" si="20"/>
        <v>8</v>
      </c>
      <c r="DA44" s="258">
        <f>Table1[[#This Row],[OriginalDispatch]]-Table1[[#This Row],[QuickPayCharge]]</f>
        <v>42</v>
      </c>
      <c r="DB44" s="5">
        <v>0</v>
      </c>
      <c r="DC44" s="5" t="s">
        <v>133</v>
      </c>
      <c r="DD44" s="104">
        <f t="shared" si="21"/>
        <v>42216</v>
      </c>
      <c r="DE44" s="15">
        <f>MONTH(Table1[[#This Row],[Weekending]])</f>
        <v>7</v>
      </c>
      <c r="DF44" s="15">
        <f>YEAR(Table1[[#This Row],[Weekending]])</f>
        <v>2015</v>
      </c>
      <c r="DG44" s="4"/>
    </row>
    <row r="45" spans="1:111">
      <c r="A45" s="20" t="str">
        <f t="shared" si="0"/>
        <v>44444449</v>
      </c>
      <c r="B45" s="146">
        <v>42214</v>
      </c>
      <c r="C45" s="144">
        <v>706744</v>
      </c>
      <c r="D45" s="298" t="s">
        <v>548</v>
      </c>
      <c r="E45" s="144">
        <v>1.5</v>
      </c>
      <c r="F45" s="298" t="str">
        <f>INDEX(BrokerTBL!$B:$B,MATCH(D45,BrokerTBL!$A:$A,0))</f>
        <v>Po Box 681044</v>
      </c>
      <c r="G45" s="298" t="str">
        <f>INDEX(BrokerTBL!$C:$C,MATCH(D45,BrokerTBL!$A:$A,0))</f>
        <v>Indianapolis</v>
      </c>
      <c r="H45" s="298" t="str">
        <f>INDEX(BrokerTBL!$D:$D,MATCH(D45,BrokerTBL!$A:$A,0))</f>
        <v>In</v>
      </c>
      <c r="I45" s="298" t="str">
        <f>INDEX(BrokerTBL!$E:$E,MATCH(D45,BrokerTBL!$A:$A,0))</f>
        <v>US</v>
      </c>
      <c r="J45" s="298">
        <f>INDEX(BrokerTBL!$F:$F,MATCH(D45,BrokerTBL!$A:$A,0))</f>
        <v>46268</v>
      </c>
      <c r="K45" s="298" t="s">
        <v>549</v>
      </c>
      <c r="L45" s="145">
        <v>706744</v>
      </c>
      <c r="M45" s="146">
        <v>42214</v>
      </c>
      <c r="N45" s="182">
        <v>0.45833333333333298</v>
      </c>
      <c r="O45" s="298" t="s">
        <v>550</v>
      </c>
      <c r="P45" s="298" t="s">
        <v>184</v>
      </c>
      <c r="Q45" s="298" t="s">
        <v>139</v>
      </c>
      <c r="R45" s="298">
        <v>95206</v>
      </c>
      <c r="S45" s="298" t="s">
        <v>118</v>
      </c>
      <c r="T45" s="298" t="s">
        <v>136</v>
      </c>
      <c r="U45" s="298" t="s">
        <v>120</v>
      </c>
      <c r="V45" s="298">
        <v>53</v>
      </c>
      <c r="W45" s="298" t="s">
        <v>136</v>
      </c>
      <c r="X45" s="144">
        <v>27360</v>
      </c>
      <c r="Y45" s="298" t="s">
        <v>26</v>
      </c>
      <c r="Z45" s="298" t="s">
        <v>123</v>
      </c>
      <c r="AA45" s="298" t="s">
        <v>123</v>
      </c>
      <c r="AB45" s="298" t="s">
        <v>123</v>
      </c>
      <c r="AC45" s="298" t="s">
        <v>551</v>
      </c>
      <c r="AD45" s="145">
        <v>706744</v>
      </c>
      <c r="AE45" s="146">
        <v>42214</v>
      </c>
      <c r="AF45" s="182">
        <v>0.875</v>
      </c>
      <c r="AG45" s="298" t="s">
        <v>552</v>
      </c>
      <c r="AH45" s="298" t="s">
        <v>470</v>
      </c>
      <c r="AI45" s="298" t="s">
        <v>139</v>
      </c>
      <c r="AJ45" s="298">
        <v>939014516</v>
      </c>
      <c r="AK45" s="298" t="s">
        <v>118</v>
      </c>
      <c r="AL45" s="298" t="s">
        <v>123</v>
      </c>
      <c r="AM45" s="142" t="str">
        <f>INDEX(CarrierDriverTBL!$B:$B,MATCH(Table1[[#This Row],[DriverID]],CarrierDriverTBL!$A:$A,0))</f>
        <v>UBTrucking</v>
      </c>
      <c r="AN45" s="10" t="s">
        <v>192</v>
      </c>
      <c r="AO45" s="142" t="str">
        <f>INDEX(CarrierDriverTBL!$C:$C,MATCH(Table1[[#This Row],[DriverID]],CarrierDriverTBL!$A:$A,0))</f>
        <v>Albel</v>
      </c>
      <c r="AP45" s="142" t="str">
        <f>INDEX(CarrierDriverTBL!$D:$D,MATCH(Table1[[#This Row],[DriverID]],CarrierDriverTBL!$A:$A,0))</f>
        <v>Chahil</v>
      </c>
      <c r="AQ45" s="142" t="str">
        <f>INDEX(CarrierDriverTBL!$X:$X,MATCH(Table1[[#This Row],[DriverID]],CarrierDriverTBL!$A:$A,0))</f>
        <v>A8390649</v>
      </c>
      <c r="AR45" s="160">
        <f>INDEX(CarrierDriverTBL!$Y:$Y,MATCH(Table1[[#This Row],[DriverID]],CarrierDriverTBL!$A:$A,0))</f>
        <v>42402</v>
      </c>
      <c r="AS45" s="142" t="str">
        <f t="shared" si="1"/>
        <v>GOOD</v>
      </c>
      <c r="AT45" s="160">
        <f>INDEX(CarrierDriverTBL!$E:$E,MATCH(Table1[[#This Row],[DriverID]],CarrierDriverTBL!$A:$A,0))</f>
        <v>22314</v>
      </c>
      <c r="AU45" s="163">
        <f ca="1">INDEX(CarrierDriverTBL!$F:$F,MATCH(Table1[[#This Row],[DriverID]],CarrierDriverTBL!$A:$A,0))</f>
        <v>55.512328767123286</v>
      </c>
      <c r="AV45" s="142" t="str">
        <f>INDEX(CarrierDriverTBL!$K:$K,MATCH(Table1[[#This Row],[DriverID]],CarrierDriverTBL!$A:$A,0))</f>
        <v>510-773-9450</v>
      </c>
      <c r="AW45" s="142" t="str">
        <f>INDEX(CarrierDriverTBL!$M:$M,MATCH(Table1[[#This Row],[DriverID]],CarrierDriverTBL!$A:$A,0))</f>
        <v>3124 Cynthia CT</v>
      </c>
      <c r="AX45" s="142" t="str">
        <f>INDEX(CarrierDriverTBL!$N:$N,MATCH(Table1[[#This Row],[DriverID]],CarrierDriverTBL!$A:$A,0))</f>
        <v>Tracy</v>
      </c>
      <c r="AY45" s="142" t="str">
        <f>INDEX(CarrierDriverTBL!$O:$O,MATCH(Table1[[#This Row],[DriverID]],CarrierDriverTBL!$A:$A,0))</f>
        <v>CA</v>
      </c>
      <c r="AZ45" s="142">
        <f>INDEX(CarrierDriverTBL!$P:$P,MATCH(Table1[[#This Row],[DriverID]],CarrierDriverTBL!$A:$A,0))</f>
        <v>95377</v>
      </c>
      <c r="BA45" s="142" t="str">
        <f>INDEX(CarrierDriverTBL!$Q:$Q,MATCH(Table1[[#This Row],[DriverID]],CarrierDriverTBL!$A:$A,0))</f>
        <v>US</v>
      </c>
      <c r="BB45" s="176" t="str">
        <f>INDEX(CarrierDriverTBL!$R:$R,MATCH(Table1[[#This Row],[DriverID]],CarrierDriverTBL!$A:$A,0))</f>
        <v>ubgollc@gmail.com</v>
      </c>
      <c r="BC45" s="160">
        <f>INDEX(CarrierDriverTBL!$AB:$AB,MATCH(Table1[[#This Row],[DriverID]],CarrierDriverTBL!$A:$A,0))</f>
        <v>42167</v>
      </c>
      <c r="BD45" s="142" t="str">
        <f ca="1">INDEX(CarrierDriverTBL!$AD:$AD,MATCH(LoadMaster!$AN:$AN,CarrierDriverTBL!$A:$A,0))</f>
        <v>MISSING</v>
      </c>
      <c r="BE45" s="142">
        <f>INDEX(CarrierDriverTBL!$AE:$AE,MATCH(Table1[DriverID],CarrierDriverTBL!$A:$A,0))</f>
        <v>913971</v>
      </c>
      <c r="BF45" s="142">
        <f>INDEX(CarrierDriverTBL!$AF:$AF,MATCH(Table1[DriverID],CarrierDriverTBL!$A:$A,0))</f>
        <v>2627544</v>
      </c>
      <c r="BG45" s="142">
        <f>INDEX(CarrierDriverTBL!$AG:$AG,MATCH(Table1[DriverID],CarrierDriverTBL!$A:$A,0))</f>
        <v>466133</v>
      </c>
      <c r="BH45" s="142" t="str">
        <f>INDEX(CarrierDriverTBL!$AH:$AH,MATCH(Table1[DriverID],CarrierDriverTBL!$A:$A,0))</f>
        <v>GM Lawrence Ins</v>
      </c>
      <c r="BI45" s="142" t="str">
        <f>INDEX(CarrierDriverTBL!$AI:$AI,MATCH(Table1[DriverID],CarrierDriverTBL!$A:$A,0))</f>
        <v>DSK2842P160210</v>
      </c>
      <c r="BJ45" s="160">
        <f>INDEX(CarrierDriverTBL!$AJ:$AJ,MATCH(Table1[[#This Row],[DriverID]],CarrierDriverTBL!$A:$A,0))</f>
        <v>42778</v>
      </c>
      <c r="BK45" s="10">
        <f t="shared" si="2"/>
        <v>564</v>
      </c>
      <c r="BL45" s="174">
        <v>500</v>
      </c>
      <c r="BM45" s="144">
        <v>131</v>
      </c>
      <c r="BN45" s="159">
        <f t="shared" si="29"/>
        <v>3.8167938931297711</v>
      </c>
      <c r="BO45" s="167">
        <v>450</v>
      </c>
      <c r="BP45" s="159">
        <f t="shared" si="30"/>
        <v>3.4351145038167941</v>
      </c>
      <c r="BQ45" s="133">
        <v>3.12</v>
      </c>
      <c r="BR45" s="166">
        <f t="shared" si="31"/>
        <v>0.20333333333333337</v>
      </c>
      <c r="BS45" s="167">
        <f t="shared" si="6"/>
        <v>3.2317811704834609</v>
      </c>
      <c r="BT45" s="159">
        <f t="shared" si="7"/>
        <v>26.63666666666667</v>
      </c>
      <c r="BU45" s="10" t="str">
        <f t="shared" si="8"/>
        <v>Transcorr</v>
      </c>
      <c r="BV45" s="15"/>
      <c r="BW45" s="4" t="str">
        <f>Table1[[#This Row],[BrokerAddress]]</f>
        <v>Po Box 681044</v>
      </c>
      <c r="BX45" s="4" t="str">
        <f t="shared" si="9"/>
        <v>Indianapolis</v>
      </c>
      <c r="BY45" s="4" t="str">
        <f t="shared" si="10"/>
        <v>In</v>
      </c>
      <c r="BZ45" s="4">
        <f t="shared" si="11"/>
        <v>46268</v>
      </c>
      <c r="CA45" s="10" t="str">
        <f t="shared" si="12"/>
        <v>US</v>
      </c>
      <c r="CB45" s="15" t="s">
        <v>553</v>
      </c>
      <c r="CC45" s="62"/>
      <c r="CD45" s="15" t="s">
        <v>132</v>
      </c>
      <c r="CE45" s="64">
        <v>0</v>
      </c>
      <c r="CF45" s="4">
        <v>0</v>
      </c>
      <c r="CG45" s="132">
        <f t="shared" si="13"/>
        <v>0</v>
      </c>
      <c r="CH45" s="4" t="s">
        <v>132</v>
      </c>
      <c r="CI45" s="5">
        <v>0</v>
      </c>
      <c r="CJ45" s="4">
        <v>0</v>
      </c>
      <c r="CK45" s="132">
        <f t="shared" si="14"/>
        <v>0</v>
      </c>
      <c r="CL45" s="4" t="s">
        <v>132</v>
      </c>
      <c r="CM45" s="5">
        <v>0</v>
      </c>
      <c r="CN45" s="4">
        <v>0</v>
      </c>
      <c r="CO45" s="132">
        <f t="shared" si="15"/>
        <v>0</v>
      </c>
      <c r="CP45" s="4" t="s">
        <v>132</v>
      </c>
      <c r="CQ45" s="5">
        <v>0</v>
      </c>
      <c r="CR45" s="4">
        <v>0</v>
      </c>
      <c r="CS45" s="132">
        <f t="shared" si="16"/>
        <v>0</v>
      </c>
      <c r="CT45" s="159">
        <f t="shared" si="17"/>
        <v>0</v>
      </c>
      <c r="CU45" s="168">
        <f t="shared" si="18"/>
        <v>500</v>
      </c>
      <c r="CV45" s="169">
        <f t="shared" si="32"/>
        <v>0</v>
      </c>
      <c r="CW45" s="82">
        <f t="shared" si="28"/>
        <v>450</v>
      </c>
      <c r="CX45" s="79">
        <f>IF(ISBLANK(E45),"AddQuickPay",IF(E45=2,CU45*0.98,IF(E45=2.4,CU45*0.976,IF(E45=3,CU45*0.97,IF(E45=5,CU45*0.95,IF(E45=1.5,CU45*0.985,IF(E45=2.5,CU45*0.975,IF(E45=1.3,CU45*0.987,IF(E45=1,CU45*0.99,IF(E45=4,CU45*0.96,CU45*1))))))))))-Table1[[#This Row],[ComCheck+QuickPayFee]]</f>
        <v>492.5</v>
      </c>
      <c r="CY45" s="5">
        <f t="shared" si="19"/>
        <v>50</v>
      </c>
      <c r="CZ45" s="5">
        <f t="shared" si="20"/>
        <v>7.5</v>
      </c>
      <c r="DA45" s="258">
        <f>Table1[[#This Row],[OriginalDispatch]]-Table1[[#This Row],[QuickPayCharge]]</f>
        <v>42.5</v>
      </c>
      <c r="DB45" s="5">
        <v>0</v>
      </c>
      <c r="DC45" s="5" t="s">
        <v>133</v>
      </c>
      <c r="DD45" s="104">
        <f t="shared" si="21"/>
        <v>42216</v>
      </c>
      <c r="DE45" s="15">
        <f>MONTH(Table1[[#This Row],[Weekending]])</f>
        <v>7</v>
      </c>
      <c r="DF45" s="15">
        <f>YEAR(Table1[[#This Row],[Weekending]])</f>
        <v>2015</v>
      </c>
      <c r="DG45" s="4" t="s">
        <v>554</v>
      </c>
    </row>
    <row r="46" spans="1:111">
      <c r="A46" s="20" t="str">
        <f t="shared" si="0"/>
        <v>31838349</v>
      </c>
      <c r="B46" s="146">
        <v>42215</v>
      </c>
      <c r="C46" s="144">
        <v>5895331</v>
      </c>
      <c r="D46" s="298" t="s">
        <v>555</v>
      </c>
      <c r="E46" s="298">
        <v>3</v>
      </c>
      <c r="F46" s="298" t="str">
        <f>INDEX(BrokerTBL!$B:$B,MATCH(D46,BrokerTBL!$A:$A,0))</f>
        <v>P.O. Box 799</v>
      </c>
      <c r="G46" s="298" t="str">
        <f>INDEX(BrokerTBL!$C:$C,MATCH(D46,BrokerTBL!$A:$A,0))</f>
        <v>Milford</v>
      </c>
      <c r="H46" s="298" t="str">
        <f>INDEX(BrokerTBL!$D:$D,MATCH(D46,BrokerTBL!$A:$A,0))</f>
        <v>Ohio</v>
      </c>
      <c r="I46" s="298" t="str">
        <f>INDEX(BrokerTBL!$E:$E,MATCH(D46,BrokerTBL!$A:$A,0))</f>
        <v>US</v>
      </c>
      <c r="J46" s="298">
        <f>INDEX(BrokerTBL!$F:$F,MATCH(D46,BrokerTBL!$A:$A,0))</f>
        <v>45150</v>
      </c>
      <c r="K46" s="298" t="s">
        <v>556</v>
      </c>
      <c r="L46" s="145">
        <v>1101222183</v>
      </c>
      <c r="M46" s="146">
        <v>42215</v>
      </c>
      <c r="N46" s="182">
        <v>0.375</v>
      </c>
      <c r="O46" s="298" t="s">
        <v>557</v>
      </c>
      <c r="P46" s="298" t="s">
        <v>558</v>
      </c>
      <c r="Q46" s="298" t="s">
        <v>139</v>
      </c>
      <c r="R46" s="298">
        <v>95320</v>
      </c>
      <c r="S46" s="298" t="s">
        <v>118</v>
      </c>
      <c r="T46" s="298" t="s">
        <v>136</v>
      </c>
      <c r="U46" s="298" t="s">
        <v>120</v>
      </c>
      <c r="V46" s="298">
        <v>53</v>
      </c>
      <c r="W46" s="298" t="s">
        <v>559</v>
      </c>
      <c r="X46" s="144" t="s">
        <v>136</v>
      </c>
      <c r="Y46" s="298" t="s">
        <v>337</v>
      </c>
      <c r="Z46" s="298">
        <v>1512</v>
      </c>
      <c r="AA46" s="298" t="s">
        <v>123</v>
      </c>
      <c r="AB46" s="298" t="s">
        <v>123</v>
      </c>
      <c r="AC46" s="298" t="s">
        <v>560</v>
      </c>
      <c r="AD46" s="145">
        <v>1101222183</v>
      </c>
      <c r="AE46" s="146">
        <v>42215</v>
      </c>
      <c r="AF46" s="182">
        <v>0.58333333333333304</v>
      </c>
      <c r="AG46" s="298" t="s">
        <v>561</v>
      </c>
      <c r="AH46" s="298" t="s">
        <v>411</v>
      </c>
      <c r="AI46" s="298" t="s">
        <v>139</v>
      </c>
      <c r="AJ46" s="298">
        <v>95020</v>
      </c>
      <c r="AK46" s="298" t="s">
        <v>118</v>
      </c>
      <c r="AL46" s="298" t="s">
        <v>123</v>
      </c>
      <c r="AM46" s="142" t="str">
        <f>INDEX(CarrierDriverTBL!$B:$B,MATCH(Table1[[#This Row],[DriverID]],CarrierDriverTBL!$A:$A,0))</f>
        <v>UBTrucking</v>
      </c>
      <c r="AN46" s="10" t="s">
        <v>192</v>
      </c>
      <c r="AO46" s="142" t="str">
        <f>INDEX(CarrierDriverTBL!$C:$C,MATCH(Table1[[#This Row],[DriverID]],CarrierDriverTBL!$A:$A,0))</f>
        <v>Albel</v>
      </c>
      <c r="AP46" s="142" t="str">
        <f>INDEX(CarrierDriverTBL!$D:$D,MATCH(Table1[[#This Row],[DriverID]],CarrierDriverTBL!$A:$A,0))</f>
        <v>Chahil</v>
      </c>
      <c r="AQ46" s="142" t="str">
        <f>INDEX(CarrierDriverTBL!$X:$X,MATCH(Table1[[#This Row],[DriverID]],CarrierDriverTBL!$A:$A,0))</f>
        <v>A8390649</v>
      </c>
      <c r="AR46" s="160">
        <f>INDEX(CarrierDriverTBL!$Y:$Y,MATCH(Table1[[#This Row],[DriverID]],CarrierDriverTBL!$A:$A,0))</f>
        <v>42402</v>
      </c>
      <c r="AS46" s="142" t="str">
        <f t="shared" si="1"/>
        <v>GOOD</v>
      </c>
      <c r="AT46" s="160">
        <f>INDEX(CarrierDriverTBL!$E:$E,MATCH(Table1[[#This Row],[DriverID]],CarrierDriverTBL!$A:$A,0))</f>
        <v>22314</v>
      </c>
      <c r="AU46" s="163">
        <f ca="1">INDEX(CarrierDriverTBL!$F:$F,MATCH(Table1[[#This Row],[DriverID]],CarrierDriverTBL!$A:$A,0))</f>
        <v>55.512328767123286</v>
      </c>
      <c r="AV46" s="142" t="str">
        <f>INDEX(CarrierDriverTBL!$K:$K,MATCH(Table1[[#This Row],[DriverID]],CarrierDriverTBL!$A:$A,0))</f>
        <v>510-773-9450</v>
      </c>
      <c r="AW46" s="142" t="str">
        <f>INDEX(CarrierDriverTBL!$M:$M,MATCH(Table1[[#This Row],[DriverID]],CarrierDriverTBL!$A:$A,0))</f>
        <v>3124 Cynthia CT</v>
      </c>
      <c r="AX46" s="142" t="str">
        <f>INDEX(CarrierDriverTBL!$N:$N,MATCH(Table1[[#This Row],[DriverID]],CarrierDriverTBL!$A:$A,0))</f>
        <v>Tracy</v>
      </c>
      <c r="AY46" s="142" t="str">
        <f>INDEX(CarrierDriverTBL!$O:$O,MATCH(Table1[[#This Row],[DriverID]],CarrierDriverTBL!$A:$A,0))</f>
        <v>CA</v>
      </c>
      <c r="AZ46" s="142">
        <f>INDEX(CarrierDriverTBL!$P:$P,MATCH(Table1[[#This Row],[DriverID]],CarrierDriverTBL!$A:$A,0))</f>
        <v>95377</v>
      </c>
      <c r="BA46" s="142" t="str">
        <f>INDEX(CarrierDriverTBL!$Q:$Q,MATCH(Table1[[#This Row],[DriverID]],CarrierDriverTBL!$A:$A,0))</f>
        <v>US</v>
      </c>
      <c r="BB46" s="176" t="str">
        <f>INDEX(CarrierDriverTBL!$R:$R,MATCH(Table1[[#This Row],[DriverID]],CarrierDriverTBL!$A:$A,0))</f>
        <v>ubgollc@gmail.com</v>
      </c>
      <c r="BC46" s="160">
        <f>INDEX(CarrierDriverTBL!$AB:$AB,MATCH(Table1[[#This Row],[DriverID]],CarrierDriverTBL!$A:$A,0))</f>
        <v>42167</v>
      </c>
      <c r="BD46" s="142" t="str">
        <f ca="1">INDEX(CarrierDriverTBL!$AD:$AD,MATCH(LoadMaster!$AN:$AN,CarrierDriverTBL!$A:$A,0))</f>
        <v>MISSING</v>
      </c>
      <c r="BE46" s="142">
        <f>INDEX(CarrierDriverTBL!$AE:$AE,MATCH(Table1[DriverID],CarrierDriverTBL!$A:$A,0))</f>
        <v>913971</v>
      </c>
      <c r="BF46" s="142">
        <f>INDEX(CarrierDriverTBL!$AF:$AF,MATCH(Table1[DriverID],CarrierDriverTBL!$A:$A,0))</f>
        <v>2627544</v>
      </c>
      <c r="BG46" s="142">
        <f>INDEX(CarrierDriverTBL!$AG:$AG,MATCH(Table1[DriverID],CarrierDriverTBL!$A:$A,0))</f>
        <v>466133</v>
      </c>
      <c r="BH46" s="142" t="str">
        <f>INDEX(CarrierDriverTBL!$AH:$AH,MATCH(Table1[DriverID],CarrierDriverTBL!$A:$A,0))</f>
        <v>GM Lawrence Ins</v>
      </c>
      <c r="BI46" s="142" t="str">
        <f>INDEX(CarrierDriverTBL!$AI:$AI,MATCH(Table1[DriverID],CarrierDriverTBL!$A:$A,0))</f>
        <v>DSK2842P160210</v>
      </c>
      <c r="BJ46" s="160">
        <f>INDEX(CarrierDriverTBL!$AJ:$AJ,MATCH(Table1[[#This Row],[DriverID]],CarrierDriverTBL!$A:$A,0))</f>
        <v>42778</v>
      </c>
      <c r="BK46" s="10">
        <f t="shared" si="2"/>
        <v>563</v>
      </c>
      <c r="BL46" s="174">
        <v>450</v>
      </c>
      <c r="BM46" s="144">
        <v>115</v>
      </c>
      <c r="BN46" s="159">
        <f t="shared" si="29"/>
        <v>3.9130434782608696</v>
      </c>
      <c r="BO46" s="167">
        <v>400</v>
      </c>
      <c r="BP46" s="159">
        <f t="shared" si="30"/>
        <v>3.4782608695652173</v>
      </c>
      <c r="BQ46" s="133">
        <v>3.12</v>
      </c>
      <c r="BR46" s="166">
        <f t="shared" si="31"/>
        <v>0.20333333333333337</v>
      </c>
      <c r="BS46" s="167">
        <f t="shared" si="6"/>
        <v>3.2749275362318837</v>
      </c>
      <c r="BT46" s="159">
        <f t="shared" si="7"/>
        <v>23.383333333333336</v>
      </c>
      <c r="BU46" s="10" t="str">
        <f t="shared" si="8"/>
        <v>Tql</v>
      </c>
      <c r="BV46" s="15"/>
      <c r="BW46" s="4" t="str">
        <f>Table1[[#This Row],[BrokerAddress]]</f>
        <v>P.O. Box 799</v>
      </c>
      <c r="BX46" s="4" t="str">
        <f t="shared" si="9"/>
        <v>Milford</v>
      </c>
      <c r="BY46" s="4" t="str">
        <f t="shared" si="10"/>
        <v>Ohio</v>
      </c>
      <c r="BZ46" s="4">
        <f t="shared" si="11"/>
        <v>45150</v>
      </c>
      <c r="CA46" s="10" t="str">
        <f t="shared" si="12"/>
        <v>US</v>
      </c>
      <c r="CB46" s="15" t="s">
        <v>131</v>
      </c>
      <c r="CC46" s="62"/>
      <c r="CD46" s="15" t="s">
        <v>132</v>
      </c>
      <c r="CE46" s="64">
        <v>0</v>
      </c>
      <c r="CF46" s="4">
        <v>0</v>
      </c>
      <c r="CG46" s="132">
        <f t="shared" si="13"/>
        <v>0</v>
      </c>
      <c r="CH46" s="4" t="s">
        <v>132</v>
      </c>
      <c r="CI46" s="5">
        <v>0</v>
      </c>
      <c r="CJ46" s="4">
        <v>0</v>
      </c>
      <c r="CK46" s="132">
        <f t="shared" si="14"/>
        <v>0</v>
      </c>
      <c r="CL46" s="4" t="s">
        <v>132</v>
      </c>
      <c r="CM46" s="5">
        <v>0</v>
      </c>
      <c r="CN46" s="4">
        <v>0</v>
      </c>
      <c r="CO46" s="132">
        <f t="shared" si="15"/>
        <v>0</v>
      </c>
      <c r="CP46" s="4" t="s">
        <v>132</v>
      </c>
      <c r="CQ46" s="5">
        <v>0</v>
      </c>
      <c r="CR46" s="4">
        <v>0</v>
      </c>
      <c r="CS46" s="132">
        <f t="shared" si="16"/>
        <v>0</v>
      </c>
      <c r="CT46" s="159">
        <f t="shared" si="17"/>
        <v>0</v>
      </c>
      <c r="CU46" s="168">
        <f t="shared" si="18"/>
        <v>450</v>
      </c>
      <c r="CV46" s="169">
        <f t="shared" si="32"/>
        <v>0</v>
      </c>
      <c r="CW46" s="82">
        <f t="shared" si="28"/>
        <v>400</v>
      </c>
      <c r="CX46" s="79">
        <f>IF(ISBLANK(E46),"AddQuickPay",IF(E46=2,CU46*0.98,IF(E46=2.4,CU46*0.976,IF(E46=3,CU46*0.97,IF(E46=5,CU46*0.95,IF(E46=1.5,CU46*0.985,IF(E46=2.5,CU46*0.975,IF(E46=1.3,CU46*0.987,IF(E46=1,CU46*0.99,IF(E46=4,CU46*0.96,CU46*1))))))))))-Table1[[#This Row],[ComCheck+QuickPayFee]]</f>
        <v>436.5</v>
      </c>
      <c r="CY46" s="5">
        <f t="shared" si="19"/>
        <v>50</v>
      </c>
      <c r="CZ46" s="5">
        <f t="shared" si="20"/>
        <v>13.5</v>
      </c>
      <c r="DA46" s="258">
        <f>Table1[[#This Row],[OriginalDispatch]]-Table1[[#This Row],[QuickPayCharge]]</f>
        <v>36.5</v>
      </c>
      <c r="DB46" s="5">
        <v>0</v>
      </c>
      <c r="DC46" s="5" t="s">
        <v>133</v>
      </c>
      <c r="DD46" s="104">
        <f t="shared" si="21"/>
        <v>42216</v>
      </c>
      <c r="DE46" s="15">
        <f>MONTH(Table1[[#This Row],[Weekending]])</f>
        <v>7</v>
      </c>
      <c r="DF46" s="15">
        <f>YEAR(Table1[[#This Row],[Weekending]])</f>
        <v>2015</v>
      </c>
      <c r="DG46" s="4"/>
    </row>
    <row r="47" spans="1:111">
      <c r="A47" s="20" t="str">
        <f t="shared" si="0"/>
        <v>24848449</v>
      </c>
      <c r="B47" s="146">
        <v>42216</v>
      </c>
      <c r="C47" s="144">
        <v>178437124</v>
      </c>
      <c r="D47" s="298" t="s">
        <v>111</v>
      </c>
      <c r="E47" s="298">
        <v>2</v>
      </c>
      <c r="F47" s="298" t="str">
        <f>INDEX(BrokerTBL!$B:$B,MATCH(D47,BrokerTBL!$A:$A,0))</f>
        <v>P.O. Box 3474</v>
      </c>
      <c r="G47" s="298" t="str">
        <f>INDEX(BrokerTBL!$C:$C,MATCH(D47,BrokerTBL!$A:$A,0))</f>
        <v>Chicago</v>
      </c>
      <c r="H47" s="298" t="str">
        <f>INDEX(BrokerTBL!$D:$D,MATCH(D47,BrokerTBL!$A:$A,0))</f>
        <v>Il</v>
      </c>
      <c r="I47" s="298" t="str">
        <f>INDEX(BrokerTBL!$E:$E,MATCH(D47,BrokerTBL!$A:$A,0))</f>
        <v>US</v>
      </c>
      <c r="J47" s="298">
        <f>INDEX(BrokerTBL!$F:$F,MATCH(D47,BrokerTBL!$A:$A,0))</f>
        <v>60654</v>
      </c>
      <c r="K47" s="298" t="s">
        <v>562</v>
      </c>
      <c r="L47" s="145">
        <v>3655554884</v>
      </c>
      <c r="M47" s="146">
        <v>42216</v>
      </c>
      <c r="N47" s="182">
        <v>0.375</v>
      </c>
      <c r="O47" s="298" t="s">
        <v>563</v>
      </c>
      <c r="P47" s="298" t="s">
        <v>564</v>
      </c>
      <c r="Q47" s="298" t="s">
        <v>139</v>
      </c>
      <c r="R47" s="298">
        <v>94509</v>
      </c>
      <c r="S47" s="298" t="s">
        <v>118</v>
      </c>
      <c r="T47" s="298" t="s">
        <v>565</v>
      </c>
      <c r="U47" s="298" t="s">
        <v>120</v>
      </c>
      <c r="V47" s="298">
        <v>53</v>
      </c>
      <c r="W47" s="298" t="s">
        <v>136</v>
      </c>
      <c r="X47" s="144">
        <v>39848</v>
      </c>
      <c r="Y47" s="298" t="s">
        <v>566</v>
      </c>
      <c r="Z47" s="298">
        <v>570</v>
      </c>
      <c r="AA47" s="298" t="s">
        <v>123</v>
      </c>
      <c r="AB47" s="298" t="s">
        <v>123</v>
      </c>
      <c r="AC47" s="298" t="s">
        <v>567</v>
      </c>
      <c r="AD47" s="145">
        <v>3655554884</v>
      </c>
      <c r="AE47" s="146">
        <v>42216</v>
      </c>
      <c r="AF47" s="298" t="s">
        <v>568</v>
      </c>
      <c r="AG47" s="298" t="s">
        <v>569</v>
      </c>
      <c r="AH47" s="298" t="s">
        <v>570</v>
      </c>
      <c r="AI47" s="298" t="s">
        <v>139</v>
      </c>
      <c r="AJ47" s="298">
        <v>94951</v>
      </c>
      <c r="AK47" s="298" t="s">
        <v>118</v>
      </c>
      <c r="AL47" s="298" t="s">
        <v>571</v>
      </c>
      <c r="AM47" s="142" t="str">
        <f>INDEX(CarrierDriverTBL!$B:$B,MATCH(Table1[[#This Row],[DriverID]],CarrierDriverTBL!$A:$A,0))</f>
        <v>UBTrucking</v>
      </c>
      <c r="AN47" s="10" t="s">
        <v>192</v>
      </c>
      <c r="AO47" s="142" t="str">
        <f>INDEX(CarrierDriverTBL!$C:$C,MATCH(Table1[[#This Row],[DriverID]],CarrierDriverTBL!$A:$A,0))</f>
        <v>Albel</v>
      </c>
      <c r="AP47" s="142" t="str">
        <f>INDEX(CarrierDriverTBL!$D:$D,MATCH(Table1[[#This Row],[DriverID]],CarrierDriverTBL!$A:$A,0))</f>
        <v>Chahil</v>
      </c>
      <c r="AQ47" s="142" t="str">
        <f>INDEX(CarrierDriverTBL!$X:$X,MATCH(Table1[[#This Row],[DriverID]],CarrierDriverTBL!$A:$A,0))</f>
        <v>A8390649</v>
      </c>
      <c r="AR47" s="160">
        <f>INDEX(CarrierDriverTBL!$Y:$Y,MATCH(Table1[[#This Row],[DriverID]],CarrierDriverTBL!$A:$A,0))</f>
        <v>42402</v>
      </c>
      <c r="AS47" s="142" t="str">
        <f t="shared" si="1"/>
        <v>GOOD</v>
      </c>
      <c r="AT47" s="160">
        <f>INDEX(CarrierDriverTBL!$E:$E,MATCH(Table1[[#This Row],[DriverID]],CarrierDriverTBL!$A:$A,0))</f>
        <v>22314</v>
      </c>
      <c r="AU47" s="163">
        <f ca="1">INDEX(CarrierDriverTBL!$F:$F,MATCH(Table1[[#This Row],[DriverID]],CarrierDriverTBL!$A:$A,0))</f>
        <v>55.512328767123286</v>
      </c>
      <c r="AV47" s="142" t="str">
        <f>INDEX(CarrierDriverTBL!$K:$K,MATCH(Table1[[#This Row],[DriverID]],CarrierDriverTBL!$A:$A,0))</f>
        <v>510-773-9450</v>
      </c>
      <c r="AW47" s="142" t="str">
        <f>INDEX(CarrierDriverTBL!$M:$M,MATCH(Table1[[#This Row],[DriverID]],CarrierDriverTBL!$A:$A,0))</f>
        <v>3124 Cynthia CT</v>
      </c>
      <c r="AX47" s="142" t="str">
        <f>INDEX(CarrierDriverTBL!$N:$N,MATCH(Table1[[#This Row],[DriverID]],CarrierDriverTBL!$A:$A,0))</f>
        <v>Tracy</v>
      </c>
      <c r="AY47" s="142" t="str">
        <f>INDEX(CarrierDriverTBL!$O:$O,MATCH(Table1[[#This Row],[DriverID]],CarrierDriverTBL!$A:$A,0))</f>
        <v>CA</v>
      </c>
      <c r="AZ47" s="142">
        <f>INDEX(CarrierDriverTBL!$P:$P,MATCH(Table1[[#This Row],[DriverID]],CarrierDriverTBL!$A:$A,0))</f>
        <v>95377</v>
      </c>
      <c r="BA47" s="142" t="str">
        <f>INDEX(CarrierDriverTBL!$Q:$Q,MATCH(Table1[[#This Row],[DriverID]],CarrierDriverTBL!$A:$A,0))</f>
        <v>US</v>
      </c>
      <c r="BB47" s="176" t="str">
        <f>INDEX(CarrierDriverTBL!$R:$R,MATCH(Table1[[#This Row],[DriverID]],CarrierDriverTBL!$A:$A,0))</f>
        <v>ubgollc@gmail.com</v>
      </c>
      <c r="BC47" s="160">
        <f>INDEX(CarrierDriverTBL!$AB:$AB,MATCH(Table1[[#This Row],[DriverID]],CarrierDriverTBL!$A:$A,0))</f>
        <v>42167</v>
      </c>
      <c r="BD47" s="142" t="str">
        <f ca="1">INDEX(CarrierDriverTBL!$AD:$AD,MATCH(LoadMaster!$AN:$AN,CarrierDriverTBL!$A:$A,0))</f>
        <v>MISSING</v>
      </c>
      <c r="BE47" s="142">
        <f>INDEX(CarrierDriverTBL!$AE:$AE,MATCH(Table1[DriverID],CarrierDriverTBL!$A:$A,0))</f>
        <v>913971</v>
      </c>
      <c r="BF47" s="142">
        <f>INDEX(CarrierDriverTBL!$AF:$AF,MATCH(Table1[DriverID],CarrierDriverTBL!$A:$A,0))</f>
        <v>2627544</v>
      </c>
      <c r="BG47" s="142">
        <f>INDEX(CarrierDriverTBL!$AG:$AG,MATCH(Table1[DriverID],CarrierDriverTBL!$A:$A,0))</f>
        <v>466133</v>
      </c>
      <c r="BH47" s="142" t="str">
        <f>INDEX(CarrierDriverTBL!$AH:$AH,MATCH(Table1[DriverID],CarrierDriverTBL!$A:$A,0))</f>
        <v>GM Lawrence Ins</v>
      </c>
      <c r="BI47" s="142" t="str">
        <f>INDEX(CarrierDriverTBL!$AI:$AI,MATCH(Table1[DriverID],CarrierDriverTBL!$A:$A,0))</f>
        <v>DSK2842P160210</v>
      </c>
      <c r="BJ47" s="160">
        <f>INDEX(CarrierDriverTBL!$AJ:$AJ,MATCH(Table1[[#This Row],[DriverID]],CarrierDriverTBL!$A:$A,0))</f>
        <v>42778</v>
      </c>
      <c r="BK47" s="10">
        <f t="shared" si="2"/>
        <v>562</v>
      </c>
      <c r="BL47" s="174">
        <v>425</v>
      </c>
      <c r="BM47" s="144">
        <v>74</v>
      </c>
      <c r="BN47" s="159">
        <f t="shared" si="29"/>
        <v>5.743243243243243</v>
      </c>
      <c r="BO47" s="167">
        <v>375</v>
      </c>
      <c r="BP47" s="159">
        <f t="shared" si="30"/>
        <v>5.0675675675675675</v>
      </c>
      <c r="BQ47" s="133">
        <v>3</v>
      </c>
      <c r="BR47" s="166">
        <f t="shared" si="31"/>
        <v>0.18333333333333335</v>
      </c>
      <c r="BS47" s="167">
        <f t="shared" si="6"/>
        <v>4.884234234234234</v>
      </c>
      <c r="BT47" s="159">
        <f t="shared" si="7"/>
        <v>13.566666666666668</v>
      </c>
      <c r="BU47" s="10" t="str">
        <f t="shared" si="8"/>
        <v>Ch Robinson</v>
      </c>
      <c r="BV47" s="15"/>
      <c r="BW47" s="4" t="str">
        <f>Table1[[#This Row],[BrokerAddress]]</f>
        <v>P.O. Box 3474</v>
      </c>
      <c r="BX47" s="4" t="str">
        <f t="shared" si="9"/>
        <v>Chicago</v>
      </c>
      <c r="BY47" s="4" t="str">
        <f t="shared" si="10"/>
        <v>Il</v>
      </c>
      <c r="BZ47" s="4">
        <f t="shared" si="11"/>
        <v>60654</v>
      </c>
      <c r="CA47" s="10" t="str">
        <f t="shared" si="12"/>
        <v>US</v>
      </c>
      <c r="CB47" s="15" t="s">
        <v>131</v>
      </c>
      <c r="CC47" s="62"/>
      <c r="CD47" s="15" t="s">
        <v>132</v>
      </c>
      <c r="CE47" s="64">
        <v>0</v>
      </c>
      <c r="CF47" s="4">
        <v>0</v>
      </c>
      <c r="CG47" s="132">
        <f t="shared" si="13"/>
        <v>0</v>
      </c>
      <c r="CH47" s="4" t="s">
        <v>132</v>
      </c>
      <c r="CI47" s="5">
        <v>0</v>
      </c>
      <c r="CJ47" s="4">
        <v>0</v>
      </c>
      <c r="CK47" s="132">
        <f t="shared" si="14"/>
        <v>0</v>
      </c>
      <c r="CL47" s="4" t="s">
        <v>132</v>
      </c>
      <c r="CM47" s="5">
        <v>0</v>
      </c>
      <c r="CN47" s="4">
        <v>0</v>
      </c>
      <c r="CO47" s="132">
        <f t="shared" si="15"/>
        <v>0</v>
      </c>
      <c r="CP47" s="4" t="s">
        <v>132</v>
      </c>
      <c r="CQ47" s="5">
        <v>0</v>
      </c>
      <c r="CR47" s="4">
        <v>0</v>
      </c>
      <c r="CS47" s="132">
        <f t="shared" si="16"/>
        <v>0</v>
      </c>
      <c r="CT47" s="159">
        <f t="shared" si="17"/>
        <v>0</v>
      </c>
      <c r="CU47" s="168">
        <f t="shared" si="18"/>
        <v>425</v>
      </c>
      <c r="CV47" s="169">
        <f t="shared" si="32"/>
        <v>0</v>
      </c>
      <c r="CW47" s="82">
        <f t="shared" si="28"/>
        <v>375</v>
      </c>
      <c r="CX47" s="79">
        <f>IF(ISBLANK(E47),"AddQuickPay",IF(E47=2,CU47*0.98,IF(E47=2.4,CU47*0.976,IF(E47=3,CU47*0.97,IF(E47=5,CU47*0.95,IF(E47=1.5,CU47*0.985,IF(E47=2.5,CU47*0.975,IF(E47=1.3,CU47*0.987,IF(E47=1,CU47*0.99,IF(E47=4,CU47*0.96,CU47*1))))))))))-Table1[[#This Row],[ComCheck+QuickPayFee]]</f>
        <v>416.5</v>
      </c>
      <c r="CY47" s="5">
        <f t="shared" si="19"/>
        <v>50</v>
      </c>
      <c r="CZ47" s="5">
        <f t="shared" si="20"/>
        <v>8.5</v>
      </c>
      <c r="DA47" s="258">
        <f>Table1[[#This Row],[OriginalDispatch]]-Table1[[#This Row],[QuickPayCharge]]</f>
        <v>41.5</v>
      </c>
      <c r="DB47" s="5">
        <v>0</v>
      </c>
      <c r="DC47" s="5" t="s">
        <v>133</v>
      </c>
      <c r="DD47" s="104">
        <f t="shared" si="21"/>
        <v>42216</v>
      </c>
      <c r="DE47" s="15">
        <f>MONTH(Table1[[#This Row],[Weekending]])</f>
        <v>7</v>
      </c>
      <c r="DF47" s="15">
        <f>YEAR(Table1[[#This Row],[Weekending]])</f>
        <v>2015</v>
      </c>
      <c r="DG47" s="4"/>
    </row>
    <row r="48" spans="1:111">
      <c r="A48" s="20" t="str">
        <f t="shared" si="0"/>
        <v>03868649</v>
      </c>
      <c r="B48" s="146">
        <v>42216</v>
      </c>
      <c r="C48" s="144">
        <v>5982903</v>
      </c>
      <c r="D48" s="298" t="s">
        <v>445</v>
      </c>
      <c r="E48" s="298">
        <v>3</v>
      </c>
      <c r="F48" s="298" t="str">
        <f>INDEX(BrokerTBL!$B:$B,MATCH(D48,BrokerTBL!$A:$A,0))</f>
        <v>960 Northpoint Parkway Suite 150</v>
      </c>
      <c r="G48" s="298" t="str">
        <f>INDEX(BrokerTBL!$C:$C,MATCH(D48,BrokerTBL!$A:$A,0))</f>
        <v>Alpharetta</v>
      </c>
      <c r="H48" s="298" t="str">
        <f>INDEX(BrokerTBL!$D:$D,MATCH(D48,BrokerTBL!$A:$A,0))</f>
        <v>Ga</v>
      </c>
      <c r="I48" s="298" t="str">
        <f>INDEX(BrokerTBL!$E:$E,MATCH(D48,BrokerTBL!$A:$A,0))</f>
        <v>US</v>
      </c>
      <c r="J48" s="298">
        <f>INDEX(BrokerTBL!$F:$F,MATCH(D48,BrokerTBL!$A:$A,0))</f>
        <v>30005</v>
      </c>
      <c r="K48" s="298" t="s">
        <v>572</v>
      </c>
      <c r="L48" s="145">
        <v>76386</v>
      </c>
      <c r="M48" s="146">
        <v>42216</v>
      </c>
      <c r="N48" s="144" t="s">
        <v>573</v>
      </c>
      <c r="O48" s="298" t="s">
        <v>574</v>
      </c>
      <c r="P48" s="298" t="s">
        <v>160</v>
      </c>
      <c r="Q48" s="298" t="s">
        <v>139</v>
      </c>
      <c r="R48" s="298">
        <v>94534</v>
      </c>
      <c r="S48" s="298" t="s">
        <v>118</v>
      </c>
      <c r="T48" s="298" t="s">
        <v>136</v>
      </c>
      <c r="U48" s="298" t="s">
        <v>120</v>
      </c>
      <c r="V48" s="298">
        <v>53</v>
      </c>
      <c r="W48" s="298" t="s">
        <v>575</v>
      </c>
      <c r="X48" s="144">
        <v>38064</v>
      </c>
      <c r="Y48" s="298" t="s">
        <v>123</v>
      </c>
      <c r="Z48" s="298" t="s">
        <v>123</v>
      </c>
      <c r="AA48" s="298" t="s">
        <v>123</v>
      </c>
      <c r="AB48" s="298" t="s">
        <v>123</v>
      </c>
      <c r="AC48" s="298" t="s">
        <v>576</v>
      </c>
      <c r="AD48" s="145">
        <v>76386</v>
      </c>
      <c r="AE48" s="146">
        <v>42219</v>
      </c>
      <c r="AF48" s="416" t="s">
        <v>123</v>
      </c>
      <c r="AG48" s="146" t="s">
        <v>577</v>
      </c>
      <c r="AH48" s="298" t="s">
        <v>578</v>
      </c>
      <c r="AI48" s="298" t="s">
        <v>139</v>
      </c>
      <c r="AJ48" s="298">
        <v>93451</v>
      </c>
      <c r="AK48" s="298" t="s">
        <v>118</v>
      </c>
      <c r="AL48" s="298" t="s">
        <v>123</v>
      </c>
      <c r="AM48" s="142" t="str">
        <f>INDEX(CarrierDriverTBL!$B:$B,MATCH(Table1[[#This Row],[DriverID]],CarrierDriverTBL!$A:$A,0))</f>
        <v>UBTrucking</v>
      </c>
      <c r="AN48" s="10" t="s">
        <v>192</v>
      </c>
      <c r="AO48" s="142" t="str">
        <f>INDEX(CarrierDriverTBL!$C:$C,MATCH(Table1[[#This Row],[DriverID]],CarrierDriverTBL!$A:$A,0))</f>
        <v>Albel</v>
      </c>
      <c r="AP48" s="142" t="str">
        <f>INDEX(CarrierDriverTBL!$D:$D,MATCH(Table1[[#This Row],[DriverID]],CarrierDriverTBL!$A:$A,0))</f>
        <v>Chahil</v>
      </c>
      <c r="AQ48" s="142" t="str">
        <f>INDEX(CarrierDriverTBL!$X:$X,MATCH(Table1[[#This Row],[DriverID]],CarrierDriverTBL!$A:$A,0))</f>
        <v>A8390649</v>
      </c>
      <c r="AR48" s="160">
        <f>INDEX(CarrierDriverTBL!$Y:$Y,MATCH(Table1[[#This Row],[DriverID]],CarrierDriverTBL!$A:$A,0))</f>
        <v>42402</v>
      </c>
      <c r="AS48" s="142" t="str">
        <f t="shared" si="1"/>
        <v>GOOD</v>
      </c>
      <c r="AT48" s="160">
        <f>INDEX(CarrierDriverTBL!$E:$E,MATCH(Table1[[#This Row],[DriverID]],CarrierDriverTBL!$A:$A,0))</f>
        <v>22314</v>
      </c>
      <c r="AU48" s="163">
        <f ca="1">INDEX(CarrierDriverTBL!$F:$F,MATCH(Table1[[#This Row],[DriverID]],CarrierDriverTBL!$A:$A,0))</f>
        <v>55.512328767123286</v>
      </c>
      <c r="AV48" s="142" t="str">
        <f>INDEX(CarrierDriverTBL!$K:$K,MATCH(Table1[[#This Row],[DriverID]],CarrierDriverTBL!$A:$A,0))</f>
        <v>510-773-9450</v>
      </c>
      <c r="AW48" s="142" t="str">
        <f>INDEX(CarrierDriverTBL!$M:$M,MATCH(Table1[[#This Row],[DriverID]],CarrierDriverTBL!$A:$A,0))</f>
        <v>3124 Cynthia CT</v>
      </c>
      <c r="AX48" s="142" t="str">
        <f>INDEX(CarrierDriverTBL!$N:$N,MATCH(Table1[[#This Row],[DriverID]],CarrierDriverTBL!$A:$A,0))</f>
        <v>Tracy</v>
      </c>
      <c r="AY48" s="142" t="str">
        <f>INDEX(CarrierDriverTBL!$O:$O,MATCH(Table1[[#This Row],[DriverID]],CarrierDriverTBL!$A:$A,0))</f>
        <v>CA</v>
      </c>
      <c r="AZ48" s="142">
        <f>INDEX(CarrierDriverTBL!$P:$P,MATCH(Table1[[#This Row],[DriverID]],CarrierDriverTBL!$A:$A,0))</f>
        <v>95377</v>
      </c>
      <c r="BA48" s="142" t="str">
        <f>INDEX(CarrierDriverTBL!$Q:$Q,MATCH(Table1[[#This Row],[DriverID]],CarrierDriverTBL!$A:$A,0))</f>
        <v>US</v>
      </c>
      <c r="BB48" s="176" t="str">
        <f>INDEX(CarrierDriverTBL!$R:$R,MATCH(Table1[[#This Row],[DriverID]],CarrierDriverTBL!$A:$A,0))</f>
        <v>ubgollc@gmail.com</v>
      </c>
      <c r="BC48" s="160">
        <f>INDEX(CarrierDriverTBL!$AB:$AB,MATCH(Table1[[#This Row],[DriverID]],CarrierDriverTBL!$A:$A,0))</f>
        <v>42167</v>
      </c>
      <c r="BD48" s="142" t="str">
        <f ca="1">INDEX(CarrierDriverTBL!$AD:$AD,MATCH(LoadMaster!$AN:$AN,CarrierDriverTBL!$A:$A,0))</f>
        <v>MISSING</v>
      </c>
      <c r="BE48" s="142">
        <f>INDEX(CarrierDriverTBL!$AE:$AE,MATCH(Table1[DriverID],CarrierDriverTBL!$A:$A,0))</f>
        <v>913971</v>
      </c>
      <c r="BF48" s="142">
        <f>INDEX(CarrierDriverTBL!$AF:$AF,MATCH(Table1[DriverID],CarrierDriverTBL!$A:$A,0))</f>
        <v>2627544</v>
      </c>
      <c r="BG48" s="142">
        <f>INDEX(CarrierDriverTBL!$AG:$AG,MATCH(Table1[DriverID],CarrierDriverTBL!$A:$A,0))</f>
        <v>466133</v>
      </c>
      <c r="BH48" s="142" t="str">
        <f>INDEX(CarrierDriverTBL!$AH:$AH,MATCH(Table1[DriverID],CarrierDriverTBL!$A:$A,0))</f>
        <v>GM Lawrence Ins</v>
      </c>
      <c r="BI48" s="142" t="str">
        <f>INDEX(CarrierDriverTBL!$AI:$AI,MATCH(Table1[DriverID],CarrierDriverTBL!$A:$A,0))</f>
        <v>DSK2842P160210</v>
      </c>
      <c r="BJ48" s="160">
        <f>INDEX(CarrierDriverTBL!$AJ:$AJ,MATCH(Table1[[#This Row],[DriverID]],CarrierDriverTBL!$A:$A,0))</f>
        <v>42778</v>
      </c>
      <c r="BK48" s="10">
        <f t="shared" si="2"/>
        <v>562</v>
      </c>
      <c r="BL48" s="174">
        <v>700</v>
      </c>
      <c r="BM48" s="144">
        <v>227</v>
      </c>
      <c r="BN48" s="159">
        <f t="shared" si="29"/>
        <v>3.0837004405286343</v>
      </c>
      <c r="BO48" s="167">
        <v>650</v>
      </c>
      <c r="BP48" s="159">
        <f t="shared" si="30"/>
        <v>2.8634361233480177</v>
      </c>
      <c r="BQ48" s="133">
        <v>3</v>
      </c>
      <c r="BR48" s="166">
        <f t="shared" si="31"/>
        <v>0.18333333333333335</v>
      </c>
      <c r="BS48" s="167">
        <f t="shared" si="6"/>
        <v>2.6801027900146845</v>
      </c>
      <c r="BT48" s="159">
        <f t="shared" si="7"/>
        <v>41.616666666666667</v>
      </c>
      <c r="BU48" s="10" t="str">
        <f t="shared" si="8"/>
        <v>Coyote</v>
      </c>
      <c r="BV48" s="15"/>
      <c r="BW48" s="4" t="str">
        <f>Table1[[#This Row],[BrokerAddress]]</f>
        <v>960 Northpoint Parkway Suite 150</v>
      </c>
      <c r="BX48" s="4" t="str">
        <f t="shared" si="9"/>
        <v>Alpharetta</v>
      </c>
      <c r="BY48" s="4" t="str">
        <f t="shared" si="10"/>
        <v>Ga</v>
      </c>
      <c r="BZ48" s="4">
        <f t="shared" si="11"/>
        <v>30005</v>
      </c>
      <c r="CA48" s="10" t="str">
        <f t="shared" si="12"/>
        <v>US</v>
      </c>
      <c r="CB48" s="15" t="s">
        <v>131</v>
      </c>
      <c r="CC48" s="62"/>
      <c r="CD48" s="15" t="s">
        <v>132</v>
      </c>
      <c r="CE48" s="64">
        <v>0</v>
      </c>
      <c r="CF48" s="4">
        <v>0</v>
      </c>
      <c r="CG48" s="132">
        <f t="shared" si="13"/>
        <v>0</v>
      </c>
      <c r="CH48" s="4" t="s">
        <v>132</v>
      </c>
      <c r="CI48" s="5">
        <v>0</v>
      </c>
      <c r="CJ48" s="4">
        <v>0</v>
      </c>
      <c r="CK48" s="132">
        <f t="shared" si="14"/>
        <v>0</v>
      </c>
      <c r="CL48" s="4" t="s">
        <v>132</v>
      </c>
      <c r="CM48" s="5">
        <v>0</v>
      </c>
      <c r="CN48" s="4">
        <v>0</v>
      </c>
      <c r="CO48" s="132">
        <f t="shared" si="15"/>
        <v>0</v>
      </c>
      <c r="CP48" s="4" t="s">
        <v>132</v>
      </c>
      <c r="CQ48" s="5">
        <v>0</v>
      </c>
      <c r="CR48" s="4">
        <v>0</v>
      </c>
      <c r="CS48" s="132">
        <f t="shared" si="16"/>
        <v>0</v>
      </c>
      <c r="CT48" s="159">
        <f t="shared" si="17"/>
        <v>0</v>
      </c>
      <c r="CU48" s="168">
        <f t="shared" si="18"/>
        <v>700</v>
      </c>
      <c r="CV48" s="169">
        <f t="shared" si="32"/>
        <v>0</v>
      </c>
      <c r="CW48" s="82">
        <f t="shared" si="28"/>
        <v>650</v>
      </c>
      <c r="CX48" s="79">
        <f>IF(ISBLANK(E48),"AddQuickPay",IF(E48=2,CU48*0.98,IF(E48=2.4,CU48*0.976,IF(E48=3,CU48*0.97,IF(E48=5,CU48*0.95,IF(E48=1.5,CU48*0.985,IF(E48=2.5,CU48*0.975,IF(E48=1.3,CU48*0.987,IF(E48=1,CU48*0.99,IF(E48=4,CU48*0.96,CU48*1))))))))))-Table1[[#This Row],[ComCheck+QuickPayFee]]</f>
        <v>679</v>
      </c>
      <c r="CY48" s="5">
        <f t="shared" si="19"/>
        <v>50</v>
      </c>
      <c r="CZ48" s="5">
        <f t="shared" si="20"/>
        <v>21</v>
      </c>
      <c r="DA48" s="258">
        <f>Table1[[#This Row],[OriginalDispatch]]-Table1[[#This Row],[QuickPayCharge]]</f>
        <v>29</v>
      </c>
      <c r="DB48" s="5">
        <v>0</v>
      </c>
      <c r="DC48" s="5" t="s">
        <v>133</v>
      </c>
      <c r="DD48" s="104">
        <f t="shared" si="21"/>
        <v>42216</v>
      </c>
      <c r="DE48" s="15">
        <f>MONTH(Table1[[#This Row],[Weekending]])</f>
        <v>7</v>
      </c>
      <c r="DF48" s="15">
        <f>YEAR(Table1[[#This Row],[Weekending]])</f>
        <v>2015</v>
      </c>
      <c r="DG48" s="4"/>
    </row>
    <row r="49" spans="1:111">
      <c r="A49" s="20" t="str">
        <f t="shared" si="0"/>
        <v>67737349</v>
      </c>
      <c r="B49" s="146">
        <v>42219</v>
      </c>
      <c r="C49" s="144">
        <v>178445067</v>
      </c>
      <c r="D49" s="298" t="s">
        <v>111</v>
      </c>
      <c r="E49" s="298">
        <v>2</v>
      </c>
      <c r="F49" s="298" t="str">
        <f>INDEX(BrokerTBL!$B:$B,MATCH(D49,BrokerTBL!$A:$A,0))</f>
        <v>P.O. Box 3474</v>
      </c>
      <c r="G49" s="298" t="str">
        <f>INDEX(BrokerTBL!$C:$C,MATCH(D49,BrokerTBL!$A:$A,0))</f>
        <v>Chicago</v>
      </c>
      <c r="H49" s="298" t="str">
        <f>INDEX(BrokerTBL!$D:$D,MATCH(D49,BrokerTBL!$A:$A,0))</f>
        <v>Il</v>
      </c>
      <c r="I49" s="298" t="str">
        <f>INDEX(BrokerTBL!$E:$E,MATCH(D49,BrokerTBL!$A:$A,0))</f>
        <v>US</v>
      </c>
      <c r="J49" s="298">
        <f>INDEX(BrokerTBL!$F:$F,MATCH(D49,BrokerTBL!$A:$A,0))</f>
        <v>60654</v>
      </c>
      <c r="K49" s="298" t="s">
        <v>579</v>
      </c>
      <c r="L49" s="145">
        <v>5639373</v>
      </c>
      <c r="M49" s="146">
        <v>42219</v>
      </c>
      <c r="N49" s="144" t="s">
        <v>288</v>
      </c>
      <c r="O49" s="298" t="s">
        <v>252</v>
      </c>
      <c r="P49" s="298" t="s">
        <v>253</v>
      </c>
      <c r="Q49" s="298" t="s">
        <v>139</v>
      </c>
      <c r="R49" s="298">
        <v>93637</v>
      </c>
      <c r="S49" s="298" t="s">
        <v>118</v>
      </c>
      <c r="T49" s="298" t="s">
        <v>254</v>
      </c>
      <c r="U49" s="298" t="s">
        <v>120</v>
      </c>
      <c r="V49" s="298">
        <v>53</v>
      </c>
      <c r="W49" s="298" t="s">
        <v>580</v>
      </c>
      <c r="X49" s="144">
        <v>37740</v>
      </c>
      <c r="Y49" s="298" t="s">
        <v>26</v>
      </c>
      <c r="Z49" s="298">
        <v>26</v>
      </c>
      <c r="AA49" s="298">
        <v>26</v>
      </c>
      <c r="AB49" s="298" t="s">
        <v>123</v>
      </c>
      <c r="AC49" s="298" t="s">
        <v>255</v>
      </c>
      <c r="AD49" s="145">
        <v>5639373</v>
      </c>
      <c r="AE49" s="146">
        <v>42220</v>
      </c>
      <c r="AF49" s="298" t="s">
        <v>256</v>
      </c>
      <c r="AG49" s="298" t="s">
        <v>257</v>
      </c>
      <c r="AH49" s="298" t="s">
        <v>160</v>
      </c>
      <c r="AI49" s="298" t="s">
        <v>139</v>
      </c>
      <c r="AJ49" s="298">
        <v>94533</v>
      </c>
      <c r="AK49" s="298" t="s">
        <v>118</v>
      </c>
      <c r="AL49" s="298" t="s">
        <v>258</v>
      </c>
      <c r="AM49" s="142" t="str">
        <f>INDEX(CarrierDriverTBL!$B:$B,MATCH(Table1[[#This Row],[DriverID]],CarrierDriverTBL!$A:$A,0))</f>
        <v>UBTrucking</v>
      </c>
      <c r="AN49" s="10" t="s">
        <v>192</v>
      </c>
      <c r="AO49" s="142" t="str">
        <f>INDEX(CarrierDriverTBL!$C:$C,MATCH(Table1[[#This Row],[DriverID]],CarrierDriverTBL!$A:$A,0))</f>
        <v>Albel</v>
      </c>
      <c r="AP49" s="142" t="str">
        <f>INDEX(CarrierDriverTBL!$D:$D,MATCH(Table1[[#This Row],[DriverID]],CarrierDriverTBL!$A:$A,0))</f>
        <v>Chahil</v>
      </c>
      <c r="AQ49" s="142" t="str">
        <f>INDEX(CarrierDriverTBL!$X:$X,MATCH(Table1[[#This Row],[DriverID]],CarrierDriverTBL!$A:$A,0))</f>
        <v>A8390649</v>
      </c>
      <c r="AR49" s="160">
        <f>INDEX(CarrierDriverTBL!$Y:$Y,MATCH(Table1[[#This Row],[DriverID]],CarrierDriverTBL!$A:$A,0))</f>
        <v>42402</v>
      </c>
      <c r="AS49" s="142" t="str">
        <f t="shared" si="1"/>
        <v>GOOD</v>
      </c>
      <c r="AT49" s="160">
        <f>INDEX(CarrierDriverTBL!$E:$E,MATCH(Table1[[#This Row],[DriverID]],CarrierDriverTBL!$A:$A,0))</f>
        <v>22314</v>
      </c>
      <c r="AU49" s="163">
        <f ca="1">INDEX(CarrierDriverTBL!$F:$F,MATCH(Table1[[#This Row],[DriverID]],CarrierDriverTBL!$A:$A,0))</f>
        <v>55.512328767123286</v>
      </c>
      <c r="AV49" s="142" t="str">
        <f>INDEX(CarrierDriverTBL!$K:$K,MATCH(Table1[[#This Row],[DriverID]],CarrierDriverTBL!$A:$A,0))</f>
        <v>510-773-9450</v>
      </c>
      <c r="AW49" s="142" t="str">
        <f>INDEX(CarrierDriverTBL!$M:$M,MATCH(Table1[[#This Row],[DriverID]],CarrierDriverTBL!$A:$A,0))</f>
        <v>3124 Cynthia CT</v>
      </c>
      <c r="AX49" s="142" t="str">
        <f>INDEX(CarrierDriverTBL!$N:$N,MATCH(Table1[[#This Row],[DriverID]],CarrierDriverTBL!$A:$A,0))</f>
        <v>Tracy</v>
      </c>
      <c r="AY49" s="142" t="str">
        <f>INDEX(CarrierDriverTBL!$O:$O,MATCH(Table1[[#This Row],[DriverID]],CarrierDriverTBL!$A:$A,0))</f>
        <v>CA</v>
      </c>
      <c r="AZ49" s="142">
        <f>INDEX(CarrierDriverTBL!$P:$P,MATCH(Table1[[#This Row],[DriverID]],CarrierDriverTBL!$A:$A,0))</f>
        <v>95377</v>
      </c>
      <c r="BA49" s="142" t="str">
        <f>INDEX(CarrierDriverTBL!$Q:$Q,MATCH(Table1[[#This Row],[DriverID]],CarrierDriverTBL!$A:$A,0))</f>
        <v>US</v>
      </c>
      <c r="BB49" s="176" t="str">
        <f>INDEX(CarrierDriverTBL!$R:$R,MATCH(Table1[[#This Row],[DriverID]],CarrierDriverTBL!$A:$A,0))</f>
        <v>ubgollc@gmail.com</v>
      </c>
      <c r="BC49" s="160">
        <f>INDEX(CarrierDriverTBL!$AB:$AB,MATCH(Table1[[#This Row],[DriverID]],CarrierDriverTBL!$A:$A,0))</f>
        <v>42167</v>
      </c>
      <c r="BD49" s="142" t="str">
        <f ca="1">INDEX(CarrierDriverTBL!$AD:$AD,MATCH(LoadMaster!$AN:$AN,CarrierDriverTBL!$A:$A,0))</f>
        <v>MISSING</v>
      </c>
      <c r="BE49" s="142">
        <f>INDEX(CarrierDriverTBL!$AE:$AE,MATCH(Table1[DriverID],CarrierDriverTBL!$A:$A,0))</f>
        <v>913971</v>
      </c>
      <c r="BF49" s="142">
        <f>INDEX(CarrierDriverTBL!$AF:$AF,MATCH(Table1[DriverID],CarrierDriverTBL!$A:$A,0))</f>
        <v>2627544</v>
      </c>
      <c r="BG49" s="142">
        <f>INDEX(CarrierDriverTBL!$AG:$AG,MATCH(Table1[DriverID],CarrierDriverTBL!$A:$A,0))</f>
        <v>466133</v>
      </c>
      <c r="BH49" s="142" t="str">
        <f>INDEX(CarrierDriverTBL!$AH:$AH,MATCH(Table1[DriverID],CarrierDriverTBL!$A:$A,0))</f>
        <v>GM Lawrence Ins</v>
      </c>
      <c r="BI49" s="142" t="str">
        <f>INDEX(CarrierDriverTBL!$AI:$AI,MATCH(Table1[DriverID],CarrierDriverTBL!$A:$A,0))</f>
        <v>DSK2842P160210</v>
      </c>
      <c r="BJ49" s="160">
        <f>INDEX(CarrierDriverTBL!$AJ:$AJ,MATCH(Table1[[#This Row],[DriverID]],CarrierDriverTBL!$A:$A,0))</f>
        <v>42778</v>
      </c>
      <c r="BK49" s="10">
        <f t="shared" si="2"/>
        <v>559</v>
      </c>
      <c r="BL49" s="174">
        <v>550</v>
      </c>
      <c r="BM49" s="144">
        <v>158</v>
      </c>
      <c r="BN49" s="159">
        <f t="shared" si="29"/>
        <v>3.481012658227848</v>
      </c>
      <c r="BO49" s="167">
        <v>500</v>
      </c>
      <c r="BP49" s="159">
        <f t="shared" si="30"/>
        <v>3.1645569620253164</v>
      </c>
      <c r="BQ49" s="66">
        <v>3.12</v>
      </c>
      <c r="BR49" s="166">
        <f t="shared" si="31"/>
        <v>0.20333333333333337</v>
      </c>
      <c r="BS49" s="167">
        <f t="shared" si="6"/>
        <v>2.9612236286919833</v>
      </c>
      <c r="BT49" s="159">
        <f t="shared" si="7"/>
        <v>32.126666666666672</v>
      </c>
      <c r="BU49" s="10" t="str">
        <f t="shared" si="8"/>
        <v>Ch Robinson</v>
      </c>
      <c r="BV49" s="15"/>
      <c r="BW49" s="4" t="str">
        <f>Table1[[#This Row],[BrokerAddress]]</f>
        <v>P.O. Box 3474</v>
      </c>
      <c r="BX49" s="4" t="str">
        <f t="shared" si="9"/>
        <v>Chicago</v>
      </c>
      <c r="BY49" s="4" t="str">
        <f t="shared" si="10"/>
        <v>Il</v>
      </c>
      <c r="BZ49" s="4">
        <f t="shared" si="11"/>
        <v>60654</v>
      </c>
      <c r="CA49" s="10" t="str">
        <f t="shared" si="12"/>
        <v>US</v>
      </c>
      <c r="CB49" s="15" t="s">
        <v>131</v>
      </c>
      <c r="CC49" s="62"/>
      <c r="CD49" s="15" t="s">
        <v>132</v>
      </c>
      <c r="CE49" s="64">
        <v>0</v>
      </c>
      <c r="CF49" s="4">
        <v>0</v>
      </c>
      <c r="CG49" s="132">
        <f t="shared" si="13"/>
        <v>0</v>
      </c>
      <c r="CH49" s="4" t="s">
        <v>132</v>
      </c>
      <c r="CI49" s="5">
        <v>0</v>
      </c>
      <c r="CJ49" s="4">
        <v>0</v>
      </c>
      <c r="CK49" s="132">
        <f t="shared" si="14"/>
        <v>0</v>
      </c>
      <c r="CL49" s="4" t="s">
        <v>132</v>
      </c>
      <c r="CM49" s="5">
        <v>0</v>
      </c>
      <c r="CN49" s="4">
        <v>0</v>
      </c>
      <c r="CO49" s="132">
        <f t="shared" si="15"/>
        <v>0</v>
      </c>
      <c r="CP49" s="4" t="s">
        <v>132</v>
      </c>
      <c r="CQ49" s="5">
        <v>0</v>
      </c>
      <c r="CR49" s="4">
        <v>0</v>
      </c>
      <c r="CS49" s="132">
        <f t="shared" si="16"/>
        <v>0</v>
      </c>
      <c r="CT49" s="159">
        <f t="shared" si="17"/>
        <v>0</v>
      </c>
      <c r="CU49" s="168">
        <f t="shared" si="18"/>
        <v>550</v>
      </c>
      <c r="CV49" s="169">
        <f t="shared" si="32"/>
        <v>0</v>
      </c>
      <c r="CW49" s="82">
        <f t="shared" si="28"/>
        <v>500</v>
      </c>
      <c r="CX49" s="79">
        <f>IF(ISBLANK(E49),"AddQuickPay",IF(E49=2,CU49*0.98,IF(E49=2.4,CU49*0.976,IF(E49=3,CU49*0.97,IF(E49=5,CU49*0.95,IF(E49=1.5,CU49*0.985,IF(E49=2.5,CU49*0.975,IF(E49=1.3,CU49*0.987,IF(E49=1,CU49*0.99,IF(E49=4,CU49*0.96,CU49*1))))))))))-Table1[[#This Row],[ComCheck+QuickPayFee]]</f>
        <v>539</v>
      </c>
      <c r="CY49" s="5">
        <f t="shared" si="19"/>
        <v>50</v>
      </c>
      <c r="CZ49" s="5">
        <f t="shared" si="20"/>
        <v>11</v>
      </c>
      <c r="DA49" s="258">
        <f>Table1[[#This Row],[OriginalDispatch]]-Table1[[#This Row],[QuickPayCharge]]</f>
        <v>39</v>
      </c>
      <c r="DB49" s="5">
        <v>0</v>
      </c>
      <c r="DC49" s="5" t="s">
        <v>133</v>
      </c>
      <c r="DD49" s="104">
        <f t="shared" si="21"/>
        <v>42223</v>
      </c>
      <c r="DE49" s="15">
        <f>MONTH(Table1[[#This Row],[Weekending]])</f>
        <v>8</v>
      </c>
      <c r="DF49" s="15">
        <f>YEAR(Table1[[#This Row],[Weekending]])</f>
        <v>2015</v>
      </c>
      <c r="DG49" s="4"/>
    </row>
    <row r="50" spans="1:111">
      <c r="A50" s="20" t="str">
        <f t="shared" si="0"/>
        <v>71636349</v>
      </c>
      <c r="B50" s="146">
        <v>42220</v>
      </c>
      <c r="C50" s="144">
        <v>6005671</v>
      </c>
      <c r="D50" s="298" t="s">
        <v>445</v>
      </c>
      <c r="E50" s="298">
        <v>3</v>
      </c>
      <c r="F50" s="298" t="str">
        <f>INDEX(BrokerTBL!$B:$B,MATCH(D50,BrokerTBL!$A:$A,0))</f>
        <v>960 Northpoint Parkway Suite 150</v>
      </c>
      <c r="G50" s="298" t="str">
        <f>INDEX(BrokerTBL!$C:$C,MATCH(D50,BrokerTBL!$A:$A,0))</f>
        <v>Alpharetta</v>
      </c>
      <c r="H50" s="298" t="str">
        <f>INDEX(BrokerTBL!$D:$D,MATCH(D50,BrokerTBL!$A:$A,0))</f>
        <v>Ga</v>
      </c>
      <c r="I50" s="298" t="str">
        <f>INDEX(BrokerTBL!$E:$E,MATCH(D50,BrokerTBL!$A:$A,0))</f>
        <v>US</v>
      </c>
      <c r="J50" s="298">
        <f>INDEX(BrokerTBL!$F:$F,MATCH(D50,BrokerTBL!$A:$A,0))</f>
        <v>30005</v>
      </c>
      <c r="K50" s="298" t="s">
        <v>581</v>
      </c>
      <c r="L50" s="145">
        <v>76563</v>
      </c>
      <c r="M50" s="146">
        <v>42220</v>
      </c>
      <c r="N50" s="144" t="s">
        <v>582</v>
      </c>
      <c r="O50" s="298" t="s">
        <v>583</v>
      </c>
      <c r="P50" s="298" t="s">
        <v>325</v>
      </c>
      <c r="Q50" s="298" t="s">
        <v>139</v>
      </c>
      <c r="R50" s="298">
        <v>94510</v>
      </c>
      <c r="S50" s="298" t="s">
        <v>118</v>
      </c>
      <c r="T50" s="298" t="s">
        <v>136</v>
      </c>
      <c r="U50" s="298" t="s">
        <v>120</v>
      </c>
      <c r="V50" s="298">
        <v>53</v>
      </c>
      <c r="W50" s="298" t="s">
        <v>584</v>
      </c>
      <c r="X50" s="144">
        <v>40278</v>
      </c>
      <c r="Y50" s="298" t="s">
        <v>123</v>
      </c>
      <c r="Z50" s="298" t="s">
        <v>123</v>
      </c>
      <c r="AA50" s="298" t="s">
        <v>123</v>
      </c>
      <c r="AB50" s="298" t="s">
        <v>123</v>
      </c>
      <c r="AC50" s="298" t="s">
        <v>585</v>
      </c>
      <c r="AD50" s="145">
        <v>76563</v>
      </c>
      <c r="AE50" s="146">
        <v>42221</v>
      </c>
      <c r="AF50" s="182">
        <v>0.41666666666666702</v>
      </c>
      <c r="AG50" s="298" t="s">
        <v>586</v>
      </c>
      <c r="AH50" s="298" t="s">
        <v>429</v>
      </c>
      <c r="AI50" s="298" t="s">
        <v>139</v>
      </c>
      <c r="AJ50" s="298">
        <v>93446</v>
      </c>
      <c r="AK50" s="298" t="s">
        <v>118</v>
      </c>
      <c r="AL50" s="298" t="s">
        <v>123</v>
      </c>
      <c r="AM50" s="142" t="str">
        <f>INDEX(CarrierDriverTBL!$B:$B,MATCH(Table1[[#This Row],[DriverID]],CarrierDriverTBL!$A:$A,0))</f>
        <v>UBTrucking</v>
      </c>
      <c r="AN50" s="10" t="s">
        <v>192</v>
      </c>
      <c r="AO50" s="142" t="str">
        <f>INDEX(CarrierDriverTBL!$C:$C,MATCH(Table1[[#This Row],[DriverID]],CarrierDriverTBL!$A:$A,0))</f>
        <v>Albel</v>
      </c>
      <c r="AP50" s="142" t="str">
        <f>INDEX(CarrierDriverTBL!$D:$D,MATCH(Table1[[#This Row],[DriverID]],CarrierDriverTBL!$A:$A,0))</f>
        <v>Chahil</v>
      </c>
      <c r="AQ50" s="142" t="str">
        <f>INDEX(CarrierDriverTBL!$X:$X,MATCH(Table1[[#This Row],[DriverID]],CarrierDriverTBL!$A:$A,0))</f>
        <v>A8390649</v>
      </c>
      <c r="AR50" s="160">
        <f>INDEX(CarrierDriverTBL!$Y:$Y,MATCH(Table1[[#This Row],[DriverID]],CarrierDriverTBL!$A:$A,0))</f>
        <v>42402</v>
      </c>
      <c r="AS50" s="142" t="str">
        <f t="shared" si="1"/>
        <v>GOOD</v>
      </c>
      <c r="AT50" s="160">
        <f>INDEX(CarrierDriverTBL!$E:$E,MATCH(Table1[[#This Row],[DriverID]],CarrierDriverTBL!$A:$A,0))</f>
        <v>22314</v>
      </c>
      <c r="AU50" s="163">
        <f ca="1">INDEX(CarrierDriverTBL!$F:$F,MATCH(Table1[[#This Row],[DriverID]],CarrierDriverTBL!$A:$A,0))</f>
        <v>55.512328767123286</v>
      </c>
      <c r="AV50" s="142" t="str">
        <f>INDEX(CarrierDriverTBL!$K:$K,MATCH(Table1[[#This Row],[DriverID]],CarrierDriverTBL!$A:$A,0))</f>
        <v>510-773-9450</v>
      </c>
      <c r="AW50" s="142" t="str">
        <f>INDEX(CarrierDriverTBL!$M:$M,MATCH(Table1[[#This Row],[DriverID]],CarrierDriverTBL!$A:$A,0))</f>
        <v>3124 Cynthia CT</v>
      </c>
      <c r="AX50" s="142" t="str">
        <f>INDEX(CarrierDriverTBL!$N:$N,MATCH(Table1[[#This Row],[DriverID]],CarrierDriverTBL!$A:$A,0))</f>
        <v>Tracy</v>
      </c>
      <c r="AY50" s="142" t="str">
        <f>INDEX(CarrierDriverTBL!$O:$O,MATCH(Table1[[#This Row],[DriverID]],CarrierDriverTBL!$A:$A,0))</f>
        <v>CA</v>
      </c>
      <c r="AZ50" s="142">
        <f>INDEX(CarrierDriverTBL!$P:$P,MATCH(Table1[[#This Row],[DriverID]],CarrierDriverTBL!$A:$A,0))</f>
        <v>95377</v>
      </c>
      <c r="BA50" s="142" t="str">
        <f>INDEX(CarrierDriverTBL!$Q:$Q,MATCH(Table1[[#This Row],[DriverID]],CarrierDriverTBL!$A:$A,0))</f>
        <v>US</v>
      </c>
      <c r="BB50" s="176" t="str">
        <f>INDEX(CarrierDriverTBL!$R:$R,MATCH(Table1[[#This Row],[DriverID]],CarrierDriverTBL!$A:$A,0))</f>
        <v>ubgollc@gmail.com</v>
      </c>
      <c r="BC50" s="160">
        <f>INDEX(CarrierDriverTBL!$AB:$AB,MATCH(Table1[[#This Row],[DriverID]],CarrierDriverTBL!$A:$A,0))</f>
        <v>42167</v>
      </c>
      <c r="BD50" s="142" t="str">
        <f ca="1">INDEX(CarrierDriverTBL!$AD:$AD,MATCH(LoadMaster!$AN:$AN,CarrierDriverTBL!$A:$A,0))</f>
        <v>MISSING</v>
      </c>
      <c r="BE50" s="142">
        <f>INDEX(CarrierDriverTBL!$AE:$AE,MATCH(Table1[DriverID],CarrierDriverTBL!$A:$A,0))</f>
        <v>913971</v>
      </c>
      <c r="BF50" s="142">
        <f>INDEX(CarrierDriverTBL!$AF:$AF,MATCH(Table1[DriverID],CarrierDriverTBL!$A:$A,0))</f>
        <v>2627544</v>
      </c>
      <c r="BG50" s="142">
        <f>INDEX(CarrierDriverTBL!$AG:$AG,MATCH(Table1[DriverID],CarrierDriverTBL!$A:$A,0))</f>
        <v>466133</v>
      </c>
      <c r="BH50" s="142" t="str">
        <f>INDEX(CarrierDriverTBL!$AH:$AH,MATCH(Table1[DriverID],CarrierDriverTBL!$A:$A,0))</f>
        <v>GM Lawrence Ins</v>
      </c>
      <c r="BI50" s="142" t="str">
        <f>INDEX(CarrierDriverTBL!$AI:$AI,MATCH(Table1[DriverID],CarrierDriverTBL!$A:$A,0))</f>
        <v>DSK2842P160210</v>
      </c>
      <c r="BJ50" s="160">
        <f>INDEX(CarrierDriverTBL!$AJ:$AJ,MATCH(Table1[[#This Row],[DriverID]],CarrierDriverTBL!$A:$A,0))</f>
        <v>42778</v>
      </c>
      <c r="BK50" s="10">
        <f t="shared" si="2"/>
        <v>558</v>
      </c>
      <c r="BL50" s="174">
        <v>750</v>
      </c>
      <c r="BM50" s="171">
        <v>235</v>
      </c>
      <c r="BN50" s="159">
        <f t="shared" si="29"/>
        <v>3.1914893617021276</v>
      </c>
      <c r="BO50" s="167">
        <v>700</v>
      </c>
      <c r="BP50" s="159">
        <f t="shared" si="30"/>
        <v>2.978723404255319</v>
      </c>
      <c r="BQ50" s="133">
        <v>3</v>
      </c>
      <c r="BR50" s="166">
        <f t="shared" si="31"/>
        <v>0.18333333333333335</v>
      </c>
      <c r="BS50" s="167">
        <f t="shared" si="6"/>
        <v>2.7953900709219859</v>
      </c>
      <c r="BT50" s="159">
        <f t="shared" si="7"/>
        <v>43.083333333333336</v>
      </c>
      <c r="BU50" s="10" t="str">
        <f t="shared" si="8"/>
        <v>Coyote</v>
      </c>
      <c r="BV50" s="15"/>
      <c r="BW50" s="4" t="str">
        <f>Table1[[#This Row],[BrokerAddress]]</f>
        <v>960 Northpoint Parkway Suite 150</v>
      </c>
      <c r="BX50" s="4" t="str">
        <f t="shared" si="9"/>
        <v>Alpharetta</v>
      </c>
      <c r="BY50" s="4" t="str">
        <f t="shared" si="10"/>
        <v>Ga</v>
      </c>
      <c r="BZ50" s="4">
        <f t="shared" si="11"/>
        <v>30005</v>
      </c>
      <c r="CA50" s="10" t="str">
        <f t="shared" si="12"/>
        <v>US</v>
      </c>
      <c r="CB50" s="15" t="s">
        <v>131</v>
      </c>
      <c r="CC50" s="62"/>
      <c r="CD50" s="15" t="s">
        <v>132</v>
      </c>
      <c r="CE50" s="64">
        <v>0</v>
      </c>
      <c r="CF50" s="4">
        <v>0</v>
      </c>
      <c r="CG50" s="132">
        <f t="shared" si="13"/>
        <v>0</v>
      </c>
      <c r="CH50" s="4" t="s">
        <v>132</v>
      </c>
      <c r="CI50" s="5">
        <v>0</v>
      </c>
      <c r="CJ50" s="4">
        <v>0</v>
      </c>
      <c r="CK50" s="132">
        <f t="shared" si="14"/>
        <v>0</v>
      </c>
      <c r="CL50" s="4" t="s">
        <v>132</v>
      </c>
      <c r="CM50" s="5">
        <v>0</v>
      </c>
      <c r="CN50" s="4">
        <v>0</v>
      </c>
      <c r="CO50" s="132">
        <f t="shared" si="15"/>
        <v>0</v>
      </c>
      <c r="CP50" s="4" t="s">
        <v>132</v>
      </c>
      <c r="CQ50" s="5">
        <v>0</v>
      </c>
      <c r="CR50" s="4">
        <v>0</v>
      </c>
      <c r="CS50" s="132">
        <f t="shared" si="16"/>
        <v>0</v>
      </c>
      <c r="CT50" s="159">
        <f t="shared" si="17"/>
        <v>0</v>
      </c>
      <c r="CU50" s="168">
        <f t="shared" si="18"/>
        <v>750</v>
      </c>
      <c r="CV50" s="169">
        <f t="shared" si="32"/>
        <v>0</v>
      </c>
      <c r="CW50" s="82">
        <f t="shared" si="28"/>
        <v>700</v>
      </c>
      <c r="CX50" s="79">
        <f>IF(ISBLANK(E50),"AddQuickPay",IF(E50=2,CU50*0.98,IF(E50=2.4,CU50*0.976,IF(E50=3,CU50*0.97,IF(E50=5,CU50*0.95,IF(E50=1.5,CU50*0.985,IF(E50=2.5,CU50*0.975,IF(E50=1.3,CU50*0.987,IF(E50=1,CU50*0.99,IF(E50=4,CU50*0.96,CU50*1))))))))))-Table1[[#This Row],[ComCheck+QuickPayFee]]</f>
        <v>727.5</v>
      </c>
      <c r="CY50" s="5">
        <f t="shared" si="19"/>
        <v>50</v>
      </c>
      <c r="CZ50" s="5">
        <f t="shared" si="20"/>
        <v>22.5</v>
      </c>
      <c r="DA50" s="258">
        <f>Table1[[#This Row],[OriginalDispatch]]-Table1[[#This Row],[QuickPayCharge]]</f>
        <v>27.5</v>
      </c>
      <c r="DB50" s="5">
        <v>0</v>
      </c>
      <c r="DC50" s="5" t="s">
        <v>133</v>
      </c>
      <c r="DD50" s="104">
        <f t="shared" si="21"/>
        <v>42223</v>
      </c>
      <c r="DE50" s="15">
        <f>MONTH(Table1[[#This Row],[Weekending]])</f>
        <v>8</v>
      </c>
      <c r="DF50" s="15">
        <f>YEAR(Table1[[#This Row],[Weekending]])</f>
        <v>2015</v>
      </c>
      <c r="DG50" s="4"/>
    </row>
    <row r="51" spans="1:111">
      <c r="A51" s="20" t="str">
        <f t="shared" si="0"/>
        <v>02997749</v>
      </c>
      <c r="B51" s="146">
        <v>42221</v>
      </c>
      <c r="C51" s="144">
        <v>1485102</v>
      </c>
      <c r="D51" s="298" t="s">
        <v>384</v>
      </c>
      <c r="E51" s="298">
        <v>1.5</v>
      </c>
      <c r="F51" s="298" t="str">
        <f>INDEX(BrokerTBL!$B:$B,MATCH(D51,BrokerTBL!$A:$A,0))</f>
        <v>11707 21St Ave Ct So</v>
      </c>
      <c r="G51" s="298" t="str">
        <f>INDEX(BrokerTBL!$C:$C,MATCH(D51,BrokerTBL!$A:$A,0))</f>
        <v>Tacoma</v>
      </c>
      <c r="H51" s="298" t="str">
        <f>INDEX(BrokerTBL!$D:$D,MATCH(D51,BrokerTBL!$A:$A,0))</f>
        <v>Wa</v>
      </c>
      <c r="I51" s="298" t="str">
        <f>INDEX(BrokerTBL!$E:$E,MATCH(D51,BrokerTBL!$A:$A,0))</f>
        <v>US</v>
      </c>
      <c r="J51" s="298">
        <f>INDEX(BrokerTBL!$F:$F,MATCH(D51,BrokerTBL!$A:$A,0))</f>
        <v>98444</v>
      </c>
      <c r="K51" s="298" t="s">
        <v>587</v>
      </c>
      <c r="L51" s="145">
        <v>965299</v>
      </c>
      <c r="M51" s="146">
        <v>42221</v>
      </c>
      <c r="N51" s="144" t="s">
        <v>588</v>
      </c>
      <c r="O51" s="298" t="s">
        <v>589</v>
      </c>
      <c r="P51" s="298" t="s">
        <v>429</v>
      </c>
      <c r="Q51" s="298" t="s">
        <v>139</v>
      </c>
      <c r="R51" s="298">
        <v>93446</v>
      </c>
      <c r="S51" s="298" t="s">
        <v>118</v>
      </c>
      <c r="T51" s="298" t="s">
        <v>136</v>
      </c>
      <c r="U51" s="298" t="s">
        <v>120</v>
      </c>
      <c r="V51" s="298">
        <v>53</v>
      </c>
      <c r="W51" s="298" t="s">
        <v>590</v>
      </c>
      <c r="X51" s="144">
        <v>41964</v>
      </c>
      <c r="Y51" s="298" t="s">
        <v>123</v>
      </c>
      <c r="Z51" s="298" t="s">
        <v>123</v>
      </c>
      <c r="AA51" s="298" t="s">
        <v>123</v>
      </c>
      <c r="AB51" s="298" t="s">
        <v>123</v>
      </c>
      <c r="AC51" s="298" t="s">
        <v>591</v>
      </c>
      <c r="AD51" s="145">
        <v>10577</v>
      </c>
      <c r="AE51" s="146">
        <v>42222</v>
      </c>
      <c r="AF51" s="182">
        <v>0.42708333333333298</v>
      </c>
      <c r="AG51" s="298" t="s">
        <v>340</v>
      </c>
      <c r="AH51" s="298" t="s">
        <v>320</v>
      </c>
      <c r="AI51" s="298" t="s">
        <v>139</v>
      </c>
      <c r="AJ51" s="298">
        <v>94587</v>
      </c>
      <c r="AK51" s="298" t="s">
        <v>118</v>
      </c>
      <c r="AL51" s="298" t="s">
        <v>123</v>
      </c>
      <c r="AM51" s="142" t="str">
        <f>INDEX(CarrierDriverTBL!$B:$B,MATCH(Table1[[#This Row],[DriverID]],CarrierDriverTBL!$A:$A,0))</f>
        <v>UBTrucking</v>
      </c>
      <c r="AN51" s="10" t="s">
        <v>192</v>
      </c>
      <c r="AO51" s="142" t="str">
        <f>INDEX(CarrierDriverTBL!$C:$C,MATCH(Table1[[#This Row],[DriverID]],CarrierDriverTBL!$A:$A,0))</f>
        <v>Albel</v>
      </c>
      <c r="AP51" s="142" t="str">
        <f>INDEX(CarrierDriverTBL!$D:$D,MATCH(Table1[[#This Row],[DriverID]],CarrierDriverTBL!$A:$A,0))</f>
        <v>Chahil</v>
      </c>
      <c r="AQ51" s="142" t="str">
        <f>INDEX(CarrierDriverTBL!$X:$X,MATCH(Table1[[#This Row],[DriverID]],CarrierDriverTBL!$A:$A,0))</f>
        <v>A8390649</v>
      </c>
      <c r="AR51" s="160">
        <f>INDEX(CarrierDriverTBL!$Y:$Y,MATCH(Table1[[#This Row],[DriverID]],CarrierDriverTBL!$A:$A,0))</f>
        <v>42402</v>
      </c>
      <c r="AS51" s="142" t="str">
        <f t="shared" si="1"/>
        <v>GOOD</v>
      </c>
      <c r="AT51" s="160">
        <f>INDEX(CarrierDriverTBL!$E:$E,MATCH(Table1[[#This Row],[DriverID]],CarrierDriverTBL!$A:$A,0))</f>
        <v>22314</v>
      </c>
      <c r="AU51" s="163">
        <f ca="1">INDEX(CarrierDriverTBL!$F:$F,MATCH(Table1[[#This Row],[DriverID]],CarrierDriverTBL!$A:$A,0))</f>
        <v>55.512328767123286</v>
      </c>
      <c r="AV51" s="142" t="str">
        <f>INDEX(CarrierDriverTBL!$K:$K,MATCH(Table1[[#This Row],[DriverID]],CarrierDriverTBL!$A:$A,0))</f>
        <v>510-773-9450</v>
      </c>
      <c r="AW51" s="142" t="str">
        <f>INDEX(CarrierDriverTBL!$M:$M,MATCH(Table1[[#This Row],[DriverID]],CarrierDriverTBL!$A:$A,0))</f>
        <v>3124 Cynthia CT</v>
      </c>
      <c r="AX51" s="142" t="str">
        <f>INDEX(CarrierDriverTBL!$N:$N,MATCH(Table1[[#This Row],[DriverID]],CarrierDriverTBL!$A:$A,0))</f>
        <v>Tracy</v>
      </c>
      <c r="AY51" s="142" t="str">
        <f>INDEX(CarrierDriverTBL!$O:$O,MATCH(Table1[[#This Row],[DriverID]],CarrierDriverTBL!$A:$A,0))</f>
        <v>CA</v>
      </c>
      <c r="AZ51" s="142">
        <f>INDEX(CarrierDriverTBL!$P:$P,MATCH(Table1[[#This Row],[DriverID]],CarrierDriverTBL!$A:$A,0))</f>
        <v>95377</v>
      </c>
      <c r="BA51" s="142" t="str">
        <f>INDEX(CarrierDriverTBL!$Q:$Q,MATCH(Table1[[#This Row],[DriverID]],CarrierDriverTBL!$A:$A,0))</f>
        <v>US</v>
      </c>
      <c r="BB51" s="176" t="str">
        <f>INDEX(CarrierDriverTBL!$R:$R,MATCH(Table1[[#This Row],[DriverID]],CarrierDriverTBL!$A:$A,0))</f>
        <v>ubgollc@gmail.com</v>
      </c>
      <c r="BC51" s="160">
        <f>INDEX(CarrierDriverTBL!$AB:$AB,MATCH(Table1[[#This Row],[DriverID]],CarrierDriverTBL!$A:$A,0))</f>
        <v>42167</v>
      </c>
      <c r="BD51" s="142" t="str">
        <f ca="1">INDEX(CarrierDriverTBL!$AD:$AD,MATCH(LoadMaster!$AN:$AN,CarrierDriverTBL!$A:$A,0))</f>
        <v>MISSING</v>
      </c>
      <c r="BE51" s="142">
        <f>INDEX(CarrierDriverTBL!$AE:$AE,MATCH(Table1[DriverID],CarrierDriverTBL!$A:$A,0))</f>
        <v>913971</v>
      </c>
      <c r="BF51" s="142">
        <f>INDEX(CarrierDriverTBL!$AF:$AF,MATCH(Table1[DriverID],CarrierDriverTBL!$A:$A,0))</f>
        <v>2627544</v>
      </c>
      <c r="BG51" s="142">
        <f>INDEX(CarrierDriverTBL!$AG:$AG,MATCH(Table1[DriverID],CarrierDriverTBL!$A:$A,0))</f>
        <v>466133</v>
      </c>
      <c r="BH51" s="142" t="str">
        <f>INDEX(CarrierDriverTBL!$AH:$AH,MATCH(Table1[DriverID],CarrierDriverTBL!$A:$A,0))</f>
        <v>GM Lawrence Ins</v>
      </c>
      <c r="BI51" s="142" t="str">
        <f>INDEX(CarrierDriverTBL!$AI:$AI,MATCH(Table1[DriverID],CarrierDriverTBL!$A:$A,0))</f>
        <v>DSK2842P160210</v>
      </c>
      <c r="BJ51" s="160">
        <f>INDEX(CarrierDriverTBL!$AJ:$AJ,MATCH(Table1[[#This Row],[DriverID]],CarrierDriverTBL!$A:$A,0))</f>
        <v>42778</v>
      </c>
      <c r="BK51" s="10">
        <f t="shared" si="2"/>
        <v>557</v>
      </c>
      <c r="BL51" s="174">
        <v>750</v>
      </c>
      <c r="BM51" s="144">
        <v>178</v>
      </c>
      <c r="BN51" s="159">
        <f t="shared" si="29"/>
        <v>4.213483146067416</v>
      </c>
      <c r="BO51" s="167">
        <v>700</v>
      </c>
      <c r="BP51" s="159">
        <f t="shared" si="30"/>
        <v>3.9325842696629212</v>
      </c>
      <c r="BQ51" s="133">
        <v>3</v>
      </c>
      <c r="BR51" s="166">
        <f t="shared" si="31"/>
        <v>0.18333333333333335</v>
      </c>
      <c r="BS51" s="167">
        <f t="shared" si="6"/>
        <v>3.7492509363295881</v>
      </c>
      <c r="BT51" s="159">
        <f t="shared" si="7"/>
        <v>32.633333333333333</v>
      </c>
      <c r="BU51" s="10" t="str">
        <f t="shared" si="8"/>
        <v>Interstate Distributor Co</v>
      </c>
      <c r="BV51" s="298"/>
      <c r="BW51" s="4" t="str">
        <f>Table1[[#This Row],[BrokerAddress]]</f>
        <v>11707 21St Ave Ct So</v>
      </c>
      <c r="BX51" s="4" t="str">
        <f t="shared" si="9"/>
        <v>Tacoma</v>
      </c>
      <c r="BY51" s="4" t="str">
        <f t="shared" si="10"/>
        <v>Wa</v>
      </c>
      <c r="BZ51" s="4">
        <f t="shared" si="11"/>
        <v>98444</v>
      </c>
      <c r="CA51" s="10" t="str">
        <f t="shared" si="12"/>
        <v>US</v>
      </c>
      <c r="CB51" s="15" t="s">
        <v>131</v>
      </c>
      <c r="CC51" s="62"/>
      <c r="CD51" s="15" t="s">
        <v>132</v>
      </c>
      <c r="CE51" s="64">
        <v>0</v>
      </c>
      <c r="CF51" s="4">
        <v>0</v>
      </c>
      <c r="CG51" s="132">
        <f t="shared" si="13"/>
        <v>0</v>
      </c>
      <c r="CH51" s="4" t="s">
        <v>132</v>
      </c>
      <c r="CI51" s="5">
        <v>0</v>
      </c>
      <c r="CJ51" s="4">
        <v>0</v>
      </c>
      <c r="CK51" s="132">
        <f t="shared" si="14"/>
        <v>0</v>
      </c>
      <c r="CL51" s="4" t="s">
        <v>132</v>
      </c>
      <c r="CM51" s="5">
        <v>0</v>
      </c>
      <c r="CN51" s="4">
        <v>0</v>
      </c>
      <c r="CO51" s="132">
        <f t="shared" si="15"/>
        <v>0</v>
      </c>
      <c r="CP51" s="4" t="s">
        <v>132</v>
      </c>
      <c r="CQ51" s="5">
        <v>0</v>
      </c>
      <c r="CR51" s="4">
        <v>0</v>
      </c>
      <c r="CS51" s="132">
        <f t="shared" si="16"/>
        <v>0</v>
      </c>
      <c r="CT51" s="159">
        <f t="shared" si="17"/>
        <v>0</v>
      </c>
      <c r="CU51" s="168">
        <f t="shared" si="18"/>
        <v>750</v>
      </c>
      <c r="CV51" s="169">
        <f t="shared" si="32"/>
        <v>0</v>
      </c>
      <c r="CW51" s="82">
        <f t="shared" si="28"/>
        <v>700</v>
      </c>
      <c r="CX51" s="79">
        <f>IF(ISBLANK(E51),"AddQuickPay",IF(E51=2,CU51*0.98,IF(E51=2.4,CU51*0.976,IF(E51=3,CU51*0.97,IF(E51=5,CU51*0.95,IF(E51=1.5,CU51*0.985,IF(E51=2.5,CU51*0.975,IF(E51=1.3,CU51*0.987,IF(E51=1,CU51*0.99,IF(E51=4,CU51*0.96,CU51*1))))))))))-Table1[[#This Row],[ComCheck+QuickPayFee]]</f>
        <v>738.75</v>
      </c>
      <c r="CY51" s="5">
        <f t="shared" si="19"/>
        <v>50</v>
      </c>
      <c r="CZ51" s="5">
        <f t="shared" si="20"/>
        <v>11.25</v>
      </c>
      <c r="DA51" s="258">
        <f>Table1[[#This Row],[OriginalDispatch]]-Table1[[#This Row],[QuickPayCharge]]</f>
        <v>38.75</v>
      </c>
      <c r="DB51" s="5">
        <v>0</v>
      </c>
      <c r="DC51" s="5" t="s">
        <v>133</v>
      </c>
      <c r="DD51" s="104">
        <f t="shared" si="21"/>
        <v>42223</v>
      </c>
      <c r="DE51" s="15">
        <f>MONTH(Table1[[#This Row],[Weekending]])</f>
        <v>8</v>
      </c>
      <c r="DF51" s="15">
        <f>YEAR(Table1[[#This Row],[Weekending]])</f>
        <v>2015</v>
      </c>
      <c r="DG51" s="4"/>
    </row>
    <row r="52" spans="1:111">
      <c r="A52" s="20" t="str">
        <f t="shared" si="0"/>
        <v>702749</v>
      </c>
      <c r="B52" s="146">
        <v>42222</v>
      </c>
      <c r="C52" s="144">
        <v>6013270</v>
      </c>
      <c r="D52" s="298" t="s">
        <v>445</v>
      </c>
      <c r="E52" s="298">
        <v>3</v>
      </c>
      <c r="F52" s="298" t="str">
        <f>INDEX(BrokerTBL!$B:$B,MATCH(D52,BrokerTBL!$A:$A,0))</f>
        <v>960 Northpoint Parkway Suite 150</v>
      </c>
      <c r="G52" s="298" t="str">
        <f>INDEX(BrokerTBL!$C:$C,MATCH(D52,BrokerTBL!$A:$A,0))</f>
        <v>Alpharetta</v>
      </c>
      <c r="H52" s="298" t="str">
        <f>INDEX(BrokerTBL!$D:$D,MATCH(D52,BrokerTBL!$A:$A,0))</f>
        <v>Ga</v>
      </c>
      <c r="I52" s="298" t="str">
        <f>INDEX(BrokerTBL!$E:$E,MATCH(D52,BrokerTBL!$A:$A,0))</f>
        <v>US</v>
      </c>
      <c r="J52" s="298">
        <f>INDEX(BrokerTBL!$F:$F,MATCH(D52,BrokerTBL!$A:$A,0))</f>
        <v>30005</v>
      </c>
      <c r="K52" s="298" t="s">
        <v>592</v>
      </c>
      <c r="L52" s="145">
        <v>682927</v>
      </c>
      <c r="M52" s="146">
        <v>42222</v>
      </c>
      <c r="N52" s="144" t="s">
        <v>593</v>
      </c>
      <c r="O52" s="298" t="s">
        <v>594</v>
      </c>
      <c r="P52" s="298" t="s">
        <v>595</v>
      </c>
      <c r="Q52" s="298" t="s">
        <v>139</v>
      </c>
      <c r="R52" s="298">
        <v>95112</v>
      </c>
      <c r="S52" s="298" t="s">
        <v>118</v>
      </c>
      <c r="T52" s="298" t="s">
        <v>136</v>
      </c>
      <c r="U52" s="298" t="s">
        <v>120</v>
      </c>
      <c r="V52" s="298">
        <v>53</v>
      </c>
      <c r="W52" s="298" t="s">
        <v>596</v>
      </c>
      <c r="X52" s="144">
        <v>19248</v>
      </c>
      <c r="Y52" s="298" t="s">
        <v>123</v>
      </c>
      <c r="Z52" s="298" t="s">
        <v>123</v>
      </c>
      <c r="AA52" s="298" t="s">
        <v>123</v>
      </c>
      <c r="AB52" s="298" t="s">
        <v>123</v>
      </c>
      <c r="AC52" s="298" t="s">
        <v>597</v>
      </c>
      <c r="AD52" s="145"/>
      <c r="AE52" s="146">
        <v>42223</v>
      </c>
      <c r="AF52" s="298" t="s">
        <v>598</v>
      </c>
      <c r="AG52" s="298" t="s">
        <v>599</v>
      </c>
      <c r="AH52" s="298" t="s">
        <v>600</v>
      </c>
      <c r="AI52" s="298" t="s">
        <v>139</v>
      </c>
      <c r="AJ52" s="298">
        <v>95503</v>
      </c>
      <c r="AK52" s="298" t="s">
        <v>118</v>
      </c>
      <c r="AL52" s="298" t="s">
        <v>123</v>
      </c>
      <c r="AM52" s="142" t="str">
        <f>INDEX(CarrierDriverTBL!$B:$B,MATCH(Table1[[#This Row],[DriverID]],CarrierDriverTBL!$A:$A,0))</f>
        <v>UBTrucking</v>
      </c>
      <c r="AN52" s="10" t="s">
        <v>192</v>
      </c>
      <c r="AO52" s="142" t="str">
        <f>INDEX(CarrierDriverTBL!$C:$C,MATCH(Table1[[#This Row],[DriverID]],CarrierDriverTBL!$A:$A,0))</f>
        <v>Albel</v>
      </c>
      <c r="AP52" s="142" t="str">
        <f>INDEX(CarrierDriverTBL!$D:$D,MATCH(Table1[[#This Row],[DriverID]],CarrierDriverTBL!$A:$A,0))</f>
        <v>Chahil</v>
      </c>
      <c r="AQ52" s="142" t="str">
        <f>INDEX(CarrierDriverTBL!$X:$X,MATCH(Table1[[#This Row],[DriverID]],CarrierDriverTBL!$A:$A,0))</f>
        <v>A8390649</v>
      </c>
      <c r="AR52" s="160">
        <f>INDEX(CarrierDriverTBL!$Y:$Y,MATCH(Table1[[#This Row],[DriverID]],CarrierDriverTBL!$A:$A,0))</f>
        <v>42402</v>
      </c>
      <c r="AS52" s="142" t="str">
        <f t="shared" si="1"/>
        <v>GOOD</v>
      </c>
      <c r="AT52" s="160">
        <f>INDEX(CarrierDriverTBL!$E:$E,MATCH(Table1[[#This Row],[DriverID]],CarrierDriverTBL!$A:$A,0))</f>
        <v>22314</v>
      </c>
      <c r="AU52" s="163">
        <f ca="1">INDEX(CarrierDriverTBL!$F:$F,MATCH(Table1[[#This Row],[DriverID]],CarrierDriverTBL!$A:$A,0))</f>
        <v>55.512328767123286</v>
      </c>
      <c r="AV52" s="142" t="str">
        <f>INDEX(CarrierDriverTBL!$K:$K,MATCH(Table1[[#This Row],[DriverID]],CarrierDriverTBL!$A:$A,0))</f>
        <v>510-773-9450</v>
      </c>
      <c r="AW52" s="142" t="str">
        <f>INDEX(CarrierDriverTBL!$M:$M,MATCH(Table1[[#This Row],[DriverID]],CarrierDriverTBL!$A:$A,0))</f>
        <v>3124 Cynthia CT</v>
      </c>
      <c r="AX52" s="142" t="str">
        <f>INDEX(CarrierDriverTBL!$N:$N,MATCH(Table1[[#This Row],[DriverID]],CarrierDriverTBL!$A:$A,0))</f>
        <v>Tracy</v>
      </c>
      <c r="AY52" s="142" t="str">
        <f>INDEX(CarrierDriverTBL!$O:$O,MATCH(Table1[[#This Row],[DriverID]],CarrierDriverTBL!$A:$A,0))</f>
        <v>CA</v>
      </c>
      <c r="AZ52" s="142">
        <f>INDEX(CarrierDriverTBL!$P:$P,MATCH(Table1[[#This Row],[DriverID]],CarrierDriverTBL!$A:$A,0))</f>
        <v>95377</v>
      </c>
      <c r="BA52" s="142" t="str">
        <f>INDEX(CarrierDriverTBL!$Q:$Q,MATCH(Table1[[#This Row],[DriverID]],CarrierDriverTBL!$A:$A,0))</f>
        <v>US</v>
      </c>
      <c r="BB52" s="176" t="str">
        <f>INDEX(CarrierDriverTBL!$R:$R,MATCH(Table1[[#This Row],[DriverID]],CarrierDriverTBL!$A:$A,0))</f>
        <v>ubgollc@gmail.com</v>
      </c>
      <c r="BC52" s="160">
        <f>INDEX(CarrierDriverTBL!$AB:$AB,MATCH(Table1[[#This Row],[DriverID]],CarrierDriverTBL!$A:$A,0))</f>
        <v>42167</v>
      </c>
      <c r="BD52" s="142" t="str">
        <f ca="1">INDEX(CarrierDriverTBL!$AD:$AD,MATCH(LoadMaster!$AN:$AN,CarrierDriverTBL!$A:$A,0))</f>
        <v>MISSING</v>
      </c>
      <c r="BE52" s="142">
        <f>INDEX(CarrierDriverTBL!$AE:$AE,MATCH(Table1[DriverID],CarrierDriverTBL!$A:$A,0))</f>
        <v>913971</v>
      </c>
      <c r="BF52" s="142">
        <f>INDEX(CarrierDriverTBL!$AF:$AF,MATCH(Table1[DriverID],CarrierDriverTBL!$A:$A,0))</f>
        <v>2627544</v>
      </c>
      <c r="BG52" s="142">
        <f>INDEX(CarrierDriverTBL!$AG:$AG,MATCH(Table1[DriverID],CarrierDriverTBL!$A:$A,0))</f>
        <v>466133</v>
      </c>
      <c r="BH52" s="142" t="str">
        <f>INDEX(CarrierDriverTBL!$AH:$AH,MATCH(Table1[DriverID],CarrierDriverTBL!$A:$A,0))</f>
        <v>GM Lawrence Ins</v>
      </c>
      <c r="BI52" s="142" t="str">
        <f>INDEX(CarrierDriverTBL!$AI:$AI,MATCH(Table1[DriverID],CarrierDriverTBL!$A:$A,0))</f>
        <v>DSK2842P160210</v>
      </c>
      <c r="BJ52" s="160">
        <f>INDEX(CarrierDriverTBL!$AJ:$AJ,MATCH(Table1[[#This Row],[DriverID]],CarrierDriverTBL!$A:$A,0))</f>
        <v>42778</v>
      </c>
      <c r="BK52" s="10">
        <f t="shared" si="2"/>
        <v>556</v>
      </c>
      <c r="BL52" s="174">
        <v>900</v>
      </c>
      <c r="BM52" s="144">
        <v>400</v>
      </c>
      <c r="BN52" s="159">
        <f t="shared" si="29"/>
        <v>2.25</v>
      </c>
      <c r="BO52" s="167">
        <v>850</v>
      </c>
      <c r="BP52" s="159">
        <f t="shared" si="30"/>
        <v>2.125</v>
      </c>
      <c r="BQ52" s="133">
        <v>3</v>
      </c>
      <c r="BR52" s="166">
        <f t="shared" si="31"/>
        <v>0.18333333333333335</v>
      </c>
      <c r="BS52" s="167">
        <f t="shared" si="6"/>
        <v>1.9416666666666667</v>
      </c>
      <c r="BT52" s="159">
        <f t="shared" si="7"/>
        <v>73.333333333333343</v>
      </c>
      <c r="BU52" s="10" t="str">
        <f t="shared" si="8"/>
        <v>Coyote</v>
      </c>
      <c r="BV52" s="15"/>
      <c r="BW52" s="4" t="str">
        <f>Table1[[#This Row],[BrokerAddress]]</f>
        <v>960 Northpoint Parkway Suite 150</v>
      </c>
      <c r="BX52" s="4" t="str">
        <f t="shared" si="9"/>
        <v>Alpharetta</v>
      </c>
      <c r="BY52" s="4" t="str">
        <f t="shared" si="10"/>
        <v>Ga</v>
      </c>
      <c r="BZ52" s="4">
        <f t="shared" si="11"/>
        <v>30005</v>
      </c>
      <c r="CA52" s="10" t="str">
        <f t="shared" si="12"/>
        <v>US</v>
      </c>
      <c r="CB52" s="15" t="s">
        <v>131</v>
      </c>
      <c r="CC52" s="62"/>
      <c r="CD52" s="15" t="s">
        <v>132</v>
      </c>
      <c r="CE52" s="64">
        <v>0</v>
      </c>
      <c r="CF52" s="4">
        <v>0</v>
      </c>
      <c r="CG52" s="132">
        <f t="shared" si="13"/>
        <v>0</v>
      </c>
      <c r="CH52" s="4" t="s">
        <v>132</v>
      </c>
      <c r="CI52" s="5">
        <v>0</v>
      </c>
      <c r="CJ52" s="4">
        <v>0</v>
      </c>
      <c r="CK52" s="132">
        <f t="shared" si="14"/>
        <v>0</v>
      </c>
      <c r="CL52" s="4" t="s">
        <v>132</v>
      </c>
      <c r="CM52" s="5">
        <v>0</v>
      </c>
      <c r="CN52" s="4">
        <v>0</v>
      </c>
      <c r="CO52" s="132">
        <f t="shared" si="15"/>
        <v>0</v>
      </c>
      <c r="CP52" s="4" t="s">
        <v>132</v>
      </c>
      <c r="CQ52" s="5">
        <v>0</v>
      </c>
      <c r="CR52" s="4">
        <v>0</v>
      </c>
      <c r="CS52" s="132">
        <f t="shared" si="16"/>
        <v>0</v>
      </c>
      <c r="CT52" s="159">
        <f t="shared" si="17"/>
        <v>0</v>
      </c>
      <c r="CU52" s="168">
        <f t="shared" si="18"/>
        <v>900</v>
      </c>
      <c r="CV52" s="169">
        <f t="shared" si="32"/>
        <v>0</v>
      </c>
      <c r="CW52" s="82">
        <f t="shared" si="28"/>
        <v>850</v>
      </c>
      <c r="CX52" s="79">
        <f>IF(ISBLANK(E52),"AddQuickPay",IF(E52=2,CU52*0.98,IF(E52=2.4,CU52*0.976,IF(E52=3,CU52*0.97,IF(E52=5,CU52*0.95,IF(E52=1.5,CU52*0.985,IF(E52=2.5,CU52*0.975,IF(E52=1.3,CU52*0.987,IF(E52=1,CU52*0.99,IF(E52=4,CU52*0.96,CU52*1))))))))))-Table1[[#This Row],[ComCheck+QuickPayFee]]</f>
        <v>873</v>
      </c>
      <c r="CY52" s="5">
        <f t="shared" si="19"/>
        <v>50</v>
      </c>
      <c r="CZ52" s="5">
        <f t="shared" si="20"/>
        <v>27</v>
      </c>
      <c r="DA52" s="258">
        <f>Table1[[#This Row],[OriginalDispatch]]-Table1[[#This Row],[QuickPayCharge]]</f>
        <v>23</v>
      </c>
      <c r="DB52" s="5">
        <v>0</v>
      </c>
      <c r="DC52" s="5" t="s">
        <v>133</v>
      </c>
      <c r="DD52" s="104">
        <f t="shared" si="21"/>
        <v>42223</v>
      </c>
      <c r="DE52" s="15">
        <f>MONTH(Table1[[#This Row],[Weekending]])</f>
        <v>8</v>
      </c>
      <c r="DF52" s="15">
        <f>YEAR(Table1[[#This Row],[Weekending]])</f>
        <v>2015</v>
      </c>
      <c r="DG52" s="4"/>
    </row>
    <row r="53" spans="1:111">
      <c r="A53" s="20" t="str">
        <f t="shared" si="0"/>
        <v>90828249</v>
      </c>
      <c r="B53" s="146">
        <v>42223</v>
      </c>
      <c r="C53" s="144">
        <v>178863790</v>
      </c>
      <c r="D53" s="298" t="s">
        <v>111</v>
      </c>
      <c r="E53" s="298">
        <v>2</v>
      </c>
      <c r="F53" s="298" t="str">
        <f>INDEX(BrokerTBL!$B:$B,MATCH(D53,BrokerTBL!$A:$A,0))</f>
        <v>P.O. Box 3474</v>
      </c>
      <c r="G53" s="298" t="str">
        <f>INDEX(BrokerTBL!$C:$C,MATCH(D53,BrokerTBL!$A:$A,0))</f>
        <v>Chicago</v>
      </c>
      <c r="H53" s="298" t="str">
        <f>INDEX(BrokerTBL!$D:$D,MATCH(D53,BrokerTBL!$A:$A,0))</f>
        <v>Il</v>
      </c>
      <c r="I53" s="298" t="str">
        <f>INDEX(BrokerTBL!$E:$E,MATCH(D53,BrokerTBL!$A:$A,0))</f>
        <v>US</v>
      </c>
      <c r="J53" s="298">
        <f>INDEX(BrokerTBL!$F:$F,MATCH(D53,BrokerTBL!$A:$A,0))</f>
        <v>60654</v>
      </c>
      <c r="K53" s="298" t="s">
        <v>398</v>
      </c>
      <c r="L53" s="145">
        <v>206982</v>
      </c>
      <c r="M53" s="146">
        <v>42223</v>
      </c>
      <c r="N53" s="182">
        <v>0.58333333333333304</v>
      </c>
      <c r="O53" s="298" t="s">
        <v>400</v>
      </c>
      <c r="P53" s="298" t="s">
        <v>401</v>
      </c>
      <c r="Q53" s="298" t="s">
        <v>139</v>
      </c>
      <c r="R53" s="298">
        <v>96003</v>
      </c>
      <c r="S53" s="298" t="s">
        <v>118</v>
      </c>
      <c r="T53" s="298" t="s">
        <v>136</v>
      </c>
      <c r="U53" s="298" t="s">
        <v>120</v>
      </c>
      <c r="V53" s="298">
        <v>53</v>
      </c>
      <c r="W53" s="298" t="s">
        <v>601</v>
      </c>
      <c r="X53" s="144">
        <v>984</v>
      </c>
      <c r="Y53" s="298" t="s">
        <v>26</v>
      </c>
      <c r="Z53" s="298" t="s">
        <v>123</v>
      </c>
      <c r="AA53" s="298">
        <v>1</v>
      </c>
      <c r="AB53" s="298" t="s">
        <v>123</v>
      </c>
      <c r="AC53" s="298" t="s">
        <v>602</v>
      </c>
      <c r="AD53" s="145">
        <v>206982</v>
      </c>
      <c r="AE53" s="146">
        <v>42226</v>
      </c>
      <c r="AF53" s="298" t="s">
        <v>603</v>
      </c>
      <c r="AG53" s="298" t="s">
        <v>604</v>
      </c>
      <c r="AH53" s="298" t="s">
        <v>605</v>
      </c>
      <c r="AI53" s="298" t="s">
        <v>139</v>
      </c>
      <c r="AJ53" s="298">
        <v>96003</v>
      </c>
      <c r="AK53" s="298" t="s">
        <v>118</v>
      </c>
      <c r="AL53" s="298" t="s">
        <v>606</v>
      </c>
      <c r="AM53" s="142" t="str">
        <f>INDEX(CarrierDriverTBL!$B:$B,MATCH(Table1[[#This Row],[DriverID]],CarrierDriverTBL!$A:$A,0))</f>
        <v>UBTrucking</v>
      </c>
      <c r="AN53" s="10" t="s">
        <v>192</v>
      </c>
      <c r="AO53" s="142" t="str">
        <f>INDEX(CarrierDriverTBL!$C:$C,MATCH(Table1[[#This Row],[DriverID]],CarrierDriverTBL!$A:$A,0))</f>
        <v>Albel</v>
      </c>
      <c r="AP53" s="142" t="str">
        <f>INDEX(CarrierDriverTBL!$D:$D,MATCH(Table1[[#This Row],[DriverID]],CarrierDriverTBL!$A:$A,0))</f>
        <v>Chahil</v>
      </c>
      <c r="AQ53" s="142" t="str">
        <f>INDEX(CarrierDriverTBL!$X:$X,MATCH(Table1[[#This Row],[DriverID]],CarrierDriverTBL!$A:$A,0))</f>
        <v>A8390649</v>
      </c>
      <c r="AR53" s="160">
        <f>INDEX(CarrierDriverTBL!$Y:$Y,MATCH(Table1[[#This Row],[DriverID]],CarrierDriverTBL!$A:$A,0))</f>
        <v>42402</v>
      </c>
      <c r="AS53" s="142" t="str">
        <f t="shared" si="1"/>
        <v>GOOD</v>
      </c>
      <c r="AT53" s="160">
        <f>INDEX(CarrierDriverTBL!$E:$E,MATCH(Table1[[#This Row],[DriverID]],CarrierDriverTBL!$A:$A,0))</f>
        <v>22314</v>
      </c>
      <c r="AU53" s="163">
        <f ca="1">INDEX(CarrierDriverTBL!$F:$F,MATCH(Table1[[#This Row],[DriverID]],CarrierDriverTBL!$A:$A,0))</f>
        <v>55.512328767123286</v>
      </c>
      <c r="AV53" s="142" t="str">
        <f>INDEX(CarrierDriverTBL!$K:$K,MATCH(Table1[[#This Row],[DriverID]],CarrierDriverTBL!$A:$A,0))</f>
        <v>510-773-9450</v>
      </c>
      <c r="AW53" s="142" t="str">
        <f>INDEX(CarrierDriverTBL!$M:$M,MATCH(Table1[[#This Row],[DriverID]],CarrierDriverTBL!$A:$A,0))</f>
        <v>3124 Cynthia CT</v>
      </c>
      <c r="AX53" s="142" t="str">
        <f>INDEX(CarrierDriverTBL!$N:$N,MATCH(Table1[[#This Row],[DriverID]],CarrierDriverTBL!$A:$A,0))</f>
        <v>Tracy</v>
      </c>
      <c r="AY53" s="142" t="str">
        <f>INDEX(CarrierDriverTBL!$O:$O,MATCH(Table1[[#This Row],[DriverID]],CarrierDriverTBL!$A:$A,0))</f>
        <v>CA</v>
      </c>
      <c r="AZ53" s="142">
        <f>INDEX(CarrierDriverTBL!$P:$P,MATCH(Table1[[#This Row],[DriverID]],CarrierDriverTBL!$A:$A,0))</f>
        <v>95377</v>
      </c>
      <c r="BA53" s="142" t="str">
        <f>INDEX(CarrierDriverTBL!$Q:$Q,MATCH(Table1[[#This Row],[DriverID]],CarrierDriverTBL!$A:$A,0))</f>
        <v>US</v>
      </c>
      <c r="BB53" s="176" t="str">
        <f>INDEX(CarrierDriverTBL!$R:$R,MATCH(Table1[[#This Row],[DriverID]],CarrierDriverTBL!$A:$A,0))</f>
        <v>ubgollc@gmail.com</v>
      </c>
      <c r="BC53" s="160">
        <f>INDEX(CarrierDriverTBL!$AB:$AB,MATCH(Table1[[#This Row],[DriverID]],CarrierDriverTBL!$A:$A,0))</f>
        <v>42167</v>
      </c>
      <c r="BD53" s="142" t="str">
        <f ca="1">INDEX(CarrierDriverTBL!$AD:$AD,MATCH(LoadMaster!$AN:$AN,CarrierDriverTBL!$A:$A,0))</f>
        <v>MISSING</v>
      </c>
      <c r="BE53" s="142">
        <f>INDEX(CarrierDriverTBL!$AE:$AE,MATCH(Table1[DriverID],CarrierDriverTBL!$A:$A,0))</f>
        <v>913971</v>
      </c>
      <c r="BF53" s="142">
        <f>INDEX(CarrierDriverTBL!$AF:$AF,MATCH(Table1[DriverID],CarrierDriverTBL!$A:$A,0))</f>
        <v>2627544</v>
      </c>
      <c r="BG53" s="142">
        <f>INDEX(CarrierDriverTBL!$AG:$AG,MATCH(Table1[DriverID],CarrierDriverTBL!$A:$A,0))</f>
        <v>466133</v>
      </c>
      <c r="BH53" s="142" t="str">
        <f>INDEX(CarrierDriverTBL!$AH:$AH,MATCH(Table1[DriverID],CarrierDriverTBL!$A:$A,0))</f>
        <v>GM Lawrence Ins</v>
      </c>
      <c r="BI53" s="142" t="str">
        <f>INDEX(CarrierDriverTBL!$AI:$AI,MATCH(Table1[DriverID],CarrierDriverTBL!$A:$A,0))</f>
        <v>DSK2842P160210</v>
      </c>
      <c r="BJ53" s="160">
        <f>INDEX(CarrierDriverTBL!$AJ:$AJ,MATCH(Table1[[#This Row],[DriverID]],CarrierDriverTBL!$A:$A,0))</f>
        <v>42778</v>
      </c>
      <c r="BK53" s="10">
        <f t="shared" si="2"/>
        <v>555</v>
      </c>
      <c r="BL53" s="174">
        <v>600</v>
      </c>
      <c r="BM53" s="144">
        <v>224</v>
      </c>
      <c r="BN53" s="159">
        <f t="shared" si="29"/>
        <v>2.6785714285714284</v>
      </c>
      <c r="BO53" s="167">
        <v>550</v>
      </c>
      <c r="BP53" s="159">
        <f t="shared" si="30"/>
        <v>2.4553571428571428</v>
      </c>
      <c r="BQ53" s="133">
        <v>3</v>
      </c>
      <c r="BR53" s="166">
        <f t="shared" si="31"/>
        <v>0.18333333333333335</v>
      </c>
      <c r="BS53" s="167">
        <f t="shared" si="6"/>
        <v>2.2720238095238097</v>
      </c>
      <c r="BT53" s="159">
        <f t="shared" si="7"/>
        <v>41.06666666666667</v>
      </c>
      <c r="BU53" s="10" t="str">
        <f t="shared" si="8"/>
        <v>Ch Robinson</v>
      </c>
      <c r="BV53" s="15"/>
      <c r="BW53" s="4" t="str">
        <f>Table1[[#This Row],[BrokerAddress]]</f>
        <v>P.O. Box 3474</v>
      </c>
      <c r="BX53" s="4" t="str">
        <f t="shared" si="9"/>
        <v>Chicago</v>
      </c>
      <c r="BY53" s="4" t="str">
        <f t="shared" si="10"/>
        <v>Il</v>
      </c>
      <c r="BZ53" s="4">
        <f t="shared" si="11"/>
        <v>60654</v>
      </c>
      <c r="CA53" s="10" t="str">
        <f t="shared" si="12"/>
        <v>US</v>
      </c>
      <c r="CB53" s="15" t="s">
        <v>131</v>
      </c>
      <c r="CC53" s="62"/>
      <c r="CD53" s="15" t="s">
        <v>132</v>
      </c>
      <c r="CE53" s="64">
        <v>0</v>
      </c>
      <c r="CF53" s="4">
        <v>0</v>
      </c>
      <c r="CG53" s="132">
        <f t="shared" si="13"/>
        <v>0</v>
      </c>
      <c r="CH53" s="4" t="s">
        <v>132</v>
      </c>
      <c r="CI53" s="5">
        <v>0</v>
      </c>
      <c r="CJ53" s="4">
        <v>0</v>
      </c>
      <c r="CK53" s="132">
        <f t="shared" si="14"/>
        <v>0</v>
      </c>
      <c r="CL53" s="4" t="s">
        <v>132</v>
      </c>
      <c r="CM53" s="5">
        <v>0</v>
      </c>
      <c r="CN53" s="4">
        <v>0</v>
      </c>
      <c r="CO53" s="132">
        <f t="shared" si="15"/>
        <v>0</v>
      </c>
      <c r="CP53" s="4" t="s">
        <v>132</v>
      </c>
      <c r="CQ53" s="5">
        <v>0</v>
      </c>
      <c r="CR53" s="4">
        <v>0</v>
      </c>
      <c r="CS53" s="132">
        <f t="shared" si="16"/>
        <v>0</v>
      </c>
      <c r="CT53" s="159">
        <f t="shared" si="17"/>
        <v>0</v>
      </c>
      <c r="CU53" s="168">
        <f t="shared" si="18"/>
        <v>600</v>
      </c>
      <c r="CV53" s="169">
        <f t="shared" si="32"/>
        <v>0</v>
      </c>
      <c r="CW53" s="82">
        <f t="shared" si="28"/>
        <v>550</v>
      </c>
      <c r="CX53" s="79">
        <f>IF(ISBLANK(E53),"AddQuickPay",IF(E53=2,CU53*0.98,IF(E53=2.4,CU53*0.976,IF(E53=3,CU53*0.97,IF(E53=5,CU53*0.95,IF(E53=1.5,CU53*0.985,IF(E53=2.5,CU53*0.975,IF(E53=1.3,CU53*0.987,IF(E53=1,CU53*0.99,IF(E53=4,CU53*0.96,CU53*1))))))))))-Table1[[#This Row],[ComCheck+QuickPayFee]]</f>
        <v>588</v>
      </c>
      <c r="CY53" s="5">
        <f t="shared" si="19"/>
        <v>50</v>
      </c>
      <c r="CZ53" s="5">
        <f t="shared" si="20"/>
        <v>12</v>
      </c>
      <c r="DA53" s="258">
        <f>Table1[[#This Row],[OriginalDispatch]]-Table1[[#This Row],[QuickPayCharge]]</f>
        <v>38</v>
      </c>
      <c r="DB53" s="5">
        <v>0</v>
      </c>
      <c r="DC53" s="5" t="s">
        <v>133</v>
      </c>
      <c r="DD53" s="104">
        <f t="shared" si="21"/>
        <v>42223</v>
      </c>
      <c r="DE53" s="15">
        <f>MONTH(Table1[[#This Row],[Weekending]])</f>
        <v>8</v>
      </c>
      <c r="DF53" s="15">
        <f>YEAR(Table1[[#This Row],[Weekending]])</f>
        <v>2015</v>
      </c>
      <c r="DG53" s="4"/>
    </row>
    <row r="54" spans="1:111">
      <c r="A54" s="20" t="str">
        <f t="shared" si="0"/>
        <v>14480449</v>
      </c>
      <c r="B54" s="146">
        <v>42226</v>
      </c>
      <c r="C54" s="144">
        <v>6029314</v>
      </c>
      <c r="D54" s="298" t="s">
        <v>445</v>
      </c>
      <c r="E54" s="298">
        <v>3</v>
      </c>
      <c r="F54" s="298" t="str">
        <f>INDEX(BrokerTBL!$B:$B,MATCH(D54,BrokerTBL!$A:$A,0))</f>
        <v>960 Northpoint Parkway Suite 150</v>
      </c>
      <c r="G54" s="298" t="str">
        <f>INDEX(BrokerTBL!$C:$C,MATCH(D54,BrokerTBL!$A:$A,0))</f>
        <v>Alpharetta</v>
      </c>
      <c r="H54" s="298" t="str">
        <f>INDEX(BrokerTBL!$D:$D,MATCH(D54,BrokerTBL!$A:$A,0))</f>
        <v>Ga</v>
      </c>
      <c r="I54" s="298" t="str">
        <f>INDEX(BrokerTBL!$E:$E,MATCH(D54,BrokerTBL!$A:$A,0))</f>
        <v>US</v>
      </c>
      <c r="J54" s="298">
        <f>INDEX(BrokerTBL!$F:$F,MATCH(D54,BrokerTBL!$A:$A,0))</f>
        <v>30005</v>
      </c>
      <c r="K54" s="298" t="s">
        <v>607</v>
      </c>
      <c r="L54" s="145" t="s">
        <v>608</v>
      </c>
      <c r="M54" s="146">
        <v>42226</v>
      </c>
      <c r="N54" s="182">
        <v>0.375</v>
      </c>
      <c r="O54" s="298" t="s">
        <v>609</v>
      </c>
      <c r="P54" s="298" t="s">
        <v>380</v>
      </c>
      <c r="Q54" s="298" t="s">
        <v>139</v>
      </c>
      <c r="R54" s="298">
        <v>95376</v>
      </c>
      <c r="S54" s="298" t="s">
        <v>118</v>
      </c>
      <c r="T54" s="298" t="s">
        <v>136</v>
      </c>
      <c r="U54" s="298" t="s">
        <v>120</v>
      </c>
      <c r="V54" s="298">
        <v>53</v>
      </c>
      <c r="W54" s="298" t="s">
        <v>610</v>
      </c>
      <c r="X54" s="144">
        <v>21160</v>
      </c>
      <c r="Y54" s="298" t="s">
        <v>123</v>
      </c>
      <c r="Z54" s="298" t="s">
        <v>123</v>
      </c>
      <c r="AA54" s="298" t="s">
        <v>123</v>
      </c>
      <c r="AB54" s="298" t="s">
        <v>123</v>
      </c>
      <c r="AC54" s="298" t="s">
        <v>611</v>
      </c>
      <c r="AD54" s="145" t="s">
        <v>612</v>
      </c>
      <c r="AE54" s="146">
        <v>42226</v>
      </c>
      <c r="AF54" s="298" t="s">
        <v>613</v>
      </c>
      <c r="AG54" s="298" t="s">
        <v>614</v>
      </c>
      <c r="AH54" s="298" t="s">
        <v>160</v>
      </c>
      <c r="AI54" s="298" t="s">
        <v>139</v>
      </c>
      <c r="AJ54" s="298">
        <v>94534</v>
      </c>
      <c r="AK54" s="298" t="s">
        <v>118</v>
      </c>
      <c r="AL54" s="298" t="s">
        <v>123</v>
      </c>
      <c r="AM54" s="142" t="str">
        <f>INDEX(CarrierDriverTBL!$B:$B,MATCH(Table1[[#This Row],[DriverID]],CarrierDriverTBL!$A:$A,0))</f>
        <v>UBTrucking</v>
      </c>
      <c r="AN54" s="10" t="s">
        <v>192</v>
      </c>
      <c r="AO54" s="142" t="str">
        <f>INDEX(CarrierDriverTBL!$C:$C,MATCH(Table1[[#This Row],[DriverID]],CarrierDriverTBL!$A:$A,0))</f>
        <v>Albel</v>
      </c>
      <c r="AP54" s="142" t="str">
        <f>INDEX(CarrierDriverTBL!$D:$D,MATCH(Table1[[#This Row],[DriverID]],CarrierDriverTBL!$A:$A,0))</f>
        <v>Chahil</v>
      </c>
      <c r="AQ54" s="142" t="str">
        <f>INDEX(CarrierDriverTBL!$X:$X,MATCH(Table1[[#This Row],[DriverID]],CarrierDriverTBL!$A:$A,0))</f>
        <v>A8390649</v>
      </c>
      <c r="AR54" s="160">
        <f>INDEX(CarrierDriverTBL!$Y:$Y,MATCH(Table1[[#This Row],[DriverID]],CarrierDriverTBL!$A:$A,0))</f>
        <v>42402</v>
      </c>
      <c r="AS54" s="142" t="str">
        <f t="shared" si="1"/>
        <v>GOOD</v>
      </c>
      <c r="AT54" s="160">
        <f>INDEX(CarrierDriverTBL!$E:$E,MATCH(Table1[[#This Row],[DriverID]],CarrierDriverTBL!$A:$A,0))</f>
        <v>22314</v>
      </c>
      <c r="AU54" s="163">
        <f ca="1">INDEX(CarrierDriverTBL!$F:$F,MATCH(Table1[[#This Row],[DriverID]],CarrierDriverTBL!$A:$A,0))</f>
        <v>55.512328767123286</v>
      </c>
      <c r="AV54" s="142" t="str">
        <f>INDEX(CarrierDriverTBL!$K:$K,MATCH(Table1[[#This Row],[DriverID]],CarrierDriverTBL!$A:$A,0))</f>
        <v>510-773-9450</v>
      </c>
      <c r="AW54" s="142" t="str">
        <f>INDEX(CarrierDriverTBL!$M:$M,MATCH(Table1[[#This Row],[DriverID]],CarrierDriverTBL!$A:$A,0))</f>
        <v>3124 Cynthia CT</v>
      </c>
      <c r="AX54" s="142" t="str">
        <f>INDEX(CarrierDriverTBL!$N:$N,MATCH(Table1[[#This Row],[DriverID]],CarrierDriverTBL!$A:$A,0))</f>
        <v>Tracy</v>
      </c>
      <c r="AY54" s="142" t="str">
        <f>INDEX(CarrierDriverTBL!$O:$O,MATCH(Table1[[#This Row],[DriverID]],CarrierDriverTBL!$A:$A,0))</f>
        <v>CA</v>
      </c>
      <c r="AZ54" s="142">
        <f>INDEX(CarrierDriverTBL!$P:$P,MATCH(Table1[[#This Row],[DriverID]],CarrierDriverTBL!$A:$A,0))</f>
        <v>95377</v>
      </c>
      <c r="BA54" s="142" t="str">
        <f>INDEX(CarrierDriverTBL!$Q:$Q,MATCH(Table1[[#This Row],[DriverID]],CarrierDriverTBL!$A:$A,0))</f>
        <v>US</v>
      </c>
      <c r="BB54" s="176" t="str">
        <f>INDEX(CarrierDriverTBL!$R:$R,MATCH(Table1[[#This Row],[DriverID]],CarrierDriverTBL!$A:$A,0))</f>
        <v>ubgollc@gmail.com</v>
      </c>
      <c r="BC54" s="160">
        <f>INDEX(CarrierDriverTBL!$AB:$AB,MATCH(Table1[[#This Row],[DriverID]],CarrierDriverTBL!$A:$A,0))</f>
        <v>42167</v>
      </c>
      <c r="BD54" s="142" t="str">
        <f ca="1">INDEX(CarrierDriverTBL!$AD:$AD,MATCH(LoadMaster!$AN:$AN,CarrierDriverTBL!$A:$A,0))</f>
        <v>MISSING</v>
      </c>
      <c r="BE54" s="142">
        <f>INDEX(CarrierDriverTBL!$AE:$AE,MATCH(Table1[DriverID],CarrierDriverTBL!$A:$A,0))</f>
        <v>913971</v>
      </c>
      <c r="BF54" s="142">
        <f>INDEX(CarrierDriverTBL!$AF:$AF,MATCH(Table1[DriverID],CarrierDriverTBL!$A:$A,0))</f>
        <v>2627544</v>
      </c>
      <c r="BG54" s="142">
        <f>INDEX(CarrierDriverTBL!$AG:$AG,MATCH(Table1[DriverID],CarrierDriverTBL!$A:$A,0))</f>
        <v>466133</v>
      </c>
      <c r="BH54" s="142" t="str">
        <f>INDEX(CarrierDriverTBL!$AH:$AH,MATCH(Table1[DriverID],CarrierDriverTBL!$A:$A,0))</f>
        <v>GM Lawrence Ins</v>
      </c>
      <c r="BI54" s="142" t="str">
        <f>INDEX(CarrierDriverTBL!$AI:$AI,MATCH(Table1[DriverID],CarrierDriverTBL!$A:$A,0))</f>
        <v>DSK2842P160210</v>
      </c>
      <c r="BJ54" s="160">
        <f>INDEX(CarrierDriverTBL!$AJ:$AJ,MATCH(Table1[[#This Row],[DriverID]],CarrierDriverTBL!$A:$A,0))</f>
        <v>42778</v>
      </c>
      <c r="BK54" s="10">
        <f t="shared" si="2"/>
        <v>552</v>
      </c>
      <c r="BL54" s="174">
        <v>350</v>
      </c>
      <c r="BM54" s="144">
        <v>75</v>
      </c>
      <c r="BN54" s="159">
        <f t="shared" si="29"/>
        <v>4.666666666666667</v>
      </c>
      <c r="BO54" s="167">
        <v>300</v>
      </c>
      <c r="BP54" s="159">
        <f t="shared" si="30"/>
        <v>4</v>
      </c>
      <c r="BQ54" s="133">
        <v>3</v>
      </c>
      <c r="BR54" s="166">
        <f t="shared" si="31"/>
        <v>0.18333333333333335</v>
      </c>
      <c r="BS54" s="167">
        <f t="shared" si="6"/>
        <v>3.8166666666666664</v>
      </c>
      <c r="BT54" s="159">
        <f t="shared" si="7"/>
        <v>13.750000000000002</v>
      </c>
      <c r="BU54" s="10" t="str">
        <f t="shared" si="8"/>
        <v>Coyote</v>
      </c>
      <c r="BV54" s="15"/>
      <c r="BW54" s="4" t="str">
        <f>Table1[[#This Row],[BrokerAddress]]</f>
        <v>960 Northpoint Parkway Suite 150</v>
      </c>
      <c r="BX54" s="4" t="str">
        <f t="shared" si="9"/>
        <v>Alpharetta</v>
      </c>
      <c r="BY54" s="4" t="str">
        <f t="shared" si="10"/>
        <v>Ga</v>
      </c>
      <c r="BZ54" s="4">
        <f t="shared" si="11"/>
        <v>30005</v>
      </c>
      <c r="CA54" s="10" t="str">
        <f t="shared" si="12"/>
        <v>US</v>
      </c>
      <c r="CB54" s="15" t="s">
        <v>131</v>
      </c>
      <c r="CC54" s="62"/>
      <c r="CD54" s="15" t="s">
        <v>132</v>
      </c>
      <c r="CE54" s="64">
        <v>0</v>
      </c>
      <c r="CF54" s="4">
        <v>0</v>
      </c>
      <c r="CG54" s="132">
        <f t="shared" si="13"/>
        <v>0</v>
      </c>
      <c r="CH54" s="4" t="s">
        <v>132</v>
      </c>
      <c r="CI54" s="5">
        <v>0</v>
      </c>
      <c r="CJ54" s="4">
        <v>0</v>
      </c>
      <c r="CK54" s="132">
        <f t="shared" si="14"/>
        <v>0</v>
      </c>
      <c r="CL54" s="4" t="s">
        <v>132</v>
      </c>
      <c r="CM54" s="5">
        <v>0</v>
      </c>
      <c r="CN54" s="4">
        <v>0</v>
      </c>
      <c r="CO54" s="132">
        <f t="shared" si="15"/>
        <v>0</v>
      </c>
      <c r="CP54" s="4" t="s">
        <v>132</v>
      </c>
      <c r="CQ54" s="5">
        <v>0</v>
      </c>
      <c r="CR54" s="4">
        <v>0</v>
      </c>
      <c r="CS54" s="132">
        <f t="shared" si="16"/>
        <v>0</v>
      </c>
      <c r="CT54" s="159">
        <f t="shared" si="17"/>
        <v>0</v>
      </c>
      <c r="CU54" s="168">
        <f t="shared" si="18"/>
        <v>350</v>
      </c>
      <c r="CV54" s="169">
        <f t="shared" si="32"/>
        <v>0</v>
      </c>
      <c r="CW54" s="82">
        <f t="shared" si="28"/>
        <v>300</v>
      </c>
      <c r="CX54" s="79">
        <f>IF(ISBLANK(E54),"AddQuickPay",IF(E54=2,CU54*0.98,IF(E54=2.4,CU54*0.976,IF(E54=3,CU54*0.97,IF(E54=5,CU54*0.95,IF(E54=1.5,CU54*0.985,IF(E54=2.5,CU54*0.975,IF(E54=1.3,CU54*0.987,IF(E54=1,CU54*0.99,IF(E54=4,CU54*0.96,CU54*1))))))))))-Table1[[#This Row],[ComCheck+QuickPayFee]]</f>
        <v>339.5</v>
      </c>
      <c r="CY54" s="5">
        <f t="shared" si="19"/>
        <v>50</v>
      </c>
      <c r="CZ54" s="5">
        <f t="shared" si="20"/>
        <v>10.5</v>
      </c>
      <c r="DA54" s="258">
        <f>Table1[[#This Row],[OriginalDispatch]]-Table1[[#This Row],[QuickPayCharge]]</f>
        <v>39.5</v>
      </c>
      <c r="DB54" s="5">
        <v>0</v>
      </c>
      <c r="DC54" s="5" t="s">
        <v>133</v>
      </c>
      <c r="DD54" s="104">
        <f t="shared" si="21"/>
        <v>42230</v>
      </c>
      <c r="DE54" s="15">
        <f>MONTH(Table1[[#This Row],[Weekending]])</f>
        <v>8</v>
      </c>
      <c r="DF54" s="15">
        <f>YEAR(Table1[[#This Row],[Weekending]])</f>
        <v>2015</v>
      </c>
      <c r="DG54" s="4"/>
    </row>
    <row r="55" spans="1:111">
      <c r="A55" s="20" t="str">
        <f t="shared" si="0"/>
        <v>100C0C49</v>
      </c>
      <c r="B55" s="146">
        <v>42226</v>
      </c>
      <c r="C55" s="144">
        <v>179027210</v>
      </c>
      <c r="D55" s="298" t="s">
        <v>111</v>
      </c>
      <c r="E55" s="298">
        <v>2</v>
      </c>
      <c r="F55" s="298" t="str">
        <f>INDEX(BrokerTBL!$B:$B,MATCH(D55,BrokerTBL!$A:$A,0))</f>
        <v>P.O. Box 3474</v>
      </c>
      <c r="G55" s="298" t="str">
        <f>INDEX(BrokerTBL!$C:$C,MATCH(D55,BrokerTBL!$A:$A,0))</f>
        <v>Chicago</v>
      </c>
      <c r="H55" s="298" t="str">
        <f>INDEX(BrokerTBL!$D:$D,MATCH(D55,BrokerTBL!$A:$A,0))</f>
        <v>Il</v>
      </c>
      <c r="I55" s="298" t="str">
        <f>INDEX(BrokerTBL!$E:$E,MATCH(D55,BrokerTBL!$A:$A,0))</f>
        <v>US</v>
      </c>
      <c r="J55" s="298">
        <f>INDEX(BrokerTBL!$F:$F,MATCH(D55,BrokerTBL!$A:$A,0))</f>
        <v>60654</v>
      </c>
      <c r="K55" s="298" t="s">
        <v>615</v>
      </c>
      <c r="L55" s="145" t="s">
        <v>616</v>
      </c>
      <c r="M55" s="146">
        <v>42226</v>
      </c>
      <c r="N55" s="162" t="s">
        <v>136</v>
      </c>
      <c r="O55" s="298" t="s">
        <v>617</v>
      </c>
      <c r="P55" s="298" t="s">
        <v>618</v>
      </c>
      <c r="Q55" s="298" t="s">
        <v>139</v>
      </c>
      <c r="R55" s="298">
        <v>94515</v>
      </c>
      <c r="S55" s="298" t="s">
        <v>118</v>
      </c>
      <c r="T55" s="298" t="s">
        <v>619</v>
      </c>
      <c r="U55" s="298" t="s">
        <v>120</v>
      </c>
      <c r="V55" s="416">
        <v>53</v>
      </c>
      <c r="W55" s="298" t="s">
        <v>620</v>
      </c>
      <c r="X55" s="144">
        <v>45000</v>
      </c>
      <c r="Y55" s="298" t="s">
        <v>26</v>
      </c>
      <c r="Z55" s="298">
        <v>1008</v>
      </c>
      <c r="AA55" s="298">
        <v>24</v>
      </c>
      <c r="AB55" s="298" t="s">
        <v>123</v>
      </c>
      <c r="AC55" s="298" t="s">
        <v>621</v>
      </c>
      <c r="AD55" s="145" t="s">
        <v>616</v>
      </c>
      <c r="AE55" s="146">
        <v>42227</v>
      </c>
      <c r="AF55" s="298" t="s">
        <v>622</v>
      </c>
      <c r="AG55" s="298" t="s">
        <v>623</v>
      </c>
      <c r="AH55" s="298" t="s">
        <v>605</v>
      </c>
      <c r="AI55" s="298" t="s">
        <v>139</v>
      </c>
      <c r="AJ55" s="298">
        <v>95330</v>
      </c>
      <c r="AK55" s="298" t="s">
        <v>118</v>
      </c>
      <c r="AL55" s="298" t="s">
        <v>624</v>
      </c>
      <c r="AM55" s="142" t="str">
        <f>INDEX(CarrierDriverTBL!$B:$B,MATCH(Table1[[#This Row],[DriverID]],CarrierDriverTBL!$A:$A,0))</f>
        <v>UBTrucking</v>
      </c>
      <c r="AN55" s="10" t="s">
        <v>192</v>
      </c>
      <c r="AO55" s="142" t="str">
        <f>INDEX(CarrierDriverTBL!$C:$C,MATCH(Table1[[#This Row],[DriverID]],CarrierDriverTBL!$A:$A,0))</f>
        <v>Albel</v>
      </c>
      <c r="AP55" s="142" t="str">
        <f>INDEX(CarrierDriverTBL!$D:$D,MATCH(Table1[[#This Row],[DriverID]],CarrierDriverTBL!$A:$A,0))</f>
        <v>Chahil</v>
      </c>
      <c r="AQ55" s="142" t="str">
        <f>INDEX(CarrierDriverTBL!$X:$X,MATCH(Table1[[#This Row],[DriverID]],CarrierDriverTBL!$A:$A,0))</f>
        <v>A8390649</v>
      </c>
      <c r="AR55" s="160">
        <f>INDEX(CarrierDriverTBL!$Y:$Y,MATCH(Table1[[#This Row],[DriverID]],CarrierDriverTBL!$A:$A,0))</f>
        <v>42402</v>
      </c>
      <c r="AS55" s="142" t="str">
        <f t="shared" si="1"/>
        <v>GOOD</v>
      </c>
      <c r="AT55" s="160">
        <f>INDEX(CarrierDriverTBL!$E:$E,MATCH(Table1[[#This Row],[DriverID]],CarrierDriverTBL!$A:$A,0))</f>
        <v>22314</v>
      </c>
      <c r="AU55" s="163">
        <f ca="1">INDEX(CarrierDriverTBL!$F:$F,MATCH(Table1[[#This Row],[DriverID]],CarrierDriverTBL!$A:$A,0))</f>
        <v>55.512328767123286</v>
      </c>
      <c r="AV55" s="142" t="str">
        <f>INDEX(CarrierDriverTBL!$K:$K,MATCH(Table1[[#This Row],[DriverID]],CarrierDriverTBL!$A:$A,0))</f>
        <v>510-773-9450</v>
      </c>
      <c r="AW55" s="142" t="str">
        <f>INDEX(CarrierDriverTBL!$M:$M,MATCH(Table1[[#This Row],[DriverID]],CarrierDriverTBL!$A:$A,0))</f>
        <v>3124 Cynthia CT</v>
      </c>
      <c r="AX55" s="142" t="str">
        <f>INDEX(CarrierDriverTBL!$N:$N,MATCH(Table1[[#This Row],[DriverID]],CarrierDriverTBL!$A:$A,0))</f>
        <v>Tracy</v>
      </c>
      <c r="AY55" s="142" t="str">
        <f>INDEX(CarrierDriverTBL!$O:$O,MATCH(Table1[[#This Row],[DriverID]],CarrierDriverTBL!$A:$A,0))</f>
        <v>CA</v>
      </c>
      <c r="AZ55" s="142">
        <f>INDEX(CarrierDriverTBL!$P:$P,MATCH(Table1[[#This Row],[DriverID]],CarrierDriverTBL!$A:$A,0))</f>
        <v>95377</v>
      </c>
      <c r="BA55" s="142" t="str">
        <f>INDEX(CarrierDriverTBL!$Q:$Q,MATCH(Table1[[#This Row],[DriverID]],CarrierDriverTBL!$A:$A,0))</f>
        <v>US</v>
      </c>
      <c r="BB55" s="176" t="str">
        <f>INDEX(CarrierDriverTBL!$R:$R,MATCH(Table1[[#This Row],[DriverID]],CarrierDriverTBL!$A:$A,0))</f>
        <v>ubgollc@gmail.com</v>
      </c>
      <c r="BC55" s="160">
        <f>INDEX(CarrierDriverTBL!$AB:$AB,MATCH(Table1[[#This Row],[DriverID]],CarrierDriverTBL!$A:$A,0))</f>
        <v>42167</v>
      </c>
      <c r="BD55" s="142" t="str">
        <f ca="1">INDEX(CarrierDriverTBL!$AD:$AD,MATCH(LoadMaster!$AN:$AN,CarrierDriverTBL!$A:$A,0))</f>
        <v>MISSING</v>
      </c>
      <c r="BE55" s="142">
        <f>INDEX(CarrierDriverTBL!$AE:$AE,MATCH(Table1[DriverID],CarrierDriverTBL!$A:$A,0))</f>
        <v>913971</v>
      </c>
      <c r="BF55" s="142">
        <f>INDEX(CarrierDriverTBL!$AF:$AF,MATCH(Table1[DriverID],CarrierDriverTBL!$A:$A,0))</f>
        <v>2627544</v>
      </c>
      <c r="BG55" s="142">
        <f>INDEX(CarrierDriverTBL!$AG:$AG,MATCH(Table1[DriverID],CarrierDriverTBL!$A:$A,0))</f>
        <v>466133</v>
      </c>
      <c r="BH55" s="142" t="str">
        <f>INDEX(CarrierDriverTBL!$AH:$AH,MATCH(Table1[DriverID],CarrierDriverTBL!$A:$A,0))</f>
        <v>GM Lawrence Ins</v>
      </c>
      <c r="BI55" s="142" t="str">
        <f>INDEX(CarrierDriverTBL!$AI:$AI,MATCH(Table1[DriverID],CarrierDriverTBL!$A:$A,0))</f>
        <v>DSK2842P160210</v>
      </c>
      <c r="BJ55" s="160">
        <f>INDEX(CarrierDriverTBL!$AJ:$AJ,MATCH(Table1[[#This Row],[DriverID]],CarrierDriverTBL!$A:$A,0))</f>
        <v>42778</v>
      </c>
      <c r="BK55" s="10">
        <f t="shared" si="2"/>
        <v>552</v>
      </c>
      <c r="BL55" s="174">
        <v>400</v>
      </c>
      <c r="BM55" s="144">
        <v>119</v>
      </c>
      <c r="BN55" s="159">
        <f t="shared" si="29"/>
        <v>3.3613445378151261</v>
      </c>
      <c r="BO55" s="167">
        <v>350</v>
      </c>
      <c r="BP55" s="159">
        <f t="shared" si="30"/>
        <v>2.9411764705882355</v>
      </c>
      <c r="BQ55" s="133">
        <v>2.9</v>
      </c>
      <c r="BR55" s="166">
        <f t="shared" si="31"/>
        <v>0.16666666666666666</v>
      </c>
      <c r="BS55" s="167">
        <f t="shared" si="6"/>
        <v>2.774509803921569</v>
      </c>
      <c r="BT55" s="159">
        <f t="shared" si="7"/>
        <v>19.833333333333332</v>
      </c>
      <c r="BU55" s="10" t="str">
        <f t="shared" si="8"/>
        <v>Ch Robinson</v>
      </c>
      <c r="BV55" s="15"/>
      <c r="BW55" s="4" t="str">
        <f>Table1[[#This Row],[BrokerAddress]]</f>
        <v>P.O. Box 3474</v>
      </c>
      <c r="BX55" s="4" t="str">
        <f t="shared" si="9"/>
        <v>Chicago</v>
      </c>
      <c r="BY55" s="4" t="str">
        <f t="shared" si="10"/>
        <v>Il</v>
      </c>
      <c r="BZ55" s="4">
        <f t="shared" si="11"/>
        <v>60654</v>
      </c>
      <c r="CA55" s="10" t="str">
        <f t="shared" si="12"/>
        <v>US</v>
      </c>
      <c r="CB55" s="15" t="s">
        <v>131</v>
      </c>
      <c r="CC55" s="62"/>
      <c r="CD55" s="15" t="s">
        <v>132</v>
      </c>
      <c r="CE55" s="64">
        <v>0</v>
      </c>
      <c r="CF55" s="4">
        <v>0</v>
      </c>
      <c r="CG55" s="132">
        <f t="shared" si="13"/>
        <v>0</v>
      </c>
      <c r="CH55" s="4" t="s">
        <v>132</v>
      </c>
      <c r="CI55" s="5">
        <v>0</v>
      </c>
      <c r="CJ55" s="4">
        <v>0</v>
      </c>
      <c r="CK55" s="132">
        <f t="shared" si="14"/>
        <v>0</v>
      </c>
      <c r="CL55" s="4" t="s">
        <v>132</v>
      </c>
      <c r="CM55" s="5">
        <v>0</v>
      </c>
      <c r="CN55" s="4">
        <v>0</v>
      </c>
      <c r="CO55" s="132">
        <f t="shared" si="15"/>
        <v>0</v>
      </c>
      <c r="CP55" s="4" t="s">
        <v>132</v>
      </c>
      <c r="CQ55" s="5">
        <v>0</v>
      </c>
      <c r="CR55" s="4">
        <v>0</v>
      </c>
      <c r="CS55" s="132">
        <f t="shared" si="16"/>
        <v>0</v>
      </c>
      <c r="CT55" s="159">
        <f t="shared" si="17"/>
        <v>0</v>
      </c>
      <c r="CU55" s="168">
        <f t="shared" si="18"/>
        <v>400</v>
      </c>
      <c r="CV55" s="169">
        <f t="shared" si="32"/>
        <v>0</v>
      </c>
      <c r="CW55" s="82">
        <f t="shared" si="28"/>
        <v>350</v>
      </c>
      <c r="CX55" s="79">
        <f>IF(ISBLANK(E55),"AddQuickPay",IF(E55=2,CU55*0.98,IF(E55=2.4,CU55*0.976,IF(E55=3,CU55*0.97,IF(E55=5,CU55*0.95,IF(E55=1.5,CU55*0.985,IF(E55=2.5,CU55*0.975,IF(E55=1.3,CU55*0.987,IF(E55=1,CU55*0.99,IF(E55=4,CU55*0.96,CU55*1))))))))))-Table1[[#This Row],[ComCheck+QuickPayFee]]</f>
        <v>392</v>
      </c>
      <c r="CY55" s="5">
        <f t="shared" si="19"/>
        <v>50</v>
      </c>
      <c r="CZ55" s="5">
        <f t="shared" si="20"/>
        <v>8</v>
      </c>
      <c r="DA55" s="258">
        <f>Table1[[#This Row],[OriginalDispatch]]-Table1[[#This Row],[QuickPayCharge]]</f>
        <v>42</v>
      </c>
      <c r="DB55" s="5">
        <v>0</v>
      </c>
      <c r="DC55" s="5" t="s">
        <v>133</v>
      </c>
      <c r="DD55" s="104">
        <f t="shared" si="21"/>
        <v>42230</v>
      </c>
      <c r="DE55" s="15">
        <f>MONTH(Table1[[#This Row],[Weekending]])</f>
        <v>8</v>
      </c>
      <c r="DF55" s="15">
        <f>YEAR(Table1[[#This Row],[Weekending]])</f>
        <v>2015</v>
      </c>
      <c r="DG55" s="4"/>
    </row>
    <row r="56" spans="1:111">
      <c r="A56" s="20" t="str">
        <f t="shared" si="0"/>
        <v>68793049</v>
      </c>
      <c r="B56" s="146">
        <v>42227</v>
      </c>
      <c r="C56" s="144">
        <v>82268</v>
      </c>
      <c r="D56" s="298" t="s">
        <v>455</v>
      </c>
      <c r="E56" s="144">
        <v>0</v>
      </c>
      <c r="F56" s="15" t="str">
        <f>INDEX(BrokerTBL!$B:$B,MATCH(D56,BrokerTBL!$A:$A,0))</f>
        <v>5600 Headquarters Drive C2D11</v>
      </c>
      <c r="G56" s="298" t="str">
        <f>INDEX(BrokerTBL!$C:$C,MATCH(D56,BrokerTBL!$A:$A,0))</f>
        <v>Plano</v>
      </c>
      <c r="H56" s="298" t="str">
        <f>INDEX(BrokerTBL!$D:$D,MATCH(D56,BrokerTBL!$A:$A,0))</f>
        <v>Tx</v>
      </c>
      <c r="I56" s="298" t="str">
        <f>INDEX(BrokerTBL!$E:$E,MATCH(D56,BrokerTBL!$A:$A,0))</f>
        <v>US</v>
      </c>
      <c r="J56" s="298">
        <f>INDEX(BrokerTBL!$F:$F,MATCH(D56,BrokerTBL!$A:$A,0))</f>
        <v>75024</v>
      </c>
      <c r="K56" s="298" t="s">
        <v>456</v>
      </c>
      <c r="L56" s="145">
        <v>663079</v>
      </c>
      <c r="M56" s="146">
        <v>42227</v>
      </c>
      <c r="N56" s="182">
        <v>0.35416666666666702</v>
      </c>
      <c r="O56" s="298" t="s">
        <v>457</v>
      </c>
      <c r="P56" s="298" t="s">
        <v>458</v>
      </c>
      <c r="Q56" s="298" t="s">
        <v>139</v>
      </c>
      <c r="R56" s="298">
        <v>95654</v>
      </c>
      <c r="S56" s="298" t="s">
        <v>118</v>
      </c>
      <c r="T56" s="298" t="s">
        <v>459</v>
      </c>
      <c r="U56" s="298" t="s">
        <v>120</v>
      </c>
      <c r="V56" s="298">
        <v>53</v>
      </c>
      <c r="W56" s="298" t="s">
        <v>136</v>
      </c>
      <c r="X56" s="144" t="s">
        <v>136</v>
      </c>
      <c r="Y56" s="298" t="s">
        <v>123</v>
      </c>
      <c r="Z56" s="298" t="s">
        <v>123</v>
      </c>
      <c r="AA56" s="298" t="s">
        <v>123</v>
      </c>
      <c r="AB56" s="298" t="s">
        <v>123</v>
      </c>
      <c r="AC56" s="298" t="s">
        <v>460</v>
      </c>
      <c r="AD56" s="145">
        <v>300030</v>
      </c>
      <c r="AE56" s="146">
        <v>42227</v>
      </c>
      <c r="AF56" s="182">
        <v>0.46597222222222201</v>
      </c>
      <c r="AG56" s="298" t="s">
        <v>461</v>
      </c>
      <c r="AH56" s="298" t="s">
        <v>462</v>
      </c>
      <c r="AI56" s="298" t="s">
        <v>139</v>
      </c>
      <c r="AJ56" s="298">
        <v>93227</v>
      </c>
      <c r="AK56" s="298" t="s">
        <v>118</v>
      </c>
      <c r="AL56" s="298" t="s">
        <v>463</v>
      </c>
      <c r="AM56" s="142" t="str">
        <f>INDEX(CarrierDriverTBL!$B:$B,MATCH(Table1[[#This Row],[DriverID]],CarrierDriverTBL!$A:$A,0))</f>
        <v>UBTrucking</v>
      </c>
      <c r="AN56" s="10" t="s">
        <v>192</v>
      </c>
      <c r="AO56" s="142" t="str">
        <f>INDEX(CarrierDriverTBL!$C:$C,MATCH(Table1[[#This Row],[DriverID]],CarrierDriverTBL!$A:$A,0))</f>
        <v>Albel</v>
      </c>
      <c r="AP56" s="142" t="str">
        <f>INDEX(CarrierDriverTBL!$D:$D,MATCH(Table1[[#This Row],[DriverID]],CarrierDriverTBL!$A:$A,0))</f>
        <v>Chahil</v>
      </c>
      <c r="AQ56" s="142" t="str">
        <f>INDEX(CarrierDriverTBL!$X:$X,MATCH(Table1[[#This Row],[DriverID]],CarrierDriverTBL!$A:$A,0))</f>
        <v>A8390649</v>
      </c>
      <c r="AR56" s="160">
        <f>INDEX(CarrierDriverTBL!$Y:$Y,MATCH(Table1[[#This Row],[DriverID]],CarrierDriverTBL!$A:$A,0))</f>
        <v>42402</v>
      </c>
      <c r="AS56" s="142" t="str">
        <f t="shared" si="1"/>
        <v>GOOD</v>
      </c>
      <c r="AT56" s="160">
        <f>INDEX(CarrierDriverTBL!$E:$E,MATCH(Table1[[#This Row],[DriverID]],CarrierDriverTBL!$A:$A,0))</f>
        <v>22314</v>
      </c>
      <c r="AU56" s="163">
        <f ca="1">INDEX(CarrierDriverTBL!$F:$F,MATCH(Table1[[#This Row],[DriverID]],CarrierDriverTBL!$A:$A,0))</f>
        <v>55.512328767123286</v>
      </c>
      <c r="AV56" s="142" t="str">
        <f>INDEX(CarrierDriverTBL!$K:$K,MATCH(Table1[[#This Row],[DriverID]],CarrierDriverTBL!$A:$A,0))</f>
        <v>510-773-9450</v>
      </c>
      <c r="AW56" s="142" t="str">
        <f>INDEX(CarrierDriverTBL!$M:$M,MATCH(Table1[[#This Row],[DriverID]],CarrierDriverTBL!$A:$A,0))</f>
        <v>3124 Cynthia CT</v>
      </c>
      <c r="AX56" s="142" t="str">
        <f>INDEX(CarrierDriverTBL!$N:$N,MATCH(Table1[[#This Row],[DriverID]],CarrierDriverTBL!$A:$A,0))</f>
        <v>Tracy</v>
      </c>
      <c r="AY56" s="142" t="str">
        <f>INDEX(CarrierDriverTBL!$O:$O,MATCH(Table1[[#This Row],[DriverID]],CarrierDriverTBL!$A:$A,0))</f>
        <v>CA</v>
      </c>
      <c r="AZ56" s="142">
        <f>INDEX(CarrierDriverTBL!$P:$P,MATCH(Table1[[#This Row],[DriverID]],CarrierDriverTBL!$A:$A,0))</f>
        <v>95377</v>
      </c>
      <c r="BA56" s="142" t="str">
        <f>INDEX(CarrierDriverTBL!$Q:$Q,MATCH(Table1[[#This Row],[DriverID]],CarrierDriverTBL!$A:$A,0))</f>
        <v>US</v>
      </c>
      <c r="BB56" s="176" t="str">
        <f>INDEX(CarrierDriverTBL!$R:$R,MATCH(Table1[[#This Row],[DriverID]],CarrierDriverTBL!$A:$A,0))</f>
        <v>ubgollc@gmail.com</v>
      </c>
      <c r="BC56" s="160">
        <f>INDEX(CarrierDriverTBL!$AB:$AB,MATCH(Table1[[#This Row],[DriverID]],CarrierDriverTBL!$A:$A,0))</f>
        <v>42167</v>
      </c>
      <c r="BD56" s="142" t="str">
        <f ca="1">INDEX(CarrierDriverTBL!$AD:$AD,MATCH(LoadMaster!$AN:$AN,CarrierDriverTBL!$A:$A,0))</f>
        <v>MISSING</v>
      </c>
      <c r="BE56" s="142">
        <f>INDEX(CarrierDriverTBL!$AE:$AE,MATCH(Table1[DriverID],CarrierDriverTBL!$A:$A,0))</f>
        <v>913971</v>
      </c>
      <c r="BF56" s="142">
        <f>INDEX(CarrierDriverTBL!$AF:$AF,MATCH(Table1[DriverID],CarrierDriverTBL!$A:$A,0))</f>
        <v>2627544</v>
      </c>
      <c r="BG56" s="142">
        <f>INDEX(CarrierDriverTBL!$AG:$AG,MATCH(Table1[DriverID],CarrierDriverTBL!$A:$A,0))</f>
        <v>466133</v>
      </c>
      <c r="BH56" s="142" t="str">
        <f>INDEX(CarrierDriverTBL!$AH:$AH,MATCH(Table1[DriverID],CarrierDriverTBL!$A:$A,0))</f>
        <v>GM Lawrence Ins</v>
      </c>
      <c r="BI56" s="142" t="str">
        <f>INDEX(CarrierDriverTBL!$AI:$AI,MATCH(Table1[DriverID],CarrierDriverTBL!$A:$A,0))</f>
        <v>DSK2842P160210</v>
      </c>
      <c r="BJ56" s="160">
        <f>INDEX(CarrierDriverTBL!$AJ:$AJ,MATCH(Table1[[#This Row],[DriverID]],CarrierDriverTBL!$A:$A,0))</f>
        <v>42778</v>
      </c>
      <c r="BK56" s="10">
        <f t="shared" si="2"/>
        <v>551</v>
      </c>
      <c r="BL56" s="174">
        <v>525</v>
      </c>
      <c r="BM56" s="144">
        <v>198</v>
      </c>
      <c r="BN56" s="159">
        <f t="shared" si="29"/>
        <v>2.6515151515151514</v>
      </c>
      <c r="BO56" s="167">
        <v>475</v>
      </c>
      <c r="BP56" s="159">
        <f t="shared" si="30"/>
        <v>2.3989898989898988</v>
      </c>
      <c r="BQ56" s="133">
        <v>3.12</v>
      </c>
      <c r="BR56" s="166">
        <f t="shared" si="31"/>
        <v>0.20333333333333337</v>
      </c>
      <c r="BS56" s="167">
        <f t="shared" si="6"/>
        <v>2.1956565656565656</v>
      </c>
      <c r="BT56" s="159">
        <f t="shared" si="7"/>
        <v>40.260000000000005</v>
      </c>
      <c r="BU56" s="10" t="str">
        <f t="shared" si="8"/>
        <v>Pepsi Logistics Company Inc</v>
      </c>
      <c r="BV56" s="15"/>
      <c r="BW56" s="4" t="str">
        <f>Table1[[#This Row],[BrokerAddress]]</f>
        <v>5600 Headquarters Drive C2D11</v>
      </c>
      <c r="BX56" s="4" t="str">
        <f t="shared" si="9"/>
        <v>Plano</v>
      </c>
      <c r="BY56" s="4" t="str">
        <f t="shared" si="10"/>
        <v>Tx</v>
      </c>
      <c r="BZ56" s="4">
        <f t="shared" si="11"/>
        <v>75024</v>
      </c>
      <c r="CA56" s="10" t="str">
        <f t="shared" si="12"/>
        <v>US</v>
      </c>
      <c r="CB56" s="15" t="s">
        <v>131</v>
      </c>
      <c r="CC56" s="62"/>
      <c r="CD56" s="15" t="s">
        <v>132</v>
      </c>
      <c r="CE56" s="64">
        <v>0</v>
      </c>
      <c r="CF56" s="4">
        <v>0</v>
      </c>
      <c r="CG56" s="132">
        <f t="shared" si="13"/>
        <v>0</v>
      </c>
      <c r="CH56" s="4" t="s">
        <v>132</v>
      </c>
      <c r="CI56" s="5">
        <v>0</v>
      </c>
      <c r="CJ56" s="4">
        <v>0</v>
      </c>
      <c r="CK56" s="132">
        <f t="shared" si="14"/>
        <v>0</v>
      </c>
      <c r="CL56" s="4" t="s">
        <v>132</v>
      </c>
      <c r="CM56" s="5">
        <v>0</v>
      </c>
      <c r="CN56" s="4">
        <v>0</v>
      </c>
      <c r="CO56" s="132">
        <f t="shared" si="15"/>
        <v>0</v>
      </c>
      <c r="CP56" s="4" t="s">
        <v>132</v>
      </c>
      <c r="CQ56" s="5">
        <v>0</v>
      </c>
      <c r="CR56" s="4">
        <v>0</v>
      </c>
      <c r="CS56" s="132">
        <f t="shared" si="16"/>
        <v>0</v>
      </c>
      <c r="CT56" s="159">
        <f t="shared" si="17"/>
        <v>0</v>
      </c>
      <c r="CU56" s="168">
        <f t="shared" si="18"/>
        <v>525</v>
      </c>
      <c r="CV56" s="183">
        <f t="shared" si="32"/>
        <v>0</v>
      </c>
      <c r="CW56" s="82">
        <f t="shared" si="28"/>
        <v>475</v>
      </c>
      <c r="CX56" s="79">
        <f>IF(ISBLANK(E56),"AddQuickPay",IF(E56=2,CU56*0.98,IF(E56=2.4,CU56*0.976,IF(E56=3,CU56*0.97,IF(E56=5,CU56*0.95,IF(E56=1.5,CU56*0.985,IF(E56=2.5,CU56*0.975,IF(E56=1.3,CU56*0.987,IF(E56=1,CU56*0.99,IF(E56=4,CU56*0.96,CU56*1))))))))))-Table1[[#This Row],[ComCheck+QuickPayFee]]</f>
        <v>525</v>
      </c>
      <c r="CY56" s="5">
        <f t="shared" si="19"/>
        <v>50</v>
      </c>
      <c r="CZ56" s="5">
        <f t="shared" si="20"/>
        <v>0</v>
      </c>
      <c r="DA56" s="258">
        <f>Table1[[#This Row],[OriginalDispatch]]-Table1[[#This Row],[QuickPayCharge]]</f>
        <v>50</v>
      </c>
      <c r="DB56" s="5">
        <v>0</v>
      </c>
      <c r="DC56" s="5" t="s">
        <v>133</v>
      </c>
      <c r="DD56" s="104">
        <f t="shared" si="21"/>
        <v>42230</v>
      </c>
      <c r="DE56" s="15">
        <f>MONTH(Table1[[#This Row],[Weekending]])</f>
        <v>8</v>
      </c>
      <c r="DF56" s="15">
        <f>YEAR(Table1[[#This Row],[Weekending]])</f>
        <v>2015</v>
      </c>
      <c r="DG56" s="30"/>
    </row>
    <row r="57" spans="1:111">
      <c r="A57" s="20" t="str">
        <f t="shared" si="0"/>
        <v>13170949</v>
      </c>
      <c r="B57" s="146">
        <v>42227</v>
      </c>
      <c r="C57" s="144">
        <v>204813</v>
      </c>
      <c r="D57" s="298" t="s">
        <v>625</v>
      </c>
      <c r="E57" s="298">
        <v>3</v>
      </c>
      <c r="F57" s="298" t="str">
        <f>INDEX(BrokerTBL!$B:$B,MATCH(D57,BrokerTBL!$A:$A,0))</f>
        <v>3234 N Central Ave Ste.3</v>
      </c>
      <c r="G57" s="298" t="str">
        <f>INDEX(BrokerTBL!$C:$C,MATCH(D57,BrokerTBL!$A:$A,0))</f>
        <v>Chicago</v>
      </c>
      <c r="H57" s="298" t="str">
        <f>INDEX(BrokerTBL!$D:$D,MATCH(D57,BrokerTBL!$A:$A,0))</f>
        <v>Il</v>
      </c>
      <c r="I57" s="298" t="str">
        <f>INDEX(BrokerTBL!$E:$E,MATCH(D57,BrokerTBL!$A:$A,0))</f>
        <v>US</v>
      </c>
      <c r="J57" s="298">
        <f>INDEX(BrokerTBL!$F:$F,MATCH(D57,BrokerTBL!$A:$A,0))</f>
        <v>60634</v>
      </c>
      <c r="K57" s="298" t="s">
        <v>579</v>
      </c>
      <c r="L57" s="145">
        <v>5648617</v>
      </c>
      <c r="M57" s="146">
        <v>42227</v>
      </c>
      <c r="N57" s="182">
        <v>0.33333333333333298</v>
      </c>
      <c r="O57" s="298" t="s">
        <v>252</v>
      </c>
      <c r="P57" s="298" t="s">
        <v>253</v>
      </c>
      <c r="Q57" s="298" t="s">
        <v>139</v>
      </c>
      <c r="R57" s="298">
        <v>93637</v>
      </c>
      <c r="S57" s="298" t="s">
        <v>118</v>
      </c>
      <c r="T57" s="298" t="s">
        <v>254</v>
      </c>
      <c r="U57" s="298" t="s">
        <v>120</v>
      </c>
      <c r="V57" s="298">
        <v>53</v>
      </c>
      <c r="W57" s="298" t="s">
        <v>626</v>
      </c>
      <c r="X57" s="144">
        <v>42336</v>
      </c>
      <c r="Y57" s="298" t="s">
        <v>26</v>
      </c>
      <c r="Z57" s="298" t="s">
        <v>123</v>
      </c>
      <c r="AA57" s="298">
        <v>156</v>
      </c>
      <c r="AB57" s="298" t="s">
        <v>123</v>
      </c>
      <c r="AC57" s="298" t="s">
        <v>255</v>
      </c>
      <c r="AD57" s="145">
        <v>5610209</v>
      </c>
      <c r="AE57" s="146">
        <v>42185</v>
      </c>
      <c r="AF57" s="298" t="s">
        <v>256</v>
      </c>
      <c r="AG57" s="298" t="s">
        <v>257</v>
      </c>
      <c r="AH57" s="298" t="s">
        <v>160</v>
      </c>
      <c r="AI57" s="298" t="s">
        <v>139</v>
      </c>
      <c r="AJ57" s="298">
        <v>94533</v>
      </c>
      <c r="AK57" s="298" t="s">
        <v>118</v>
      </c>
      <c r="AL57" s="298" t="s">
        <v>258</v>
      </c>
      <c r="AM57" s="142" t="str">
        <f>INDEX(CarrierDriverTBL!$B:$B,MATCH(Table1[[#This Row],[DriverID]],CarrierDriverTBL!$A:$A,0))</f>
        <v>UBTrucking</v>
      </c>
      <c r="AN57" s="10" t="s">
        <v>192</v>
      </c>
      <c r="AO57" s="142" t="str">
        <f>INDEX(CarrierDriverTBL!$C:$C,MATCH(Table1[[#This Row],[DriverID]],CarrierDriverTBL!$A:$A,0))</f>
        <v>Albel</v>
      </c>
      <c r="AP57" s="142" t="str">
        <f>INDEX(CarrierDriverTBL!$D:$D,MATCH(Table1[[#This Row],[DriverID]],CarrierDriverTBL!$A:$A,0))</f>
        <v>Chahil</v>
      </c>
      <c r="AQ57" s="142" t="str">
        <f>INDEX(CarrierDriverTBL!$X:$X,MATCH(Table1[[#This Row],[DriverID]],CarrierDriverTBL!$A:$A,0))</f>
        <v>A8390649</v>
      </c>
      <c r="AR57" s="160">
        <f>INDEX(CarrierDriverTBL!$Y:$Y,MATCH(Table1[[#This Row],[DriverID]],CarrierDriverTBL!$A:$A,0))</f>
        <v>42402</v>
      </c>
      <c r="AS57" s="142" t="str">
        <f t="shared" si="1"/>
        <v>GOOD</v>
      </c>
      <c r="AT57" s="160">
        <f>INDEX(CarrierDriverTBL!$E:$E,MATCH(Table1[[#This Row],[DriverID]],CarrierDriverTBL!$A:$A,0))</f>
        <v>22314</v>
      </c>
      <c r="AU57" s="163">
        <f ca="1">INDEX(CarrierDriverTBL!$F:$F,MATCH(Table1[[#This Row],[DriverID]],CarrierDriverTBL!$A:$A,0))</f>
        <v>55.512328767123286</v>
      </c>
      <c r="AV57" s="142" t="str">
        <f>INDEX(CarrierDriverTBL!$K:$K,MATCH(Table1[[#This Row],[DriverID]],CarrierDriverTBL!$A:$A,0))</f>
        <v>510-773-9450</v>
      </c>
      <c r="AW57" s="142" t="str">
        <f>INDEX(CarrierDriverTBL!$M:$M,MATCH(Table1[[#This Row],[DriverID]],CarrierDriverTBL!$A:$A,0))</f>
        <v>3124 Cynthia CT</v>
      </c>
      <c r="AX57" s="142" t="str">
        <f>INDEX(CarrierDriverTBL!$N:$N,MATCH(Table1[[#This Row],[DriverID]],CarrierDriverTBL!$A:$A,0))</f>
        <v>Tracy</v>
      </c>
      <c r="AY57" s="142" t="str">
        <f>INDEX(CarrierDriverTBL!$O:$O,MATCH(Table1[[#This Row],[DriverID]],CarrierDriverTBL!$A:$A,0))</f>
        <v>CA</v>
      </c>
      <c r="AZ57" s="142">
        <f>INDEX(CarrierDriverTBL!$P:$P,MATCH(Table1[[#This Row],[DriverID]],CarrierDriverTBL!$A:$A,0))</f>
        <v>95377</v>
      </c>
      <c r="BA57" s="142" t="str">
        <f>INDEX(CarrierDriverTBL!$Q:$Q,MATCH(Table1[[#This Row],[DriverID]],CarrierDriverTBL!$A:$A,0))</f>
        <v>US</v>
      </c>
      <c r="BB57" s="176" t="str">
        <f>INDEX(CarrierDriverTBL!$R:$R,MATCH(Table1[[#This Row],[DriverID]],CarrierDriverTBL!$A:$A,0))</f>
        <v>ubgollc@gmail.com</v>
      </c>
      <c r="BC57" s="160">
        <f>INDEX(CarrierDriverTBL!$AB:$AB,MATCH(Table1[[#This Row],[DriverID]],CarrierDriverTBL!$A:$A,0))</f>
        <v>42167</v>
      </c>
      <c r="BD57" s="142" t="str">
        <f ca="1">INDEX(CarrierDriverTBL!$AD:$AD,MATCH(LoadMaster!$AN:$AN,CarrierDriverTBL!$A:$A,0))</f>
        <v>MISSING</v>
      </c>
      <c r="BE57" s="142">
        <f>INDEX(CarrierDriverTBL!$AE:$AE,MATCH(Table1[DriverID],CarrierDriverTBL!$A:$A,0))</f>
        <v>913971</v>
      </c>
      <c r="BF57" s="142">
        <f>INDEX(CarrierDriverTBL!$AF:$AF,MATCH(Table1[DriverID],CarrierDriverTBL!$A:$A,0))</f>
        <v>2627544</v>
      </c>
      <c r="BG57" s="142">
        <f>INDEX(CarrierDriverTBL!$AG:$AG,MATCH(Table1[DriverID],CarrierDriverTBL!$A:$A,0))</f>
        <v>466133</v>
      </c>
      <c r="BH57" s="142" t="str">
        <f>INDEX(CarrierDriverTBL!$AH:$AH,MATCH(Table1[DriverID],CarrierDriverTBL!$A:$A,0))</f>
        <v>GM Lawrence Ins</v>
      </c>
      <c r="BI57" s="142" t="str">
        <f>INDEX(CarrierDriverTBL!$AI:$AI,MATCH(Table1[DriverID],CarrierDriverTBL!$A:$A,0))</f>
        <v>DSK2842P160210</v>
      </c>
      <c r="BJ57" s="160">
        <f>INDEX(CarrierDriverTBL!$AJ:$AJ,MATCH(Table1[[#This Row],[DriverID]],CarrierDriverTBL!$A:$A,0))</f>
        <v>42778</v>
      </c>
      <c r="BK57" s="10">
        <f t="shared" si="2"/>
        <v>551</v>
      </c>
      <c r="BL57" s="174">
        <v>525</v>
      </c>
      <c r="BM57" s="144">
        <v>158</v>
      </c>
      <c r="BN57" s="159">
        <f t="shared" si="29"/>
        <v>3.3227848101265822</v>
      </c>
      <c r="BO57" s="167">
        <v>475</v>
      </c>
      <c r="BP57" s="159">
        <f t="shared" si="30"/>
        <v>3.0063291139240507</v>
      </c>
      <c r="BQ57" s="66">
        <v>3.12</v>
      </c>
      <c r="BR57" s="166">
        <f t="shared" si="31"/>
        <v>0.20333333333333337</v>
      </c>
      <c r="BS57" s="167">
        <f t="shared" si="6"/>
        <v>2.8029957805907175</v>
      </c>
      <c r="BT57" s="159">
        <f t="shared" si="7"/>
        <v>32.126666666666672</v>
      </c>
      <c r="BU57" s="10" t="str">
        <f t="shared" si="8"/>
        <v>Magna Transport Solutions</v>
      </c>
      <c r="BV57" s="15" t="s">
        <v>627</v>
      </c>
      <c r="BW57" s="4" t="str">
        <f>Table1[[#This Row],[BrokerAddress]]</f>
        <v>3234 N Central Ave Ste.3</v>
      </c>
      <c r="BX57" s="4" t="str">
        <f t="shared" si="9"/>
        <v>Chicago</v>
      </c>
      <c r="BY57" s="4" t="str">
        <f t="shared" si="10"/>
        <v>Il</v>
      </c>
      <c r="BZ57" s="4">
        <f t="shared" si="11"/>
        <v>60634</v>
      </c>
      <c r="CA57" s="10" t="str">
        <f t="shared" si="12"/>
        <v>US</v>
      </c>
      <c r="CB57" s="15" t="s">
        <v>131</v>
      </c>
      <c r="CC57" s="62"/>
      <c r="CD57" s="15" t="s">
        <v>132</v>
      </c>
      <c r="CE57" s="64">
        <v>0</v>
      </c>
      <c r="CF57" s="4">
        <v>0</v>
      </c>
      <c r="CG57" s="132">
        <f t="shared" si="13"/>
        <v>0</v>
      </c>
      <c r="CH57" s="4" t="s">
        <v>132</v>
      </c>
      <c r="CI57" s="5">
        <v>0</v>
      </c>
      <c r="CJ57" s="4">
        <v>0</v>
      </c>
      <c r="CK57" s="132">
        <f t="shared" si="14"/>
        <v>0</v>
      </c>
      <c r="CL57" s="4" t="s">
        <v>132</v>
      </c>
      <c r="CM57" s="5">
        <v>0</v>
      </c>
      <c r="CN57" s="4">
        <v>0</v>
      </c>
      <c r="CO57" s="132">
        <f t="shared" si="15"/>
        <v>0</v>
      </c>
      <c r="CP57" s="4" t="s">
        <v>132</v>
      </c>
      <c r="CQ57" s="5">
        <v>0</v>
      </c>
      <c r="CR57" s="4">
        <v>0</v>
      </c>
      <c r="CS57" s="132">
        <f t="shared" si="16"/>
        <v>0</v>
      </c>
      <c r="CT57" s="159">
        <f t="shared" si="17"/>
        <v>0</v>
      </c>
      <c r="CU57" s="168">
        <f t="shared" si="18"/>
        <v>525</v>
      </c>
      <c r="CV57" s="169">
        <f t="shared" si="32"/>
        <v>0</v>
      </c>
      <c r="CW57" s="82">
        <f t="shared" si="28"/>
        <v>475</v>
      </c>
      <c r="CX57" s="79">
        <f>IF(ISBLANK(E57),"AddQuickPay",IF(E57=2,CU57*0.98,IF(E57=2.4,CU57*0.976,IF(E57=3,CU57*0.97,IF(E57=5,CU57*0.95,IF(E57=1.5,CU57*0.985,IF(E57=2.5,CU57*0.975,IF(E57=1.3,CU57*0.987,IF(E57=1,CU57*0.99,IF(E57=4,CU57*0.96,CU57*1))))))))))-Table1[[#This Row],[ComCheck+QuickPayFee]]</f>
        <v>509.25</v>
      </c>
      <c r="CY57" s="5">
        <f t="shared" si="19"/>
        <v>50</v>
      </c>
      <c r="CZ57" s="5">
        <f t="shared" si="20"/>
        <v>15.75</v>
      </c>
      <c r="DA57" s="258">
        <f>Table1[[#This Row],[OriginalDispatch]]-Table1[[#This Row],[QuickPayCharge]]</f>
        <v>34.25</v>
      </c>
      <c r="DB57" s="5">
        <v>0</v>
      </c>
      <c r="DC57" s="5" t="s">
        <v>133</v>
      </c>
      <c r="DD57" s="104">
        <f t="shared" si="21"/>
        <v>42230</v>
      </c>
      <c r="DE57" s="15">
        <f>MONTH(Table1[[#This Row],[Weekending]])</f>
        <v>8</v>
      </c>
      <c r="DF57" s="15">
        <f>YEAR(Table1[[#This Row],[Weekending]])</f>
        <v>2015</v>
      </c>
      <c r="DG57" s="4"/>
    </row>
    <row r="58" spans="1:111">
      <c r="A58" s="20" t="str">
        <f t="shared" si="0"/>
        <v>28555549</v>
      </c>
      <c r="B58" s="146">
        <v>42228</v>
      </c>
      <c r="C58" s="144">
        <v>179295328</v>
      </c>
      <c r="D58" s="298" t="s">
        <v>111</v>
      </c>
      <c r="E58" s="298">
        <v>2</v>
      </c>
      <c r="F58" s="298" t="str">
        <f>INDEX(BrokerTBL!$B:$B,MATCH(D58,BrokerTBL!$A:$A,0))</f>
        <v>P.O. Box 3474</v>
      </c>
      <c r="G58" s="298" t="str">
        <f>INDEX(BrokerTBL!$C:$C,MATCH(D58,BrokerTBL!$A:$A,0))</f>
        <v>Chicago</v>
      </c>
      <c r="H58" s="298" t="str">
        <f>INDEX(BrokerTBL!$D:$D,MATCH(D58,BrokerTBL!$A:$A,0))</f>
        <v>Il</v>
      </c>
      <c r="I58" s="298" t="str">
        <f>INDEX(BrokerTBL!$E:$E,MATCH(D58,BrokerTBL!$A:$A,0))</f>
        <v>US</v>
      </c>
      <c r="J58" s="298">
        <f>INDEX(BrokerTBL!$F:$F,MATCH(D58,BrokerTBL!$A:$A,0))</f>
        <v>60654</v>
      </c>
      <c r="K58" s="298" t="s">
        <v>628</v>
      </c>
      <c r="L58" s="145">
        <v>1137055</v>
      </c>
      <c r="M58" s="146">
        <v>42228</v>
      </c>
      <c r="N58" s="144" t="s">
        <v>629</v>
      </c>
      <c r="O58" s="298" t="s">
        <v>630</v>
      </c>
      <c r="P58" s="298" t="s">
        <v>366</v>
      </c>
      <c r="Q58" s="298" t="s">
        <v>139</v>
      </c>
      <c r="R58" s="298">
        <v>95776</v>
      </c>
      <c r="S58" s="298" t="s">
        <v>118</v>
      </c>
      <c r="T58" s="298" t="s">
        <v>136</v>
      </c>
      <c r="U58" s="298" t="s">
        <v>120</v>
      </c>
      <c r="V58" s="298">
        <v>53</v>
      </c>
      <c r="W58" s="298" t="s">
        <v>631</v>
      </c>
      <c r="X58" s="144">
        <v>30000</v>
      </c>
      <c r="Y58" s="298" t="s">
        <v>26</v>
      </c>
      <c r="Z58" s="298" t="s">
        <v>123</v>
      </c>
      <c r="AA58" s="298" t="s">
        <v>123</v>
      </c>
      <c r="AB58" s="298" t="s">
        <v>123</v>
      </c>
      <c r="AC58" s="298" t="s">
        <v>632</v>
      </c>
      <c r="AD58" s="145">
        <v>1137055</v>
      </c>
      <c r="AE58" s="146">
        <v>42229</v>
      </c>
      <c r="AF58" s="416" t="s">
        <v>123</v>
      </c>
      <c r="AG58" s="298" t="s">
        <v>633</v>
      </c>
      <c r="AH58" s="298" t="s">
        <v>634</v>
      </c>
      <c r="AI58" s="298" t="s">
        <v>139</v>
      </c>
      <c r="AJ58" s="298">
        <v>93454</v>
      </c>
      <c r="AK58" s="298" t="s">
        <v>118</v>
      </c>
      <c r="AL58" s="298" t="s">
        <v>123</v>
      </c>
      <c r="AM58" s="142" t="str">
        <f>INDEX(CarrierDriverTBL!$B:$B,MATCH(Table1[[#This Row],[DriverID]],CarrierDriverTBL!$A:$A,0))</f>
        <v>UBTrucking</v>
      </c>
      <c r="AN58" s="10" t="s">
        <v>192</v>
      </c>
      <c r="AO58" s="142" t="str">
        <f>INDEX(CarrierDriverTBL!$C:$C,MATCH(Table1[[#This Row],[DriverID]],CarrierDriverTBL!$A:$A,0))</f>
        <v>Albel</v>
      </c>
      <c r="AP58" s="142" t="str">
        <f>INDEX(CarrierDriverTBL!$D:$D,MATCH(Table1[[#This Row],[DriverID]],CarrierDriverTBL!$A:$A,0))</f>
        <v>Chahil</v>
      </c>
      <c r="AQ58" s="142" t="str">
        <f>INDEX(CarrierDriverTBL!$X:$X,MATCH(Table1[[#This Row],[DriverID]],CarrierDriverTBL!$A:$A,0))</f>
        <v>A8390649</v>
      </c>
      <c r="AR58" s="160">
        <f>INDEX(CarrierDriverTBL!$Y:$Y,MATCH(Table1[[#This Row],[DriverID]],CarrierDriverTBL!$A:$A,0))</f>
        <v>42402</v>
      </c>
      <c r="AS58" s="142" t="str">
        <f t="shared" si="1"/>
        <v>GOOD</v>
      </c>
      <c r="AT58" s="160">
        <f>INDEX(CarrierDriverTBL!$E:$E,MATCH(Table1[[#This Row],[DriverID]],CarrierDriverTBL!$A:$A,0))</f>
        <v>22314</v>
      </c>
      <c r="AU58" s="163">
        <f ca="1">INDEX(CarrierDriverTBL!$F:$F,MATCH(Table1[[#This Row],[DriverID]],CarrierDriverTBL!$A:$A,0))</f>
        <v>55.512328767123286</v>
      </c>
      <c r="AV58" s="142" t="str">
        <f>INDEX(CarrierDriverTBL!$K:$K,MATCH(Table1[[#This Row],[DriverID]],CarrierDriverTBL!$A:$A,0))</f>
        <v>510-773-9450</v>
      </c>
      <c r="AW58" s="142" t="str">
        <f>INDEX(CarrierDriverTBL!$M:$M,MATCH(Table1[[#This Row],[DriverID]],CarrierDriverTBL!$A:$A,0))</f>
        <v>3124 Cynthia CT</v>
      </c>
      <c r="AX58" s="142" t="str">
        <f>INDEX(CarrierDriverTBL!$N:$N,MATCH(Table1[[#This Row],[DriverID]],CarrierDriverTBL!$A:$A,0))</f>
        <v>Tracy</v>
      </c>
      <c r="AY58" s="142" t="str">
        <f>INDEX(CarrierDriverTBL!$O:$O,MATCH(Table1[[#This Row],[DriverID]],CarrierDriverTBL!$A:$A,0))</f>
        <v>CA</v>
      </c>
      <c r="AZ58" s="142">
        <f>INDEX(CarrierDriverTBL!$P:$P,MATCH(Table1[[#This Row],[DriverID]],CarrierDriverTBL!$A:$A,0))</f>
        <v>95377</v>
      </c>
      <c r="BA58" s="142" t="str">
        <f>INDEX(CarrierDriverTBL!$Q:$Q,MATCH(Table1[[#This Row],[DriverID]],CarrierDriverTBL!$A:$A,0))</f>
        <v>US</v>
      </c>
      <c r="BB58" s="176" t="str">
        <f>INDEX(CarrierDriverTBL!$R:$R,MATCH(Table1[[#This Row],[DriverID]],CarrierDriverTBL!$A:$A,0))</f>
        <v>ubgollc@gmail.com</v>
      </c>
      <c r="BC58" s="160">
        <f>INDEX(CarrierDriverTBL!$AB:$AB,MATCH(Table1[[#This Row],[DriverID]],CarrierDriverTBL!$A:$A,0))</f>
        <v>42167</v>
      </c>
      <c r="BD58" s="142" t="str">
        <f ca="1">INDEX(CarrierDriverTBL!$AD:$AD,MATCH(LoadMaster!$AN:$AN,CarrierDriverTBL!$A:$A,0))</f>
        <v>MISSING</v>
      </c>
      <c r="BE58" s="142">
        <f>INDEX(CarrierDriverTBL!$AE:$AE,MATCH(Table1[DriverID],CarrierDriverTBL!$A:$A,0))</f>
        <v>913971</v>
      </c>
      <c r="BF58" s="142">
        <f>INDEX(CarrierDriverTBL!$AF:$AF,MATCH(Table1[DriverID],CarrierDriverTBL!$A:$A,0))</f>
        <v>2627544</v>
      </c>
      <c r="BG58" s="142">
        <f>INDEX(CarrierDriverTBL!$AG:$AG,MATCH(Table1[DriverID],CarrierDriverTBL!$A:$A,0))</f>
        <v>466133</v>
      </c>
      <c r="BH58" s="142" t="str">
        <f>INDEX(CarrierDriverTBL!$AH:$AH,MATCH(Table1[DriverID],CarrierDriverTBL!$A:$A,0))</f>
        <v>GM Lawrence Ins</v>
      </c>
      <c r="BI58" s="142" t="str">
        <f>INDEX(CarrierDriverTBL!$AI:$AI,MATCH(Table1[DriverID],CarrierDriverTBL!$A:$A,0))</f>
        <v>DSK2842P160210</v>
      </c>
      <c r="BJ58" s="160">
        <f>INDEX(CarrierDriverTBL!$AJ:$AJ,MATCH(Table1[[#This Row],[DriverID]],CarrierDriverTBL!$A:$A,0))</f>
        <v>42778</v>
      </c>
      <c r="BK58" s="10">
        <f t="shared" si="2"/>
        <v>550</v>
      </c>
      <c r="BL58" s="174">
        <v>900</v>
      </c>
      <c r="BM58" s="144">
        <v>345</v>
      </c>
      <c r="BN58" s="159">
        <f t="shared" si="29"/>
        <v>2.6086956521739131</v>
      </c>
      <c r="BO58" s="167">
        <v>875</v>
      </c>
      <c r="BP58" s="159">
        <f t="shared" si="30"/>
        <v>2.5362318840579712</v>
      </c>
      <c r="BQ58" s="133">
        <v>2.9</v>
      </c>
      <c r="BR58" s="166">
        <f t="shared" si="31"/>
        <v>0.16666666666666666</v>
      </c>
      <c r="BS58" s="167">
        <f t="shared" si="6"/>
        <v>2.3695652173913047</v>
      </c>
      <c r="BT58" s="159">
        <f t="shared" si="7"/>
        <v>57.5</v>
      </c>
      <c r="BU58" s="10" t="str">
        <f t="shared" si="8"/>
        <v>Ch Robinson</v>
      </c>
      <c r="BV58" s="15"/>
      <c r="BW58" s="4" t="str">
        <f>Table1[[#This Row],[BrokerAddress]]</f>
        <v>P.O. Box 3474</v>
      </c>
      <c r="BX58" s="4" t="str">
        <f t="shared" si="9"/>
        <v>Chicago</v>
      </c>
      <c r="BY58" s="4" t="str">
        <f t="shared" si="10"/>
        <v>Il</v>
      </c>
      <c r="BZ58" s="4">
        <f t="shared" si="11"/>
        <v>60654</v>
      </c>
      <c r="CA58" s="10" t="str">
        <f t="shared" si="12"/>
        <v>US</v>
      </c>
      <c r="CB58" s="15" t="s">
        <v>131</v>
      </c>
      <c r="CC58" s="62"/>
      <c r="CD58" s="15" t="s">
        <v>222</v>
      </c>
      <c r="CE58" s="64">
        <v>50</v>
      </c>
      <c r="CF58" s="4">
        <v>0</v>
      </c>
      <c r="CG58" s="132">
        <f t="shared" si="13"/>
        <v>0</v>
      </c>
      <c r="CH58" s="4" t="s">
        <v>132</v>
      </c>
      <c r="CI58" s="5">
        <v>0</v>
      </c>
      <c r="CJ58" s="4">
        <v>0</v>
      </c>
      <c r="CK58" s="132">
        <f t="shared" si="14"/>
        <v>0</v>
      </c>
      <c r="CL58" s="4" t="s">
        <v>132</v>
      </c>
      <c r="CM58" s="5">
        <v>0</v>
      </c>
      <c r="CN58" s="4">
        <v>0</v>
      </c>
      <c r="CO58" s="132">
        <f t="shared" si="15"/>
        <v>0</v>
      </c>
      <c r="CP58" s="4" t="s">
        <v>132</v>
      </c>
      <c r="CQ58" s="5">
        <v>0</v>
      </c>
      <c r="CR58" s="4">
        <v>0</v>
      </c>
      <c r="CS58" s="132">
        <f t="shared" si="16"/>
        <v>0</v>
      </c>
      <c r="CT58" s="159">
        <f t="shared" si="17"/>
        <v>0</v>
      </c>
      <c r="CU58" s="168">
        <f t="shared" si="18"/>
        <v>900</v>
      </c>
      <c r="CV58" s="183">
        <f t="shared" si="32"/>
        <v>0</v>
      </c>
      <c r="CW58" s="82">
        <f t="shared" ref="CW58:CW89" si="33">BO58+CV58</f>
        <v>875</v>
      </c>
      <c r="CX58" s="79">
        <f>IF(ISBLANK(E58),"AddQuickPay",IF(E58=2,CU58*0.98,IF(E58=2.4,CU58*0.976,IF(E58=3,CU58*0.97,IF(E58=5,CU58*0.95,IF(E58=1.5,CU58*0.985,IF(E58=2.5,CU58*0.975,IF(E58=1.3,CU58*0.987,IF(E58=1,CU58*0.99,IF(E58=4,CU58*0.96,CU58*1))))))))))-Table1[[#This Row],[ComCheck+QuickPayFee]]</f>
        <v>882</v>
      </c>
      <c r="CY58" s="5">
        <f t="shared" si="19"/>
        <v>25</v>
      </c>
      <c r="CZ58" s="5">
        <f t="shared" si="20"/>
        <v>18</v>
      </c>
      <c r="DA58" s="258">
        <f>Table1[[#This Row],[OriginalDispatch]]-Table1[[#This Row],[QuickPayCharge]]</f>
        <v>7</v>
      </c>
      <c r="DB58" s="5">
        <v>0</v>
      </c>
      <c r="DC58" s="5" t="s">
        <v>133</v>
      </c>
      <c r="DD58" s="104">
        <f t="shared" si="21"/>
        <v>42230</v>
      </c>
      <c r="DE58" s="15">
        <f>MONTH(Table1[[#This Row],[Weekending]])</f>
        <v>8</v>
      </c>
      <c r="DF58" s="15">
        <f>YEAR(Table1[[#This Row],[Weekending]])</f>
        <v>2015</v>
      </c>
      <c r="DG58" s="4" t="s">
        <v>635</v>
      </c>
    </row>
    <row r="59" spans="1:111">
      <c r="A59" s="20" t="str">
        <f t="shared" si="0"/>
        <v>99803149</v>
      </c>
      <c r="B59" s="146">
        <v>42230</v>
      </c>
      <c r="C59" s="144">
        <v>85299</v>
      </c>
      <c r="D59" s="298" t="s">
        <v>455</v>
      </c>
      <c r="E59" s="144">
        <v>0</v>
      </c>
      <c r="F59" s="15" t="str">
        <f>INDEX(BrokerTBL!$B:$B,MATCH(D59,BrokerTBL!$A:$A,0))</f>
        <v>5600 Headquarters Drive C2D11</v>
      </c>
      <c r="G59" s="298" t="str">
        <f>INDEX(BrokerTBL!$C:$C,MATCH(D59,BrokerTBL!$A:$A,0))</f>
        <v>Plano</v>
      </c>
      <c r="H59" s="298" t="str">
        <f>INDEX(BrokerTBL!$D:$D,MATCH(D59,BrokerTBL!$A:$A,0))</f>
        <v>Tx</v>
      </c>
      <c r="I59" s="298" t="str">
        <f>INDEX(BrokerTBL!$E:$E,MATCH(D59,BrokerTBL!$A:$A,0))</f>
        <v>US</v>
      </c>
      <c r="J59" s="298">
        <f>INDEX(BrokerTBL!$F:$F,MATCH(D59,BrokerTBL!$A:$A,0))</f>
        <v>75024</v>
      </c>
      <c r="K59" s="298" t="s">
        <v>456</v>
      </c>
      <c r="L59" s="145">
        <v>663080</v>
      </c>
      <c r="M59" s="146">
        <v>42230</v>
      </c>
      <c r="N59" s="182">
        <v>0.39583333333333298</v>
      </c>
      <c r="O59" s="298" t="s">
        <v>457</v>
      </c>
      <c r="P59" s="298" t="s">
        <v>458</v>
      </c>
      <c r="Q59" s="298" t="s">
        <v>139</v>
      </c>
      <c r="R59" s="298">
        <v>95654</v>
      </c>
      <c r="S59" s="298" t="s">
        <v>118</v>
      </c>
      <c r="T59" s="298" t="s">
        <v>459</v>
      </c>
      <c r="U59" s="298" t="s">
        <v>120</v>
      </c>
      <c r="V59" s="298">
        <v>53</v>
      </c>
      <c r="W59" s="298" t="s">
        <v>136</v>
      </c>
      <c r="X59" s="144" t="s">
        <v>136</v>
      </c>
      <c r="Y59" s="298" t="s">
        <v>123</v>
      </c>
      <c r="Z59" s="298" t="s">
        <v>123</v>
      </c>
      <c r="AA59" s="298" t="s">
        <v>123</v>
      </c>
      <c r="AB59" s="298" t="s">
        <v>123</v>
      </c>
      <c r="AC59" s="298" t="s">
        <v>460</v>
      </c>
      <c r="AD59" s="145">
        <v>300031</v>
      </c>
      <c r="AE59" s="146">
        <v>42230</v>
      </c>
      <c r="AF59" s="182">
        <v>0.46597222222222201</v>
      </c>
      <c r="AG59" s="298" t="s">
        <v>461</v>
      </c>
      <c r="AH59" s="298" t="s">
        <v>462</v>
      </c>
      <c r="AI59" s="298" t="s">
        <v>139</v>
      </c>
      <c r="AJ59" s="298">
        <v>93227</v>
      </c>
      <c r="AK59" s="298" t="s">
        <v>118</v>
      </c>
      <c r="AL59" s="298" t="s">
        <v>463</v>
      </c>
      <c r="AM59" s="142" t="str">
        <f>INDEX(CarrierDriverTBL!$B:$B,MATCH(Table1[[#This Row],[DriverID]],CarrierDriverTBL!$A:$A,0))</f>
        <v>UBTrucking</v>
      </c>
      <c r="AN59" s="10" t="s">
        <v>192</v>
      </c>
      <c r="AO59" s="142" t="str">
        <f>INDEX(CarrierDriverTBL!$C:$C,MATCH(Table1[[#This Row],[DriverID]],CarrierDriverTBL!$A:$A,0))</f>
        <v>Albel</v>
      </c>
      <c r="AP59" s="142" t="str">
        <f>INDEX(CarrierDriverTBL!$D:$D,MATCH(Table1[[#This Row],[DriverID]],CarrierDriverTBL!$A:$A,0))</f>
        <v>Chahil</v>
      </c>
      <c r="AQ59" s="142" t="str">
        <f>INDEX(CarrierDriverTBL!$X:$X,MATCH(Table1[[#This Row],[DriverID]],CarrierDriverTBL!$A:$A,0))</f>
        <v>A8390649</v>
      </c>
      <c r="AR59" s="160">
        <f>INDEX(CarrierDriverTBL!$Y:$Y,MATCH(Table1[[#This Row],[DriverID]],CarrierDriverTBL!$A:$A,0))</f>
        <v>42402</v>
      </c>
      <c r="AS59" s="142" t="str">
        <f t="shared" si="1"/>
        <v>GOOD</v>
      </c>
      <c r="AT59" s="160">
        <f>INDEX(CarrierDriverTBL!$E:$E,MATCH(Table1[[#This Row],[DriverID]],CarrierDriverTBL!$A:$A,0))</f>
        <v>22314</v>
      </c>
      <c r="AU59" s="163">
        <f ca="1">INDEX(CarrierDriverTBL!$F:$F,MATCH(Table1[[#This Row],[DriverID]],CarrierDriverTBL!$A:$A,0))</f>
        <v>55.512328767123286</v>
      </c>
      <c r="AV59" s="142" t="str">
        <f>INDEX(CarrierDriverTBL!$K:$K,MATCH(Table1[[#This Row],[DriverID]],CarrierDriverTBL!$A:$A,0))</f>
        <v>510-773-9450</v>
      </c>
      <c r="AW59" s="142" t="str">
        <f>INDEX(CarrierDriverTBL!$M:$M,MATCH(Table1[[#This Row],[DriverID]],CarrierDriverTBL!$A:$A,0))</f>
        <v>3124 Cynthia CT</v>
      </c>
      <c r="AX59" s="142" t="str">
        <f>INDEX(CarrierDriverTBL!$N:$N,MATCH(Table1[[#This Row],[DriverID]],CarrierDriverTBL!$A:$A,0))</f>
        <v>Tracy</v>
      </c>
      <c r="AY59" s="142" t="str">
        <f>INDEX(CarrierDriverTBL!$O:$O,MATCH(Table1[[#This Row],[DriverID]],CarrierDriverTBL!$A:$A,0))</f>
        <v>CA</v>
      </c>
      <c r="AZ59" s="142">
        <f>INDEX(CarrierDriverTBL!$P:$P,MATCH(Table1[[#This Row],[DriverID]],CarrierDriverTBL!$A:$A,0))</f>
        <v>95377</v>
      </c>
      <c r="BA59" s="142" t="str">
        <f>INDEX(CarrierDriverTBL!$Q:$Q,MATCH(Table1[[#This Row],[DriverID]],CarrierDriverTBL!$A:$A,0))</f>
        <v>US</v>
      </c>
      <c r="BB59" s="176" t="str">
        <f>INDEX(CarrierDriverTBL!$R:$R,MATCH(Table1[[#This Row],[DriverID]],CarrierDriverTBL!$A:$A,0))</f>
        <v>ubgollc@gmail.com</v>
      </c>
      <c r="BC59" s="160">
        <f>INDEX(CarrierDriverTBL!$AB:$AB,MATCH(Table1[[#This Row],[DriverID]],CarrierDriverTBL!$A:$A,0))</f>
        <v>42167</v>
      </c>
      <c r="BD59" s="142" t="str">
        <f ca="1">INDEX(CarrierDriverTBL!$AD:$AD,MATCH(LoadMaster!$AN:$AN,CarrierDriverTBL!$A:$A,0))</f>
        <v>MISSING</v>
      </c>
      <c r="BE59" s="142">
        <f>INDEX(CarrierDriverTBL!$AE:$AE,MATCH(Table1[DriverID],CarrierDriverTBL!$A:$A,0))</f>
        <v>913971</v>
      </c>
      <c r="BF59" s="142">
        <f>INDEX(CarrierDriverTBL!$AF:$AF,MATCH(Table1[DriverID],CarrierDriverTBL!$A:$A,0))</f>
        <v>2627544</v>
      </c>
      <c r="BG59" s="142">
        <f>INDEX(CarrierDriverTBL!$AG:$AG,MATCH(Table1[DriverID],CarrierDriverTBL!$A:$A,0))</f>
        <v>466133</v>
      </c>
      <c r="BH59" s="142" t="str">
        <f>INDEX(CarrierDriverTBL!$AH:$AH,MATCH(Table1[DriverID],CarrierDriverTBL!$A:$A,0))</f>
        <v>GM Lawrence Ins</v>
      </c>
      <c r="BI59" s="142" t="str">
        <f>INDEX(CarrierDriverTBL!$AI:$AI,MATCH(Table1[DriverID],CarrierDriverTBL!$A:$A,0))</f>
        <v>DSK2842P160210</v>
      </c>
      <c r="BJ59" s="160">
        <f>INDEX(CarrierDriverTBL!$AJ:$AJ,MATCH(Table1[[#This Row],[DriverID]],CarrierDriverTBL!$A:$A,0))</f>
        <v>42778</v>
      </c>
      <c r="BK59" s="10">
        <f t="shared" si="2"/>
        <v>548</v>
      </c>
      <c r="BL59" s="174">
        <v>525</v>
      </c>
      <c r="BM59" s="144">
        <v>198</v>
      </c>
      <c r="BN59" s="159">
        <f t="shared" si="29"/>
        <v>2.6515151515151514</v>
      </c>
      <c r="BO59" s="167">
        <v>500</v>
      </c>
      <c r="BP59" s="159">
        <f t="shared" si="30"/>
        <v>2.5252525252525251</v>
      </c>
      <c r="BQ59" s="133">
        <v>3.12</v>
      </c>
      <c r="BR59" s="166">
        <f t="shared" si="31"/>
        <v>0.20333333333333337</v>
      </c>
      <c r="BS59" s="167">
        <f t="shared" si="6"/>
        <v>2.3219191919191919</v>
      </c>
      <c r="BT59" s="159">
        <f t="shared" si="7"/>
        <v>40.260000000000005</v>
      </c>
      <c r="BU59" s="10" t="str">
        <f t="shared" si="8"/>
        <v>Pepsi Logistics Company Inc</v>
      </c>
      <c r="BV59" s="15"/>
      <c r="BW59" s="4" t="str">
        <f>Table1[[#This Row],[BrokerAddress]]</f>
        <v>5600 Headquarters Drive C2D11</v>
      </c>
      <c r="BX59" s="4" t="str">
        <f t="shared" si="9"/>
        <v>Plano</v>
      </c>
      <c r="BY59" s="4" t="str">
        <f t="shared" si="10"/>
        <v>Tx</v>
      </c>
      <c r="BZ59" s="4">
        <f t="shared" si="11"/>
        <v>75024</v>
      </c>
      <c r="CA59" s="10" t="str">
        <f t="shared" si="12"/>
        <v>US</v>
      </c>
      <c r="CB59" s="15" t="s">
        <v>131</v>
      </c>
      <c r="CC59" s="62"/>
      <c r="CD59" s="15" t="s">
        <v>132</v>
      </c>
      <c r="CE59" s="64">
        <v>0</v>
      </c>
      <c r="CF59" s="4">
        <v>0</v>
      </c>
      <c r="CG59" s="132">
        <f t="shared" si="13"/>
        <v>0</v>
      </c>
      <c r="CH59" s="4" t="s">
        <v>132</v>
      </c>
      <c r="CI59" s="5">
        <v>0</v>
      </c>
      <c r="CJ59" s="4">
        <v>0</v>
      </c>
      <c r="CK59" s="132">
        <f t="shared" si="14"/>
        <v>0</v>
      </c>
      <c r="CL59" s="4" t="s">
        <v>132</v>
      </c>
      <c r="CM59" s="5">
        <v>0</v>
      </c>
      <c r="CN59" s="4">
        <v>0</v>
      </c>
      <c r="CO59" s="132">
        <f t="shared" si="15"/>
        <v>0</v>
      </c>
      <c r="CP59" s="4" t="s">
        <v>132</v>
      </c>
      <c r="CQ59" s="5">
        <v>0</v>
      </c>
      <c r="CR59" s="4">
        <v>0</v>
      </c>
      <c r="CS59" s="132">
        <f t="shared" si="16"/>
        <v>0</v>
      </c>
      <c r="CT59" s="159">
        <f t="shared" si="17"/>
        <v>0</v>
      </c>
      <c r="CU59" s="168">
        <f t="shared" si="18"/>
        <v>525</v>
      </c>
      <c r="CV59" s="183">
        <f t="shared" si="32"/>
        <v>0</v>
      </c>
      <c r="CW59" s="82">
        <f t="shared" si="33"/>
        <v>500</v>
      </c>
      <c r="CX59" s="79">
        <f>IF(ISBLANK(E59),"AddQuickPay",IF(E59=2,CU59*0.98,IF(E59=2.4,CU59*0.976,IF(E59=3,CU59*0.97,IF(E59=5,CU59*0.95,IF(E59=1.5,CU59*0.985,IF(E59=2.5,CU59*0.975,IF(E59=1.3,CU59*0.987,IF(E59=1,CU59*0.99,IF(E59=4,CU59*0.96,CU59*1))))))))))-Table1[[#This Row],[ComCheck+QuickPayFee]]</f>
        <v>525</v>
      </c>
      <c r="CY59" s="5">
        <f t="shared" si="19"/>
        <v>25</v>
      </c>
      <c r="CZ59" s="5">
        <f t="shared" si="20"/>
        <v>0</v>
      </c>
      <c r="DA59" s="258">
        <f>Table1[[#This Row],[OriginalDispatch]]-Table1[[#This Row],[QuickPayCharge]]</f>
        <v>25</v>
      </c>
      <c r="DB59" s="5">
        <v>0</v>
      </c>
      <c r="DC59" s="5" t="s">
        <v>133</v>
      </c>
      <c r="DD59" s="104">
        <f t="shared" si="21"/>
        <v>42230</v>
      </c>
      <c r="DE59" s="15">
        <f>MONTH(Table1[[#This Row],[Weekending]])</f>
        <v>8</v>
      </c>
      <c r="DF59" s="15">
        <f>YEAR(Table1[[#This Row],[Weekending]])</f>
        <v>2015</v>
      </c>
      <c r="DG59" s="4"/>
    </row>
    <row r="60" spans="1:111">
      <c r="A60" s="20" t="str">
        <f t="shared" si="0"/>
        <v>55818149</v>
      </c>
      <c r="B60" s="146">
        <v>42230</v>
      </c>
      <c r="C60" s="144">
        <v>204855</v>
      </c>
      <c r="D60" s="298" t="s">
        <v>625</v>
      </c>
      <c r="E60" s="298">
        <v>3</v>
      </c>
      <c r="F60" s="298" t="str">
        <f>INDEX(BrokerTBL!$B:$B,MATCH(D60,BrokerTBL!$A:$A,0))</f>
        <v>3234 N Central Ave Ste.3</v>
      </c>
      <c r="G60" s="298" t="str">
        <f>INDEX(BrokerTBL!$C:$C,MATCH(D60,BrokerTBL!$A:$A,0))</f>
        <v>Chicago</v>
      </c>
      <c r="H60" s="298" t="str">
        <f>INDEX(BrokerTBL!$D:$D,MATCH(D60,BrokerTBL!$A:$A,0))</f>
        <v>Il</v>
      </c>
      <c r="I60" s="298" t="str">
        <f>INDEX(BrokerTBL!$E:$E,MATCH(D60,BrokerTBL!$A:$A,0))</f>
        <v>US</v>
      </c>
      <c r="J60" s="298">
        <f>INDEX(BrokerTBL!$F:$F,MATCH(D60,BrokerTBL!$A:$A,0))</f>
        <v>60634</v>
      </c>
      <c r="K60" s="298" t="s">
        <v>579</v>
      </c>
      <c r="L60" s="145">
        <v>5639381</v>
      </c>
      <c r="M60" s="146">
        <v>42230</v>
      </c>
      <c r="N60" s="182" t="s">
        <v>636</v>
      </c>
      <c r="O60" s="298" t="s">
        <v>252</v>
      </c>
      <c r="P60" s="298" t="s">
        <v>253</v>
      </c>
      <c r="Q60" s="298" t="s">
        <v>139</v>
      </c>
      <c r="R60" s="298">
        <v>93637</v>
      </c>
      <c r="S60" s="298" t="s">
        <v>118</v>
      </c>
      <c r="T60" s="298" t="s">
        <v>254</v>
      </c>
      <c r="U60" s="298" t="s">
        <v>120</v>
      </c>
      <c r="V60" s="298">
        <v>53</v>
      </c>
      <c r="W60" s="298" t="s">
        <v>626</v>
      </c>
      <c r="X60" s="144">
        <v>37739</v>
      </c>
      <c r="Y60" s="298" t="s">
        <v>26</v>
      </c>
      <c r="Z60" s="298" t="s">
        <v>123</v>
      </c>
      <c r="AA60" s="298">
        <v>156</v>
      </c>
      <c r="AB60" s="298" t="s">
        <v>123</v>
      </c>
      <c r="AC60" s="298" t="s">
        <v>255</v>
      </c>
      <c r="AD60" s="145">
        <v>5639381</v>
      </c>
      <c r="AE60" s="146">
        <v>42230</v>
      </c>
      <c r="AF60" s="298" t="s">
        <v>637</v>
      </c>
      <c r="AG60" s="298" t="s">
        <v>257</v>
      </c>
      <c r="AH60" s="298" t="s">
        <v>160</v>
      </c>
      <c r="AI60" s="298" t="s">
        <v>139</v>
      </c>
      <c r="AJ60" s="298">
        <v>94533</v>
      </c>
      <c r="AK60" s="298" t="s">
        <v>118</v>
      </c>
      <c r="AL60" s="298" t="s">
        <v>258</v>
      </c>
      <c r="AM60" s="142" t="str">
        <f>INDEX(CarrierDriverTBL!$B:$B,MATCH(Table1[[#This Row],[DriverID]],CarrierDriverTBL!$A:$A,0))</f>
        <v>UBTrucking</v>
      </c>
      <c r="AN60" s="10" t="s">
        <v>192</v>
      </c>
      <c r="AO60" s="142" t="str">
        <f>INDEX(CarrierDriverTBL!$C:$C,MATCH(Table1[[#This Row],[DriverID]],CarrierDriverTBL!$A:$A,0))</f>
        <v>Albel</v>
      </c>
      <c r="AP60" s="142" t="str">
        <f>INDEX(CarrierDriverTBL!$D:$D,MATCH(Table1[[#This Row],[DriverID]],CarrierDriverTBL!$A:$A,0))</f>
        <v>Chahil</v>
      </c>
      <c r="AQ60" s="142" t="str">
        <f>INDEX(CarrierDriverTBL!$X:$X,MATCH(Table1[[#This Row],[DriverID]],CarrierDriverTBL!$A:$A,0))</f>
        <v>A8390649</v>
      </c>
      <c r="AR60" s="160">
        <f>INDEX(CarrierDriverTBL!$Y:$Y,MATCH(Table1[[#This Row],[DriverID]],CarrierDriverTBL!$A:$A,0))</f>
        <v>42402</v>
      </c>
      <c r="AS60" s="142" t="str">
        <f t="shared" si="1"/>
        <v>GOOD</v>
      </c>
      <c r="AT60" s="160">
        <f>INDEX(CarrierDriverTBL!$E:$E,MATCH(Table1[[#This Row],[DriverID]],CarrierDriverTBL!$A:$A,0))</f>
        <v>22314</v>
      </c>
      <c r="AU60" s="163">
        <f ca="1">INDEX(CarrierDriverTBL!$F:$F,MATCH(Table1[[#This Row],[DriverID]],CarrierDriverTBL!$A:$A,0))</f>
        <v>55.512328767123286</v>
      </c>
      <c r="AV60" s="142" t="str">
        <f>INDEX(CarrierDriverTBL!$K:$K,MATCH(Table1[[#This Row],[DriverID]],CarrierDriverTBL!$A:$A,0))</f>
        <v>510-773-9450</v>
      </c>
      <c r="AW60" s="142" t="str">
        <f>INDEX(CarrierDriverTBL!$M:$M,MATCH(Table1[[#This Row],[DriverID]],CarrierDriverTBL!$A:$A,0))</f>
        <v>3124 Cynthia CT</v>
      </c>
      <c r="AX60" s="142" t="str">
        <f>INDEX(CarrierDriverTBL!$N:$N,MATCH(Table1[[#This Row],[DriverID]],CarrierDriverTBL!$A:$A,0))</f>
        <v>Tracy</v>
      </c>
      <c r="AY60" s="142" t="str">
        <f>INDEX(CarrierDriverTBL!$O:$O,MATCH(Table1[[#This Row],[DriverID]],CarrierDriverTBL!$A:$A,0))</f>
        <v>CA</v>
      </c>
      <c r="AZ60" s="142">
        <f>INDEX(CarrierDriverTBL!$P:$P,MATCH(Table1[[#This Row],[DriverID]],CarrierDriverTBL!$A:$A,0))</f>
        <v>95377</v>
      </c>
      <c r="BA60" s="142" t="str">
        <f>INDEX(CarrierDriverTBL!$Q:$Q,MATCH(Table1[[#This Row],[DriverID]],CarrierDriverTBL!$A:$A,0))</f>
        <v>US</v>
      </c>
      <c r="BB60" s="176" t="str">
        <f>INDEX(CarrierDriverTBL!$R:$R,MATCH(Table1[[#This Row],[DriverID]],CarrierDriverTBL!$A:$A,0))</f>
        <v>ubgollc@gmail.com</v>
      </c>
      <c r="BC60" s="160">
        <f>INDEX(CarrierDriverTBL!$AB:$AB,MATCH(Table1[[#This Row],[DriverID]],CarrierDriverTBL!$A:$A,0))</f>
        <v>42167</v>
      </c>
      <c r="BD60" s="142" t="str">
        <f ca="1">INDEX(CarrierDriverTBL!$AD:$AD,MATCH(LoadMaster!$AN:$AN,CarrierDriverTBL!$A:$A,0))</f>
        <v>MISSING</v>
      </c>
      <c r="BE60" s="142">
        <f>INDEX(CarrierDriverTBL!$AE:$AE,MATCH(Table1[DriverID],CarrierDriverTBL!$A:$A,0))</f>
        <v>913971</v>
      </c>
      <c r="BF60" s="142">
        <f>INDEX(CarrierDriverTBL!$AF:$AF,MATCH(Table1[DriverID],CarrierDriverTBL!$A:$A,0))</f>
        <v>2627544</v>
      </c>
      <c r="BG60" s="142">
        <f>INDEX(CarrierDriverTBL!$AG:$AG,MATCH(Table1[DriverID],CarrierDriverTBL!$A:$A,0))</f>
        <v>466133</v>
      </c>
      <c r="BH60" s="142" t="str">
        <f>INDEX(CarrierDriverTBL!$AH:$AH,MATCH(Table1[DriverID],CarrierDriverTBL!$A:$A,0))</f>
        <v>GM Lawrence Ins</v>
      </c>
      <c r="BI60" s="142" t="str">
        <f>INDEX(CarrierDriverTBL!$AI:$AI,MATCH(Table1[DriverID],CarrierDriverTBL!$A:$A,0))</f>
        <v>DSK2842P160210</v>
      </c>
      <c r="BJ60" s="160">
        <f>INDEX(CarrierDriverTBL!$AJ:$AJ,MATCH(Table1[[#This Row],[DriverID]],CarrierDriverTBL!$A:$A,0))</f>
        <v>42778</v>
      </c>
      <c r="BK60" s="10">
        <f t="shared" si="2"/>
        <v>548</v>
      </c>
      <c r="BL60" s="174">
        <v>525</v>
      </c>
      <c r="BM60" s="144">
        <v>158</v>
      </c>
      <c r="BN60" s="159">
        <f t="shared" si="29"/>
        <v>3.3227848101265822</v>
      </c>
      <c r="BO60" s="167">
        <v>475</v>
      </c>
      <c r="BP60" s="159">
        <f t="shared" si="30"/>
        <v>3.0063291139240507</v>
      </c>
      <c r="BQ60" s="66">
        <v>3.12</v>
      </c>
      <c r="BR60" s="166">
        <f t="shared" si="31"/>
        <v>0.20333333333333337</v>
      </c>
      <c r="BS60" s="167">
        <f t="shared" si="6"/>
        <v>2.8029957805907175</v>
      </c>
      <c r="BT60" s="159">
        <f t="shared" si="7"/>
        <v>32.126666666666672</v>
      </c>
      <c r="BU60" s="10" t="str">
        <f t="shared" si="8"/>
        <v>Magna Transport Solutions</v>
      </c>
      <c r="BV60" s="15" t="s">
        <v>627</v>
      </c>
      <c r="BW60" s="4" t="str">
        <f>Table1[[#This Row],[BrokerAddress]]</f>
        <v>3234 N Central Ave Ste.3</v>
      </c>
      <c r="BX60" s="4" t="str">
        <f t="shared" si="9"/>
        <v>Chicago</v>
      </c>
      <c r="BY60" s="4" t="str">
        <f t="shared" si="10"/>
        <v>Il</v>
      </c>
      <c r="BZ60" s="4">
        <f t="shared" si="11"/>
        <v>60634</v>
      </c>
      <c r="CA60" s="10" t="str">
        <f t="shared" si="12"/>
        <v>US</v>
      </c>
      <c r="CB60" s="15" t="s">
        <v>638</v>
      </c>
      <c r="CC60" s="62"/>
      <c r="CD60" s="15" t="s">
        <v>149</v>
      </c>
      <c r="CE60" s="64">
        <v>40</v>
      </c>
      <c r="CF60" s="4">
        <v>0</v>
      </c>
      <c r="CG60" s="132">
        <f t="shared" si="13"/>
        <v>0</v>
      </c>
      <c r="CH60" s="4" t="s">
        <v>132</v>
      </c>
      <c r="CI60" s="5">
        <v>0</v>
      </c>
      <c r="CJ60" s="4">
        <v>0</v>
      </c>
      <c r="CK60" s="132">
        <f t="shared" si="14"/>
        <v>0</v>
      </c>
      <c r="CL60" s="4" t="s">
        <v>132</v>
      </c>
      <c r="CM60" s="5">
        <v>0</v>
      </c>
      <c r="CN60" s="4">
        <v>0</v>
      </c>
      <c r="CO60" s="132">
        <f t="shared" si="15"/>
        <v>0</v>
      </c>
      <c r="CP60" s="4" t="s">
        <v>132</v>
      </c>
      <c r="CQ60" s="5">
        <v>0</v>
      </c>
      <c r="CR60" s="4">
        <v>0</v>
      </c>
      <c r="CS60" s="132">
        <f t="shared" si="16"/>
        <v>0</v>
      </c>
      <c r="CT60" s="159">
        <f t="shared" si="17"/>
        <v>0</v>
      </c>
      <c r="CU60" s="168">
        <f t="shared" si="18"/>
        <v>525</v>
      </c>
      <c r="CV60" s="169">
        <f t="shared" si="32"/>
        <v>0</v>
      </c>
      <c r="CW60" s="82">
        <f t="shared" si="33"/>
        <v>475</v>
      </c>
      <c r="CX60" s="79">
        <f>IF(ISBLANK(E60),"AddQuickPay",IF(E60=2,CU60*0.98,IF(E60=2.4,CU60*0.976,IF(E60=3,CU60*0.97,IF(E60=5,CU60*0.95,IF(E60=1.5,CU60*0.985,IF(E60=2.5,CU60*0.975,IF(E60=1.3,CU60*0.987,IF(E60=1,CU60*0.99,IF(E60=4,CU60*0.96,CU60*1))))))))))-Table1[[#This Row],[ComCheck+QuickPayFee]]</f>
        <v>509.25</v>
      </c>
      <c r="CY60" s="5">
        <f t="shared" si="19"/>
        <v>50</v>
      </c>
      <c r="CZ60" s="5">
        <f t="shared" si="20"/>
        <v>15.75</v>
      </c>
      <c r="DA60" s="258">
        <f>Table1[[#This Row],[OriginalDispatch]]-Table1[[#This Row],[QuickPayCharge]]</f>
        <v>34.25</v>
      </c>
      <c r="DB60" s="5">
        <v>0</v>
      </c>
      <c r="DC60" s="5" t="s">
        <v>133</v>
      </c>
      <c r="DD60" s="104">
        <f t="shared" si="21"/>
        <v>42230</v>
      </c>
      <c r="DE60" s="15">
        <f>MONTH(Table1[[#This Row],[Weekending]])</f>
        <v>8</v>
      </c>
      <c r="DF60" s="15">
        <f>YEAR(Table1[[#This Row],[Weekending]])</f>
        <v>2015</v>
      </c>
      <c r="DG60" s="4"/>
    </row>
    <row r="61" spans="1:111">
      <c r="A61" s="20" t="str">
        <f t="shared" si="0"/>
        <v>249349</v>
      </c>
      <c r="B61" s="146">
        <v>42233</v>
      </c>
      <c r="C61" s="144">
        <v>6040724</v>
      </c>
      <c r="D61" s="298" t="s">
        <v>445</v>
      </c>
      <c r="E61" s="298">
        <v>3</v>
      </c>
      <c r="F61" s="298" t="str">
        <f>INDEX(BrokerTBL!$B:$B,MATCH(D61,BrokerTBL!$A:$A,0))</f>
        <v>960 Northpoint Parkway Suite 150</v>
      </c>
      <c r="G61" s="298" t="str">
        <f>INDEX(BrokerTBL!$C:$C,MATCH(D61,BrokerTBL!$A:$A,0))</f>
        <v>Alpharetta</v>
      </c>
      <c r="H61" s="298" t="str">
        <f>INDEX(BrokerTBL!$D:$D,MATCH(D61,BrokerTBL!$A:$A,0))</f>
        <v>Ga</v>
      </c>
      <c r="I61" s="298" t="str">
        <f>INDEX(BrokerTBL!$E:$E,MATCH(D61,BrokerTBL!$A:$A,0))</f>
        <v>US</v>
      </c>
      <c r="J61" s="298">
        <f>INDEX(BrokerTBL!$F:$F,MATCH(D61,BrokerTBL!$A:$A,0))</f>
        <v>30005</v>
      </c>
      <c r="K61" s="298" t="s">
        <v>639</v>
      </c>
      <c r="L61" s="145">
        <v>83093</v>
      </c>
      <c r="M61" s="146">
        <v>42233</v>
      </c>
      <c r="N61" s="144" t="s">
        <v>432</v>
      </c>
      <c r="O61" s="298" t="s">
        <v>640</v>
      </c>
      <c r="P61" s="298" t="s">
        <v>160</v>
      </c>
      <c r="Q61" s="298" t="s">
        <v>139</v>
      </c>
      <c r="R61" s="298">
        <v>94533</v>
      </c>
      <c r="S61" s="298" t="s">
        <v>118</v>
      </c>
      <c r="T61" s="298" t="s">
        <v>136</v>
      </c>
      <c r="U61" s="298" t="s">
        <v>120</v>
      </c>
      <c r="V61" s="298">
        <v>53</v>
      </c>
      <c r="W61" s="298" t="s">
        <v>641</v>
      </c>
      <c r="X61" s="144">
        <v>26000</v>
      </c>
      <c r="Y61" s="298" t="s">
        <v>26</v>
      </c>
      <c r="Z61" s="298" t="s">
        <v>123</v>
      </c>
      <c r="AA61" s="298">
        <v>15</v>
      </c>
      <c r="AB61" s="298" t="s">
        <v>123</v>
      </c>
      <c r="AC61" s="298" t="s">
        <v>642</v>
      </c>
      <c r="AD61" s="145"/>
      <c r="AE61" s="146">
        <v>42234</v>
      </c>
      <c r="AF61" s="298" t="s">
        <v>643</v>
      </c>
      <c r="AG61" s="298" t="s">
        <v>644</v>
      </c>
      <c r="AH61" s="298" t="s">
        <v>645</v>
      </c>
      <c r="AI61" s="298" t="s">
        <v>139</v>
      </c>
      <c r="AJ61" s="298" t="s">
        <v>646</v>
      </c>
      <c r="AK61" s="298" t="s">
        <v>118</v>
      </c>
      <c r="AL61" s="298" t="s">
        <v>123</v>
      </c>
      <c r="AM61" s="142" t="str">
        <f>INDEX(CarrierDriverTBL!$B:$B,MATCH(Table1[[#This Row],[DriverID]],CarrierDriverTBL!$A:$A,0))</f>
        <v>UBTrucking</v>
      </c>
      <c r="AN61" s="10" t="s">
        <v>192</v>
      </c>
      <c r="AO61" s="142" t="str">
        <f>INDEX(CarrierDriverTBL!$C:$C,MATCH(Table1[[#This Row],[DriverID]],CarrierDriverTBL!$A:$A,0))</f>
        <v>Albel</v>
      </c>
      <c r="AP61" s="142" t="str">
        <f>INDEX(CarrierDriverTBL!$D:$D,MATCH(Table1[[#This Row],[DriverID]],CarrierDriverTBL!$A:$A,0))</f>
        <v>Chahil</v>
      </c>
      <c r="AQ61" s="142" t="str">
        <f>INDEX(CarrierDriverTBL!$X:$X,MATCH(Table1[[#This Row],[DriverID]],CarrierDriverTBL!$A:$A,0))</f>
        <v>A8390649</v>
      </c>
      <c r="AR61" s="160">
        <f>INDEX(CarrierDriverTBL!$Y:$Y,MATCH(Table1[[#This Row],[DriverID]],CarrierDriverTBL!$A:$A,0))</f>
        <v>42402</v>
      </c>
      <c r="AS61" s="142" t="str">
        <f t="shared" si="1"/>
        <v>GOOD</v>
      </c>
      <c r="AT61" s="160">
        <f>INDEX(CarrierDriverTBL!$E:$E,MATCH(Table1[[#This Row],[DriverID]],CarrierDriverTBL!$A:$A,0))</f>
        <v>22314</v>
      </c>
      <c r="AU61" s="163">
        <f ca="1">INDEX(CarrierDriverTBL!$F:$F,MATCH(Table1[[#This Row],[DriverID]],CarrierDriverTBL!$A:$A,0))</f>
        <v>55.512328767123286</v>
      </c>
      <c r="AV61" s="142" t="str">
        <f>INDEX(CarrierDriverTBL!$K:$K,MATCH(Table1[[#This Row],[DriverID]],CarrierDriverTBL!$A:$A,0))</f>
        <v>510-773-9450</v>
      </c>
      <c r="AW61" s="142" t="str">
        <f>INDEX(CarrierDriverTBL!$M:$M,MATCH(Table1[[#This Row],[DriverID]],CarrierDriverTBL!$A:$A,0))</f>
        <v>3124 Cynthia CT</v>
      </c>
      <c r="AX61" s="142" t="str">
        <f>INDEX(CarrierDriverTBL!$N:$N,MATCH(Table1[[#This Row],[DriverID]],CarrierDriverTBL!$A:$A,0))</f>
        <v>Tracy</v>
      </c>
      <c r="AY61" s="142" t="str">
        <f>INDEX(CarrierDriverTBL!$O:$O,MATCH(Table1[[#This Row],[DriverID]],CarrierDriverTBL!$A:$A,0))</f>
        <v>CA</v>
      </c>
      <c r="AZ61" s="142">
        <f>INDEX(CarrierDriverTBL!$P:$P,MATCH(Table1[[#This Row],[DriverID]],CarrierDriverTBL!$A:$A,0))</f>
        <v>95377</v>
      </c>
      <c r="BA61" s="142" t="str">
        <f>INDEX(CarrierDriverTBL!$Q:$Q,MATCH(Table1[[#This Row],[DriverID]],CarrierDriverTBL!$A:$A,0))</f>
        <v>US</v>
      </c>
      <c r="BB61" s="176" t="str">
        <f>INDEX(CarrierDriverTBL!$R:$R,MATCH(Table1[[#This Row],[DriverID]],CarrierDriverTBL!$A:$A,0))</f>
        <v>ubgollc@gmail.com</v>
      </c>
      <c r="BC61" s="160">
        <f>INDEX(CarrierDriverTBL!$AB:$AB,MATCH(Table1[[#This Row],[DriverID]],CarrierDriverTBL!$A:$A,0))</f>
        <v>42167</v>
      </c>
      <c r="BD61" s="142" t="str">
        <f ca="1">INDEX(CarrierDriverTBL!$AD:$AD,MATCH(LoadMaster!$AN:$AN,CarrierDriverTBL!$A:$A,0))</f>
        <v>MISSING</v>
      </c>
      <c r="BE61" s="142">
        <f>INDEX(CarrierDriverTBL!$AE:$AE,MATCH(Table1[DriverID],CarrierDriverTBL!$A:$A,0))</f>
        <v>913971</v>
      </c>
      <c r="BF61" s="142">
        <f>INDEX(CarrierDriverTBL!$AF:$AF,MATCH(Table1[DriverID],CarrierDriverTBL!$A:$A,0))</f>
        <v>2627544</v>
      </c>
      <c r="BG61" s="142">
        <f>INDEX(CarrierDriverTBL!$AG:$AG,MATCH(Table1[DriverID],CarrierDriverTBL!$A:$A,0))</f>
        <v>466133</v>
      </c>
      <c r="BH61" s="142" t="str">
        <f>INDEX(CarrierDriverTBL!$AH:$AH,MATCH(Table1[DriverID],CarrierDriverTBL!$A:$A,0))</f>
        <v>GM Lawrence Ins</v>
      </c>
      <c r="BI61" s="142" t="str">
        <f>INDEX(CarrierDriverTBL!$AI:$AI,MATCH(Table1[DriverID],CarrierDriverTBL!$A:$A,0))</f>
        <v>DSK2842P160210</v>
      </c>
      <c r="BJ61" s="160">
        <f>INDEX(CarrierDriverTBL!$AJ:$AJ,MATCH(Table1[[#This Row],[DriverID]],CarrierDriverTBL!$A:$A,0))</f>
        <v>42778</v>
      </c>
      <c r="BK61" s="10">
        <f t="shared" si="2"/>
        <v>545</v>
      </c>
      <c r="BL61" s="174">
        <v>800</v>
      </c>
      <c r="BM61" s="144">
        <v>354</v>
      </c>
      <c r="BN61" s="159">
        <f t="shared" si="29"/>
        <v>2.2598870056497176</v>
      </c>
      <c r="BO61" s="167">
        <v>740</v>
      </c>
      <c r="BP61" s="159">
        <f t="shared" si="30"/>
        <v>2.0903954802259888</v>
      </c>
      <c r="BQ61" s="133">
        <v>2.7989999999999999</v>
      </c>
      <c r="BR61" s="166">
        <f t="shared" si="31"/>
        <v>0.14983333333333335</v>
      </c>
      <c r="BS61" s="167">
        <f t="shared" si="6"/>
        <v>1.9405621468926555</v>
      </c>
      <c r="BT61" s="159">
        <f t="shared" si="7"/>
        <v>53.041000000000004</v>
      </c>
      <c r="BU61" s="10" t="str">
        <f t="shared" si="8"/>
        <v>Coyote</v>
      </c>
      <c r="BV61" s="15"/>
      <c r="BW61" s="4" t="str">
        <f>Table1[[#This Row],[BrokerAddress]]</f>
        <v>960 Northpoint Parkway Suite 150</v>
      </c>
      <c r="BX61" s="4" t="str">
        <f t="shared" si="9"/>
        <v>Alpharetta</v>
      </c>
      <c r="BY61" s="4" t="str">
        <f t="shared" si="10"/>
        <v>Ga</v>
      </c>
      <c r="BZ61" s="4">
        <f t="shared" si="11"/>
        <v>30005</v>
      </c>
      <c r="CA61" s="10" t="str">
        <f t="shared" si="12"/>
        <v>US</v>
      </c>
      <c r="CB61" s="15" t="s">
        <v>131</v>
      </c>
      <c r="CC61" s="62"/>
      <c r="CD61" s="15" t="s">
        <v>132</v>
      </c>
      <c r="CE61" s="64">
        <v>0</v>
      </c>
      <c r="CF61" s="4">
        <v>0</v>
      </c>
      <c r="CG61" s="132">
        <f t="shared" si="13"/>
        <v>0</v>
      </c>
      <c r="CH61" s="4" t="s">
        <v>132</v>
      </c>
      <c r="CI61" s="5">
        <v>0</v>
      </c>
      <c r="CJ61" s="4">
        <v>0</v>
      </c>
      <c r="CK61" s="132">
        <f t="shared" si="14"/>
        <v>0</v>
      </c>
      <c r="CL61" s="4" t="s">
        <v>132</v>
      </c>
      <c r="CM61" s="5">
        <v>0</v>
      </c>
      <c r="CN61" s="4">
        <v>0</v>
      </c>
      <c r="CO61" s="132">
        <f t="shared" si="15"/>
        <v>0</v>
      </c>
      <c r="CP61" s="4" t="s">
        <v>132</v>
      </c>
      <c r="CQ61" s="5">
        <v>0</v>
      </c>
      <c r="CR61" s="4">
        <v>0</v>
      </c>
      <c r="CS61" s="132">
        <f t="shared" si="16"/>
        <v>0</v>
      </c>
      <c r="CT61" s="159">
        <f t="shared" si="17"/>
        <v>0</v>
      </c>
      <c r="CU61" s="168">
        <f t="shared" si="18"/>
        <v>800</v>
      </c>
      <c r="CV61" s="183">
        <f t="shared" si="32"/>
        <v>0</v>
      </c>
      <c r="CW61" s="82">
        <f t="shared" si="33"/>
        <v>740</v>
      </c>
      <c r="CX61" s="79">
        <f>IF(ISBLANK(E61),"AddQuickPay",IF(E61=2,CU61*0.98,IF(E61=2.4,CU61*0.976,IF(E61=3,CU61*0.97,IF(E61=5,CU61*0.95,IF(E61=1.5,CU61*0.985,IF(E61=2.5,CU61*0.975,IF(E61=1.3,CU61*0.987,IF(E61=1,CU61*0.99,IF(E61=4,CU61*0.96,CU61*1))))))))))-Table1[[#This Row],[ComCheck+QuickPayFee]]</f>
        <v>776</v>
      </c>
      <c r="CY61" s="5">
        <f t="shared" si="19"/>
        <v>60</v>
      </c>
      <c r="CZ61" s="5">
        <f t="shared" si="20"/>
        <v>24</v>
      </c>
      <c r="DA61" s="258">
        <f>Table1[[#This Row],[OriginalDispatch]]-Table1[[#This Row],[QuickPayCharge]]</f>
        <v>36</v>
      </c>
      <c r="DB61" s="5">
        <v>0</v>
      </c>
      <c r="DC61" s="5" t="s">
        <v>133</v>
      </c>
      <c r="DD61" s="104">
        <f t="shared" si="21"/>
        <v>42237</v>
      </c>
      <c r="DE61" s="15">
        <f>MONTH(Table1[[#This Row],[Weekending]])</f>
        <v>8</v>
      </c>
      <c r="DF61" s="15">
        <f>YEAR(Table1[[#This Row],[Weekending]])</f>
        <v>2015</v>
      </c>
      <c r="DG61" s="29" t="s">
        <v>647</v>
      </c>
    </row>
    <row r="62" spans="1:111">
      <c r="A62" s="20" t="str">
        <f t="shared" si="0"/>
        <v>09048949</v>
      </c>
      <c r="B62" s="146">
        <v>42234</v>
      </c>
      <c r="C62" s="144">
        <v>179672509</v>
      </c>
      <c r="D62" s="298" t="s">
        <v>111</v>
      </c>
      <c r="E62" s="298">
        <v>2</v>
      </c>
      <c r="F62" s="298" t="str">
        <f>INDEX(BrokerTBL!$B:$B,MATCH(D62,BrokerTBL!$A:$A,0))</f>
        <v>P.O. Box 3474</v>
      </c>
      <c r="G62" s="298" t="str">
        <f>INDEX(BrokerTBL!$C:$C,MATCH(D62,BrokerTBL!$A:$A,0))</f>
        <v>Chicago</v>
      </c>
      <c r="H62" s="298" t="str">
        <f>INDEX(BrokerTBL!$D:$D,MATCH(D62,BrokerTBL!$A:$A,0))</f>
        <v>Il</v>
      </c>
      <c r="I62" s="298" t="str">
        <f>INDEX(BrokerTBL!$E:$E,MATCH(D62,BrokerTBL!$A:$A,0))</f>
        <v>US</v>
      </c>
      <c r="J62" s="298">
        <f>INDEX(BrokerTBL!$F:$F,MATCH(D62,BrokerTBL!$A:$A,0))</f>
        <v>60654</v>
      </c>
      <c r="K62" s="298" t="s">
        <v>579</v>
      </c>
      <c r="L62" s="145">
        <v>5654004</v>
      </c>
      <c r="M62" s="146">
        <v>42234</v>
      </c>
      <c r="N62" s="144" t="s">
        <v>288</v>
      </c>
      <c r="O62" s="298" t="s">
        <v>252</v>
      </c>
      <c r="P62" s="298" t="s">
        <v>253</v>
      </c>
      <c r="Q62" s="298" t="s">
        <v>139</v>
      </c>
      <c r="R62" s="298">
        <v>93637</v>
      </c>
      <c r="S62" s="298" t="s">
        <v>118</v>
      </c>
      <c r="T62" s="298" t="s">
        <v>254</v>
      </c>
      <c r="U62" s="298" t="s">
        <v>120</v>
      </c>
      <c r="V62" s="298">
        <v>53</v>
      </c>
      <c r="W62" s="298" t="s">
        <v>648</v>
      </c>
      <c r="X62" s="144">
        <v>39603</v>
      </c>
      <c r="Y62" s="298" t="s">
        <v>26</v>
      </c>
      <c r="Z62" s="298">
        <v>20</v>
      </c>
      <c r="AA62" s="298">
        <v>20</v>
      </c>
      <c r="AB62" s="298" t="s">
        <v>123</v>
      </c>
      <c r="AC62" s="298" t="s">
        <v>649</v>
      </c>
      <c r="AD62" s="145" t="s">
        <v>650</v>
      </c>
      <c r="AE62" s="146">
        <v>42235</v>
      </c>
      <c r="AF62" s="182">
        <v>0.45833333333333298</v>
      </c>
      <c r="AG62" s="298" t="s">
        <v>651</v>
      </c>
      <c r="AH62" s="298" t="s">
        <v>293</v>
      </c>
      <c r="AI62" s="298" t="s">
        <v>139</v>
      </c>
      <c r="AJ62" s="298">
        <v>95476</v>
      </c>
      <c r="AK62" s="298" t="s">
        <v>118</v>
      </c>
      <c r="AL62" s="298" t="s">
        <v>652</v>
      </c>
      <c r="AM62" s="142" t="str">
        <f>INDEX(CarrierDriverTBL!$B:$B,MATCH(Table1[[#This Row],[DriverID]],CarrierDriverTBL!$A:$A,0))</f>
        <v>UBTrucking</v>
      </c>
      <c r="AN62" s="10" t="s">
        <v>192</v>
      </c>
      <c r="AO62" s="142" t="str">
        <f>INDEX(CarrierDriverTBL!$C:$C,MATCH(Table1[[#This Row],[DriverID]],CarrierDriverTBL!$A:$A,0))</f>
        <v>Albel</v>
      </c>
      <c r="AP62" s="142" t="str">
        <f>INDEX(CarrierDriverTBL!$D:$D,MATCH(Table1[[#This Row],[DriverID]],CarrierDriverTBL!$A:$A,0))</f>
        <v>Chahil</v>
      </c>
      <c r="AQ62" s="142" t="str">
        <f>INDEX(CarrierDriverTBL!$X:$X,MATCH(Table1[[#This Row],[DriverID]],CarrierDriverTBL!$A:$A,0))</f>
        <v>A8390649</v>
      </c>
      <c r="AR62" s="160">
        <f>INDEX(CarrierDriverTBL!$Y:$Y,MATCH(Table1[[#This Row],[DriverID]],CarrierDriverTBL!$A:$A,0))</f>
        <v>42402</v>
      </c>
      <c r="AS62" s="142" t="str">
        <f t="shared" si="1"/>
        <v>GOOD</v>
      </c>
      <c r="AT62" s="160">
        <f>INDEX(CarrierDriverTBL!$E:$E,MATCH(Table1[[#This Row],[DriverID]],CarrierDriverTBL!$A:$A,0))</f>
        <v>22314</v>
      </c>
      <c r="AU62" s="163">
        <f ca="1">INDEX(CarrierDriverTBL!$F:$F,MATCH(Table1[[#This Row],[DriverID]],CarrierDriverTBL!$A:$A,0))</f>
        <v>55.512328767123286</v>
      </c>
      <c r="AV62" s="142" t="str">
        <f>INDEX(CarrierDriverTBL!$K:$K,MATCH(Table1[[#This Row],[DriverID]],CarrierDriverTBL!$A:$A,0))</f>
        <v>510-773-9450</v>
      </c>
      <c r="AW62" s="142" t="str">
        <f>INDEX(CarrierDriverTBL!$M:$M,MATCH(Table1[[#This Row],[DriverID]],CarrierDriverTBL!$A:$A,0))</f>
        <v>3124 Cynthia CT</v>
      </c>
      <c r="AX62" s="142" t="str">
        <f>INDEX(CarrierDriverTBL!$N:$N,MATCH(Table1[[#This Row],[DriverID]],CarrierDriverTBL!$A:$A,0))</f>
        <v>Tracy</v>
      </c>
      <c r="AY62" s="142" t="str">
        <f>INDEX(CarrierDriverTBL!$O:$O,MATCH(Table1[[#This Row],[DriverID]],CarrierDriverTBL!$A:$A,0))</f>
        <v>CA</v>
      </c>
      <c r="AZ62" s="142">
        <f>INDEX(CarrierDriverTBL!$P:$P,MATCH(Table1[[#This Row],[DriverID]],CarrierDriverTBL!$A:$A,0))</f>
        <v>95377</v>
      </c>
      <c r="BA62" s="142" t="str">
        <f>INDEX(CarrierDriverTBL!$Q:$Q,MATCH(Table1[[#This Row],[DriverID]],CarrierDriverTBL!$A:$A,0))</f>
        <v>US</v>
      </c>
      <c r="BB62" s="176" t="str">
        <f>INDEX(CarrierDriverTBL!$R:$R,MATCH(Table1[[#This Row],[DriverID]],CarrierDriverTBL!$A:$A,0))</f>
        <v>ubgollc@gmail.com</v>
      </c>
      <c r="BC62" s="160">
        <f>INDEX(CarrierDriverTBL!$AB:$AB,MATCH(Table1[[#This Row],[DriverID]],CarrierDriverTBL!$A:$A,0))</f>
        <v>42167</v>
      </c>
      <c r="BD62" s="142" t="str">
        <f ca="1">INDEX(CarrierDriverTBL!$AD:$AD,MATCH(LoadMaster!$AN:$AN,CarrierDriverTBL!$A:$A,0))</f>
        <v>MISSING</v>
      </c>
      <c r="BE62" s="142">
        <f>INDEX(CarrierDriverTBL!$AE:$AE,MATCH(Table1[DriverID],CarrierDriverTBL!$A:$A,0))</f>
        <v>913971</v>
      </c>
      <c r="BF62" s="142">
        <f>INDEX(CarrierDriverTBL!$AF:$AF,MATCH(Table1[DriverID],CarrierDriverTBL!$A:$A,0))</f>
        <v>2627544</v>
      </c>
      <c r="BG62" s="142">
        <f>INDEX(CarrierDriverTBL!$AG:$AG,MATCH(Table1[DriverID],CarrierDriverTBL!$A:$A,0))</f>
        <v>466133</v>
      </c>
      <c r="BH62" s="142" t="str">
        <f>INDEX(CarrierDriverTBL!$AH:$AH,MATCH(Table1[DriverID],CarrierDriverTBL!$A:$A,0))</f>
        <v>GM Lawrence Ins</v>
      </c>
      <c r="BI62" s="142" t="str">
        <f>INDEX(CarrierDriverTBL!$AI:$AI,MATCH(Table1[DriverID],CarrierDriverTBL!$A:$A,0))</f>
        <v>DSK2842P160210</v>
      </c>
      <c r="BJ62" s="160">
        <f>INDEX(CarrierDriverTBL!$AJ:$AJ,MATCH(Table1[[#This Row],[DriverID]],CarrierDriverTBL!$A:$A,0))</f>
        <v>42778</v>
      </c>
      <c r="BK62" s="10">
        <f t="shared" si="2"/>
        <v>544</v>
      </c>
      <c r="BL62" s="174">
        <v>550</v>
      </c>
      <c r="BM62" s="144">
        <v>185</v>
      </c>
      <c r="BN62" s="159">
        <f t="shared" si="29"/>
        <v>2.9729729729729728</v>
      </c>
      <c r="BO62" s="167">
        <v>550</v>
      </c>
      <c r="BP62" s="159">
        <f t="shared" si="30"/>
        <v>2.9729729729729728</v>
      </c>
      <c r="BQ62" s="133">
        <v>2.7989999999999999</v>
      </c>
      <c r="BR62" s="166">
        <f t="shared" si="31"/>
        <v>0.14983333333333335</v>
      </c>
      <c r="BS62" s="167">
        <f t="shared" si="6"/>
        <v>2.8231396396396393</v>
      </c>
      <c r="BT62" s="159">
        <f t="shared" si="7"/>
        <v>27.71916666666667</v>
      </c>
      <c r="BU62" s="10" t="str">
        <f t="shared" si="8"/>
        <v>Ch Robinson</v>
      </c>
      <c r="BV62" s="15"/>
      <c r="BW62" s="4" t="str">
        <f>Table1[[#This Row],[BrokerAddress]]</f>
        <v>P.O. Box 3474</v>
      </c>
      <c r="BX62" s="4" t="str">
        <f t="shared" si="9"/>
        <v>Chicago</v>
      </c>
      <c r="BY62" s="4" t="str">
        <f t="shared" si="10"/>
        <v>Il</v>
      </c>
      <c r="BZ62" s="4">
        <f t="shared" si="11"/>
        <v>60654</v>
      </c>
      <c r="CA62" s="10" t="str">
        <f t="shared" si="12"/>
        <v>US</v>
      </c>
      <c r="CB62" s="15" t="s">
        <v>131</v>
      </c>
      <c r="CC62" s="62"/>
      <c r="CD62" s="15" t="s">
        <v>132</v>
      </c>
      <c r="CE62" s="64">
        <v>0</v>
      </c>
      <c r="CF62" s="4">
        <v>0</v>
      </c>
      <c r="CG62" s="132">
        <f t="shared" si="13"/>
        <v>0</v>
      </c>
      <c r="CH62" s="4" t="s">
        <v>132</v>
      </c>
      <c r="CI62" s="5">
        <v>0</v>
      </c>
      <c r="CJ62" s="4">
        <v>0</v>
      </c>
      <c r="CK62" s="132">
        <f t="shared" si="14"/>
        <v>0</v>
      </c>
      <c r="CL62" s="4" t="s">
        <v>132</v>
      </c>
      <c r="CM62" s="5">
        <v>0</v>
      </c>
      <c r="CN62" s="4">
        <v>0</v>
      </c>
      <c r="CO62" s="132">
        <f t="shared" si="15"/>
        <v>0</v>
      </c>
      <c r="CP62" s="4" t="s">
        <v>132</v>
      </c>
      <c r="CQ62" s="5">
        <v>0</v>
      </c>
      <c r="CR62" s="4">
        <v>0</v>
      </c>
      <c r="CS62" s="132">
        <f t="shared" si="16"/>
        <v>0</v>
      </c>
      <c r="CT62" s="159">
        <f t="shared" si="17"/>
        <v>0</v>
      </c>
      <c r="CU62" s="168">
        <f t="shared" si="18"/>
        <v>550</v>
      </c>
      <c r="CV62" s="183">
        <f t="shared" si="32"/>
        <v>0</v>
      </c>
      <c r="CW62" s="82">
        <f t="shared" si="33"/>
        <v>550</v>
      </c>
      <c r="CX62" s="79">
        <f>IF(ISBLANK(E62),"AddQuickPay",IF(E62=2,CU62*0.98,IF(E62=2.4,CU62*0.976,IF(E62=3,CU62*0.97,IF(E62=5,CU62*0.95,IF(E62=1.5,CU62*0.985,IF(E62=2.5,CU62*0.975,IF(E62=1.3,CU62*0.987,IF(E62=1,CU62*0.99,IF(E62=4,CU62*0.96,CU62*1))))))))))-Table1[[#This Row],[ComCheck+QuickPayFee]]</f>
        <v>539</v>
      </c>
      <c r="CY62" s="5">
        <f t="shared" si="19"/>
        <v>0</v>
      </c>
      <c r="CZ62" s="5">
        <f t="shared" si="20"/>
        <v>11</v>
      </c>
      <c r="DA62" s="259">
        <f>Table1[[#This Row],[OriginalDispatch]]-Table1[[#This Row],[QuickPayCharge]]</f>
        <v>-11</v>
      </c>
      <c r="DB62" s="5">
        <v>0</v>
      </c>
      <c r="DC62" s="5" t="s">
        <v>133</v>
      </c>
      <c r="DD62" s="104">
        <f t="shared" si="21"/>
        <v>42237</v>
      </c>
      <c r="DE62" s="15">
        <f>MONTH(Table1[[#This Row],[Weekending]])</f>
        <v>8</v>
      </c>
      <c r="DF62" s="15">
        <f>YEAR(Table1[[#This Row],[Weekending]])</f>
        <v>2015</v>
      </c>
      <c r="DG62" s="4"/>
    </row>
    <row r="63" spans="1:111">
      <c r="A63" s="20" t="str">
        <f t="shared" si="0"/>
        <v>17696916</v>
      </c>
      <c r="B63" s="146">
        <v>42235</v>
      </c>
      <c r="C63" s="144">
        <v>179717617</v>
      </c>
      <c r="D63" s="298" t="s">
        <v>111</v>
      </c>
      <c r="E63" s="298">
        <v>2</v>
      </c>
      <c r="F63" s="298" t="str">
        <f>INDEX(BrokerTBL!$B:$B,MATCH(D63,BrokerTBL!$A:$A,0))</f>
        <v>P.O. Box 3474</v>
      </c>
      <c r="G63" s="298" t="str">
        <f>INDEX(BrokerTBL!$C:$C,MATCH(D63,BrokerTBL!$A:$A,0))</f>
        <v>Chicago</v>
      </c>
      <c r="H63" s="298" t="str">
        <f>INDEX(BrokerTBL!$D:$D,MATCH(D63,BrokerTBL!$A:$A,0))</f>
        <v>Il</v>
      </c>
      <c r="I63" s="298" t="str">
        <f>INDEX(BrokerTBL!$E:$E,MATCH(D63,BrokerTBL!$A:$A,0))</f>
        <v>US</v>
      </c>
      <c r="J63" s="298">
        <f>INDEX(BrokerTBL!$F:$F,MATCH(D63,BrokerTBL!$A:$A,0))</f>
        <v>60654</v>
      </c>
      <c r="K63" s="298" t="s">
        <v>653</v>
      </c>
      <c r="L63" s="145" t="s">
        <v>654</v>
      </c>
      <c r="M63" s="146">
        <v>42234</v>
      </c>
      <c r="N63" s="182">
        <v>0.54166666666666696</v>
      </c>
      <c r="O63" s="298" t="s">
        <v>655</v>
      </c>
      <c r="P63" s="298" t="s">
        <v>656</v>
      </c>
      <c r="Q63" s="298" t="s">
        <v>139</v>
      </c>
      <c r="R63" s="298">
        <v>93625</v>
      </c>
      <c r="S63" s="298" t="s">
        <v>118</v>
      </c>
      <c r="T63" s="298" t="s">
        <v>657</v>
      </c>
      <c r="U63" s="298" t="s">
        <v>120</v>
      </c>
      <c r="V63" s="298">
        <v>53</v>
      </c>
      <c r="W63" s="298" t="s">
        <v>658</v>
      </c>
      <c r="X63" s="144">
        <v>43800</v>
      </c>
      <c r="Y63" s="298" t="s">
        <v>26</v>
      </c>
      <c r="Z63" s="298">
        <v>165</v>
      </c>
      <c r="AA63" s="298" t="s">
        <v>123</v>
      </c>
      <c r="AB63" s="298" t="s">
        <v>123</v>
      </c>
      <c r="AC63" s="298" t="s">
        <v>659</v>
      </c>
      <c r="AD63" s="145" t="s">
        <v>654</v>
      </c>
      <c r="AE63" s="146">
        <v>42235</v>
      </c>
      <c r="AF63" s="298" t="s">
        <v>660</v>
      </c>
      <c r="AG63" s="298" t="s">
        <v>661</v>
      </c>
      <c r="AH63" s="298" t="s">
        <v>138</v>
      </c>
      <c r="AI63" s="298" t="s">
        <v>139</v>
      </c>
      <c r="AJ63" s="298">
        <v>93230</v>
      </c>
      <c r="AK63" s="298" t="s">
        <v>118</v>
      </c>
      <c r="AL63" s="298" t="s">
        <v>662</v>
      </c>
      <c r="AM63" s="142" t="str">
        <f>INDEX(CarrierDriverTBL!$B:$B,MATCH(Table1[[#This Row],[DriverID]],CarrierDriverTBL!$A:$A,0))</f>
        <v>UBTrucking</v>
      </c>
      <c r="AN63" s="10" t="s">
        <v>663</v>
      </c>
      <c r="AO63" s="142" t="str">
        <f>INDEX(CarrierDriverTBL!$C:$C,MATCH(Table1[[#This Row],[DriverID]],CarrierDriverTBL!$A:$A,0))</f>
        <v>Christopher J.</v>
      </c>
      <c r="AP63" s="142" t="str">
        <f>INDEX(CarrierDriverTBL!$D:$D,MATCH(Table1[[#This Row],[DriverID]],CarrierDriverTBL!$A:$A,0))</f>
        <v>Vanoss</v>
      </c>
      <c r="AQ63" s="142" t="str">
        <f>INDEX(CarrierDriverTBL!$X:$X,MATCH(Table1[[#This Row],[DriverID]],CarrierDriverTBL!$A:$A,0))</f>
        <v>C6568516</v>
      </c>
      <c r="AR63" s="160">
        <f>INDEX(CarrierDriverTBL!$Y:$Y,MATCH(Table1[[#This Row],[DriverID]],CarrierDriverTBL!$A:$A,0))</f>
        <v>43568</v>
      </c>
      <c r="AS63" s="142" t="str">
        <f t="shared" si="1"/>
        <v>GOOD</v>
      </c>
      <c r="AT63" s="160">
        <f>INDEX(CarrierDriverTBL!$E:$E,MATCH(Table1[[#This Row],[DriverID]],CarrierDriverTBL!$A:$A,0))</f>
        <v>25306</v>
      </c>
      <c r="AU63" s="163">
        <f ca="1">INDEX(CarrierDriverTBL!$F:$F,MATCH(Table1[[#This Row],[DriverID]],CarrierDriverTBL!$A:$A,0))</f>
        <v>47.315068493150683</v>
      </c>
      <c r="AV63" s="142" t="str">
        <f>INDEX(CarrierDriverTBL!$K:$K,MATCH(Table1[[#This Row],[DriverID]],CarrierDriverTBL!$A:$A,0))</f>
        <v>209-993-1286</v>
      </c>
      <c r="AW63" s="142" t="str">
        <f>INDEX(CarrierDriverTBL!$M:$M,MATCH(Table1[[#This Row],[DriverID]],CarrierDriverTBL!$A:$A,0))</f>
        <v>1044 Rivara RD # 106</v>
      </c>
      <c r="AX63" s="142" t="str">
        <f>INDEX(CarrierDriverTBL!$N:$N,MATCH(Table1[[#This Row],[DriverID]],CarrierDriverTBL!$A:$A,0))</f>
        <v>Stockton</v>
      </c>
      <c r="AY63" s="142" t="str">
        <f>INDEX(CarrierDriverTBL!$O:$O,MATCH(Table1[[#This Row],[DriverID]],CarrierDriverTBL!$A:$A,0))</f>
        <v>CA</v>
      </c>
      <c r="AZ63" s="142">
        <f>INDEX(CarrierDriverTBL!$P:$P,MATCH(Table1[[#This Row],[DriverID]],CarrierDriverTBL!$A:$A,0))</f>
        <v>95219</v>
      </c>
      <c r="BA63" s="142" t="str">
        <f>INDEX(CarrierDriverTBL!$Q:$Q,MATCH(Table1[[#This Row],[DriverID]],CarrierDriverTBL!$A:$A,0))</f>
        <v>US</v>
      </c>
      <c r="BB63" s="176" t="str">
        <f>INDEX(CarrierDriverTBL!$R:$R,MATCH(Table1[[#This Row],[DriverID]],CarrierDriverTBL!$A:$A,0))</f>
        <v xml:space="preserve">cvanoss@live.com </v>
      </c>
      <c r="BC63" s="160">
        <f>INDEX(CarrierDriverTBL!$AB:$AB,MATCH(Table1[[#This Row],[DriverID]],CarrierDriverTBL!$A:$A,0))</f>
        <v>42231</v>
      </c>
      <c r="BD63" s="142" t="str">
        <f ca="1">INDEX(CarrierDriverTBL!$AD:$AD,MATCH(LoadMaster!$AN:$AN,CarrierDriverTBL!$A:$A,0))</f>
        <v>MISSING</v>
      </c>
      <c r="BE63" s="142">
        <f>INDEX(CarrierDriverTBL!$AE:$AE,MATCH(Table1[DriverID],CarrierDriverTBL!$A:$A,0))</f>
        <v>913971</v>
      </c>
      <c r="BF63" s="142">
        <f>INDEX(CarrierDriverTBL!$AF:$AF,MATCH(Table1[DriverID],CarrierDriverTBL!$A:$A,0))</f>
        <v>2627544</v>
      </c>
      <c r="BG63" s="142">
        <f>INDEX(CarrierDriverTBL!$AG:$AG,MATCH(Table1[DriverID],CarrierDriverTBL!$A:$A,0))</f>
        <v>466133</v>
      </c>
      <c r="BH63" s="142" t="str">
        <f>INDEX(CarrierDriverTBL!$AH:$AH,MATCH(Table1[DriverID],CarrierDriverTBL!$A:$A,0))</f>
        <v>GM Lawrence Ins</v>
      </c>
      <c r="BI63" s="142" t="str">
        <f>INDEX(CarrierDriverTBL!$AI:$AI,MATCH(Table1[DriverID],CarrierDriverTBL!$A:$A,0))</f>
        <v>DSK2842P160210</v>
      </c>
      <c r="BJ63" s="160">
        <f>INDEX(CarrierDriverTBL!$AJ:$AJ,MATCH(Table1[[#This Row],[DriverID]],CarrierDriverTBL!$A:$A,0))</f>
        <v>42778</v>
      </c>
      <c r="BK63" s="10">
        <f t="shared" si="2"/>
        <v>544</v>
      </c>
      <c r="BL63" s="174">
        <v>200</v>
      </c>
      <c r="BM63" s="144">
        <v>27</v>
      </c>
      <c r="BN63" s="159">
        <f t="shared" si="29"/>
        <v>7.4074074074074074</v>
      </c>
      <c r="BO63" s="167">
        <v>180</v>
      </c>
      <c r="BP63" s="159">
        <f t="shared" si="30"/>
        <v>6.666666666666667</v>
      </c>
      <c r="BQ63" s="133">
        <v>2.7989999999999999</v>
      </c>
      <c r="BR63" s="166">
        <f t="shared" si="31"/>
        <v>0.14983333333333335</v>
      </c>
      <c r="BS63" s="167">
        <f t="shared" si="6"/>
        <v>6.5168333333333335</v>
      </c>
      <c r="BT63" s="159">
        <f t="shared" si="7"/>
        <v>4.0455000000000005</v>
      </c>
      <c r="BU63" s="10" t="str">
        <f t="shared" si="8"/>
        <v>Ch Robinson</v>
      </c>
      <c r="BV63" s="15"/>
      <c r="BW63" s="4" t="str">
        <f>Table1[[#This Row],[BrokerAddress]]</f>
        <v>P.O. Box 3474</v>
      </c>
      <c r="BX63" s="4" t="str">
        <f t="shared" si="9"/>
        <v>Chicago</v>
      </c>
      <c r="BY63" s="4" t="str">
        <f t="shared" si="10"/>
        <v>Il</v>
      </c>
      <c r="BZ63" s="4">
        <f t="shared" si="11"/>
        <v>60654</v>
      </c>
      <c r="CA63" s="10" t="str">
        <f t="shared" si="12"/>
        <v>US</v>
      </c>
      <c r="CB63" s="15" t="s">
        <v>131</v>
      </c>
      <c r="CC63" s="62"/>
      <c r="CD63" s="15" t="s">
        <v>132</v>
      </c>
      <c r="CE63" s="64">
        <v>0</v>
      </c>
      <c r="CF63" s="4">
        <v>0</v>
      </c>
      <c r="CG63" s="132">
        <f t="shared" si="13"/>
        <v>0</v>
      </c>
      <c r="CH63" s="4" t="s">
        <v>132</v>
      </c>
      <c r="CI63" s="5">
        <v>0</v>
      </c>
      <c r="CJ63" s="4">
        <v>0</v>
      </c>
      <c r="CK63" s="132">
        <f t="shared" si="14"/>
        <v>0</v>
      </c>
      <c r="CL63" s="4" t="s">
        <v>132</v>
      </c>
      <c r="CM63" s="5">
        <v>0</v>
      </c>
      <c r="CN63" s="4">
        <v>0</v>
      </c>
      <c r="CO63" s="132">
        <f t="shared" si="15"/>
        <v>0</v>
      </c>
      <c r="CP63" s="4" t="s">
        <v>132</v>
      </c>
      <c r="CQ63" s="5">
        <v>0</v>
      </c>
      <c r="CR63" s="4">
        <v>0</v>
      </c>
      <c r="CS63" s="132">
        <f t="shared" si="16"/>
        <v>0</v>
      </c>
      <c r="CT63" s="159">
        <f t="shared" si="17"/>
        <v>0</v>
      </c>
      <c r="CU63" s="168">
        <f t="shared" si="18"/>
        <v>200</v>
      </c>
      <c r="CV63" s="183">
        <f t="shared" si="32"/>
        <v>0</v>
      </c>
      <c r="CW63" s="82">
        <f t="shared" si="33"/>
        <v>180</v>
      </c>
      <c r="CX63" s="79">
        <f>IF(ISBLANK(E63),"AddQuickPay",IF(E63=2,CU63*0.98,IF(E63=2.4,CU63*0.976,IF(E63=3,CU63*0.97,IF(E63=5,CU63*0.95,IF(E63=1.5,CU63*0.985,IF(E63=2.5,CU63*0.975,IF(E63=1.3,CU63*0.987,IF(E63=1,CU63*0.99,IF(E63=4,CU63*0.96,CU63*1))))))))))-Table1[[#This Row],[ComCheck+QuickPayFee]]</f>
        <v>196</v>
      </c>
      <c r="CY63" s="5">
        <f t="shared" si="19"/>
        <v>20</v>
      </c>
      <c r="CZ63" s="5">
        <f t="shared" si="20"/>
        <v>4</v>
      </c>
      <c r="DA63" s="258">
        <f>Table1[[#This Row],[OriginalDispatch]]-Table1[[#This Row],[QuickPayCharge]]</f>
        <v>16</v>
      </c>
      <c r="DB63" s="5">
        <v>0</v>
      </c>
      <c r="DC63" s="5" t="s">
        <v>133</v>
      </c>
      <c r="DD63" s="104">
        <f t="shared" si="21"/>
        <v>42237</v>
      </c>
      <c r="DE63" s="15">
        <f>MONTH(Table1[[#This Row],[Weekending]])</f>
        <v>8</v>
      </c>
      <c r="DF63" s="15">
        <f>YEAR(Table1[[#This Row],[Weekending]])</f>
        <v>2015</v>
      </c>
      <c r="DG63" s="4"/>
    </row>
    <row r="64" spans="1:111">
      <c r="A64" s="20" t="str">
        <f t="shared" si="0"/>
        <v>15151549</v>
      </c>
      <c r="B64" s="146">
        <v>42235</v>
      </c>
      <c r="C64" s="144">
        <v>35615</v>
      </c>
      <c r="D64" s="298" t="s">
        <v>664</v>
      </c>
      <c r="E64" s="298">
        <v>0</v>
      </c>
      <c r="F64" s="298" t="str">
        <f>INDEX(BrokerTBL!$B:$B,MATCH(D64,BrokerTBL!$A:$A,0))</f>
        <v>29588 Mission Blvd</v>
      </c>
      <c r="G64" s="298" t="str">
        <f>INDEX(BrokerTBL!$C:$C,MATCH(D64,BrokerTBL!$A:$A,0))</f>
        <v>Hayward</v>
      </c>
      <c r="H64" s="298" t="str">
        <f>INDEX(BrokerTBL!$D:$D,MATCH(D64,BrokerTBL!$A:$A,0))</f>
        <v>Ca</v>
      </c>
      <c r="I64" s="298" t="str">
        <f>INDEX(BrokerTBL!$E:$E,MATCH(D64,BrokerTBL!$A:$A,0))</f>
        <v>US</v>
      </c>
      <c r="J64" s="298">
        <f>INDEX(BrokerTBL!$F:$F,MATCH(D64,BrokerTBL!$A:$A,0))</f>
        <v>94544</v>
      </c>
      <c r="K64" s="298" t="s">
        <v>464</v>
      </c>
      <c r="L64" s="145">
        <v>35615</v>
      </c>
      <c r="M64" s="146">
        <v>42235</v>
      </c>
      <c r="N64" s="162" t="s">
        <v>136</v>
      </c>
      <c r="O64" s="298" t="s">
        <v>665</v>
      </c>
      <c r="P64" s="298" t="s">
        <v>467</v>
      </c>
      <c r="Q64" s="298" t="s">
        <v>139</v>
      </c>
      <c r="R64" s="298"/>
      <c r="S64" s="298" t="s">
        <v>118</v>
      </c>
      <c r="T64" s="298" t="s">
        <v>136</v>
      </c>
      <c r="U64" s="298" t="s">
        <v>120</v>
      </c>
      <c r="V64" s="298">
        <v>53</v>
      </c>
      <c r="W64" s="298" t="s">
        <v>666</v>
      </c>
      <c r="X64" s="144" t="s">
        <v>136</v>
      </c>
      <c r="Y64" s="298" t="s">
        <v>123</v>
      </c>
      <c r="Z64" s="298" t="s">
        <v>123</v>
      </c>
      <c r="AA64" s="298" t="s">
        <v>123</v>
      </c>
      <c r="AB64" s="298" t="s">
        <v>123</v>
      </c>
      <c r="AC64" s="298" t="s">
        <v>667</v>
      </c>
      <c r="AD64" s="145" t="s">
        <v>668</v>
      </c>
      <c r="AE64" s="146">
        <v>42236</v>
      </c>
      <c r="AF64" s="416" t="s">
        <v>123</v>
      </c>
      <c r="AG64" s="298" t="s">
        <v>669</v>
      </c>
      <c r="AH64" s="298" t="s">
        <v>470</v>
      </c>
      <c r="AI64" s="298" t="s">
        <v>139</v>
      </c>
      <c r="AJ64" s="298">
        <v>93901</v>
      </c>
      <c r="AK64" s="298" t="s">
        <v>118</v>
      </c>
      <c r="AL64" s="298" t="s">
        <v>123</v>
      </c>
      <c r="AM64" s="142" t="str">
        <f>INDEX(CarrierDriverTBL!$B:$B,MATCH(Table1[[#This Row],[DriverID]],CarrierDriverTBL!$A:$A,0))</f>
        <v>UBTrucking</v>
      </c>
      <c r="AN64" s="10" t="s">
        <v>192</v>
      </c>
      <c r="AO64" s="142" t="str">
        <f>INDEX(CarrierDriverTBL!$C:$C,MATCH(Table1[[#This Row],[DriverID]],CarrierDriverTBL!$A:$A,0))</f>
        <v>Albel</v>
      </c>
      <c r="AP64" s="142" t="str">
        <f>INDEX(CarrierDriverTBL!$D:$D,MATCH(Table1[[#This Row],[DriverID]],CarrierDriverTBL!$A:$A,0))</f>
        <v>Chahil</v>
      </c>
      <c r="AQ64" s="142" t="str">
        <f>INDEX(CarrierDriverTBL!$X:$X,MATCH(Table1[[#This Row],[DriverID]],CarrierDriverTBL!$A:$A,0))</f>
        <v>A8390649</v>
      </c>
      <c r="AR64" s="160">
        <f>INDEX(CarrierDriverTBL!$Y:$Y,MATCH(Table1[[#This Row],[DriverID]],CarrierDriverTBL!$A:$A,0))</f>
        <v>42402</v>
      </c>
      <c r="AS64" s="142" t="str">
        <f t="shared" si="1"/>
        <v>GOOD</v>
      </c>
      <c r="AT64" s="160">
        <f>INDEX(CarrierDriverTBL!$E:$E,MATCH(Table1[[#This Row],[DriverID]],CarrierDriverTBL!$A:$A,0))</f>
        <v>22314</v>
      </c>
      <c r="AU64" s="163">
        <f ca="1">INDEX(CarrierDriverTBL!$F:$F,MATCH(Table1[[#This Row],[DriverID]],CarrierDriverTBL!$A:$A,0))</f>
        <v>55.512328767123286</v>
      </c>
      <c r="AV64" s="142" t="str">
        <f>INDEX(CarrierDriverTBL!$K:$K,MATCH(Table1[[#This Row],[DriverID]],CarrierDriverTBL!$A:$A,0))</f>
        <v>510-773-9450</v>
      </c>
      <c r="AW64" s="142" t="str">
        <f>INDEX(CarrierDriverTBL!$M:$M,MATCH(Table1[[#This Row],[DriverID]],CarrierDriverTBL!$A:$A,0))</f>
        <v>3124 Cynthia CT</v>
      </c>
      <c r="AX64" s="142" t="str">
        <f>INDEX(CarrierDriverTBL!$N:$N,MATCH(Table1[[#This Row],[DriverID]],CarrierDriverTBL!$A:$A,0))</f>
        <v>Tracy</v>
      </c>
      <c r="AY64" s="142" t="str">
        <f>INDEX(CarrierDriverTBL!$O:$O,MATCH(Table1[[#This Row],[DriverID]],CarrierDriverTBL!$A:$A,0))</f>
        <v>CA</v>
      </c>
      <c r="AZ64" s="142">
        <f>INDEX(CarrierDriverTBL!$P:$P,MATCH(Table1[[#This Row],[DriverID]],CarrierDriverTBL!$A:$A,0))</f>
        <v>95377</v>
      </c>
      <c r="BA64" s="142" t="str">
        <f>INDEX(CarrierDriverTBL!$Q:$Q,MATCH(Table1[[#This Row],[DriverID]],CarrierDriverTBL!$A:$A,0))</f>
        <v>US</v>
      </c>
      <c r="BB64" s="176" t="str">
        <f>INDEX(CarrierDriverTBL!$R:$R,MATCH(Table1[[#This Row],[DriverID]],CarrierDriverTBL!$A:$A,0))</f>
        <v>ubgollc@gmail.com</v>
      </c>
      <c r="BC64" s="160">
        <f>INDEX(CarrierDriverTBL!$AB:$AB,MATCH(Table1[[#This Row],[DriverID]],CarrierDriverTBL!$A:$A,0))</f>
        <v>42167</v>
      </c>
      <c r="BD64" s="142" t="str">
        <f ca="1">INDEX(CarrierDriverTBL!$AD:$AD,MATCH(LoadMaster!$AN:$AN,CarrierDriverTBL!$A:$A,0))</f>
        <v>MISSING</v>
      </c>
      <c r="BE64" s="142">
        <f>INDEX(CarrierDriverTBL!$AE:$AE,MATCH(Table1[DriverID],CarrierDriverTBL!$A:$A,0))</f>
        <v>913971</v>
      </c>
      <c r="BF64" s="142">
        <f>INDEX(CarrierDriverTBL!$AF:$AF,MATCH(Table1[DriverID],CarrierDriverTBL!$A:$A,0))</f>
        <v>2627544</v>
      </c>
      <c r="BG64" s="142">
        <f>INDEX(CarrierDriverTBL!$AG:$AG,MATCH(Table1[DriverID],CarrierDriverTBL!$A:$A,0))</f>
        <v>466133</v>
      </c>
      <c r="BH64" s="142" t="str">
        <f>INDEX(CarrierDriverTBL!$AH:$AH,MATCH(Table1[DriverID],CarrierDriverTBL!$A:$A,0))</f>
        <v>GM Lawrence Ins</v>
      </c>
      <c r="BI64" s="142" t="str">
        <f>INDEX(CarrierDriverTBL!$AI:$AI,MATCH(Table1[DriverID],CarrierDriverTBL!$A:$A,0))</f>
        <v>DSK2842P160210</v>
      </c>
      <c r="BJ64" s="160">
        <f>INDEX(CarrierDriverTBL!$AJ:$AJ,MATCH(Table1[[#This Row],[DriverID]],CarrierDriverTBL!$A:$A,0))</f>
        <v>42778</v>
      </c>
      <c r="BK64" s="10">
        <f t="shared" si="2"/>
        <v>543</v>
      </c>
      <c r="BL64" s="174">
        <v>550</v>
      </c>
      <c r="BM64" s="144">
        <v>175</v>
      </c>
      <c r="BN64" s="159">
        <f t="shared" si="29"/>
        <v>3.1428571428571428</v>
      </c>
      <c r="BO64" s="167">
        <v>550</v>
      </c>
      <c r="BP64" s="159">
        <f t="shared" si="30"/>
        <v>3.1428571428571428</v>
      </c>
      <c r="BQ64" s="133">
        <v>2.7989999999999999</v>
      </c>
      <c r="BR64" s="166">
        <f t="shared" si="31"/>
        <v>0.14983333333333335</v>
      </c>
      <c r="BS64" s="167">
        <f t="shared" si="6"/>
        <v>2.9930238095238093</v>
      </c>
      <c r="BT64" s="159">
        <f t="shared" si="7"/>
        <v>26.220833333333335</v>
      </c>
      <c r="BU64" s="10" t="str">
        <f t="shared" si="8"/>
        <v>Biro Transport</v>
      </c>
      <c r="BV64" s="15"/>
      <c r="BW64" s="4" t="str">
        <f>Table1[[#This Row],[BrokerAddress]]</f>
        <v>29588 Mission Blvd</v>
      </c>
      <c r="BX64" s="4" t="str">
        <f t="shared" si="9"/>
        <v>Hayward</v>
      </c>
      <c r="BY64" s="4" t="str">
        <f t="shared" si="10"/>
        <v>Ca</v>
      </c>
      <c r="BZ64" s="4">
        <f t="shared" si="11"/>
        <v>94544</v>
      </c>
      <c r="CA64" s="10" t="str">
        <f t="shared" si="12"/>
        <v>US</v>
      </c>
      <c r="CB64" s="15" t="s">
        <v>638</v>
      </c>
      <c r="CC64" s="62"/>
      <c r="CD64" s="15" t="s">
        <v>132</v>
      </c>
      <c r="CE64" s="64">
        <v>0</v>
      </c>
      <c r="CF64" s="4">
        <v>0</v>
      </c>
      <c r="CG64" s="132">
        <f t="shared" si="13"/>
        <v>0</v>
      </c>
      <c r="CH64" s="4" t="s">
        <v>132</v>
      </c>
      <c r="CI64" s="5">
        <v>0</v>
      </c>
      <c r="CJ64" s="4">
        <v>0</v>
      </c>
      <c r="CK64" s="132">
        <f t="shared" si="14"/>
        <v>0</v>
      </c>
      <c r="CL64" s="4" t="s">
        <v>132</v>
      </c>
      <c r="CM64" s="5">
        <v>0</v>
      </c>
      <c r="CN64" s="4">
        <v>0</v>
      </c>
      <c r="CO64" s="132">
        <f t="shared" si="15"/>
        <v>0</v>
      </c>
      <c r="CP64" s="4" t="s">
        <v>132</v>
      </c>
      <c r="CQ64" s="5">
        <v>0</v>
      </c>
      <c r="CR64" s="4">
        <v>0</v>
      </c>
      <c r="CS64" s="132">
        <f t="shared" si="16"/>
        <v>0</v>
      </c>
      <c r="CT64" s="159">
        <f t="shared" si="17"/>
        <v>0</v>
      </c>
      <c r="CU64" s="168">
        <f t="shared" si="18"/>
        <v>550</v>
      </c>
      <c r="CV64" s="183">
        <f t="shared" si="32"/>
        <v>0</v>
      </c>
      <c r="CW64" s="82">
        <f t="shared" si="33"/>
        <v>550</v>
      </c>
      <c r="CX64" s="79">
        <f>IF(ISBLANK(E64),"AddQuickPay",IF(E64=2,CU64*0.98,IF(E64=2.4,CU64*0.976,IF(E64=3,CU64*0.97,IF(E64=5,CU64*0.95,IF(E64=1.5,CU64*0.985,IF(E64=2.5,CU64*0.975,IF(E64=1.3,CU64*0.987,IF(E64=1,CU64*0.99,IF(E64=4,CU64*0.96,CU64*1))))))))))-Table1[[#This Row],[ComCheck+QuickPayFee]]</f>
        <v>550</v>
      </c>
      <c r="CY64" s="5">
        <f t="shared" si="19"/>
        <v>0</v>
      </c>
      <c r="CZ64" s="5">
        <f t="shared" si="20"/>
        <v>0</v>
      </c>
      <c r="DA64" s="258">
        <f>Table1[[#This Row],[OriginalDispatch]]-Table1[[#This Row],[QuickPayCharge]]</f>
        <v>0</v>
      </c>
      <c r="DB64" s="5">
        <v>0</v>
      </c>
      <c r="DC64" s="5" t="s">
        <v>133</v>
      </c>
      <c r="DD64" s="104">
        <f t="shared" si="21"/>
        <v>42237</v>
      </c>
      <c r="DE64" s="15">
        <f>MONTH(Table1[[#This Row],[Weekending]])</f>
        <v>8</v>
      </c>
      <c r="DF64" s="15">
        <f>YEAR(Table1[[#This Row],[Weekending]])</f>
        <v>2015</v>
      </c>
      <c r="DG64" s="4" t="s">
        <v>670</v>
      </c>
    </row>
    <row r="65" spans="1:111">
      <c r="A65" s="20" t="str">
        <f t="shared" si="0"/>
        <v>21078916</v>
      </c>
      <c r="B65" s="146">
        <v>42235</v>
      </c>
      <c r="C65" s="144">
        <v>179672521</v>
      </c>
      <c r="D65" s="298" t="s">
        <v>111</v>
      </c>
      <c r="E65" s="298">
        <v>2</v>
      </c>
      <c r="F65" s="298" t="str">
        <f>INDEX(BrokerTBL!$B:$B,MATCH(D65,BrokerTBL!$A:$A,0))</f>
        <v>P.O. Box 3474</v>
      </c>
      <c r="G65" s="298" t="str">
        <f>INDEX(BrokerTBL!$C:$C,MATCH(D65,BrokerTBL!$A:$A,0))</f>
        <v>Chicago</v>
      </c>
      <c r="H65" s="298" t="str">
        <f>INDEX(BrokerTBL!$D:$D,MATCH(D65,BrokerTBL!$A:$A,0))</f>
        <v>Il</v>
      </c>
      <c r="I65" s="298" t="str">
        <f>INDEX(BrokerTBL!$E:$E,MATCH(D65,BrokerTBL!$A:$A,0))</f>
        <v>US</v>
      </c>
      <c r="J65" s="298">
        <f>INDEX(BrokerTBL!$F:$F,MATCH(D65,BrokerTBL!$A:$A,0))</f>
        <v>60654</v>
      </c>
      <c r="K65" s="298" t="s">
        <v>579</v>
      </c>
      <c r="L65" s="145">
        <v>5654007</v>
      </c>
      <c r="M65" s="146">
        <v>42235</v>
      </c>
      <c r="N65" s="182" t="s">
        <v>636</v>
      </c>
      <c r="O65" s="298" t="s">
        <v>252</v>
      </c>
      <c r="P65" s="298" t="s">
        <v>253</v>
      </c>
      <c r="Q65" s="298" t="s">
        <v>139</v>
      </c>
      <c r="R65" s="298">
        <v>93637</v>
      </c>
      <c r="S65" s="298" t="s">
        <v>118</v>
      </c>
      <c r="T65" s="298" t="s">
        <v>254</v>
      </c>
      <c r="U65" s="298" t="s">
        <v>120</v>
      </c>
      <c r="V65" s="298">
        <v>53</v>
      </c>
      <c r="W65" s="298" t="s">
        <v>648</v>
      </c>
      <c r="X65" s="144">
        <v>39603</v>
      </c>
      <c r="Y65" s="298" t="s">
        <v>26</v>
      </c>
      <c r="Z65" s="298">
        <v>20</v>
      </c>
      <c r="AA65" s="298">
        <v>20</v>
      </c>
      <c r="AB65" s="298" t="s">
        <v>123</v>
      </c>
      <c r="AC65" s="298" t="s">
        <v>649</v>
      </c>
      <c r="AD65" s="145" t="s">
        <v>671</v>
      </c>
      <c r="AE65" s="146">
        <v>42236</v>
      </c>
      <c r="AF65" s="182">
        <v>0.375</v>
      </c>
      <c r="AG65" s="298" t="s">
        <v>651</v>
      </c>
      <c r="AH65" s="298" t="s">
        <v>293</v>
      </c>
      <c r="AI65" s="298" t="s">
        <v>139</v>
      </c>
      <c r="AJ65" s="298">
        <v>93230</v>
      </c>
      <c r="AK65" s="298" t="s">
        <v>118</v>
      </c>
      <c r="AL65" s="298" t="s">
        <v>662</v>
      </c>
      <c r="AM65" s="142" t="str">
        <f>INDEX(CarrierDriverTBL!$B:$B,MATCH(Table1[[#This Row],[DriverID]],CarrierDriverTBL!$A:$A,0))</f>
        <v>UBTrucking</v>
      </c>
      <c r="AN65" s="10" t="s">
        <v>663</v>
      </c>
      <c r="AO65" s="142" t="str">
        <f>INDEX(CarrierDriverTBL!$C:$C,MATCH(Table1[[#This Row],[DriverID]],CarrierDriverTBL!$A:$A,0))</f>
        <v>Christopher J.</v>
      </c>
      <c r="AP65" s="142" t="str">
        <f>INDEX(CarrierDriverTBL!$D:$D,MATCH(Table1[[#This Row],[DriverID]],CarrierDriverTBL!$A:$A,0))</f>
        <v>Vanoss</v>
      </c>
      <c r="AQ65" s="142" t="str">
        <f>INDEX(CarrierDriverTBL!$X:$X,MATCH(Table1[[#This Row],[DriverID]],CarrierDriverTBL!$A:$A,0))</f>
        <v>C6568516</v>
      </c>
      <c r="AR65" s="160">
        <f>INDEX(CarrierDriverTBL!$Y:$Y,MATCH(Table1[[#This Row],[DriverID]],CarrierDriverTBL!$A:$A,0))</f>
        <v>43568</v>
      </c>
      <c r="AS65" s="142" t="str">
        <f t="shared" si="1"/>
        <v>GOOD</v>
      </c>
      <c r="AT65" s="160">
        <f>INDEX(CarrierDriverTBL!$E:$E,MATCH(Table1[[#This Row],[DriverID]],CarrierDriverTBL!$A:$A,0))</f>
        <v>25306</v>
      </c>
      <c r="AU65" s="163">
        <f ca="1">INDEX(CarrierDriverTBL!$F:$F,MATCH(Table1[[#This Row],[DriverID]],CarrierDriverTBL!$A:$A,0))</f>
        <v>47.315068493150683</v>
      </c>
      <c r="AV65" s="142" t="str">
        <f>INDEX(CarrierDriverTBL!$K:$K,MATCH(Table1[[#This Row],[DriverID]],CarrierDriverTBL!$A:$A,0))</f>
        <v>209-993-1286</v>
      </c>
      <c r="AW65" s="142" t="str">
        <f>INDEX(CarrierDriverTBL!$M:$M,MATCH(Table1[[#This Row],[DriverID]],CarrierDriverTBL!$A:$A,0))</f>
        <v>1044 Rivara RD # 106</v>
      </c>
      <c r="AX65" s="142" t="str">
        <f>INDEX(CarrierDriverTBL!$N:$N,MATCH(Table1[[#This Row],[DriverID]],CarrierDriverTBL!$A:$A,0))</f>
        <v>Stockton</v>
      </c>
      <c r="AY65" s="142" t="str">
        <f>INDEX(CarrierDriverTBL!$O:$O,MATCH(Table1[[#This Row],[DriverID]],CarrierDriverTBL!$A:$A,0))</f>
        <v>CA</v>
      </c>
      <c r="AZ65" s="142">
        <f>INDEX(CarrierDriverTBL!$P:$P,MATCH(Table1[[#This Row],[DriverID]],CarrierDriverTBL!$A:$A,0))</f>
        <v>95219</v>
      </c>
      <c r="BA65" s="142" t="str">
        <f>INDEX(CarrierDriverTBL!$Q:$Q,MATCH(Table1[[#This Row],[DriverID]],CarrierDriverTBL!$A:$A,0))</f>
        <v>US</v>
      </c>
      <c r="BB65" s="176" t="str">
        <f>INDEX(CarrierDriverTBL!$R:$R,MATCH(Table1[[#This Row],[DriverID]],CarrierDriverTBL!$A:$A,0))</f>
        <v xml:space="preserve">cvanoss@live.com </v>
      </c>
      <c r="BC65" s="160">
        <f>INDEX(CarrierDriverTBL!$AB:$AB,MATCH(Table1[[#This Row],[DriverID]],CarrierDriverTBL!$A:$A,0))</f>
        <v>42231</v>
      </c>
      <c r="BD65" s="142" t="str">
        <f ca="1">INDEX(CarrierDriverTBL!$AD:$AD,MATCH(LoadMaster!$AN:$AN,CarrierDriverTBL!$A:$A,0))</f>
        <v>MISSING</v>
      </c>
      <c r="BE65" s="142">
        <f>INDEX(CarrierDriverTBL!$AE:$AE,MATCH(Table1[DriverID],CarrierDriverTBL!$A:$A,0))</f>
        <v>913971</v>
      </c>
      <c r="BF65" s="142">
        <f>INDEX(CarrierDriverTBL!$AF:$AF,MATCH(Table1[DriverID],CarrierDriverTBL!$A:$A,0))</f>
        <v>2627544</v>
      </c>
      <c r="BG65" s="142">
        <f>INDEX(CarrierDriverTBL!$AG:$AG,MATCH(Table1[DriverID],CarrierDriverTBL!$A:$A,0))</f>
        <v>466133</v>
      </c>
      <c r="BH65" s="142" t="str">
        <f>INDEX(CarrierDriverTBL!$AH:$AH,MATCH(Table1[DriverID],CarrierDriverTBL!$A:$A,0))</f>
        <v>GM Lawrence Ins</v>
      </c>
      <c r="BI65" s="142" t="str">
        <f>INDEX(CarrierDriverTBL!$AI:$AI,MATCH(Table1[DriverID],CarrierDriverTBL!$A:$A,0))</f>
        <v>DSK2842P160210</v>
      </c>
      <c r="BJ65" s="160">
        <f>INDEX(CarrierDriverTBL!$AJ:$AJ,MATCH(Table1[[#This Row],[DriverID]],CarrierDriverTBL!$A:$A,0))</f>
        <v>42778</v>
      </c>
      <c r="BK65" s="10">
        <f t="shared" si="2"/>
        <v>543</v>
      </c>
      <c r="BL65" s="174">
        <v>550</v>
      </c>
      <c r="BM65" s="144">
        <v>185</v>
      </c>
      <c r="BN65" s="159">
        <f t="shared" si="29"/>
        <v>2.9729729729729728</v>
      </c>
      <c r="BO65" s="167">
        <v>495</v>
      </c>
      <c r="BP65" s="159">
        <f t="shared" si="30"/>
        <v>2.6756756756756759</v>
      </c>
      <c r="BQ65" s="133">
        <v>2.7989999999999999</v>
      </c>
      <c r="BR65" s="166">
        <f t="shared" si="31"/>
        <v>0.14983333333333335</v>
      </c>
      <c r="BS65" s="167">
        <f t="shared" si="6"/>
        <v>2.5258423423423424</v>
      </c>
      <c r="BT65" s="159">
        <f t="shared" si="7"/>
        <v>27.71916666666667</v>
      </c>
      <c r="BU65" s="10" t="str">
        <f t="shared" si="8"/>
        <v>Ch Robinson</v>
      </c>
      <c r="BV65" s="15"/>
      <c r="BW65" s="4" t="str">
        <f>Table1[[#This Row],[BrokerAddress]]</f>
        <v>P.O. Box 3474</v>
      </c>
      <c r="BX65" s="4" t="str">
        <f t="shared" si="9"/>
        <v>Chicago</v>
      </c>
      <c r="BY65" s="4" t="str">
        <f t="shared" si="10"/>
        <v>Il</v>
      </c>
      <c r="BZ65" s="4">
        <f t="shared" si="11"/>
        <v>60654</v>
      </c>
      <c r="CA65" s="10" t="str">
        <f t="shared" si="12"/>
        <v>US</v>
      </c>
      <c r="CB65" s="15" t="s">
        <v>131</v>
      </c>
      <c r="CC65" s="62"/>
      <c r="CD65" s="15" t="s">
        <v>132</v>
      </c>
      <c r="CE65" s="64">
        <v>0</v>
      </c>
      <c r="CF65" s="4">
        <v>0</v>
      </c>
      <c r="CG65" s="132">
        <f t="shared" si="13"/>
        <v>0</v>
      </c>
      <c r="CH65" s="4" t="s">
        <v>132</v>
      </c>
      <c r="CI65" s="5">
        <v>0</v>
      </c>
      <c r="CJ65" s="4">
        <v>0</v>
      </c>
      <c r="CK65" s="132">
        <f t="shared" si="14"/>
        <v>0</v>
      </c>
      <c r="CL65" s="4" t="s">
        <v>132</v>
      </c>
      <c r="CM65" s="5">
        <v>0</v>
      </c>
      <c r="CN65" s="4">
        <v>0</v>
      </c>
      <c r="CO65" s="132">
        <f t="shared" si="15"/>
        <v>0</v>
      </c>
      <c r="CP65" s="4" t="s">
        <v>132</v>
      </c>
      <c r="CQ65" s="5">
        <v>0</v>
      </c>
      <c r="CR65" s="4">
        <v>0</v>
      </c>
      <c r="CS65" s="132">
        <f t="shared" si="16"/>
        <v>0</v>
      </c>
      <c r="CT65" s="159">
        <f t="shared" si="17"/>
        <v>0</v>
      </c>
      <c r="CU65" s="168">
        <f t="shared" si="18"/>
        <v>550</v>
      </c>
      <c r="CV65" s="183">
        <f t="shared" si="32"/>
        <v>0</v>
      </c>
      <c r="CW65" s="82">
        <f t="shared" si="33"/>
        <v>495</v>
      </c>
      <c r="CX65" s="79">
        <f>IF(ISBLANK(E65),"AddQuickPay",IF(E65=2,CU65*0.98,IF(E65=2.4,CU65*0.976,IF(E65=3,CU65*0.97,IF(E65=5,CU65*0.95,IF(E65=1.5,CU65*0.985,IF(E65=2.5,CU65*0.975,IF(E65=1.3,CU65*0.987,IF(E65=1,CU65*0.99,IF(E65=4,CU65*0.96,CU65*1))))))))))-Table1[[#This Row],[ComCheck+QuickPayFee]]</f>
        <v>539</v>
      </c>
      <c r="CY65" s="5">
        <f t="shared" si="19"/>
        <v>55</v>
      </c>
      <c r="CZ65" s="5">
        <f t="shared" si="20"/>
        <v>11</v>
      </c>
      <c r="DA65" s="258">
        <f>Table1[[#This Row],[OriginalDispatch]]-Table1[[#This Row],[QuickPayCharge]]</f>
        <v>44</v>
      </c>
      <c r="DB65" s="5">
        <v>0</v>
      </c>
      <c r="DC65" s="5" t="s">
        <v>133</v>
      </c>
      <c r="DD65" s="104">
        <f t="shared" si="21"/>
        <v>42237</v>
      </c>
      <c r="DE65" s="15">
        <f>MONTH(Table1[[#This Row],[Weekending]])</f>
        <v>8</v>
      </c>
      <c r="DF65" s="15">
        <f>YEAR(Table1[[#This Row],[Weekending]])</f>
        <v>2015</v>
      </c>
      <c r="DG65" s="4"/>
    </row>
    <row r="66" spans="1:111">
      <c r="A66" s="20" t="str">
        <f t="shared" ref="A66:A129" si="34">RIGHT(C66,2)&amp;RIGHT(L66,2)&amp;RIGHT(AD66,2)&amp;RIGHT(AQ66,2)</f>
        <v>494916</v>
      </c>
      <c r="B66" s="146">
        <v>42236</v>
      </c>
      <c r="C66" s="144">
        <v>6080649</v>
      </c>
      <c r="D66" s="298" t="s">
        <v>445</v>
      </c>
      <c r="E66" s="298">
        <v>3</v>
      </c>
      <c r="F66" s="298" t="str">
        <f>INDEX(BrokerTBL!$B:$B,MATCH(D66,BrokerTBL!$A:$A,0))</f>
        <v>960 Northpoint Parkway Suite 150</v>
      </c>
      <c r="G66" s="298" t="str">
        <f>INDEX(BrokerTBL!$C:$C,MATCH(D66,BrokerTBL!$A:$A,0))</f>
        <v>Alpharetta</v>
      </c>
      <c r="H66" s="298" t="str">
        <f>INDEX(BrokerTBL!$D:$D,MATCH(D66,BrokerTBL!$A:$A,0))</f>
        <v>Ga</v>
      </c>
      <c r="I66" s="298" t="str">
        <f>INDEX(BrokerTBL!$E:$E,MATCH(D66,BrokerTBL!$A:$A,0))</f>
        <v>US</v>
      </c>
      <c r="J66" s="298">
        <f>INDEX(BrokerTBL!$F:$F,MATCH(D66,BrokerTBL!$A:$A,0))</f>
        <v>30005</v>
      </c>
      <c r="K66" s="298" t="s">
        <v>672</v>
      </c>
      <c r="L66" s="145">
        <v>6080649</v>
      </c>
      <c r="M66" s="146">
        <v>42236</v>
      </c>
      <c r="N66" s="162" t="s">
        <v>136</v>
      </c>
      <c r="O66" s="298" t="s">
        <v>673</v>
      </c>
      <c r="P66" s="298" t="s">
        <v>293</v>
      </c>
      <c r="Q66" s="298" t="s">
        <v>139</v>
      </c>
      <c r="R66" s="298">
        <v>95476</v>
      </c>
      <c r="S66" s="298" t="s">
        <v>118</v>
      </c>
      <c r="T66" s="298" t="s">
        <v>136</v>
      </c>
      <c r="U66" s="298" t="s">
        <v>120</v>
      </c>
      <c r="V66" s="298">
        <v>53</v>
      </c>
      <c r="W66" s="298" t="s">
        <v>376</v>
      </c>
      <c r="X66" s="144">
        <v>44000</v>
      </c>
      <c r="Y66" s="298" t="s">
        <v>26</v>
      </c>
      <c r="Z66" s="298" t="s">
        <v>123</v>
      </c>
      <c r="AA66" s="298" t="s">
        <v>123</v>
      </c>
      <c r="AB66" s="298" t="s">
        <v>123</v>
      </c>
      <c r="AC66" s="298" t="s">
        <v>674</v>
      </c>
      <c r="AD66" s="145"/>
      <c r="AE66" s="146">
        <v>42236</v>
      </c>
      <c r="AF66" s="298" t="s">
        <v>675</v>
      </c>
      <c r="AG66" s="298" t="s">
        <v>676</v>
      </c>
      <c r="AH66" s="298" t="s">
        <v>677</v>
      </c>
      <c r="AI66" s="298" t="s">
        <v>139</v>
      </c>
      <c r="AJ66" s="298">
        <v>95685</v>
      </c>
      <c r="AK66" s="298" t="s">
        <v>118</v>
      </c>
      <c r="AL66" s="298" t="s">
        <v>123</v>
      </c>
      <c r="AM66" s="142" t="str">
        <f>INDEX(CarrierDriverTBL!$B:$B,MATCH(Table1[[#This Row],[DriverID]],CarrierDriverTBL!$A:$A,0))</f>
        <v>UBTrucking</v>
      </c>
      <c r="AN66" s="10" t="s">
        <v>663</v>
      </c>
      <c r="AO66" s="142" t="str">
        <f>INDEX(CarrierDriverTBL!$C:$C,MATCH(Table1[[#This Row],[DriverID]],CarrierDriverTBL!$A:$A,0))</f>
        <v>Christopher J.</v>
      </c>
      <c r="AP66" s="142" t="str">
        <f>INDEX(CarrierDriverTBL!$D:$D,MATCH(Table1[[#This Row],[DriverID]],CarrierDriverTBL!$A:$A,0))</f>
        <v>Vanoss</v>
      </c>
      <c r="AQ66" s="142" t="str">
        <f>INDEX(CarrierDriverTBL!$X:$X,MATCH(Table1[[#This Row],[DriverID]],CarrierDriverTBL!$A:$A,0))</f>
        <v>C6568516</v>
      </c>
      <c r="AR66" s="160">
        <f>INDEX(CarrierDriverTBL!$Y:$Y,MATCH(Table1[[#This Row],[DriverID]],CarrierDriverTBL!$A:$A,0))</f>
        <v>43568</v>
      </c>
      <c r="AS66" s="142" t="str">
        <f t="shared" ref="AS66:AS129" si="35">IF(AR66&gt;M66,"GOOD","EXPIRED")</f>
        <v>GOOD</v>
      </c>
      <c r="AT66" s="160">
        <f>INDEX(CarrierDriverTBL!$E:$E,MATCH(Table1[[#This Row],[DriverID]],CarrierDriverTBL!$A:$A,0))</f>
        <v>25306</v>
      </c>
      <c r="AU66" s="163">
        <f ca="1">INDEX(CarrierDriverTBL!$F:$F,MATCH(Table1[[#This Row],[DriverID]],CarrierDriverTBL!$A:$A,0))</f>
        <v>47.315068493150683</v>
      </c>
      <c r="AV66" s="142" t="str">
        <f>INDEX(CarrierDriverTBL!$K:$K,MATCH(Table1[[#This Row],[DriverID]],CarrierDriverTBL!$A:$A,0))</f>
        <v>209-993-1286</v>
      </c>
      <c r="AW66" s="142" t="str">
        <f>INDEX(CarrierDriverTBL!$M:$M,MATCH(Table1[[#This Row],[DriverID]],CarrierDriverTBL!$A:$A,0))</f>
        <v>1044 Rivara RD # 106</v>
      </c>
      <c r="AX66" s="142" t="str">
        <f>INDEX(CarrierDriverTBL!$N:$N,MATCH(Table1[[#This Row],[DriverID]],CarrierDriverTBL!$A:$A,0))</f>
        <v>Stockton</v>
      </c>
      <c r="AY66" s="142" t="str">
        <f>INDEX(CarrierDriverTBL!$O:$O,MATCH(Table1[[#This Row],[DriverID]],CarrierDriverTBL!$A:$A,0))</f>
        <v>CA</v>
      </c>
      <c r="AZ66" s="142">
        <f>INDEX(CarrierDriverTBL!$P:$P,MATCH(Table1[[#This Row],[DriverID]],CarrierDriverTBL!$A:$A,0))</f>
        <v>95219</v>
      </c>
      <c r="BA66" s="142" t="str">
        <f>INDEX(CarrierDriverTBL!$Q:$Q,MATCH(Table1[[#This Row],[DriverID]],CarrierDriverTBL!$A:$A,0))</f>
        <v>US</v>
      </c>
      <c r="BB66" s="176" t="str">
        <f>INDEX(CarrierDriverTBL!$R:$R,MATCH(Table1[[#This Row],[DriverID]],CarrierDriverTBL!$A:$A,0))</f>
        <v xml:space="preserve">cvanoss@live.com </v>
      </c>
      <c r="BC66" s="160">
        <f>INDEX(CarrierDriverTBL!$AB:$AB,MATCH(Table1[[#This Row],[DriverID]],CarrierDriverTBL!$A:$A,0))</f>
        <v>42231</v>
      </c>
      <c r="BD66" s="142" t="str">
        <f ca="1">INDEX(CarrierDriverTBL!$AD:$AD,MATCH(LoadMaster!$AN:$AN,CarrierDriverTBL!$A:$A,0))</f>
        <v>MISSING</v>
      </c>
      <c r="BE66" s="142">
        <f>INDEX(CarrierDriverTBL!$AE:$AE,MATCH(Table1[DriverID],CarrierDriverTBL!$A:$A,0))</f>
        <v>913971</v>
      </c>
      <c r="BF66" s="142">
        <f>INDEX(CarrierDriverTBL!$AF:$AF,MATCH(Table1[DriverID],CarrierDriverTBL!$A:$A,0))</f>
        <v>2627544</v>
      </c>
      <c r="BG66" s="142">
        <f>INDEX(CarrierDriverTBL!$AG:$AG,MATCH(Table1[DriverID],CarrierDriverTBL!$A:$A,0))</f>
        <v>466133</v>
      </c>
      <c r="BH66" s="142" t="str">
        <f>INDEX(CarrierDriverTBL!$AH:$AH,MATCH(Table1[DriverID],CarrierDriverTBL!$A:$A,0))</f>
        <v>GM Lawrence Ins</v>
      </c>
      <c r="BI66" s="142" t="str">
        <f>INDEX(CarrierDriverTBL!$AI:$AI,MATCH(Table1[DriverID],CarrierDriverTBL!$A:$A,0))</f>
        <v>DSK2842P160210</v>
      </c>
      <c r="BJ66" s="160">
        <f>INDEX(CarrierDriverTBL!$AJ:$AJ,MATCH(Table1[[#This Row],[DriverID]],CarrierDriverTBL!$A:$A,0))</f>
        <v>42778</v>
      </c>
      <c r="BK66" s="10">
        <f t="shared" ref="BK66:BK129" si="36">IFERROR(BJ66-M66,"MISSING")</f>
        <v>542</v>
      </c>
      <c r="BL66" s="174">
        <v>425</v>
      </c>
      <c r="BM66" s="144">
        <v>110</v>
      </c>
      <c r="BN66" s="159">
        <f t="shared" si="29"/>
        <v>3.8636363636363638</v>
      </c>
      <c r="BO66" s="167">
        <v>382.5</v>
      </c>
      <c r="BP66" s="159">
        <f t="shared" si="30"/>
        <v>3.4772727272727271</v>
      </c>
      <c r="BQ66" s="133">
        <v>2.7989999999999999</v>
      </c>
      <c r="BR66" s="166">
        <f t="shared" si="31"/>
        <v>0.14983333333333335</v>
      </c>
      <c r="BS66" s="167">
        <f t="shared" ref="BS66:BS129" si="37">BP66-BR66</f>
        <v>3.3274393939393936</v>
      </c>
      <c r="BT66" s="159">
        <f t="shared" ref="BT66:BT129" si="38">BM66*BR66</f>
        <v>16.481666666666669</v>
      </c>
      <c r="BU66" s="10" t="str">
        <f t="shared" ref="BU66:BU129" si="39">D66</f>
        <v>Coyote</v>
      </c>
      <c r="BV66" s="15"/>
      <c r="BW66" s="4" t="str">
        <f>Table1[[#This Row],[BrokerAddress]]</f>
        <v>960 Northpoint Parkway Suite 150</v>
      </c>
      <c r="BX66" s="4" t="str">
        <f t="shared" ref="BX66:BX129" si="40">G66</f>
        <v>Alpharetta</v>
      </c>
      <c r="BY66" s="4" t="str">
        <f t="shared" ref="BY66:BY129" si="41">H66</f>
        <v>Ga</v>
      </c>
      <c r="BZ66" s="4">
        <f t="shared" ref="BZ66:BZ129" si="42">J66</f>
        <v>30005</v>
      </c>
      <c r="CA66" s="10" t="str">
        <f t="shared" ref="CA66:CA129" si="43">I66</f>
        <v>US</v>
      </c>
      <c r="CB66" s="15" t="s">
        <v>131</v>
      </c>
      <c r="CC66" s="62"/>
      <c r="CD66" s="15" t="s">
        <v>132</v>
      </c>
      <c r="CE66" s="64">
        <v>0</v>
      </c>
      <c r="CF66" s="4">
        <v>0</v>
      </c>
      <c r="CG66" s="132">
        <f t="shared" ref="CG66:CG129" si="44">CE66*CF66</f>
        <v>0</v>
      </c>
      <c r="CH66" s="4" t="s">
        <v>132</v>
      </c>
      <c r="CI66" s="5">
        <v>0</v>
      </c>
      <c r="CJ66" s="4">
        <v>0</v>
      </c>
      <c r="CK66" s="132">
        <f t="shared" ref="CK66:CK129" si="45">CI66*CJ66</f>
        <v>0</v>
      </c>
      <c r="CL66" s="4" t="s">
        <v>132</v>
      </c>
      <c r="CM66" s="5">
        <v>0</v>
      </c>
      <c r="CN66" s="4">
        <v>0</v>
      </c>
      <c r="CO66" s="132">
        <f t="shared" ref="CO66:CO129" si="46">CM66*CN66</f>
        <v>0</v>
      </c>
      <c r="CP66" s="4" t="s">
        <v>132</v>
      </c>
      <c r="CQ66" s="5">
        <v>0</v>
      </c>
      <c r="CR66" s="4">
        <v>0</v>
      </c>
      <c r="CS66" s="132">
        <f t="shared" ref="CS66:CS129" si="47">CQ66*CR66</f>
        <v>0</v>
      </c>
      <c r="CT66" s="159">
        <f t="shared" ref="CT66:CT129" si="48">CG66+CK66+CO66+CS66</f>
        <v>0</v>
      </c>
      <c r="CU66" s="168">
        <f t="shared" ref="CU66:CU129" si="49">(CT66+BL66)-CC66</f>
        <v>425</v>
      </c>
      <c r="CV66" s="183">
        <f t="shared" si="32"/>
        <v>0</v>
      </c>
      <c r="CW66" s="82">
        <f t="shared" si="33"/>
        <v>382.5</v>
      </c>
      <c r="CX66" s="79">
        <f>IF(ISBLANK(E66),"AddQuickPay",IF(E66=2,CU66*0.98,IF(E66=2.4,CU66*0.976,IF(E66=3,CU66*0.97,IF(E66=5,CU66*0.95,IF(E66=1.5,CU66*0.985,IF(E66=2.5,CU66*0.975,IF(E66=1.3,CU66*0.987,IF(E66=1,CU66*0.99,IF(E66=4,CU66*0.96,CU66*1))))))))))-Table1[[#This Row],[ComCheck+QuickPayFee]]</f>
        <v>412.25</v>
      </c>
      <c r="CY66" s="5">
        <f t="shared" ref="CY66:CY129" si="50">CU66-CW66</f>
        <v>42.5</v>
      </c>
      <c r="CZ66" s="5">
        <f t="shared" ref="CZ66:CZ129" si="51">IF(ISBLANK(E66),"AddQuickPay",IF(E66=2,CU66*0.02,IF(E66=2.4,CU66*0.024,IF(E66=3,CU66*0.03,IF(E66=5,CU66*0.05,IF(E66=1.5,CU66*0.015,IF(E66=2.5,CU66*0.025,IF(E66=4,CU66*0.04,IF(E66=1.3,CU66*0.013,IF(E66=1,CU66*0.01,CU66*0))))))))))</f>
        <v>12.75</v>
      </c>
      <c r="DA66" s="258">
        <f>Table1[[#This Row],[OriginalDispatch]]-Table1[[#This Row],[QuickPayCharge]]</f>
        <v>29.75</v>
      </c>
      <c r="DB66" s="5">
        <v>0</v>
      </c>
      <c r="DC66" s="5" t="s">
        <v>133</v>
      </c>
      <c r="DD66" s="104">
        <f t="shared" ref="DD66:DD129" si="52">(5-WEEKDAY(M66,2))+M66</f>
        <v>42237</v>
      </c>
      <c r="DE66" s="15">
        <f>MONTH(Table1[[#This Row],[Weekending]])</f>
        <v>8</v>
      </c>
      <c r="DF66" s="15">
        <f>YEAR(Table1[[#This Row],[Weekending]])</f>
        <v>2015</v>
      </c>
      <c r="DG66" s="4"/>
    </row>
    <row r="67" spans="1:111">
      <c r="A67" s="20" t="str">
        <f t="shared" si="34"/>
        <v>33289549</v>
      </c>
      <c r="B67" s="146">
        <v>42236</v>
      </c>
      <c r="C67" s="144">
        <v>179663833</v>
      </c>
      <c r="D67" s="298" t="s">
        <v>111</v>
      </c>
      <c r="E67" s="298">
        <v>2</v>
      </c>
      <c r="F67" s="298" t="str">
        <f>INDEX(BrokerTBL!$B:$B,MATCH(D67,BrokerTBL!$A:$A,0))</f>
        <v>P.O. Box 3474</v>
      </c>
      <c r="G67" s="298" t="str">
        <f>INDEX(BrokerTBL!$C:$C,MATCH(D67,BrokerTBL!$A:$A,0))</f>
        <v>Chicago</v>
      </c>
      <c r="H67" s="298" t="str">
        <f>INDEX(BrokerTBL!$D:$D,MATCH(D67,BrokerTBL!$A:$A,0))</f>
        <v>Il</v>
      </c>
      <c r="I67" s="298" t="str">
        <f>INDEX(BrokerTBL!$E:$E,MATCH(D67,BrokerTBL!$A:$A,0))</f>
        <v>US</v>
      </c>
      <c r="J67" s="298">
        <f>INDEX(BrokerTBL!$F:$F,MATCH(D67,BrokerTBL!$A:$A,0))</f>
        <v>60654</v>
      </c>
      <c r="K67" s="298" t="s">
        <v>678</v>
      </c>
      <c r="L67" s="145">
        <v>745928</v>
      </c>
      <c r="M67" s="146">
        <v>42236</v>
      </c>
      <c r="N67" s="162" t="s">
        <v>136</v>
      </c>
      <c r="O67" s="298" t="s">
        <v>679</v>
      </c>
      <c r="P67" s="298" t="s">
        <v>470</v>
      </c>
      <c r="Q67" s="298" t="s">
        <v>139</v>
      </c>
      <c r="R67" s="298">
        <v>93901</v>
      </c>
      <c r="S67" s="298" t="s">
        <v>118</v>
      </c>
      <c r="T67" s="298" t="s">
        <v>680</v>
      </c>
      <c r="U67" s="298" t="s">
        <v>120</v>
      </c>
      <c r="V67" s="298">
        <v>53</v>
      </c>
      <c r="W67" s="298" t="s">
        <v>681</v>
      </c>
      <c r="X67" s="144">
        <v>39880</v>
      </c>
      <c r="Y67" s="298" t="s">
        <v>26</v>
      </c>
      <c r="Z67" s="298">
        <v>4726</v>
      </c>
      <c r="AA67" s="298" t="s">
        <v>123</v>
      </c>
      <c r="AB67" s="298" t="s">
        <v>123</v>
      </c>
      <c r="AC67" s="298" t="s">
        <v>682</v>
      </c>
      <c r="AD67" s="145">
        <v>13122395</v>
      </c>
      <c r="AE67" s="146">
        <v>42236</v>
      </c>
      <c r="AF67" s="298" t="s">
        <v>683</v>
      </c>
      <c r="AG67" s="298" t="s">
        <v>684</v>
      </c>
      <c r="AH67" s="298" t="s">
        <v>184</v>
      </c>
      <c r="AI67" s="298" t="s">
        <v>139</v>
      </c>
      <c r="AJ67" s="298">
        <v>95215</v>
      </c>
      <c r="AK67" s="298" t="s">
        <v>118</v>
      </c>
      <c r="AL67" s="298" t="s">
        <v>685</v>
      </c>
      <c r="AM67" s="142" t="str">
        <f>INDEX(CarrierDriverTBL!$B:$B,MATCH(Table1[[#This Row],[DriverID]],CarrierDriverTBL!$A:$A,0))</f>
        <v>UBTrucking</v>
      </c>
      <c r="AN67" s="10" t="s">
        <v>192</v>
      </c>
      <c r="AO67" s="142" t="str">
        <f>INDEX(CarrierDriverTBL!$C:$C,MATCH(Table1[[#This Row],[DriverID]],CarrierDriverTBL!$A:$A,0))</f>
        <v>Albel</v>
      </c>
      <c r="AP67" s="142" t="str">
        <f>INDEX(CarrierDriverTBL!$D:$D,MATCH(Table1[[#This Row],[DriverID]],CarrierDriverTBL!$A:$A,0))</f>
        <v>Chahil</v>
      </c>
      <c r="AQ67" s="142" t="str">
        <f>INDEX(CarrierDriverTBL!$X:$X,MATCH(Table1[[#This Row],[DriverID]],CarrierDriverTBL!$A:$A,0))</f>
        <v>A8390649</v>
      </c>
      <c r="AR67" s="160">
        <f>INDEX(CarrierDriverTBL!$Y:$Y,MATCH(Table1[[#This Row],[DriverID]],CarrierDriverTBL!$A:$A,0))</f>
        <v>42402</v>
      </c>
      <c r="AS67" s="142" t="str">
        <f t="shared" si="35"/>
        <v>GOOD</v>
      </c>
      <c r="AT67" s="160">
        <f>INDEX(CarrierDriverTBL!$E:$E,MATCH(Table1[[#This Row],[DriverID]],CarrierDriverTBL!$A:$A,0))</f>
        <v>22314</v>
      </c>
      <c r="AU67" s="163">
        <f ca="1">INDEX(CarrierDriverTBL!$F:$F,MATCH(Table1[[#This Row],[DriverID]],CarrierDriverTBL!$A:$A,0))</f>
        <v>55.512328767123286</v>
      </c>
      <c r="AV67" s="142" t="str">
        <f>INDEX(CarrierDriverTBL!$K:$K,MATCH(Table1[[#This Row],[DriverID]],CarrierDriverTBL!$A:$A,0))</f>
        <v>510-773-9450</v>
      </c>
      <c r="AW67" s="142" t="str">
        <f>INDEX(CarrierDriverTBL!$M:$M,MATCH(Table1[[#This Row],[DriverID]],CarrierDriverTBL!$A:$A,0))</f>
        <v>3124 Cynthia CT</v>
      </c>
      <c r="AX67" s="142" t="str">
        <f>INDEX(CarrierDriverTBL!$N:$N,MATCH(Table1[[#This Row],[DriverID]],CarrierDriverTBL!$A:$A,0))</f>
        <v>Tracy</v>
      </c>
      <c r="AY67" s="142" t="str">
        <f>INDEX(CarrierDriverTBL!$O:$O,MATCH(Table1[[#This Row],[DriverID]],CarrierDriverTBL!$A:$A,0))</f>
        <v>CA</v>
      </c>
      <c r="AZ67" s="142">
        <f>INDEX(CarrierDriverTBL!$P:$P,MATCH(Table1[[#This Row],[DriverID]],CarrierDriverTBL!$A:$A,0))</f>
        <v>95377</v>
      </c>
      <c r="BA67" s="142" t="str">
        <f>INDEX(CarrierDriverTBL!$Q:$Q,MATCH(Table1[[#This Row],[DriverID]],CarrierDriverTBL!$A:$A,0))</f>
        <v>US</v>
      </c>
      <c r="BB67" s="176" t="str">
        <f>INDEX(CarrierDriverTBL!$R:$R,MATCH(Table1[[#This Row],[DriverID]],CarrierDriverTBL!$A:$A,0))</f>
        <v>ubgollc@gmail.com</v>
      </c>
      <c r="BC67" s="160">
        <f>INDEX(CarrierDriverTBL!$AB:$AB,MATCH(Table1[[#This Row],[DriverID]],CarrierDriverTBL!$A:$A,0))</f>
        <v>42167</v>
      </c>
      <c r="BD67" s="142" t="str">
        <f ca="1">INDEX(CarrierDriverTBL!$AD:$AD,MATCH(LoadMaster!$AN:$AN,CarrierDriverTBL!$A:$A,0))</f>
        <v>MISSING</v>
      </c>
      <c r="BE67" s="142">
        <f>INDEX(CarrierDriverTBL!$AE:$AE,MATCH(Table1[DriverID],CarrierDriverTBL!$A:$A,0))</f>
        <v>913971</v>
      </c>
      <c r="BF67" s="142">
        <f>INDEX(CarrierDriverTBL!$AF:$AF,MATCH(Table1[DriverID],CarrierDriverTBL!$A:$A,0))</f>
        <v>2627544</v>
      </c>
      <c r="BG67" s="142">
        <f>INDEX(CarrierDriverTBL!$AG:$AG,MATCH(Table1[DriverID],CarrierDriverTBL!$A:$A,0))</f>
        <v>466133</v>
      </c>
      <c r="BH67" s="142" t="str">
        <f>INDEX(CarrierDriverTBL!$AH:$AH,MATCH(Table1[DriverID],CarrierDriverTBL!$A:$A,0))</f>
        <v>GM Lawrence Ins</v>
      </c>
      <c r="BI67" s="142" t="str">
        <f>INDEX(CarrierDriverTBL!$AI:$AI,MATCH(Table1[DriverID],CarrierDriverTBL!$A:$A,0))</f>
        <v>DSK2842P160210</v>
      </c>
      <c r="BJ67" s="160">
        <f>INDEX(CarrierDriverTBL!$AJ:$AJ,MATCH(Table1[[#This Row],[DriverID]],CarrierDriverTBL!$A:$A,0))</f>
        <v>42778</v>
      </c>
      <c r="BK67" s="10">
        <f t="shared" si="36"/>
        <v>542</v>
      </c>
      <c r="BL67" s="174">
        <v>475</v>
      </c>
      <c r="BM67" s="144">
        <v>155</v>
      </c>
      <c r="BN67" s="159">
        <f t="shared" si="29"/>
        <v>3.064516129032258</v>
      </c>
      <c r="BO67" s="167">
        <v>425</v>
      </c>
      <c r="BP67" s="159">
        <f t="shared" si="30"/>
        <v>2.7419354838709675</v>
      </c>
      <c r="BQ67" s="133">
        <v>2.7989999999999999</v>
      </c>
      <c r="BR67" s="166">
        <f t="shared" si="31"/>
        <v>0.14983333333333335</v>
      </c>
      <c r="BS67" s="167">
        <f t="shared" si="37"/>
        <v>2.592102150537634</v>
      </c>
      <c r="BT67" s="159">
        <f t="shared" si="38"/>
        <v>23.224166666666669</v>
      </c>
      <c r="BU67" s="10" t="str">
        <f t="shared" si="39"/>
        <v>Ch Robinson</v>
      </c>
      <c r="BV67" s="15"/>
      <c r="BW67" s="4" t="str">
        <f>Table1[[#This Row],[BrokerAddress]]</f>
        <v>P.O. Box 3474</v>
      </c>
      <c r="BX67" s="4" t="str">
        <f t="shared" si="40"/>
        <v>Chicago</v>
      </c>
      <c r="BY67" s="4" t="str">
        <f t="shared" si="41"/>
        <v>Il</v>
      </c>
      <c r="BZ67" s="4">
        <f t="shared" si="42"/>
        <v>60654</v>
      </c>
      <c r="CA67" s="10" t="str">
        <f t="shared" si="43"/>
        <v>US</v>
      </c>
      <c r="CB67" s="15" t="s">
        <v>131</v>
      </c>
      <c r="CC67" s="62"/>
      <c r="CD67" s="15" t="s">
        <v>132</v>
      </c>
      <c r="CE67" s="64">
        <v>0</v>
      </c>
      <c r="CF67" s="4">
        <v>0</v>
      </c>
      <c r="CG67" s="132">
        <f t="shared" si="44"/>
        <v>0</v>
      </c>
      <c r="CH67" s="4" t="s">
        <v>132</v>
      </c>
      <c r="CI67" s="5">
        <v>0</v>
      </c>
      <c r="CJ67" s="4">
        <v>0</v>
      </c>
      <c r="CK67" s="132">
        <f t="shared" si="45"/>
        <v>0</v>
      </c>
      <c r="CL67" s="4" t="s">
        <v>132</v>
      </c>
      <c r="CM67" s="5">
        <v>0</v>
      </c>
      <c r="CN67" s="4">
        <v>0</v>
      </c>
      <c r="CO67" s="132">
        <f t="shared" si="46"/>
        <v>0</v>
      </c>
      <c r="CP67" s="4" t="s">
        <v>132</v>
      </c>
      <c r="CQ67" s="5">
        <v>0</v>
      </c>
      <c r="CR67" s="4">
        <v>0</v>
      </c>
      <c r="CS67" s="132">
        <f t="shared" si="47"/>
        <v>0</v>
      </c>
      <c r="CT67" s="159">
        <f t="shared" si="48"/>
        <v>0</v>
      </c>
      <c r="CU67" s="168">
        <f t="shared" si="49"/>
        <v>475</v>
      </c>
      <c r="CV67" s="183">
        <f t="shared" si="32"/>
        <v>0</v>
      </c>
      <c r="CW67" s="82">
        <f t="shared" si="33"/>
        <v>425</v>
      </c>
      <c r="CX67" s="79">
        <f>IF(ISBLANK(E67),"AddQuickPay",IF(E67=2,CU67*0.98,IF(E67=2.4,CU67*0.976,IF(E67=3,CU67*0.97,IF(E67=5,CU67*0.95,IF(E67=1.5,CU67*0.985,IF(E67=2.5,CU67*0.975,IF(E67=1.3,CU67*0.987,IF(E67=1,CU67*0.99,IF(E67=4,CU67*0.96,CU67*1))))))))))-Table1[[#This Row],[ComCheck+QuickPayFee]]</f>
        <v>465.5</v>
      </c>
      <c r="CY67" s="5">
        <f t="shared" si="50"/>
        <v>50</v>
      </c>
      <c r="CZ67" s="5">
        <f t="shared" si="51"/>
        <v>9.5</v>
      </c>
      <c r="DA67" s="258">
        <f>Table1[[#This Row],[OriginalDispatch]]-Table1[[#This Row],[QuickPayCharge]]</f>
        <v>40.5</v>
      </c>
      <c r="DB67" s="5">
        <v>0</v>
      </c>
      <c r="DC67" s="5" t="s">
        <v>133</v>
      </c>
      <c r="DD67" s="104">
        <f t="shared" si="52"/>
        <v>42237</v>
      </c>
      <c r="DE67" s="15">
        <f>MONTH(Table1[[#This Row],[Weekending]])</f>
        <v>8</v>
      </c>
      <c r="DF67" s="15">
        <f>YEAR(Table1[[#This Row],[Weekending]])</f>
        <v>2015</v>
      </c>
      <c r="DG67" s="4"/>
    </row>
    <row r="68" spans="1:111">
      <c r="A68" s="20" t="str">
        <f t="shared" si="34"/>
        <v>14548949</v>
      </c>
      <c r="B68" s="146">
        <v>42237</v>
      </c>
      <c r="C68" s="144">
        <v>179995214</v>
      </c>
      <c r="D68" s="298" t="s">
        <v>111</v>
      </c>
      <c r="E68" s="298">
        <v>2</v>
      </c>
      <c r="F68" s="298" t="str">
        <f>INDEX(BrokerTBL!$B:$B,MATCH(D68,BrokerTBL!$A:$A,0))</f>
        <v>P.O. Box 3474</v>
      </c>
      <c r="G68" s="298" t="str">
        <f>INDEX(BrokerTBL!$C:$C,MATCH(D68,BrokerTBL!$A:$A,0))</f>
        <v>Chicago</v>
      </c>
      <c r="H68" s="298" t="str">
        <f>INDEX(BrokerTBL!$D:$D,MATCH(D68,BrokerTBL!$A:$A,0))</f>
        <v>Il</v>
      </c>
      <c r="I68" s="298" t="str">
        <f>INDEX(BrokerTBL!$E:$E,MATCH(D68,BrokerTBL!$A:$A,0))</f>
        <v>US</v>
      </c>
      <c r="J68" s="298">
        <f>INDEX(BrokerTBL!$F:$F,MATCH(D68,BrokerTBL!$A:$A,0))</f>
        <v>60654</v>
      </c>
      <c r="K68" s="298" t="s">
        <v>579</v>
      </c>
      <c r="L68" s="145">
        <v>5658854</v>
      </c>
      <c r="M68" s="146">
        <v>42237</v>
      </c>
      <c r="N68" s="182" t="s">
        <v>251</v>
      </c>
      <c r="O68" s="298" t="s">
        <v>252</v>
      </c>
      <c r="P68" s="298" t="s">
        <v>253</v>
      </c>
      <c r="Q68" s="298" t="s">
        <v>139</v>
      </c>
      <c r="R68" s="298">
        <v>93637</v>
      </c>
      <c r="S68" s="298" t="s">
        <v>118</v>
      </c>
      <c r="T68" s="298" t="s">
        <v>254</v>
      </c>
      <c r="U68" s="298" t="s">
        <v>120</v>
      </c>
      <c r="V68" s="298">
        <v>53</v>
      </c>
      <c r="W68" s="298" t="s">
        <v>648</v>
      </c>
      <c r="X68" s="144">
        <v>39603</v>
      </c>
      <c r="Y68" s="298" t="s">
        <v>26</v>
      </c>
      <c r="Z68" s="298">
        <v>20</v>
      </c>
      <c r="AA68" s="298">
        <v>20</v>
      </c>
      <c r="AB68" s="298" t="s">
        <v>123</v>
      </c>
      <c r="AC68" s="298" t="s">
        <v>649</v>
      </c>
      <c r="AD68" s="145">
        <v>5300012789</v>
      </c>
      <c r="AE68" s="146">
        <v>42240</v>
      </c>
      <c r="AF68" s="182">
        <v>0.41666666666666702</v>
      </c>
      <c r="AG68" s="298" t="s">
        <v>651</v>
      </c>
      <c r="AH68" s="298" t="s">
        <v>293</v>
      </c>
      <c r="AI68" s="298" t="s">
        <v>139</v>
      </c>
      <c r="AJ68" s="298">
        <v>93230</v>
      </c>
      <c r="AK68" s="298" t="s">
        <v>118</v>
      </c>
      <c r="AL68" s="298" t="s">
        <v>662</v>
      </c>
      <c r="AM68" s="142" t="str">
        <f>INDEX(CarrierDriverTBL!$B:$B,MATCH(Table1[[#This Row],[DriverID]],CarrierDriverTBL!$A:$A,0))</f>
        <v>UBTrucking</v>
      </c>
      <c r="AN68" s="10" t="s">
        <v>192</v>
      </c>
      <c r="AO68" s="142" t="str">
        <f>INDEX(CarrierDriverTBL!$C:$C,MATCH(Table1[[#This Row],[DriverID]],CarrierDriverTBL!$A:$A,0))</f>
        <v>Albel</v>
      </c>
      <c r="AP68" s="142" t="str">
        <f>INDEX(CarrierDriverTBL!$D:$D,MATCH(Table1[[#This Row],[DriverID]],CarrierDriverTBL!$A:$A,0))</f>
        <v>Chahil</v>
      </c>
      <c r="AQ68" s="142" t="str">
        <f>INDEX(CarrierDriverTBL!$X:$X,MATCH(Table1[[#This Row],[DriverID]],CarrierDriverTBL!$A:$A,0))</f>
        <v>A8390649</v>
      </c>
      <c r="AR68" s="160">
        <f>INDEX(CarrierDriverTBL!$Y:$Y,MATCH(Table1[[#This Row],[DriverID]],CarrierDriverTBL!$A:$A,0))</f>
        <v>42402</v>
      </c>
      <c r="AS68" s="142" t="str">
        <f t="shared" si="35"/>
        <v>GOOD</v>
      </c>
      <c r="AT68" s="160">
        <f>INDEX(CarrierDriverTBL!$E:$E,MATCH(Table1[[#This Row],[DriverID]],CarrierDriverTBL!$A:$A,0))</f>
        <v>22314</v>
      </c>
      <c r="AU68" s="163">
        <f ca="1">INDEX(CarrierDriverTBL!$F:$F,MATCH(Table1[[#This Row],[DriverID]],CarrierDriverTBL!$A:$A,0))</f>
        <v>55.512328767123286</v>
      </c>
      <c r="AV68" s="142" t="str">
        <f>INDEX(CarrierDriverTBL!$K:$K,MATCH(Table1[[#This Row],[DriverID]],CarrierDriverTBL!$A:$A,0))</f>
        <v>510-773-9450</v>
      </c>
      <c r="AW68" s="142" t="str">
        <f>INDEX(CarrierDriverTBL!$M:$M,MATCH(Table1[[#This Row],[DriverID]],CarrierDriverTBL!$A:$A,0))</f>
        <v>3124 Cynthia CT</v>
      </c>
      <c r="AX68" s="142" t="str">
        <f>INDEX(CarrierDriverTBL!$N:$N,MATCH(Table1[[#This Row],[DriverID]],CarrierDriverTBL!$A:$A,0))</f>
        <v>Tracy</v>
      </c>
      <c r="AY68" s="142" t="str">
        <f>INDEX(CarrierDriverTBL!$O:$O,MATCH(Table1[[#This Row],[DriverID]],CarrierDriverTBL!$A:$A,0))</f>
        <v>CA</v>
      </c>
      <c r="AZ68" s="142">
        <f>INDEX(CarrierDriverTBL!$P:$P,MATCH(Table1[[#This Row],[DriverID]],CarrierDriverTBL!$A:$A,0))</f>
        <v>95377</v>
      </c>
      <c r="BA68" s="142" t="str">
        <f>INDEX(CarrierDriverTBL!$Q:$Q,MATCH(Table1[[#This Row],[DriverID]],CarrierDriverTBL!$A:$A,0))</f>
        <v>US</v>
      </c>
      <c r="BB68" s="176" t="str">
        <f>INDEX(CarrierDriverTBL!$R:$R,MATCH(Table1[[#This Row],[DriverID]],CarrierDriverTBL!$A:$A,0))</f>
        <v>ubgollc@gmail.com</v>
      </c>
      <c r="BC68" s="160">
        <f>INDEX(CarrierDriverTBL!$AB:$AB,MATCH(Table1[[#This Row],[DriverID]],CarrierDriverTBL!$A:$A,0))</f>
        <v>42167</v>
      </c>
      <c r="BD68" s="142" t="str">
        <f ca="1">INDEX(CarrierDriverTBL!$AD:$AD,MATCH(LoadMaster!$AN:$AN,CarrierDriverTBL!$A:$A,0))</f>
        <v>MISSING</v>
      </c>
      <c r="BE68" s="142">
        <f>INDEX(CarrierDriverTBL!$AE:$AE,MATCH(Table1[DriverID],CarrierDriverTBL!$A:$A,0))</f>
        <v>913971</v>
      </c>
      <c r="BF68" s="142">
        <f>INDEX(CarrierDriverTBL!$AF:$AF,MATCH(Table1[DriverID],CarrierDriverTBL!$A:$A,0))</f>
        <v>2627544</v>
      </c>
      <c r="BG68" s="142">
        <f>INDEX(CarrierDriverTBL!$AG:$AG,MATCH(Table1[DriverID],CarrierDriverTBL!$A:$A,0))</f>
        <v>466133</v>
      </c>
      <c r="BH68" s="142" t="str">
        <f>INDEX(CarrierDriverTBL!$AH:$AH,MATCH(Table1[DriverID],CarrierDriverTBL!$A:$A,0))</f>
        <v>GM Lawrence Ins</v>
      </c>
      <c r="BI68" s="142" t="str">
        <f>INDEX(CarrierDriverTBL!$AI:$AI,MATCH(Table1[DriverID],CarrierDriverTBL!$A:$A,0))</f>
        <v>DSK2842P160210</v>
      </c>
      <c r="BJ68" s="160">
        <f>INDEX(CarrierDriverTBL!$AJ:$AJ,MATCH(Table1[[#This Row],[DriverID]],CarrierDriverTBL!$A:$A,0))</f>
        <v>42778</v>
      </c>
      <c r="BK68" s="10">
        <f t="shared" si="36"/>
        <v>541</v>
      </c>
      <c r="BL68" s="174">
        <v>550</v>
      </c>
      <c r="BM68" s="144">
        <v>185</v>
      </c>
      <c r="BN68" s="159">
        <f t="shared" si="29"/>
        <v>2.9729729729729728</v>
      </c>
      <c r="BO68" s="167">
        <v>500</v>
      </c>
      <c r="BP68" s="159">
        <f t="shared" si="30"/>
        <v>2.7027027027027026</v>
      </c>
      <c r="BQ68" s="133">
        <v>2.7989999999999999</v>
      </c>
      <c r="BR68" s="166">
        <f t="shared" si="31"/>
        <v>0.14983333333333335</v>
      </c>
      <c r="BS68" s="167">
        <f t="shared" si="37"/>
        <v>2.5528693693693691</v>
      </c>
      <c r="BT68" s="159">
        <f t="shared" si="38"/>
        <v>27.71916666666667</v>
      </c>
      <c r="BU68" s="10" t="str">
        <f t="shared" si="39"/>
        <v>Ch Robinson</v>
      </c>
      <c r="BV68" s="15"/>
      <c r="BW68" s="4" t="str">
        <f>Table1[[#This Row],[BrokerAddress]]</f>
        <v>P.O. Box 3474</v>
      </c>
      <c r="BX68" s="4" t="str">
        <f t="shared" si="40"/>
        <v>Chicago</v>
      </c>
      <c r="BY68" s="4" t="str">
        <f t="shared" si="41"/>
        <v>Il</v>
      </c>
      <c r="BZ68" s="4">
        <f t="shared" si="42"/>
        <v>60654</v>
      </c>
      <c r="CA68" s="10" t="str">
        <f t="shared" si="43"/>
        <v>US</v>
      </c>
      <c r="CB68" s="15" t="s">
        <v>131</v>
      </c>
      <c r="CC68" s="62"/>
      <c r="CD68" s="15" t="s">
        <v>132</v>
      </c>
      <c r="CE68" s="64">
        <v>0</v>
      </c>
      <c r="CF68" s="4">
        <v>0</v>
      </c>
      <c r="CG68" s="132">
        <f t="shared" si="44"/>
        <v>0</v>
      </c>
      <c r="CH68" s="4" t="s">
        <v>132</v>
      </c>
      <c r="CI68" s="5">
        <v>0</v>
      </c>
      <c r="CJ68" s="4">
        <v>0</v>
      </c>
      <c r="CK68" s="132">
        <f t="shared" si="45"/>
        <v>0</v>
      </c>
      <c r="CL68" s="4" t="s">
        <v>132</v>
      </c>
      <c r="CM68" s="5">
        <v>0</v>
      </c>
      <c r="CN68" s="4">
        <v>0</v>
      </c>
      <c r="CO68" s="132">
        <f t="shared" si="46"/>
        <v>0</v>
      </c>
      <c r="CP68" s="4" t="s">
        <v>132</v>
      </c>
      <c r="CQ68" s="5">
        <v>0</v>
      </c>
      <c r="CR68" s="4">
        <v>0</v>
      </c>
      <c r="CS68" s="132">
        <f t="shared" si="47"/>
        <v>0</v>
      </c>
      <c r="CT68" s="159">
        <f t="shared" si="48"/>
        <v>0</v>
      </c>
      <c r="CU68" s="168">
        <f t="shared" si="49"/>
        <v>550</v>
      </c>
      <c r="CV68" s="183">
        <f t="shared" si="32"/>
        <v>0</v>
      </c>
      <c r="CW68" s="82">
        <f t="shared" si="33"/>
        <v>500</v>
      </c>
      <c r="CX68" s="79">
        <f>IF(ISBLANK(E68),"AddQuickPay",IF(E68=2,CU68*0.98,IF(E68=2.4,CU68*0.976,IF(E68=3,CU68*0.97,IF(E68=5,CU68*0.95,IF(E68=1.5,CU68*0.985,IF(E68=2.5,CU68*0.975,IF(E68=1.3,CU68*0.987,IF(E68=1,CU68*0.99,IF(E68=4,CU68*0.96,CU68*1))))))))))-Table1[[#This Row],[ComCheck+QuickPayFee]]</f>
        <v>539</v>
      </c>
      <c r="CY68" s="5">
        <f t="shared" si="50"/>
        <v>50</v>
      </c>
      <c r="CZ68" s="5">
        <f t="shared" si="51"/>
        <v>11</v>
      </c>
      <c r="DA68" s="258">
        <f>Table1[[#This Row],[OriginalDispatch]]-Table1[[#This Row],[QuickPayCharge]]</f>
        <v>39</v>
      </c>
      <c r="DB68" s="5">
        <v>0</v>
      </c>
      <c r="DC68" s="5" t="s">
        <v>133</v>
      </c>
      <c r="DD68" s="104">
        <f t="shared" si="52"/>
        <v>42237</v>
      </c>
      <c r="DE68" s="15">
        <f>MONTH(Table1[[#This Row],[Weekending]])</f>
        <v>8</v>
      </c>
      <c r="DF68" s="15">
        <f>YEAR(Table1[[#This Row],[Weekending]])</f>
        <v>2015</v>
      </c>
      <c r="DG68" s="4"/>
    </row>
    <row r="69" spans="1:111">
      <c r="A69" s="20" t="str">
        <f t="shared" si="34"/>
        <v>22070749</v>
      </c>
      <c r="B69" s="146">
        <v>42237</v>
      </c>
      <c r="C69" s="144">
        <v>179899422</v>
      </c>
      <c r="D69" s="298" t="s">
        <v>111</v>
      </c>
      <c r="E69" s="298">
        <v>2</v>
      </c>
      <c r="F69" s="298" t="str">
        <f>INDEX(BrokerTBL!$B:$B,MATCH(D69,BrokerTBL!$A:$A,0))</f>
        <v>P.O. Box 3474</v>
      </c>
      <c r="G69" s="298" t="str">
        <f>INDEX(BrokerTBL!$C:$C,MATCH(D69,BrokerTBL!$A:$A,0))</f>
        <v>Chicago</v>
      </c>
      <c r="H69" s="298" t="str">
        <f>INDEX(BrokerTBL!$D:$D,MATCH(D69,BrokerTBL!$A:$A,0))</f>
        <v>Il</v>
      </c>
      <c r="I69" s="298" t="str">
        <f>INDEX(BrokerTBL!$E:$E,MATCH(D69,BrokerTBL!$A:$A,0))</f>
        <v>US</v>
      </c>
      <c r="J69" s="298">
        <f>INDEX(BrokerTBL!$F:$F,MATCH(D69,BrokerTBL!$A:$A,0))</f>
        <v>60654</v>
      </c>
      <c r="K69" s="298" t="s">
        <v>686</v>
      </c>
      <c r="L69" s="145">
        <v>140807</v>
      </c>
      <c r="M69" s="146">
        <v>42237</v>
      </c>
      <c r="N69" s="144" t="s">
        <v>687</v>
      </c>
      <c r="O69" s="298" t="s">
        <v>688</v>
      </c>
      <c r="P69" s="298" t="s">
        <v>689</v>
      </c>
      <c r="Q69" s="298" t="s">
        <v>139</v>
      </c>
      <c r="R69" s="298">
        <v>95691</v>
      </c>
      <c r="S69" s="298" t="s">
        <v>118</v>
      </c>
      <c r="T69" s="298" t="s">
        <v>690</v>
      </c>
      <c r="U69" s="298" t="s">
        <v>120</v>
      </c>
      <c r="V69" s="298">
        <v>53</v>
      </c>
      <c r="W69" s="298" t="s">
        <v>691</v>
      </c>
      <c r="X69" s="144">
        <v>40000</v>
      </c>
      <c r="Y69" s="298" t="s">
        <v>26</v>
      </c>
      <c r="Z69" s="298" t="s">
        <v>123</v>
      </c>
      <c r="AA69" s="298" t="s">
        <v>123</v>
      </c>
      <c r="AB69" s="298" t="s">
        <v>123</v>
      </c>
      <c r="AC69" s="298" t="s">
        <v>692</v>
      </c>
      <c r="AD69" s="145">
        <v>140807</v>
      </c>
      <c r="AE69" s="146">
        <v>42237</v>
      </c>
      <c r="AF69" s="298" t="s">
        <v>687</v>
      </c>
      <c r="AG69" s="298" t="s">
        <v>693</v>
      </c>
      <c r="AH69" s="298" t="s">
        <v>470</v>
      </c>
      <c r="AI69" s="298" t="s">
        <v>139</v>
      </c>
      <c r="AJ69" s="298">
        <v>93901</v>
      </c>
      <c r="AK69" s="298" t="s">
        <v>118</v>
      </c>
      <c r="AL69" s="298" t="s">
        <v>694</v>
      </c>
      <c r="AM69" s="142" t="str">
        <f>INDEX(CarrierDriverTBL!$B:$B,MATCH(Table1[[#This Row],[DriverID]],CarrierDriverTBL!$A:$A,0))</f>
        <v>UBTrucking</v>
      </c>
      <c r="AN69" s="10" t="s">
        <v>192</v>
      </c>
      <c r="AO69" s="142" t="str">
        <f>INDEX(CarrierDriverTBL!$C:$C,MATCH(Table1[[#This Row],[DriverID]],CarrierDriverTBL!$A:$A,0))</f>
        <v>Albel</v>
      </c>
      <c r="AP69" s="142" t="str">
        <f>INDEX(CarrierDriverTBL!$D:$D,MATCH(Table1[[#This Row],[DriverID]],CarrierDriverTBL!$A:$A,0))</f>
        <v>Chahil</v>
      </c>
      <c r="AQ69" s="142" t="str">
        <f>INDEX(CarrierDriverTBL!$X:$X,MATCH(Table1[[#This Row],[DriverID]],CarrierDriverTBL!$A:$A,0))</f>
        <v>A8390649</v>
      </c>
      <c r="AR69" s="160">
        <f>INDEX(CarrierDriverTBL!$Y:$Y,MATCH(Table1[[#This Row],[DriverID]],CarrierDriverTBL!$A:$A,0))</f>
        <v>42402</v>
      </c>
      <c r="AS69" s="142" t="str">
        <f t="shared" si="35"/>
        <v>GOOD</v>
      </c>
      <c r="AT69" s="160">
        <f>INDEX(CarrierDriverTBL!$E:$E,MATCH(Table1[[#This Row],[DriverID]],CarrierDriverTBL!$A:$A,0))</f>
        <v>22314</v>
      </c>
      <c r="AU69" s="163">
        <f ca="1">INDEX(CarrierDriverTBL!$F:$F,MATCH(Table1[[#This Row],[DriverID]],CarrierDriverTBL!$A:$A,0))</f>
        <v>55.512328767123286</v>
      </c>
      <c r="AV69" s="142" t="str">
        <f>INDEX(CarrierDriverTBL!$K:$K,MATCH(Table1[[#This Row],[DriverID]],CarrierDriverTBL!$A:$A,0))</f>
        <v>510-773-9450</v>
      </c>
      <c r="AW69" s="142" t="str">
        <f>INDEX(CarrierDriverTBL!$M:$M,MATCH(Table1[[#This Row],[DriverID]],CarrierDriverTBL!$A:$A,0))</f>
        <v>3124 Cynthia CT</v>
      </c>
      <c r="AX69" s="142" t="str">
        <f>INDEX(CarrierDriverTBL!$N:$N,MATCH(Table1[[#This Row],[DriverID]],CarrierDriverTBL!$A:$A,0))</f>
        <v>Tracy</v>
      </c>
      <c r="AY69" s="142" t="str">
        <f>INDEX(CarrierDriverTBL!$O:$O,MATCH(Table1[[#This Row],[DriverID]],CarrierDriverTBL!$A:$A,0))</f>
        <v>CA</v>
      </c>
      <c r="AZ69" s="142">
        <f>INDEX(CarrierDriverTBL!$P:$P,MATCH(Table1[[#This Row],[DriverID]],CarrierDriverTBL!$A:$A,0))</f>
        <v>95377</v>
      </c>
      <c r="BA69" s="142" t="str">
        <f>INDEX(CarrierDriverTBL!$Q:$Q,MATCH(Table1[[#This Row],[DriverID]],CarrierDriverTBL!$A:$A,0))</f>
        <v>US</v>
      </c>
      <c r="BB69" s="176" t="str">
        <f>INDEX(CarrierDriverTBL!$R:$R,MATCH(Table1[[#This Row],[DriverID]],CarrierDriverTBL!$A:$A,0))</f>
        <v>ubgollc@gmail.com</v>
      </c>
      <c r="BC69" s="160">
        <f>INDEX(CarrierDriverTBL!$AB:$AB,MATCH(Table1[[#This Row],[DriverID]],CarrierDriverTBL!$A:$A,0))</f>
        <v>42167</v>
      </c>
      <c r="BD69" s="142" t="str">
        <f ca="1">INDEX(CarrierDriverTBL!$AD:$AD,MATCH(LoadMaster!$AN:$AN,CarrierDriverTBL!$A:$A,0))</f>
        <v>MISSING</v>
      </c>
      <c r="BE69" s="142">
        <f>INDEX(CarrierDriverTBL!$AE:$AE,MATCH(Table1[DriverID],CarrierDriverTBL!$A:$A,0))</f>
        <v>913971</v>
      </c>
      <c r="BF69" s="142">
        <f>INDEX(CarrierDriverTBL!$AF:$AF,MATCH(Table1[DriverID],CarrierDriverTBL!$A:$A,0))</f>
        <v>2627544</v>
      </c>
      <c r="BG69" s="142">
        <f>INDEX(CarrierDriverTBL!$AG:$AG,MATCH(Table1[DriverID],CarrierDriverTBL!$A:$A,0))</f>
        <v>466133</v>
      </c>
      <c r="BH69" s="142" t="str">
        <f>INDEX(CarrierDriverTBL!$AH:$AH,MATCH(Table1[DriverID],CarrierDriverTBL!$A:$A,0))</f>
        <v>GM Lawrence Ins</v>
      </c>
      <c r="BI69" s="142" t="str">
        <f>INDEX(CarrierDriverTBL!$AI:$AI,MATCH(Table1[DriverID],CarrierDriverTBL!$A:$A,0))</f>
        <v>DSK2842P160210</v>
      </c>
      <c r="BJ69" s="160">
        <f>INDEX(CarrierDriverTBL!$AJ:$AJ,MATCH(Table1[[#This Row],[DriverID]],CarrierDriverTBL!$A:$A,0))</f>
        <v>42778</v>
      </c>
      <c r="BK69" s="10">
        <f t="shared" si="36"/>
        <v>541</v>
      </c>
      <c r="BL69" s="174">
        <v>550</v>
      </c>
      <c r="BM69" s="144">
        <v>186</v>
      </c>
      <c r="BN69" s="159">
        <f t="shared" si="29"/>
        <v>2.956989247311828</v>
      </c>
      <c r="BO69" s="167">
        <v>500</v>
      </c>
      <c r="BP69" s="159">
        <f t="shared" si="30"/>
        <v>2.6881720430107525</v>
      </c>
      <c r="BQ69" s="133">
        <v>2.7989999999999999</v>
      </c>
      <c r="BR69" s="166">
        <f t="shared" si="31"/>
        <v>0.14983333333333335</v>
      </c>
      <c r="BS69" s="167">
        <f t="shared" si="37"/>
        <v>2.538338709677419</v>
      </c>
      <c r="BT69" s="159">
        <f t="shared" si="38"/>
        <v>27.869000000000003</v>
      </c>
      <c r="BU69" s="10" t="str">
        <f t="shared" si="39"/>
        <v>Ch Robinson</v>
      </c>
      <c r="BV69" s="15"/>
      <c r="BW69" s="4" t="str">
        <f>Table1[[#This Row],[BrokerAddress]]</f>
        <v>P.O. Box 3474</v>
      </c>
      <c r="BX69" s="4" t="str">
        <f t="shared" si="40"/>
        <v>Chicago</v>
      </c>
      <c r="BY69" s="4" t="str">
        <f t="shared" si="41"/>
        <v>Il</v>
      </c>
      <c r="BZ69" s="4">
        <f t="shared" si="42"/>
        <v>60654</v>
      </c>
      <c r="CA69" s="10" t="str">
        <f t="shared" si="43"/>
        <v>US</v>
      </c>
      <c r="CB69" s="15" t="s">
        <v>131</v>
      </c>
      <c r="CC69" s="62"/>
      <c r="CD69" s="15" t="s">
        <v>132</v>
      </c>
      <c r="CE69" s="64">
        <v>0</v>
      </c>
      <c r="CF69" s="4">
        <v>0</v>
      </c>
      <c r="CG69" s="132">
        <f t="shared" si="44"/>
        <v>0</v>
      </c>
      <c r="CH69" s="4" t="s">
        <v>132</v>
      </c>
      <c r="CI69" s="5">
        <v>0</v>
      </c>
      <c r="CJ69" s="4">
        <v>0</v>
      </c>
      <c r="CK69" s="132">
        <f t="shared" si="45"/>
        <v>0</v>
      </c>
      <c r="CL69" s="4" t="s">
        <v>132</v>
      </c>
      <c r="CM69" s="5">
        <v>0</v>
      </c>
      <c r="CN69" s="4">
        <v>0</v>
      </c>
      <c r="CO69" s="132">
        <f t="shared" si="46"/>
        <v>0</v>
      </c>
      <c r="CP69" s="4" t="s">
        <v>132</v>
      </c>
      <c r="CQ69" s="5">
        <v>0</v>
      </c>
      <c r="CR69" s="4">
        <v>0</v>
      </c>
      <c r="CS69" s="132">
        <f t="shared" si="47"/>
        <v>0</v>
      </c>
      <c r="CT69" s="159">
        <f t="shared" si="48"/>
        <v>0</v>
      </c>
      <c r="CU69" s="168">
        <f t="shared" si="49"/>
        <v>550</v>
      </c>
      <c r="CV69" s="183">
        <f t="shared" si="32"/>
        <v>0</v>
      </c>
      <c r="CW69" s="82">
        <f t="shared" si="33"/>
        <v>500</v>
      </c>
      <c r="CX69" s="79">
        <f>IF(ISBLANK(E69),"AddQuickPay",IF(E69=2,CU69*0.98,IF(E69=2.4,CU69*0.976,IF(E69=3,CU69*0.97,IF(E69=5,CU69*0.95,IF(E69=1.5,CU69*0.985,IF(E69=2.5,CU69*0.975,IF(E69=1.3,CU69*0.987,IF(E69=1,CU69*0.99,IF(E69=4,CU69*0.96,CU69*1))))))))))-Table1[[#This Row],[ComCheck+QuickPayFee]]</f>
        <v>539</v>
      </c>
      <c r="CY69" s="5">
        <f t="shared" si="50"/>
        <v>50</v>
      </c>
      <c r="CZ69" s="5">
        <f t="shared" si="51"/>
        <v>11</v>
      </c>
      <c r="DA69" s="258">
        <f>Table1[[#This Row],[OriginalDispatch]]-Table1[[#This Row],[QuickPayCharge]]</f>
        <v>39</v>
      </c>
      <c r="DB69" s="5">
        <v>0</v>
      </c>
      <c r="DC69" s="5" t="s">
        <v>133</v>
      </c>
      <c r="DD69" s="104">
        <f t="shared" si="52"/>
        <v>42237</v>
      </c>
      <c r="DE69" s="15">
        <f>MONTH(Table1[[#This Row],[Weekending]])</f>
        <v>8</v>
      </c>
      <c r="DF69" s="15">
        <f>YEAR(Table1[[#This Row],[Weekending]])</f>
        <v>2015</v>
      </c>
      <c r="DG69" s="4"/>
    </row>
    <row r="70" spans="1:111">
      <c r="A70" s="20" t="str">
        <f t="shared" si="34"/>
        <v>67868616</v>
      </c>
      <c r="B70" s="146">
        <v>42237</v>
      </c>
      <c r="C70" s="144">
        <v>6089867</v>
      </c>
      <c r="D70" s="298" t="s">
        <v>445</v>
      </c>
      <c r="E70" s="298">
        <v>3</v>
      </c>
      <c r="F70" s="298" t="str">
        <f>INDEX(BrokerTBL!$B:$B,MATCH(D70,BrokerTBL!$A:$A,0))</f>
        <v>960 Northpoint Parkway Suite 150</v>
      </c>
      <c r="G70" s="298" t="str">
        <f>INDEX(BrokerTBL!$C:$C,MATCH(D70,BrokerTBL!$A:$A,0))</f>
        <v>Alpharetta</v>
      </c>
      <c r="H70" s="298" t="str">
        <f>INDEX(BrokerTBL!$D:$D,MATCH(D70,BrokerTBL!$A:$A,0))</f>
        <v>Ga</v>
      </c>
      <c r="I70" s="298" t="str">
        <f>INDEX(BrokerTBL!$E:$E,MATCH(D70,BrokerTBL!$A:$A,0))</f>
        <v>US</v>
      </c>
      <c r="J70" s="298">
        <f>INDEX(BrokerTBL!$F:$F,MATCH(D70,BrokerTBL!$A:$A,0))</f>
        <v>30005</v>
      </c>
      <c r="K70" s="298" t="s">
        <v>572</v>
      </c>
      <c r="L70" s="145">
        <v>77086</v>
      </c>
      <c r="M70" s="146">
        <v>42237</v>
      </c>
      <c r="N70" s="144" t="s">
        <v>695</v>
      </c>
      <c r="O70" s="298" t="s">
        <v>574</v>
      </c>
      <c r="P70" s="298" t="s">
        <v>160</v>
      </c>
      <c r="Q70" s="298" t="s">
        <v>139</v>
      </c>
      <c r="R70" s="298">
        <v>94534</v>
      </c>
      <c r="S70" s="298" t="s">
        <v>118</v>
      </c>
      <c r="T70" s="298" t="s">
        <v>136</v>
      </c>
      <c r="U70" s="298" t="s">
        <v>120</v>
      </c>
      <c r="V70" s="298">
        <v>53</v>
      </c>
      <c r="W70" s="298" t="s">
        <v>584</v>
      </c>
      <c r="X70" s="144">
        <v>40000</v>
      </c>
      <c r="Y70" s="298" t="s">
        <v>26</v>
      </c>
      <c r="Z70" s="298" t="s">
        <v>123</v>
      </c>
      <c r="AA70" s="298" t="s">
        <v>123</v>
      </c>
      <c r="AB70" s="298" t="s">
        <v>123</v>
      </c>
      <c r="AC70" s="298" t="s">
        <v>696</v>
      </c>
      <c r="AD70" s="145">
        <v>77086</v>
      </c>
      <c r="AE70" s="146">
        <v>42238</v>
      </c>
      <c r="AF70" s="298" t="s">
        <v>697</v>
      </c>
      <c r="AG70" s="298" t="s">
        <v>698</v>
      </c>
      <c r="AH70" s="298" t="s">
        <v>699</v>
      </c>
      <c r="AI70" s="298" t="s">
        <v>139</v>
      </c>
      <c r="AJ70" s="298">
        <v>93427</v>
      </c>
      <c r="AK70" s="298" t="s">
        <v>118</v>
      </c>
      <c r="AL70" s="298" t="s">
        <v>123</v>
      </c>
      <c r="AM70" s="171" t="str">
        <f>INDEX(CarrierDriverTBL!$B:$B,MATCH(Table1[[#This Row],[DriverID]],CarrierDriverTBL!$A:$A,0))</f>
        <v>UBTrucking</v>
      </c>
      <c r="AN70" s="10" t="s">
        <v>663</v>
      </c>
      <c r="AO70" s="142" t="str">
        <f>INDEX(CarrierDriverTBL!$C:$C,MATCH(Table1[[#This Row],[DriverID]],CarrierDriverTBL!$A:$A,0))</f>
        <v>Christopher J.</v>
      </c>
      <c r="AP70" s="142" t="str">
        <f>INDEX(CarrierDriverTBL!$D:$D,MATCH(Table1[[#This Row],[DriverID]],CarrierDriverTBL!$A:$A,0))</f>
        <v>Vanoss</v>
      </c>
      <c r="AQ70" s="142" t="str">
        <f>INDEX(CarrierDriverTBL!$X:$X,MATCH(Table1[[#This Row],[DriverID]],CarrierDriverTBL!$A:$A,0))</f>
        <v>C6568516</v>
      </c>
      <c r="AR70" s="160">
        <f>INDEX(CarrierDriverTBL!$Y:$Y,MATCH(Table1[[#This Row],[DriverID]],CarrierDriverTBL!$A:$A,0))</f>
        <v>43568</v>
      </c>
      <c r="AS70" s="142" t="str">
        <f t="shared" si="35"/>
        <v>GOOD</v>
      </c>
      <c r="AT70" s="160">
        <f>INDEX(CarrierDriverTBL!$E:$E,MATCH(Table1[[#This Row],[DriverID]],CarrierDriverTBL!$A:$A,0))</f>
        <v>25306</v>
      </c>
      <c r="AU70" s="163">
        <f ca="1">INDEX(CarrierDriverTBL!$F:$F,MATCH(Table1[[#This Row],[DriverID]],CarrierDriverTBL!$A:$A,0))</f>
        <v>47.315068493150683</v>
      </c>
      <c r="AV70" s="142" t="str">
        <f>INDEX(CarrierDriverTBL!$K:$K,MATCH(Table1[[#This Row],[DriverID]],CarrierDriverTBL!$A:$A,0))</f>
        <v>209-993-1286</v>
      </c>
      <c r="AW70" s="142" t="str">
        <f>INDEX(CarrierDriverTBL!$M:$M,MATCH(Table1[[#This Row],[DriverID]],CarrierDriverTBL!$A:$A,0))</f>
        <v>1044 Rivara RD # 106</v>
      </c>
      <c r="AX70" s="142" t="str">
        <f>INDEX(CarrierDriverTBL!$N:$N,MATCH(Table1[[#This Row],[DriverID]],CarrierDriverTBL!$A:$A,0))</f>
        <v>Stockton</v>
      </c>
      <c r="AY70" s="142" t="str">
        <f>INDEX(CarrierDriverTBL!$O:$O,MATCH(Table1[[#This Row],[DriverID]],CarrierDriverTBL!$A:$A,0))</f>
        <v>CA</v>
      </c>
      <c r="AZ70" s="142">
        <f>INDEX(CarrierDriverTBL!$P:$P,MATCH(Table1[[#This Row],[DriverID]],CarrierDriverTBL!$A:$A,0))</f>
        <v>95219</v>
      </c>
      <c r="BA70" s="142" t="str">
        <f>INDEX(CarrierDriverTBL!$Q:$Q,MATCH(Table1[[#This Row],[DriverID]],CarrierDriverTBL!$A:$A,0))</f>
        <v>US</v>
      </c>
      <c r="BB70" s="176" t="str">
        <f>INDEX(CarrierDriverTBL!$R:$R,MATCH(Table1[[#This Row],[DriverID]],CarrierDriverTBL!$A:$A,0))</f>
        <v xml:space="preserve">cvanoss@live.com </v>
      </c>
      <c r="BC70" s="160">
        <f>INDEX(CarrierDriverTBL!$AB:$AB,MATCH(Table1[[#This Row],[DriverID]],CarrierDriverTBL!$A:$A,0))</f>
        <v>42231</v>
      </c>
      <c r="BD70" s="142" t="str">
        <f ca="1">INDEX(CarrierDriverTBL!$AD:$AD,MATCH(LoadMaster!$AN:$AN,CarrierDriverTBL!$A:$A,0))</f>
        <v>MISSING</v>
      </c>
      <c r="BE70" s="142">
        <f>INDEX(CarrierDriverTBL!$AE:$AE,MATCH(Table1[DriverID],CarrierDriverTBL!$A:$A,0))</f>
        <v>913971</v>
      </c>
      <c r="BF70" s="142">
        <f>INDEX(CarrierDriverTBL!$AF:$AF,MATCH(Table1[DriverID],CarrierDriverTBL!$A:$A,0))</f>
        <v>2627544</v>
      </c>
      <c r="BG70" s="142">
        <f>INDEX(CarrierDriverTBL!$AG:$AG,MATCH(Table1[DriverID],CarrierDriverTBL!$A:$A,0))</f>
        <v>466133</v>
      </c>
      <c r="BH70" s="142" t="str">
        <f>INDEX(CarrierDriverTBL!$AH:$AH,MATCH(Table1[DriverID],CarrierDriverTBL!$A:$A,0))</f>
        <v>GM Lawrence Ins</v>
      </c>
      <c r="BI70" s="142" t="str">
        <f>INDEX(CarrierDriverTBL!$AI:$AI,MATCH(Table1[DriverID],CarrierDriverTBL!$A:$A,0))</f>
        <v>DSK2842P160210</v>
      </c>
      <c r="BJ70" s="160">
        <f>INDEX(CarrierDriverTBL!$AJ:$AJ,MATCH(Table1[[#This Row],[DriverID]],CarrierDriverTBL!$A:$A,0))</f>
        <v>42778</v>
      </c>
      <c r="BK70" s="10">
        <f t="shared" si="36"/>
        <v>541</v>
      </c>
      <c r="BL70" s="174">
        <v>700</v>
      </c>
      <c r="BM70" s="144">
        <v>320</v>
      </c>
      <c r="BN70" s="159">
        <f t="shared" si="29"/>
        <v>2.1875</v>
      </c>
      <c r="BO70" s="167">
        <v>630</v>
      </c>
      <c r="BP70" s="159">
        <f t="shared" si="30"/>
        <v>1.96875</v>
      </c>
      <c r="BQ70" s="133">
        <v>2.7989999999999999</v>
      </c>
      <c r="BR70" s="166">
        <f t="shared" si="31"/>
        <v>0.14983333333333335</v>
      </c>
      <c r="BS70" s="167">
        <f t="shared" si="37"/>
        <v>1.8189166666666667</v>
      </c>
      <c r="BT70" s="159">
        <f t="shared" si="38"/>
        <v>47.946666666666673</v>
      </c>
      <c r="BU70" s="10" t="str">
        <f t="shared" si="39"/>
        <v>Coyote</v>
      </c>
      <c r="BV70" s="15"/>
      <c r="BW70" s="4" t="str">
        <f>Table1[[#This Row],[BrokerAddress]]</f>
        <v>960 Northpoint Parkway Suite 150</v>
      </c>
      <c r="BX70" s="4" t="str">
        <f t="shared" si="40"/>
        <v>Alpharetta</v>
      </c>
      <c r="BY70" s="4" t="str">
        <f t="shared" si="41"/>
        <v>Ga</v>
      </c>
      <c r="BZ70" s="4">
        <f t="shared" si="42"/>
        <v>30005</v>
      </c>
      <c r="CA70" s="10" t="str">
        <f t="shared" si="43"/>
        <v>US</v>
      </c>
      <c r="CB70" s="15" t="s">
        <v>131</v>
      </c>
      <c r="CC70" s="62"/>
      <c r="CD70" s="15" t="s">
        <v>132</v>
      </c>
      <c r="CE70" s="64">
        <v>0</v>
      </c>
      <c r="CF70" s="4">
        <v>0</v>
      </c>
      <c r="CG70" s="132">
        <f t="shared" si="44"/>
        <v>0</v>
      </c>
      <c r="CH70" s="4" t="s">
        <v>132</v>
      </c>
      <c r="CI70" s="5">
        <v>0</v>
      </c>
      <c r="CJ70" s="4">
        <v>0</v>
      </c>
      <c r="CK70" s="132">
        <f t="shared" si="45"/>
        <v>0</v>
      </c>
      <c r="CL70" s="4" t="s">
        <v>132</v>
      </c>
      <c r="CM70" s="5">
        <v>0</v>
      </c>
      <c r="CN70" s="4">
        <v>0</v>
      </c>
      <c r="CO70" s="132">
        <f t="shared" si="46"/>
        <v>0</v>
      </c>
      <c r="CP70" s="4" t="s">
        <v>132</v>
      </c>
      <c r="CQ70" s="5">
        <v>0</v>
      </c>
      <c r="CR70" s="4">
        <v>0</v>
      </c>
      <c r="CS70" s="132">
        <f t="shared" si="47"/>
        <v>0</v>
      </c>
      <c r="CT70" s="159">
        <f t="shared" si="48"/>
        <v>0</v>
      </c>
      <c r="CU70" s="168">
        <f t="shared" si="49"/>
        <v>700</v>
      </c>
      <c r="CV70" s="183">
        <f t="shared" si="32"/>
        <v>0</v>
      </c>
      <c r="CW70" s="82">
        <f t="shared" si="33"/>
        <v>630</v>
      </c>
      <c r="CX70" s="79">
        <f>IF(ISBLANK(E70),"AddQuickPay",IF(E70=2,CU70*0.98,IF(E70=2.4,CU70*0.976,IF(E70=3,CU70*0.97,IF(E70=5,CU70*0.95,IF(E70=1.5,CU70*0.985,IF(E70=2.5,CU70*0.975,IF(E70=1.3,CU70*0.987,IF(E70=1,CU70*0.99,IF(E70=4,CU70*0.96,CU70*1))))))))))-Table1[[#This Row],[ComCheck+QuickPayFee]]</f>
        <v>679</v>
      </c>
      <c r="CY70" s="5">
        <f t="shared" si="50"/>
        <v>70</v>
      </c>
      <c r="CZ70" s="5">
        <f t="shared" si="51"/>
        <v>21</v>
      </c>
      <c r="DA70" s="258">
        <f>Table1[[#This Row],[OriginalDispatch]]-Table1[[#This Row],[QuickPayCharge]]</f>
        <v>49</v>
      </c>
      <c r="DB70" s="5">
        <v>0</v>
      </c>
      <c r="DC70" s="5" t="s">
        <v>133</v>
      </c>
      <c r="DD70" s="104">
        <f t="shared" si="52"/>
        <v>42237</v>
      </c>
      <c r="DE70" s="15">
        <f>MONTH(Table1[[#This Row],[Weekending]])</f>
        <v>8</v>
      </c>
      <c r="DF70" s="15">
        <f>YEAR(Table1[[#This Row],[Weekending]])</f>
        <v>2015</v>
      </c>
      <c r="DG70" s="4"/>
    </row>
    <row r="71" spans="1:111">
      <c r="A71" s="20" t="str">
        <f t="shared" si="34"/>
        <v>30242416</v>
      </c>
      <c r="B71" s="146">
        <v>42237</v>
      </c>
      <c r="C71" s="144">
        <v>179543630</v>
      </c>
      <c r="D71" s="298" t="s">
        <v>111</v>
      </c>
      <c r="E71" s="298">
        <v>2</v>
      </c>
      <c r="F71" s="298" t="str">
        <f>INDEX(BrokerTBL!$B:$B,MATCH(D71,BrokerTBL!$A:$A,0))</f>
        <v>P.O. Box 3474</v>
      </c>
      <c r="G71" s="298" t="str">
        <f>INDEX(BrokerTBL!$C:$C,MATCH(D71,BrokerTBL!$A:$A,0))</f>
        <v>Chicago</v>
      </c>
      <c r="H71" s="298" t="str">
        <f>INDEX(BrokerTBL!$D:$D,MATCH(D71,BrokerTBL!$A:$A,0))</f>
        <v>Il</v>
      </c>
      <c r="I71" s="298" t="str">
        <f>INDEX(BrokerTBL!$E:$E,MATCH(D71,BrokerTBL!$A:$A,0))</f>
        <v>US</v>
      </c>
      <c r="J71" s="298">
        <f>INDEX(BrokerTBL!$F:$F,MATCH(D71,BrokerTBL!$A:$A,0))</f>
        <v>60654</v>
      </c>
      <c r="K71" s="298" t="s">
        <v>700</v>
      </c>
      <c r="L71" s="145">
        <v>305236824</v>
      </c>
      <c r="M71" s="146">
        <v>42239</v>
      </c>
      <c r="N71" s="144" t="s">
        <v>701</v>
      </c>
      <c r="O71" s="298" t="s">
        <v>702</v>
      </c>
      <c r="P71" s="298" t="s">
        <v>703</v>
      </c>
      <c r="Q71" s="298" t="s">
        <v>139</v>
      </c>
      <c r="R71" s="298">
        <v>93030</v>
      </c>
      <c r="S71" s="298" t="s">
        <v>118</v>
      </c>
      <c r="T71" s="298" t="s">
        <v>704</v>
      </c>
      <c r="U71" s="298" t="s">
        <v>120</v>
      </c>
      <c r="V71" s="298">
        <v>53</v>
      </c>
      <c r="W71" s="298" t="s">
        <v>705</v>
      </c>
      <c r="X71" s="144">
        <v>1303</v>
      </c>
      <c r="Y71" s="298" t="s">
        <v>706</v>
      </c>
      <c r="Z71" s="298">
        <v>1440</v>
      </c>
      <c r="AA71" s="298">
        <v>60</v>
      </c>
      <c r="AB71" s="298" t="s">
        <v>123</v>
      </c>
      <c r="AC71" s="298" t="s">
        <v>377</v>
      </c>
      <c r="AD71" s="145">
        <v>305236824</v>
      </c>
      <c r="AE71" s="146">
        <v>42240</v>
      </c>
      <c r="AF71" s="416" t="s">
        <v>123</v>
      </c>
      <c r="AG71" s="298" t="s">
        <v>379</v>
      </c>
      <c r="AH71" s="298" t="s">
        <v>380</v>
      </c>
      <c r="AI71" s="298" t="s">
        <v>139</v>
      </c>
      <c r="AJ71" s="298">
        <v>95376</v>
      </c>
      <c r="AK71" s="298" t="s">
        <v>118</v>
      </c>
      <c r="AL71" s="298" t="s">
        <v>381</v>
      </c>
      <c r="AM71" s="171" t="str">
        <f>INDEX(CarrierDriverTBL!$B:$B,MATCH(Table1[[#This Row],[DriverID]],CarrierDriverTBL!$A:$A,0))</f>
        <v>UBTrucking</v>
      </c>
      <c r="AN71" s="10" t="s">
        <v>663</v>
      </c>
      <c r="AO71" s="142" t="str">
        <f>INDEX(CarrierDriverTBL!$C:$C,MATCH(Table1[[#This Row],[DriverID]],CarrierDriverTBL!$A:$A,0))</f>
        <v>Christopher J.</v>
      </c>
      <c r="AP71" s="142" t="str">
        <f>INDEX(CarrierDriverTBL!$D:$D,MATCH(Table1[[#This Row],[DriverID]],CarrierDriverTBL!$A:$A,0))</f>
        <v>Vanoss</v>
      </c>
      <c r="AQ71" s="142" t="str">
        <f>INDEX(CarrierDriverTBL!$X:$X,MATCH(Table1[[#This Row],[DriverID]],CarrierDriverTBL!$A:$A,0))</f>
        <v>C6568516</v>
      </c>
      <c r="AR71" s="160">
        <f>INDEX(CarrierDriverTBL!$Y:$Y,MATCH(Table1[[#This Row],[DriverID]],CarrierDriverTBL!$A:$A,0))</f>
        <v>43568</v>
      </c>
      <c r="AS71" s="142" t="str">
        <f t="shared" si="35"/>
        <v>GOOD</v>
      </c>
      <c r="AT71" s="160">
        <f>INDEX(CarrierDriverTBL!$E:$E,MATCH(Table1[[#This Row],[DriverID]],CarrierDriverTBL!$A:$A,0))</f>
        <v>25306</v>
      </c>
      <c r="AU71" s="163">
        <f ca="1">INDEX(CarrierDriverTBL!$F:$F,MATCH(Table1[[#This Row],[DriverID]],CarrierDriverTBL!$A:$A,0))</f>
        <v>47.315068493150683</v>
      </c>
      <c r="AV71" s="142" t="str">
        <f>INDEX(CarrierDriverTBL!$K:$K,MATCH(Table1[[#This Row],[DriverID]],CarrierDriverTBL!$A:$A,0))</f>
        <v>209-993-1286</v>
      </c>
      <c r="AW71" s="142" t="str">
        <f>INDEX(CarrierDriverTBL!$M:$M,MATCH(Table1[[#This Row],[DriverID]],CarrierDriverTBL!$A:$A,0))</f>
        <v>1044 Rivara RD # 106</v>
      </c>
      <c r="AX71" s="142" t="str">
        <f>INDEX(CarrierDriverTBL!$N:$N,MATCH(Table1[[#This Row],[DriverID]],CarrierDriverTBL!$A:$A,0))</f>
        <v>Stockton</v>
      </c>
      <c r="AY71" s="142" t="str">
        <f>INDEX(CarrierDriverTBL!$O:$O,MATCH(Table1[[#This Row],[DriverID]],CarrierDriverTBL!$A:$A,0))</f>
        <v>CA</v>
      </c>
      <c r="AZ71" s="142">
        <f>INDEX(CarrierDriverTBL!$P:$P,MATCH(Table1[[#This Row],[DriverID]],CarrierDriverTBL!$A:$A,0))</f>
        <v>95219</v>
      </c>
      <c r="BA71" s="142" t="str">
        <f>INDEX(CarrierDriverTBL!$Q:$Q,MATCH(Table1[[#This Row],[DriverID]],CarrierDriverTBL!$A:$A,0))</f>
        <v>US</v>
      </c>
      <c r="BB71" s="176" t="str">
        <f>INDEX(CarrierDriverTBL!$R:$R,MATCH(Table1[[#This Row],[DriverID]],CarrierDriverTBL!$A:$A,0))</f>
        <v xml:space="preserve">cvanoss@live.com </v>
      </c>
      <c r="BC71" s="160">
        <f>INDEX(CarrierDriverTBL!$AB:$AB,MATCH(Table1[[#This Row],[DriverID]],CarrierDriverTBL!$A:$A,0))</f>
        <v>42231</v>
      </c>
      <c r="BD71" s="142" t="str">
        <f ca="1">INDEX(CarrierDriverTBL!$AD:$AD,MATCH(LoadMaster!$AN:$AN,CarrierDriverTBL!$A:$A,0))</f>
        <v>MISSING</v>
      </c>
      <c r="BE71" s="142">
        <f>INDEX(CarrierDriverTBL!$AE:$AE,MATCH(Table1[DriverID],CarrierDriverTBL!$A:$A,0))</f>
        <v>913971</v>
      </c>
      <c r="BF71" s="142">
        <f>INDEX(CarrierDriverTBL!$AF:$AF,MATCH(Table1[DriverID],CarrierDriverTBL!$A:$A,0))</f>
        <v>2627544</v>
      </c>
      <c r="BG71" s="142">
        <f>INDEX(CarrierDriverTBL!$AG:$AG,MATCH(Table1[DriverID],CarrierDriverTBL!$A:$A,0))</f>
        <v>466133</v>
      </c>
      <c r="BH71" s="142" t="str">
        <f>INDEX(CarrierDriverTBL!$AH:$AH,MATCH(Table1[DriverID],CarrierDriverTBL!$A:$A,0))</f>
        <v>GM Lawrence Ins</v>
      </c>
      <c r="BI71" s="142" t="str">
        <f>INDEX(CarrierDriverTBL!$AI:$AI,MATCH(Table1[DriverID],CarrierDriverTBL!$A:$A,0))</f>
        <v>DSK2842P160210</v>
      </c>
      <c r="BJ71" s="160">
        <f>INDEX(CarrierDriverTBL!$AJ:$AJ,MATCH(Table1[[#This Row],[DriverID]],CarrierDriverTBL!$A:$A,0))</f>
        <v>42778</v>
      </c>
      <c r="BK71" s="10">
        <f t="shared" si="36"/>
        <v>539</v>
      </c>
      <c r="BL71" s="174">
        <v>800</v>
      </c>
      <c r="BM71" s="144">
        <v>332</v>
      </c>
      <c r="BN71" s="159">
        <f t="shared" si="29"/>
        <v>2.4096385542168677</v>
      </c>
      <c r="BO71" s="167">
        <v>720</v>
      </c>
      <c r="BP71" s="159">
        <f t="shared" si="30"/>
        <v>2.1686746987951806</v>
      </c>
      <c r="BQ71" s="133">
        <v>2.7989999999999999</v>
      </c>
      <c r="BR71" s="166">
        <f t="shared" si="31"/>
        <v>0.14983333333333335</v>
      </c>
      <c r="BS71" s="167">
        <f t="shared" si="37"/>
        <v>2.0188413654618471</v>
      </c>
      <c r="BT71" s="159">
        <f t="shared" si="38"/>
        <v>49.744666666666674</v>
      </c>
      <c r="BU71" s="10" t="str">
        <f t="shared" si="39"/>
        <v>Ch Robinson</v>
      </c>
      <c r="BV71" s="15"/>
      <c r="BW71" s="4" t="str">
        <f>Table1[[#This Row],[BrokerAddress]]</f>
        <v>P.O. Box 3474</v>
      </c>
      <c r="BX71" s="4" t="str">
        <f t="shared" si="40"/>
        <v>Chicago</v>
      </c>
      <c r="BY71" s="4" t="str">
        <f t="shared" si="41"/>
        <v>Il</v>
      </c>
      <c r="BZ71" s="4">
        <f t="shared" si="42"/>
        <v>60654</v>
      </c>
      <c r="CA71" s="10" t="str">
        <f t="shared" si="43"/>
        <v>US</v>
      </c>
      <c r="CB71" s="15" t="s">
        <v>131</v>
      </c>
      <c r="CC71" s="62"/>
      <c r="CD71" s="15" t="s">
        <v>149</v>
      </c>
      <c r="CE71" s="64">
        <v>35</v>
      </c>
      <c r="CF71" s="4">
        <v>1</v>
      </c>
      <c r="CG71" s="132">
        <f t="shared" si="44"/>
        <v>35</v>
      </c>
      <c r="CH71" s="4" t="s">
        <v>132</v>
      </c>
      <c r="CI71" s="5">
        <v>0</v>
      </c>
      <c r="CJ71" s="4">
        <v>0</v>
      </c>
      <c r="CK71" s="132">
        <f t="shared" si="45"/>
        <v>0</v>
      </c>
      <c r="CL71" s="4" t="s">
        <v>132</v>
      </c>
      <c r="CM71" s="5">
        <v>0</v>
      </c>
      <c r="CN71" s="4">
        <v>0</v>
      </c>
      <c r="CO71" s="132">
        <f t="shared" si="46"/>
        <v>0</v>
      </c>
      <c r="CP71" s="4" t="s">
        <v>132</v>
      </c>
      <c r="CQ71" s="5">
        <v>0</v>
      </c>
      <c r="CR71" s="4">
        <v>0</v>
      </c>
      <c r="CS71" s="132">
        <f t="shared" si="47"/>
        <v>0</v>
      </c>
      <c r="CT71" s="159">
        <f t="shared" si="48"/>
        <v>35</v>
      </c>
      <c r="CU71" s="168">
        <f t="shared" si="49"/>
        <v>835</v>
      </c>
      <c r="CV71" s="183">
        <v>0</v>
      </c>
      <c r="CW71" s="82">
        <f t="shared" si="33"/>
        <v>720</v>
      </c>
      <c r="CX71" s="79">
        <f>IF(ISBLANK(E71),"AddQuickPay",IF(E71=2,CU71*0.98,IF(E71=2.4,CU71*0.976,IF(E71=3,CU71*0.97,IF(E71=5,CU71*0.95,IF(E71=1.5,CU71*0.985,IF(E71=2.5,CU71*0.975,IF(E71=1.3,CU71*0.987,IF(E71=1,CU71*0.99,IF(E71=4,CU71*0.96,CU71*1))))))))))-Table1[[#This Row],[ComCheck+QuickPayFee]]</f>
        <v>818.3</v>
      </c>
      <c r="CY71" s="5">
        <f t="shared" si="50"/>
        <v>115</v>
      </c>
      <c r="CZ71" s="5">
        <f t="shared" si="51"/>
        <v>16.7</v>
      </c>
      <c r="DA71" s="258">
        <f>Table1[[#This Row],[OriginalDispatch]]-Table1[[#This Row],[QuickPayCharge]]</f>
        <v>98.3</v>
      </c>
      <c r="DB71" s="5">
        <v>0</v>
      </c>
      <c r="DC71" s="5" t="s">
        <v>133</v>
      </c>
      <c r="DD71" s="104">
        <f t="shared" si="52"/>
        <v>42237</v>
      </c>
      <c r="DE71" s="15">
        <f>MONTH(Table1[[#This Row],[Weekending]])</f>
        <v>8</v>
      </c>
      <c r="DF71" s="15">
        <f>YEAR(Table1[[#This Row],[Weekending]])</f>
        <v>2015</v>
      </c>
      <c r="DG71" s="4"/>
    </row>
    <row r="72" spans="1:111">
      <c r="A72" s="20" t="str">
        <f t="shared" si="34"/>
        <v>20666649</v>
      </c>
      <c r="B72" s="146">
        <v>42240</v>
      </c>
      <c r="C72" s="144">
        <v>6078920</v>
      </c>
      <c r="D72" s="298" t="s">
        <v>445</v>
      </c>
      <c r="E72" s="298">
        <v>3</v>
      </c>
      <c r="F72" s="298" t="str">
        <f>INDEX(BrokerTBL!$B:$B,MATCH(D72,BrokerTBL!$A:$A,0))</f>
        <v>960 Northpoint Parkway Suite 150</v>
      </c>
      <c r="G72" s="298" t="str">
        <f>INDEX(BrokerTBL!$C:$C,MATCH(D72,BrokerTBL!$A:$A,0))</f>
        <v>Alpharetta</v>
      </c>
      <c r="H72" s="298" t="str">
        <f>INDEX(BrokerTBL!$D:$D,MATCH(D72,BrokerTBL!$A:$A,0))</f>
        <v>Ga</v>
      </c>
      <c r="I72" s="298" t="str">
        <f>INDEX(BrokerTBL!$E:$E,MATCH(D72,BrokerTBL!$A:$A,0))</f>
        <v>US</v>
      </c>
      <c r="J72" s="298">
        <f>INDEX(BrokerTBL!$F:$F,MATCH(D72,BrokerTBL!$A:$A,0))</f>
        <v>30005</v>
      </c>
      <c r="K72" s="298" t="s">
        <v>707</v>
      </c>
      <c r="L72" s="145" t="s">
        <v>708</v>
      </c>
      <c r="M72" s="146">
        <v>42240</v>
      </c>
      <c r="N72" s="182">
        <v>0.54166666666666696</v>
      </c>
      <c r="O72" s="298" t="s">
        <v>709</v>
      </c>
      <c r="P72" s="298" t="s">
        <v>160</v>
      </c>
      <c r="Q72" s="298" t="s">
        <v>139</v>
      </c>
      <c r="R72" s="298">
        <v>94533</v>
      </c>
      <c r="S72" s="298" t="s">
        <v>118</v>
      </c>
      <c r="T72" s="298" t="s">
        <v>136</v>
      </c>
      <c r="U72" s="298" t="s">
        <v>120</v>
      </c>
      <c r="V72" s="298">
        <v>53</v>
      </c>
      <c r="W72" s="298" t="s">
        <v>136</v>
      </c>
      <c r="X72" s="144">
        <v>41800</v>
      </c>
      <c r="Y72" s="298" t="s">
        <v>123</v>
      </c>
      <c r="Z72" s="298">
        <v>1100</v>
      </c>
      <c r="AA72" s="298">
        <v>22</v>
      </c>
      <c r="AB72" s="298" t="s">
        <v>123</v>
      </c>
      <c r="AC72" s="298" t="s">
        <v>710</v>
      </c>
      <c r="AD72" s="145" t="s">
        <v>708</v>
      </c>
      <c r="AE72" s="146">
        <v>42241</v>
      </c>
      <c r="AF72" s="182">
        <v>0.33333333333333298</v>
      </c>
      <c r="AG72" s="298" t="s">
        <v>711</v>
      </c>
      <c r="AH72" s="298" t="s">
        <v>712</v>
      </c>
      <c r="AI72" s="298" t="s">
        <v>139</v>
      </c>
      <c r="AJ72" s="298">
        <v>95037</v>
      </c>
      <c r="AK72" s="298" t="s">
        <v>118</v>
      </c>
      <c r="AL72" s="298" t="s">
        <v>123</v>
      </c>
      <c r="AM72" s="142" t="str">
        <f>INDEX(CarrierDriverTBL!$B:$B,MATCH(Table1[[#This Row],[DriverID]],CarrierDriverTBL!$A:$A,0))</f>
        <v>UBTrucking</v>
      </c>
      <c r="AN72" s="10" t="s">
        <v>192</v>
      </c>
      <c r="AO72" s="142" t="str">
        <f>INDEX(CarrierDriverTBL!$C:$C,MATCH(Table1[[#This Row],[DriverID]],CarrierDriverTBL!$A:$A,0))</f>
        <v>Albel</v>
      </c>
      <c r="AP72" s="142" t="str">
        <f>INDEX(CarrierDriverTBL!$D:$D,MATCH(Table1[[#This Row],[DriverID]],CarrierDriverTBL!$A:$A,0))</f>
        <v>Chahil</v>
      </c>
      <c r="AQ72" s="142" t="str">
        <f>INDEX(CarrierDriverTBL!$X:$X,MATCH(Table1[[#This Row],[DriverID]],CarrierDriverTBL!$A:$A,0))</f>
        <v>A8390649</v>
      </c>
      <c r="AR72" s="160">
        <f>INDEX(CarrierDriverTBL!$Y:$Y,MATCH(Table1[[#This Row],[DriverID]],CarrierDriverTBL!$A:$A,0))</f>
        <v>42402</v>
      </c>
      <c r="AS72" s="142" t="str">
        <f t="shared" si="35"/>
        <v>GOOD</v>
      </c>
      <c r="AT72" s="160">
        <f>INDEX(CarrierDriverTBL!$E:$E,MATCH(Table1[[#This Row],[DriverID]],CarrierDriverTBL!$A:$A,0))</f>
        <v>22314</v>
      </c>
      <c r="AU72" s="163">
        <f ca="1">INDEX(CarrierDriverTBL!$F:$F,MATCH(Table1[[#This Row],[DriverID]],CarrierDriverTBL!$A:$A,0))</f>
        <v>55.512328767123286</v>
      </c>
      <c r="AV72" s="142" t="str">
        <f>INDEX(CarrierDriverTBL!$K:$K,MATCH(Table1[[#This Row],[DriverID]],CarrierDriverTBL!$A:$A,0))</f>
        <v>510-773-9450</v>
      </c>
      <c r="AW72" s="142" t="str">
        <f>INDEX(CarrierDriverTBL!$M:$M,MATCH(Table1[[#This Row],[DriverID]],CarrierDriverTBL!$A:$A,0))</f>
        <v>3124 Cynthia CT</v>
      </c>
      <c r="AX72" s="142" t="str">
        <f>INDEX(CarrierDriverTBL!$N:$N,MATCH(Table1[[#This Row],[DriverID]],CarrierDriverTBL!$A:$A,0))</f>
        <v>Tracy</v>
      </c>
      <c r="AY72" s="142" t="str">
        <f>INDEX(CarrierDriverTBL!$O:$O,MATCH(Table1[[#This Row],[DriverID]],CarrierDriverTBL!$A:$A,0))</f>
        <v>CA</v>
      </c>
      <c r="AZ72" s="142">
        <f>INDEX(CarrierDriverTBL!$P:$P,MATCH(Table1[[#This Row],[DriverID]],CarrierDriverTBL!$A:$A,0))</f>
        <v>95377</v>
      </c>
      <c r="BA72" s="142" t="str">
        <f>INDEX(CarrierDriverTBL!$Q:$Q,MATCH(Table1[[#This Row],[DriverID]],CarrierDriverTBL!$A:$A,0))</f>
        <v>US</v>
      </c>
      <c r="BB72" s="176" t="str">
        <f>INDEX(CarrierDriverTBL!$R:$R,MATCH(Table1[[#This Row],[DriverID]],CarrierDriverTBL!$A:$A,0))</f>
        <v>ubgollc@gmail.com</v>
      </c>
      <c r="BC72" s="160">
        <f>INDEX(CarrierDriverTBL!$AB:$AB,MATCH(Table1[[#This Row],[DriverID]],CarrierDriverTBL!$A:$A,0))</f>
        <v>42167</v>
      </c>
      <c r="BD72" s="142" t="str">
        <f ca="1">INDEX(CarrierDriverTBL!$AD:$AD,MATCH(LoadMaster!$AN:$AN,CarrierDriverTBL!$A:$A,0))</f>
        <v>MISSING</v>
      </c>
      <c r="BE72" s="142">
        <f>INDEX(CarrierDriverTBL!$AE:$AE,MATCH(Table1[DriverID],CarrierDriverTBL!$A:$A,0))</f>
        <v>913971</v>
      </c>
      <c r="BF72" s="142">
        <f>INDEX(CarrierDriverTBL!$AF:$AF,MATCH(Table1[DriverID],CarrierDriverTBL!$A:$A,0))</f>
        <v>2627544</v>
      </c>
      <c r="BG72" s="142">
        <f>INDEX(CarrierDriverTBL!$AG:$AG,MATCH(Table1[DriverID],CarrierDriverTBL!$A:$A,0))</f>
        <v>466133</v>
      </c>
      <c r="BH72" s="142" t="str">
        <f>INDEX(CarrierDriverTBL!$AH:$AH,MATCH(Table1[DriverID],CarrierDriverTBL!$A:$A,0))</f>
        <v>GM Lawrence Ins</v>
      </c>
      <c r="BI72" s="142" t="str">
        <f>INDEX(CarrierDriverTBL!$AI:$AI,MATCH(Table1[DriverID],CarrierDriverTBL!$A:$A,0))</f>
        <v>DSK2842P160210</v>
      </c>
      <c r="BJ72" s="160">
        <f>INDEX(CarrierDriverTBL!$AJ:$AJ,MATCH(Table1[[#This Row],[DriverID]],CarrierDriverTBL!$A:$A,0))</f>
        <v>42778</v>
      </c>
      <c r="BK72" s="10">
        <f t="shared" si="36"/>
        <v>538</v>
      </c>
      <c r="BL72" s="174">
        <v>450</v>
      </c>
      <c r="BM72" s="144">
        <v>107</v>
      </c>
      <c r="BN72" s="159">
        <f t="shared" ref="BN72:BN103" si="53">BL72/BM72</f>
        <v>4.2056074766355138</v>
      </c>
      <c r="BO72" s="167">
        <v>400</v>
      </c>
      <c r="BP72" s="159">
        <f t="shared" ref="BP72:BP103" si="54">BO72/BM72</f>
        <v>3.7383177570093458</v>
      </c>
      <c r="BQ72" s="133">
        <v>2.7989999999999999</v>
      </c>
      <c r="BR72" s="166">
        <f t="shared" ref="BR72:BR103" si="55">(BQ72-1.9)/6</f>
        <v>0.14983333333333335</v>
      </c>
      <c r="BS72" s="167">
        <f t="shared" si="37"/>
        <v>3.5884844236760123</v>
      </c>
      <c r="BT72" s="159">
        <f t="shared" si="38"/>
        <v>16.032166666666669</v>
      </c>
      <c r="BU72" s="10" t="str">
        <f t="shared" si="39"/>
        <v>Coyote</v>
      </c>
      <c r="BV72" s="15"/>
      <c r="BW72" s="4" t="str">
        <f>Table1[[#This Row],[BrokerAddress]]</f>
        <v>960 Northpoint Parkway Suite 150</v>
      </c>
      <c r="BX72" s="4" t="str">
        <f t="shared" si="40"/>
        <v>Alpharetta</v>
      </c>
      <c r="BY72" s="4" t="str">
        <f t="shared" si="41"/>
        <v>Ga</v>
      </c>
      <c r="BZ72" s="4">
        <f t="shared" si="42"/>
        <v>30005</v>
      </c>
      <c r="CA72" s="10" t="str">
        <f t="shared" si="43"/>
        <v>US</v>
      </c>
      <c r="CB72" s="15" t="s">
        <v>131</v>
      </c>
      <c r="CC72" s="62"/>
      <c r="CD72" s="15" t="s">
        <v>132</v>
      </c>
      <c r="CE72" s="64">
        <v>0</v>
      </c>
      <c r="CF72" s="4">
        <v>0</v>
      </c>
      <c r="CG72" s="132">
        <f t="shared" si="44"/>
        <v>0</v>
      </c>
      <c r="CH72" s="4" t="s">
        <v>132</v>
      </c>
      <c r="CI72" s="5">
        <v>0</v>
      </c>
      <c r="CJ72" s="4">
        <v>0</v>
      </c>
      <c r="CK72" s="132">
        <f t="shared" si="45"/>
        <v>0</v>
      </c>
      <c r="CL72" s="4" t="s">
        <v>132</v>
      </c>
      <c r="CM72" s="5">
        <v>0</v>
      </c>
      <c r="CN72" s="4">
        <v>0</v>
      </c>
      <c r="CO72" s="132">
        <f t="shared" si="46"/>
        <v>0</v>
      </c>
      <c r="CP72" s="4" t="s">
        <v>132</v>
      </c>
      <c r="CQ72" s="5">
        <v>0</v>
      </c>
      <c r="CR72" s="4">
        <v>0</v>
      </c>
      <c r="CS72" s="132">
        <f t="shared" si="47"/>
        <v>0</v>
      </c>
      <c r="CT72" s="159">
        <f t="shared" si="48"/>
        <v>0</v>
      </c>
      <c r="CU72" s="168">
        <f t="shared" si="49"/>
        <v>450</v>
      </c>
      <c r="CV72" s="183">
        <f>(100*CT72)/100</f>
        <v>0</v>
      </c>
      <c r="CW72" s="82">
        <f t="shared" si="33"/>
        <v>400</v>
      </c>
      <c r="CX72" s="79">
        <f>IF(ISBLANK(E72),"AddQuickPay",IF(E72=2,CU72*0.98,IF(E72=2.4,CU72*0.976,IF(E72=3,CU72*0.97,IF(E72=5,CU72*0.95,IF(E72=1.5,CU72*0.985,IF(E72=2.5,CU72*0.975,IF(E72=1.3,CU72*0.987,IF(E72=1,CU72*0.99,IF(E72=4,CU72*0.96,CU72*1))))))))))-Table1[[#This Row],[ComCheck+QuickPayFee]]</f>
        <v>436.5</v>
      </c>
      <c r="CY72" s="5">
        <f t="shared" si="50"/>
        <v>50</v>
      </c>
      <c r="CZ72" s="5">
        <f t="shared" si="51"/>
        <v>13.5</v>
      </c>
      <c r="DA72" s="258">
        <f>Table1[[#This Row],[OriginalDispatch]]-Table1[[#This Row],[QuickPayCharge]]</f>
        <v>36.5</v>
      </c>
      <c r="DB72" s="5">
        <v>0</v>
      </c>
      <c r="DC72" s="5" t="s">
        <v>133</v>
      </c>
      <c r="DD72" s="104">
        <f t="shared" si="52"/>
        <v>42244</v>
      </c>
      <c r="DE72" s="15">
        <f>MONTH(Table1[[#This Row],[Weekending]])</f>
        <v>8</v>
      </c>
      <c r="DF72" s="15">
        <f>YEAR(Table1[[#This Row],[Weekending]])</f>
        <v>2015</v>
      </c>
      <c r="DG72" s="4"/>
    </row>
    <row r="73" spans="1:111">
      <c r="A73" s="20" t="str">
        <f t="shared" si="34"/>
        <v>68267549</v>
      </c>
      <c r="B73" s="146">
        <v>42241</v>
      </c>
      <c r="C73" s="144">
        <v>180100468</v>
      </c>
      <c r="D73" s="298" t="s">
        <v>111</v>
      </c>
      <c r="E73" s="298">
        <v>2</v>
      </c>
      <c r="F73" s="298" t="str">
        <f>INDEX(BrokerTBL!$B:$B,MATCH(D73,BrokerTBL!$A:$A,0))</f>
        <v>P.O. Box 3474</v>
      </c>
      <c r="G73" s="298" t="str">
        <f>INDEX(BrokerTBL!$C:$C,MATCH(D73,BrokerTBL!$A:$A,0))</f>
        <v>Chicago</v>
      </c>
      <c r="H73" s="298" t="str">
        <f>INDEX(BrokerTBL!$D:$D,MATCH(D73,BrokerTBL!$A:$A,0))</f>
        <v>Il</v>
      </c>
      <c r="I73" s="298" t="str">
        <f>INDEX(BrokerTBL!$E:$E,MATCH(D73,BrokerTBL!$A:$A,0))</f>
        <v>US</v>
      </c>
      <c r="J73" s="298">
        <f>INDEX(BrokerTBL!$F:$F,MATCH(D73,BrokerTBL!$A:$A,0))</f>
        <v>60654</v>
      </c>
      <c r="K73" s="298" t="s">
        <v>713</v>
      </c>
      <c r="L73" s="145">
        <v>46526</v>
      </c>
      <c r="M73" s="146">
        <v>42241</v>
      </c>
      <c r="N73" s="144" t="s">
        <v>714</v>
      </c>
      <c r="O73" s="298" t="s">
        <v>715</v>
      </c>
      <c r="P73" s="298" t="s">
        <v>438</v>
      </c>
      <c r="Q73" s="298" t="s">
        <v>139</v>
      </c>
      <c r="R73" s="298">
        <v>94080</v>
      </c>
      <c r="S73" s="298" t="s">
        <v>118</v>
      </c>
      <c r="T73" s="298" t="s">
        <v>716</v>
      </c>
      <c r="U73" s="298" t="s">
        <v>120</v>
      </c>
      <c r="V73" s="298">
        <v>53</v>
      </c>
      <c r="W73" s="298" t="s">
        <v>717</v>
      </c>
      <c r="X73" s="144">
        <v>42000</v>
      </c>
      <c r="Y73" s="298" t="s">
        <v>26</v>
      </c>
      <c r="Z73" s="298">
        <v>0</v>
      </c>
      <c r="AA73" s="298">
        <v>22</v>
      </c>
      <c r="AB73" s="298" t="s">
        <v>123</v>
      </c>
      <c r="AC73" s="298" t="s">
        <v>718</v>
      </c>
      <c r="AD73" s="145">
        <v>22775</v>
      </c>
      <c r="AE73" s="146">
        <v>42242</v>
      </c>
      <c r="AF73" s="182">
        <v>0.4375</v>
      </c>
      <c r="AG73" s="298" t="s">
        <v>719</v>
      </c>
      <c r="AH73" s="298" t="s">
        <v>263</v>
      </c>
      <c r="AI73" s="298" t="s">
        <v>264</v>
      </c>
      <c r="AJ73" s="298">
        <v>89434</v>
      </c>
      <c r="AK73" s="298" t="s">
        <v>118</v>
      </c>
      <c r="AL73" s="298" t="s">
        <v>720</v>
      </c>
      <c r="AM73" s="142" t="str">
        <f>INDEX(CarrierDriverTBL!$B:$B,MATCH(Table1[[#This Row],[DriverID]],CarrierDriverTBL!$A:$A,0))</f>
        <v>UBTrucking</v>
      </c>
      <c r="AN73" s="10" t="s">
        <v>192</v>
      </c>
      <c r="AO73" s="142" t="str">
        <f>INDEX(CarrierDriverTBL!$C:$C,MATCH(Table1[[#This Row],[DriverID]],CarrierDriverTBL!$A:$A,0))</f>
        <v>Albel</v>
      </c>
      <c r="AP73" s="142" t="str">
        <f>INDEX(CarrierDriverTBL!$D:$D,MATCH(Table1[[#This Row],[DriverID]],CarrierDriverTBL!$A:$A,0))</f>
        <v>Chahil</v>
      </c>
      <c r="AQ73" s="142" t="str">
        <f>INDEX(CarrierDriverTBL!$X:$X,MATCH(Table1[[#This Row],[DriverID]],CarrierDriverTBL!$A:$A,0))</f>
        <v>A8390649</v>
      </c>
      <c r="AR73" s="160">
        <f>INDEX(CarrierDriverTBL!$Y:$Y,MATCH(Table1[[#This Row],[DriverID]],CarrierDriverTBL!$A:$A,0))</f>
        <v>42402</v>
      </c>
      <c r="AS73" s="142" t="str">
        <f t="shared" si="35"/>
        <v>GOOD</v>
      </c>
      <c r="AT73" s="160">
        <f>INDEX(CarrierDriverTBL!$E:$E,MATCH(Table1[[#This Row],[DriverID]],CarrierDriverTBL!$A:$A,0))</f>
        <v>22314</v>
      </c>
      <c r="AU73" s="163">
        <f ca="1">INDEX(CarrierDriverTBL!$F:$F,MATCH(Table1[[#This Row],[DriverID]],CarrierDriverTBL!$A:$A,0))</f>
        <v>55.512328767123286</v>
      </c>
      <c r="AV73" s="142" t="str">
        <f>INDEX(CarrierDriverTBL!$K:$K,MATCH(Table1[[#This Row],[DriverID]],CarrierDriverTBL!$A:$A,0))</f>
        <v>510-773-9450</v>
      </c>
      <c r="AW73" s="142" t="str">
        <f>INDEX(CarrierDriverTBL!$M:$M,MATCH(Table1[[#This Row],[DriverID]],CarrierDriverTBL!$A:$A,0))</f>
        <v>3124 Cynthia CT</v>
      </c>
      <c r="AX73" s="142" t="str">
        <f>INDEX(CarrierDriverTBL!$N:$N,MATCH(Table1[[#This Row],[DriverID]],CarrierDriverTBL!$A:$A,0))</f>
        <v>Tracy</v>
      </c>
      <c r="AY73" s="142" t="str">
        <f>INDEX(CarrierDriverTBL!$O:$O,MATCH(Table1[[#This Row],[DriverID]],CarrierDriverTBL!$A:$A,0))</f>
        <v>CA</v>
      </c>
      <c r="AZ73" s="142">
        <f>INDEX(CarrierDriverTBL!$P:$P,MATCH(Table1[[#This Row],[DriverID]],CarrierDriverTBL!$A:$A,0))</f>
        <v>95377</v>
      </c>
      <c r="BA73" s="142" t="str">
        <f>INDEX(CarrierDriverTBL!$Q:$Q,MATCH(Table1[[#This Row],[DriverID]],CarrierDriverTBL!$A:$A,0))</f>
        <v>US</v>
      </c>
      <c r="BB73" s="176" t="str">
        <f>INDEX(CarrierDriverTBL!$R:$R,MATCH(Table1[[#This Row],[DriverID]],CarrierDriverTBL!$A:$A,0))</f>
        <v>ubgollc@gmail.com</v>
      </c>
      <c r="BC73" s="160">
        <f>INDEX(CarrierDriverTBL!$AB:$AB,MATCH(Table1[[#This Row],[DriverID]],CarrierDriverTBL!$A:$A,0))</f>
        <v>42167</v>
      </c>
      <c r="BD73" s="142" t="str">
        <f ca="1">INDEX(CarrierDriverTBL!$AD:$AD,MATCH(LoadMaster!$AN:$AN,CarrierDriverTBL!$A:$A,0))</f>
        <v>MISSING</v>
      </c>
      <c r="BE73" s="142">
        <f>INDEX(CarrierDriverTBL!$AE:$AE,MATCH(Table1[DriverID],CarrierDriverTBL!$A:$A,0))</f>
        <v>913971</v>
      </c>
      <c r="BF73" s="142">
        <f>INDEX(CarrierDriverTBL!$AF:$AF,MATCH(Table1[DriverID],CarrierDriverTBL!$A:$A,0))</f>
        <v>2627544</v>
      </c>
      <c r="BG73" s="142">
        <f>INDEX(CarrierDriverTBL!$AG:$AG,MATCH(Table1[DriverID],CarrierDriverTBL!$A:$A,0))</f>
        <v>466133</v>
      </c>
      <c r="BH73" s="142" t="str">
        <f>INDEX(CarrierDriverTBL!$AH:$AH,MATCH(Table1[DriverID],CarrierDriverTBL!$A:$A,0))</f>
        <v>GM Lawrence Ins</v>
      </c>
      <c r="BI73" s="142" t="str">
        <f>INDEX(CarrierDriverTBL!$AI:$AI,MATCH(Table1[DriverID],CarrierDriverTBL!$A:$A,0))</f>
        <v>DSK2842P160210</v>
      </c>
      <c r="BJ73" s="160">
        <f>INDEX(CarrierDriverTBL!$AJ:$AJ,MATCH(Table1[[#This Row],[DriverID]],CarrierDriverTBL!$A:$A,0))</f>
        <v>42778</v>
      </c>
      <c r="BK73" s="10">
        <f t="shared" si="36"/>
        <v>537</v>
      </c>
      <c r="BL73" s="174">
        <v>700</v>
      </c>
      <c r="BM73" s="144">
        <v>275</v>
      </c>
      <c r="BN73" s="159">
        <f t="shared" si="53"/>
        <v>2.5454545454545454</v>
      </c>
      <c r="BO73" s="167">
        <v>650</v>
      </c>
      <c r="BP73" s="159">
        <f t="shared" si="54"/>
        <v>2.3636363636363638</v>
      </c>
      <c r="BQ73" s="133">
        <v>2.7989999999999999</v>
      </c>
      <c r="BR73" s="166">
        <f t="shared" si="55"/>
        <v>0.14983333333333335</v>
      </c>
      <c r="BS73" s="167">
        <f t="shared" si="37"/>
        <v>2.2138030303030303</v>
      </c>
      <c r="BT73" s="159">
        <f t="shared" si="38"/>
        <v>41.204166666666673</v>
      </c>
      <c r="BU73" s="10" t="str">
        <f t="shared" si="39"/>
        <v>Ch Robinson</v>
      </c>
      <c r="BV73" s="15"/>
      <c r="BW73" s="4" t="str">
        <f>Table1[[#This Row],[BrokerAddress]]</f>
        <v>P.O. Box 3474</v>
      </c>
      <c r="BX73" s="4" t="str">
        <f t="shared" si="40"/>
        <v>Chicago</v>
      </c>
      <c r="BY73" s="4" t="str">
        <f t="shared" si="41"/>
        <v>Il</v>
      </c>
      <c r="BZ73" s="4">
        <f t="shared" si="42"/>
        <v>60654</v>
      </c>
      <c r="CA73" s="10" t="str">
        <f t="shared" si="43"/>
        <v>US</v>
      </c>
      <c r="CB73" s="15" t="s">
        <v>131</v>
      </c>
      <c r="CC73" s="62"/>
      <c r="CD73" s="15" t="s">
        <v>132</v>
      </c>
      <c r="CE73" s="64">
        <v>0</v>
      </c>
      <c r="CF73" s="4">
        <v>0</v>
      </c>
      <c r="CG73" s="132">
        <f t="shared" si="44"/>
        <v>0</v>
      </c>
      <c r="CH73" s="4" t="s">
        <v>132</v>
      </c>
      <c r="CI73" s="5">
        <v>0</v>
      </c>
      <c r="CJ73" s="4">
        <v>0</v>
      </c>
      <c r="CK73" s="132">
        <f t="shared" si="45"/>
        <v>0</v>
      </c>
      <c r="CL73" s="4" t="s">
        <v>132</v>
      </c>
      <c r="CM73" s="5">
        <v>0</v>
      </c>
      <c r="CN73" s="4">
        <v>0</v>
      </c>
      <c r="CO73" s="132">
        <f t="shared" si="46"/>
        <v>0</v>
      </c>
      <c r="CP73" s="4" t="s">
        <v>132</v>
      </c>
      <c r="CQ73" s="5">
        <v>0</v>
      </c>
      <c r="CR73" s="4">
        <v>0</v>
      </c>
      <c r="CS73" s="132">
        <f t="shared" si="47"/>
        <v>0</v>
      </c>
      <c r="CT73" s="159">
        <f t="shared" si="48"/>
        <v>0</v>
      </c>
      <c r="CU73" s="168">
        <f t="shared" si="49"/>
        <v>700</v>
      </c>
      <c r="CV73" s="183">
        <f>(100*CT73)/100</f>
        <v>0</v>
      </c>
      <c r="CW73" s="82">
        <f t="shared" si="33"/>
        <v>650</v>
      </c>
      <c r="CX73" s="79">
        <f>IF(ISBLANK(E73),"AddQuickPay",IF(E73=2,CU73*0.98,IF(E73=2.4,CU73*0.976,IF(E73=3,CU73*0.97,IF(E73=5,CU73*0.95,IF(E73=1.5,CU73*0.985,IF(E73=2.5,CU73*0.975,IF(E73=1.3,CU73*0.987,IF(E73=1,CU73*0.99,IF(E73=4,CU73*0.96,CU73*1))))))))))-Table1[[#This Row],[ComCheck+QuickPayFee]]</f>
        <v>686</v>
      </c>
      <c r="CY73" s="5">
        <f t="shared" si="50"/>
        <v>50</v>
      </c>
      <c r="CZ73" s="5">
        <f t="shared" si="51"/>
        <v>14</v>
      </c>
      <c r="DA73" s="258">
        <f>Table1[[#This Row],[OriginalDispatch]]-Table1[[#This Row],[QuickPayCharge]]</f>
        <v>36</v>
      </c>
      <c r="DB73" s="5">
        <v>0</v>
      </c>
      <c r="DC73" s="5" t="s">
        <v>133</v>
      </c>
      <c r="DD73" s="104">
        <f t="shared" si="52"/>
        <v>42244</v>
      </c>
      <c r="DE73" s="15">
        <f>MONTH(Table1[[#This Row],[Weekending]])</f>
        <v>8</v>
      </c>
      <c r="DF73" s="15">
        <f>YEAR(Table1[[#This Row],[Weekending]])</f>
        <v>2015</v>
      </c>
      <c r="DG73" s="29" t="s">
        <v>647</v>
      </c>
    </row>
    <row r="74" spans="1:111">
      <c r="A74" s="20" t="str">
        <f t="shared" si="34"/>
        <v>36833449</v>
      </c>
      <c r="B74" s="146">
        <v>42242</v>
      </c>
      <c r="C74" s="144">
        <v>87836</v>
      </c>
      <c r="D74" s="298" t="s">
        <v>455</v>
      </c>
      <c r="E74" s="144">
        <v>0</v>
      </c>
      <c r="F74" s="15" t="str">
        <f>INDEX(BrokerTBL!$B:$B,MATCH(D74,BrokerTBL!$A:$A,0))</f>
        <v>5600 Headquarters Drive C2D11</v>
      </c>
      <c r="G74" s="298" t="str">
        <f>INDEX(BrokerTBL!$C:$C,MATCH(D74,BrokerTBL!$A:$A,0))</f>
        <v>Plano</v>
      </c>
      <c r="H74" s="298" t="str">
        <f>INDEX(BrokerTBL!$D:$D,MATCH(D74,BrokerTBL!$A:$A,0))</f>
        <v>Tx</v>
      </c>
      <c r="I74" s="298" t="str">
        <f>INDEX(BrokerTBL!$E:$E,MATCH(D74,BrokerTBL!$A:$A,0))</f>
        <v>US</v>
      </c>
      <c r="J74" s="298">
        <f>INDEX(BrokerTBL!$F:$F,MATCH(D74,BrokerTBL!$A:$A,0))</f>
        <v>75024</v>
      </c>
      <c r="K74" s="298" t="s">
        <v>456</v>
      </c>
      <c r="L74" s="145">
        <v>663083</v>
      </c>
      <c r="M74" s="146">
        <v>42242</v>
      </c>
      <c r="N74" s="182">
        <v>0.64583333333333304</v>
      </c>
      <c r="O74" s="298" t="s">
        <v>457</v>
      </c>
      <c r="P74" s="298" t="s">
        <v>458</v>
      </c>
      <c r="Q74" s="298" t="s">
        <v>139</v>
      </c>
      <c r="R74" s="298">
        <v>95654</v>
      </c>
      <c r="S74" s="298" t="s">
        <v>118</v>
      </c>
      <c r="T74" s="298" t="s">
        <v>459</v>
      </c>
      <c r="U74" s="298" t="s">
        <v>120</v>
      </c>
      <c r="V74" s="298">
        <v>53</v>
      </c>
      <c r="W74" s="298" t="s">
        <v>136</v>
      </c>
      <c r="X74" s="144">
        <v>45302</v>
      </c>
      <c r="Y74" s="298" t="s">
        <v>721</v>
      </c>
      <c r="Z74" s="298">
        <v>28</v>
      </c>
      <c r="AA74" s="298" t="s">
        <v>123</v>
      </c>
      <c r="AB74" s="298" t="s">
        <v>123</v>
      </c>
      <c r="AC74" s="298" t="s">
        <v>460</v>
      </c>
      <c r="AD74" s="145">
        <v>300034</v>
      </c>
      <c r="AE74" s="146">
        <v>42243</v>
      </c>
      <c r="AF74" s="182">
        <v>0.46597222222222201</v>
      </c>
      <c r="AG74" s="298" t="s">
        <v>461</v>
      </c>
      <c r="AH74" s="298" t="s">
        <v>462</v>
      </c>
      <c r="AI74" s="298" t="s">
        <v>139</v>
      </c>
      <c r="AJ74" s="298">
        <v>93227</v>
      </c>
      <c r="AK74" s="298" t="s">
        <v>118</v>
      </c>
      <c r="AL74" s="298" t="s">
        <v>463</v>
      </c>
      <c r="AM74" s="142" t="str">
        <f>INDEX(CarrierDriverTBL!$B:$B,MATCH(Table1[[#This Row],[DriverID]],CarrierDriverTBL!$A:$A,0))</f>
        <v>UBTrucking</v>
      </c>
      <c r="AN74" s="10" t="s">
        <v>192</v>
      </c>
      <c r="AO74" s="142" t="str">
        <f>INDEX(CarrierDriverTBL!$C:$C,MATCH(Table1[[#This Row],[DriverID]],CarrierDriverTBL!$A:$A,0))</f>
        <v>Albel</v>
      </c>
      <c r="AP74" s="142" t="str">
        <f>INDEX(CarrierDriverTBL!$D:$D,MATCH(Table1[[#This Row],[DriverID]],CarrierDriverTBL!$A:$A,0))</f>
        <v>Chahil</v>
      </c>
      <c r="AQ74" s="142" t="str">
        <f>INDEX(CarrierDriverTBL!$X:$X,MATCH(Table1[[#This Row],[DriverID]],CarrierDriverTBL!$A:$A,0))</f>
        <v>A8390649</v>
      </c>
      <c r="AR74" s="160">
        <f>INDEX(CarrierDriverTBL!$Y:$Y,MATCH(Table1[[#This Row],[DriverID]],CarrierDriverTBL!$A:$A,0))</f>
        <v>42402</v>
      </c>
      <c r="AS74" s="142" t="str">
        <f t="shared" si="35"/>
        <v>GOOD</v>
      </c>
      <c r="AT74" s="160">
        <f>INDEX(CarrierDriverTBL!$E:$E,MATCH(Table1[[#This Row],[DriverID]],CarrierDriverTBL!$A:$A,0))</f>
        <v>22314</v>
      </c>
      <c r="AU74" s="163">
        <f ca="1">INDEX(CarrierDriverTBL!$F:$F,MATCH(Table1[[#This Row],[DriverID]],CarrierDriverTBL!$A:$A,0))</f>
        <v>55.512328767123286</v>
      </c>
      <c r="AV74" s="142" t="str">
        <f>INDEX(CarrierDriverTBL!$K:$K,MATCH(Table1[[#This Row],[DriverID]],CarrierDriverTBL!$A:$A,0))</f>
        <v>510-773-9450</v>
      </c>
      <c r="AW74" s="142" t="str">
        <f>INDEX(CarrierDriverTBL!$M:$M,MATCH(Table1[[#This Row],[DriverID]],CarrierDriverTBL!$A:$A,0))</f>
        <v>3124 Cynthia CT</v>
      </c>
      <c r="AX74" s="142" t="str">
        <f>INDEX(CarrierDriverTBL!$N:$N,MATCH(Table1[[#This Row],[DriverID]],CarrierDriverTBL!$A:$A,0))</f>
        <v>Tracy</v>
      </c>
      <c r="AY74" s="142" t="str">
        <f>INDEX(CarrierDriverTBL!$O:$O,MATCH(Table1[[#This Row],[DriverID]],CarrierDriverTBL!$A:$A,0))</f>
        <v>CA</v>
      </c>
      <c r="AZ74" s="142">
        <f>INDEX(CarrierDriverTBL!$P:$P,MATCH(Table1[[#This Row],[DriverID]],CarrierDriverTBL!$A:$A,0))</f>
        <v>95377</v>
      </c>
      <c r="BA74" s="142" t="str">
        <f>INDEX(CarrierDriverTBL!$Q:$Q,MATCH(Table1[[#This Row],[DriverID]],CarrierDriverTBL!$A:$A,0))</f>
        <v>US</v>
      </c>
      <c r="BB74" s="176" t="str">
        <f>INDEX(CarrierDriverTBL!$R:$R,MATCH(Table1[[#This Row],[DriverID]],CarrierDriverTBL!$A:$A,0))</f>
        <v>ubgollc@gmail.com</v>
      </c>
      <c r="BC74" s="160">
        <f>INDEX(CarrierDriverTBL!$AB:$AB,MATCH(Table1[[#This Row],[DriverID]],CarrierDriverTBL!$A:$A,0))</f>
        <v>42167</v>
      </c>
      <c r="BD74" s="142" t="str">
        <f ca="1">INDEX(CarrierDriverTBL!$AD:$AD,MATCH(LoadMaster!$AN:$AN,CarrierDriverTBL!$A:$A,0))</f>
        <v>MISSING</v>
      </c>
      <c r="BE74" s="142">
        <f>INDEX(CarrierDriverTBL!$AE:$AE,MATCH(Table1[DriverID],CarrierDriverTBL!$A:$A,0))</f>
        <v>913971</v>
      </c>
      <c r="BF74" s="142">
        <f>INDEX(CarrierDriverTBL!$AF:$AF,MATCH(Table1[DriverID],CarrierDriverTBL!$A:$A,0))</f>
        <v>2627544</v>
      </c>
      <c r="BG74" s="142">
        <f>INDEX(CarrierDriverTBL!$AG:$AG,MATCH(Table1[DriverID],CarrierDriverTBL!$A:$A,0))</f>
        <v>466133</v>
      </c>
      <c r="BH74" s="142" t="str">
        <f>INDEX(CarrierDriverTBL!$AH:$AH,MATCH(Table1[DriverID],CarrierDriverTBL!$A:$A,0))</f>
        <v>GM Lawrence Ins</v>
      </c>
      <c r="BI74" s="142" t="str">
        <f>INDEX(CarrierDriverTBL!$AI:$AI,MATCH(Table1[DriverID],CarrierDriverTBL!$A:$A,0))</f>
        <v>DSK2842P160210</v>
      </c>
      <c r="BJ74" s="160">
        <f>INDEX(CarrierDriverTBL!$AJ:$AJ,MATCH(Table1[[#This Row],[DriverID]],CarrierDriverTBL!$A:$A,0))</f>
        <v>42778</v>
      </c>
      <c r="BK74" s="10">
        <f t="shared" si="36"/>
        <v>536</v>
      </c>
      <c r="BL74" s="174">
        <v>650</v>
      </c>
      <c r="BM74" s="144">
        <v>198</v>
      </c>
      <c r="BN74" s="159">
        <f t="shared" si="53"/>
        <v>3.2828282828282829</v>
      </c>
      <c r="BO74" s="167">
        <v>600</v>
      </c>
      <c r="BP74" s="159">
        <f t="shared" si="54"/>
        <v>3.0303030303030303</v>
      </c>
      <c r="BQ74" s="133">
        <v>2.7989999999999999</v>
      </c>
      <c r="BR74" s="166">
        <f t="shared" si="55"/>
        <v>0.14983333333333335</v>
      </c>
      <c r="BS74" s="167">
        <f t="shared" si="37"/>
        <v>2.8804696969696968</v>
      </c>
      <c r="BT74" s="159">
        <f t="shared" si="38"/>
        <v>29.667000000000002</v>
      </c>
      <c r="BU74" s="10" t="str">
        <f t="shared" si="39"/>
        <v>Pepsi Logistics Company Inc</v>
      </c>
      <c r="BV74" s="15"/>
      <c r="BW74" s="4" t="str">
        <f>Table1[[#This Row],[BrokerAddress]]</f>
        <v>5600 Headquarters Drive C2D11</v>
      </c>
      <c r="BX74" s="4" t="str">
        <f t="shared" si="40"/>
        <v>Plano</v>
      </c>
      <c r="BY74" s="4" t="str">
        <f t="shared" si="41"/>
        <v>Tx</v>
      </c>
      <c r="BZ74" s="4">
        <f t="shared" si="42"/>
        <v>75024</v>
      </c>
      <c r="CA74" s="10" t="str">
        <f t="shared" si="43"/>
        <v>US</v>
      </c>
      <c r="CB74" s="15" t="s">
        <v>131</v>
      </c>
      <c r="CC74" s="62"/>
      <c r="CD74" s="15" t="s">
        <v>132</v>
      </c>
      <c r="CE74" s="64">
        <v>0</v>
      </c>
      <c r="CF74" s="4">
        <v>0</v>
      </c>
      <c r="CG74" s="132">
        <f t="shared" si="44"/>
        <v>0</v>
      </c>
      <c r="CH74" s="4" t="s">
        <v>132</v>
      </c>
      <c r="CI74" s="5">
        <v>0</v>
      </c>
      <c r="CJ74" s="4">
        <v>0</v>
      </c>
      <c r="CK74" s="132">
        <f t="shared" si="45"/>
        <v>0</v>
      </c>
      <c r="CL74" s="4" t="s">
        <v>132</v>
      </c>
      <c r="CM74" s="5">
        <v>0</v>
      </c>
      <c r="CN74" s="4">
        <v>0</v>
      </c>
      <c r="CO74" s="132">
        <f t="shared" si="46"/>
        <v>0</v>
      </c>
      <c r="CP74" s="4" t="s">
        <v>132</v>
      </c>
      <c r="CQ74" s="5">
        <v>0</v>
      </c>
      <c r="CR74" s="4">
        <v>0</v>
      </c>
      <c r="CS74" s="132">
        <f t="shared" si="47"/>
        <v>0</v>
      </c>
      <c r="CT74" s="159">
        <f t="shared" si="48"/>
        <v>0</v>
      </c>
      <c r="CU74" s="168">
        <f t="shared" si="49"/>
        <v>650</v>
      </c>
      <c r="CV74" s="183">
        <f>(100*CT74)/100</f>
        <v>0</v>
      </c>
      <c r="CW74" s="82">
        <f t="shared" si="33"/>
        <v>600</v>
      </c>
      <c r="CX74" s="79">
        <f>IF(ISBLANK(E74),"AddQuickPay",IF(E74=2,CU74*0.98,IF(E74=2.4,CU74*0.976,IF(E74=3,CU74*0.97,IF(E74=5,CU74*0.95,IF(E74=1.5,CU74*0.985,IF(E74=2.5,CU74*0.975,IF(E74=1.3,CU74*0.987,IF(E74=1,CU74*0.99,IF(E74=4,CU74*0.96,CU74*1))))))))))-Table1[[#This Row],[ComCheck+QuickPayFee]]</f>
        <v>650</v>
      </c>
      <c r="CY74" s="5">
        <f t="shared" si="50"/>
        <v>50</v>
      </c>
      <c r="CZ74" s="5">
        <f t="shared" si="51"/>
        <v>0</v>
      </c>
      <c r="DA74" s="258">
        <f>Table1[[#This Row],[OriginalDispatch]]-Table1[[#This Row],[QuickPayCharge]]</f>
        <v>50</v>
      </c>
      <c r="DB74" s="5">
        <v>0</v>
      </c>
      <c r="DC74" s="5" t="s">
        <v>133</v>
      </c>
      <c r="DD74" s="104">
        <f t="shared" si="52"/>
        <v>42244</v>
      </c>
      <c r="DE74" s="15">
        <f>MONTH(Table1[[#This Row],[Weekending]])</f>
        <v>8</v>
      </c>
      <c r="DF74" s="15">
        <f>YEAR(Table1[[#This Row],[Weekending]])</f>
        <v>2015</v>
      </c>
      <c r="DG74" s="4"/>
    </row>
    <row r="75" spans="1:111">
      <c r="A75" s="20" t="str">
        <f t="shared" si="34"/>
        <v>48897116</v>
      </c>
      <c r="B75" s="146">
        <v>42242</v>
      </c>
      <c r="C75" s="144">
        <v>87248</v>
      </c>
      <c r="D75" s="298" t="s">
        <v>455</v>
      </c>
      <c r="E75" s="144">
        <v>0</v>
      </c>
      <c r="F75" s="15" t="str">
        <f>INDEX(BrokerTBL!$B:$B,MATCH(D75,BrokerTBL!$A:$A,0))</f>
        <v>5600 Headquarters Drive C2D11</v>
      </c>
      <c r="G75" s="298" t="str">
        <f>INDEX(BrokerTBL!$C:$C,MATCH(D75,BrokerTBL!$A:$A,0))</f>
        <v>Plano</v>
      </c>
      <c r="H75" s="298" t="str">
        <f>INDEX(BrokerTBL!$D:$D,MATCH(D75,BrokerTBL!$A:$A,0))</f>
        <v>Tx</v>
      </c>
      <c r="I75" s="298" t="str">
        <f>INDEX(BrokerTBL!$E:$E,MATCH(D75,BrokerTBL!$A:$A,0))</f>
        <v>US</v>
      </c>
      <c r="J75" s="298">
        <f>INDEX(BrokerTBL!$F:$F,MATCH(D75,BrokerTBL!$A:$A,0))</f>
        <v>75024</v>
      </c>
      <c r="K75" s="298" t="s">
        <v>722</v>
      </c>
      <c r="L75" s="145">
        <v>1015516389</v>
      </c>
      <c r="M75" s="146">
        <v>42242</v>
      </c>
      <c r="N75" s="182">
        <v>0.50833333333333297</v>
      </c>
      <c r="O75" s="298" t="s">
        <v>723</v>
      </c>
      <c r="P75" s="298" t="s">
        <v>263</v>
      </c>
      <c r="Q75" s="298" t="s">
        <v>264</v>
      </c>
      <c r="R75" s="298">
        <v>89434</v>
      </c>
      <c r="S75" s="298" t="s">
        <v>118</v>
      </c>
      <c r="T75" s="298" t="s">
        <v>724</v>
      </c>
      <c r="U75" s="298" t="s">
        <v>120</v>
      </c>
      <c r="V75" s="298">
        <v>53</v>
      </c>
      <c r="W75" s="298" t="s">
        <v>136</v>
      </c>
      <c r="X75" s="144">
        <v>27863</v>
      </c>
      <c r="Y75" s="298" t="s">
        <v>123</v>
      </c>
      <c r="Z75" s="298" t="s">
        <v>123</v>
      </c>
      <c r="AA75" s="298" t="s">
        <v>123</v>
      </c>
      <c r="AB75" s="298" t="s">
        <v>123</v>
      </c>
      <c r="AC75" s="298" t="s">
        <v>725</v>
      </c>
      <c r="AD75" s="145">
        <v>826756071</v>
      </c>
      <c r="AE75" s="146">
        <v>42242</v>
      </c>
      <c r="AF75" s="182">
        <v>0.875</v>
      </c>
      <c r="AG75" s="298" t="s">
        <v>379</v>
      </c>
      <c r="AH75" s="298" t="s">
        <v>380</v>
      </c>
      <c r="AI75" s="298" t="s">
        <v>139</v>
      </c>
      <c r="AJ75" s="298">
        <v>95376</v>
      </c>
      <c r="AK75" s="298" t="s">
        <v>118</v>
      </c>
      <c r="AL75" s="298" t="s">
        <v>726</v>
      </c>
      <c r="AM75" s="171" t="str">
        <f>INDEX(CarrierDriverTBL!$B:$B,MATCH(Table1[[#This Row],[DriverID]],CarrierDriverTBL!$A:$A,0))</f>
        <v>UBTrucking</v>
      </c>
      <c r="AN75" s="10" t="s">
        <v>663</v>
      </c>
      <c r="AO75" s="142" t="str">
        <f>INDEX(CarrierDriverTBL!$C:$C,MATCH(Table1[[#This Row],[DriverID]],CarrierDriverTBL!$A:$A,0))</f>
        <v>Christopher J.</v>
      </c>
      <c r="AP75" s="142" t="str">
        <f>INDEX(CarrierDriverTBL!$D:$D,MATCH(Table1[[#This Row],[DriverID]],CarrierDriverTBL!$A:$A,0))</f>
        <v>Vanoss</v>
      </c>
      <c r="AQ75" s="142" t="str">
        <f>INDEX(CarrierDriverTBL!$X:$X,MATCH(Table1[[#This Row],[DriverID]],CarrierDriverTBL!$A:$A,0))</f>
        <v>C6568516</v>
      </c>
      <c r="AR75" s="160">
        <f>INDEX(CarrierDriverTBL!$Y:$Y,MATCH(Table1[[#This Row],[DriverID]],CarrierDriverTBL!$A:$A,0))</f>
        <v>43568</v>
      </c>
      <c r="AS75" s="142" t="str">
        <f t="shared" si="35"/>
        <v>GOOD</v>
      </c>
      <c r="AT75" s="160">
        <f>INDEX(CarrierDriverTBL!$E:$E,MATCH(Table1[[#This Row],[DriverID]],CarrierDriverTBL!$A:$A,0))</f>
        <v>25306</v>
      </c>
      <c r="AU75" s="163">
        <f ca="1">INDEX(CarrierDriverTBL!$F:$F,MATCH(Table1[[#This Row],[DriverID]],CarrierDriverTBL!$A:$A,0))</f>
        <v>47.315068493150683</v>
      </c>
      <c r="AV75" s="142" t="str">
        <f>INDEX(CarrierDriverTBL!$K:$K,MATCH(Table1[[#This Row],[DriverID]],CarrierDriverTBL!$A:$A,0))</f>
        <v>209-993-1286</v>
      </c>
      <c r="AW75" s="142" t="str">
        <f>INDEX(CarrierDriverTBL!$M:$M,MATCH(Table1[[#This Row],[DriverID]],CarrierDriverTBL!$A:$A,0))</f>
        <v>1044 Rivara RD # 106</v>
      </c>
      <c r="AX75" s="142" t="str">
        <f>INDEX(CarrierDriverTBL!$N:$N,MATCH(Table1[[#This Row],[DriverID]],CarrierDriverTBL!$A:$A,0))</f>
        <v>Stockton</v>
      </c>
      <c r="AY75" s="142" t="str">
        <f>INDEX(CarrierDriverTBL!$O:$O,MATCH(Table1[[#This Row],[DriverID]],CarrierDriverTBL!$A:$A,0))</f>
        <v>CA</v>
      </c>
      <c r="AZ75" s="142">
        <f>INDEX(CarrierDriverTBL!$P:$P,MATCH(Table1[[#This Row],[DriverID]],CarrierDriverTBL!$A:$A,0))</f>
        <v>95219</v>
      </c>
      <c r="BA75" s="142" t="str">
        <f>INDEX(CarrierDriverTBL!$Q:$Q,MATCH(Table1[[#This Row],[DriverID]],CarrierDriverTBL!$A:$A,0))</f>
        <v>US</v>
      </c>
      <c r="BB75" s="176" t="str">
        <f>INDEX(CarrierDriverTBL!$R:$R,MATCH(Table1[[#This Row],[DriverID]],CarrierDriverTBL!$A:$A,0))</f>
        <v xml:space="preserve">cvanoss@live.com </v>
      </c>
      <c r="BC75" s="160">
        <f>INDEX(CarrierDriverTBL!$AB:$AB,MATCH(Table1[[#This Row],[DriverID]],CarrierDriverTBL!$A:$A,0))</f>
        <v>42231</v>
      </c>
      <c r="BD75" s="142" t="str">
        <f ca="1">INDEX(CarrierDriverTBL!$AD:$AD,MATCH(LoadMaster!$AN:$AN,CarrierDriverTBL!$A:$A,0))</f>
        <v>MISSING</v>
      </c>
      <c r="BE75" s="142">
        <f>INDEX(CarrierDriverTBL!$AE:$AE,MATCH(Table1[DriverID],CarrierDriverTBL!$A:$A,0))</f>
        <v>913971</v>
      </c>
      <c r="BF75" s="142">
        <f>INDEX(CarrierDriverTBL!$AF:$AF,MATCH(Table1[DriverID],CarrierDriverTBL!$A:$A,0))</f>
        <v>2627544</v>
      </c>
      <c r="BG75" s="142">
        <f>INDEX(CarrierDriverTBL!$AG:$AG,MATCH(Table1[DriverID],CarrierDriverTBL!$A:$A,0))</f>
        <v>466133</v>
      </c>
      <c r="BH75" s="142" t="str">
        <f>INDEX(CarrierDriverTBL!$AH:$AH,MATCH(Table1[DriverID],CarrierDriverTBL!$A:$A,0))</f>
        <v>GM Lawrence Ins</v>
      </c>
      <c r="BI75" s="142" t="str">
        <f>INDEX(CarrierDriverTBL!$AI:$AI,MATCH(Table1[DriverID],CarrierDriverTBL!$A:$A,0))</f>
        <v>DSK2842P160210</v>
      </c>
      <c r="BJ75" s="160">
        <f>INDEX(CarrierDriverTBL!$AJ:$AJ,MATCH(Table1[[#This Row],[DriverID]],CarrierDriverTBL!$A:$A,0))</f>
        <v>42778</v>
      </c>
      <c r="BK75" s="10">
        <f t="shared" si="36"/>
        <v>536</v>
      </c>
      <c r="BL75" s="174">
        <v>600</v>
      </c>
      <c r="BM75" s="144">
        <v>215</v>
      </c>
      <c r="BN75" s="159">
        <f t="shared" si="53"/>
        <v>2.7906976744186047</v>
      </c>
      <c r="BO75" s="167">
        <v>540</v>
      </c>
      <c r="BP75" s="159">
        <f t="shared" si="54"/>
        <v>2.5116279069767442</v>
      </c>
      <c r="BQ75" s="133">
        <v>2.7989999999999999</v>
      </c>
      <c r="BR75" s="166">
        <f t="shared" si="55"/>
        <v>0.14983333333333335</v>
      </c>
      <c r="BS75" s="167">
        <f t="shared" si="37"/>
        <v>2.3617945736434107</v>
      </c>
      <c r="BT75" s="159">
        <f t="shared" si="38"/>
        <v>32.214166666666671</v>
      </c>
      <c r="BU75" s="10" t="str">
        <f t="shared" si="39"/>
        <v>Pepsi Logistics Company Inc</v>
      </c>
      <c r="BV75" s="15"/>
      <c r="BW75" s="4" t="str">
        <f>Table1[[#This Row],[BrokerAddress]]</f>
        <v>5600 Headquarters Drive C2D11</v>
      </c>
      <c r="BX75" s="4" t="str">
        <f t="shared" si="40"/>
        <v>Plano</v>
      </c>
      <c r="BY75" s="4" t="str">
        <f t="shared" si="41"/>
        <v>Tx</v>
      </c>
      <c r="BZ75" s="4">
        <f t="shared" si="42"/>
        <v>75024</v>
      </c>
      <c r="CA75" s="10" t="str">
        <f t="shared" si="43"/>
        <v>US</v>
      </c>
      <c r="CB75" s="15" t="s">
        <v>131</v>
      </c>
      <c r="CC75" s="62"/>
      <c r="CD75" s="15" t="s">
        <v>382</v>
      </c>
      <c r="CE75" s="64">
        <v>169</v>
      </c>
      <c r="CF75" s="4">
        <v>1</v>
      </c>
      <c r="CG75" s="132">
        <f t="shared" si="44"/>
        <v>169</v>
      </c>
      <c r="CH75" s="4" t="s">
        <v>132</v>
      </c>
      <c r="CI75" s="5">
        <v>0</v>
      </c>
      <c r="CJ75" s="4">
        <v>0</v>
      </c>
      <c r="CK75" s="132">
        <f t="shared" si="45"/>
        <v>0</v>
      </c>
      <c r="CL75" s="4" t="s">
        <v>132</v>
      </c>
      <c r="CM75" s="5">
        <v>0</v>
      </c>
      <c r="CN75" s="4">
        <v>0</v>
      </c>
      <c r="CO75" s="132">
        <f t="shared" si="46"/>
        <v>0</v>
      </c>
      <c r="CP75" s="4" t="s">
        <v>132</v>
      </c>
      <c r="CQ75" s="5">
        <v>0</v>
      </c>
      <c r="CR75" s="4">
        <v>0</v>
      </c>
      <c r="CS75" s="132">
        <f t="shared" si="47"/>
        <v>0</v>
      </c>
      <c r="CT75" s="159">
        <f t="shared" si="48"/>
        <v>169</v>
      </c>
      <c r="CU75" s="168">
        <f t="shared" si="49"/>
        <v>769</v>
      </c>
      <c r="CV75" s="183">
        <v>0</v>
      </c>
      <c r="CW75" s="82">
        <f t="shared" si="33"/>
        <v>540</v>
      </c>
      <c r="CX75" s="79">
        <f>IF(ISBLANK(E75),"AddQuickPay",IF(E75=2,CU75*0.98,IF(E75=2.4,CU75*0.976,IF(E75=3,CU75*0.97,IF(E75=5,CU75*0.95,IF(E75=1.5,CU75*0.985,IF(E75=2.5,CU75*0.975,IF(E75=1.3,CU75*0.987,IF(E75=1,CU75*0.99,IF(E75=4,CU75*0.96,CU75*1))))))))))-Table1[[#This Row],[ComCheck+QuickPayFee]]</f>
        <v>769</v>
      </c>
      <c r="CY75" s="5">
        <f t="shared" si="50"/>
        <v>229</v>
      </c>
      <c r="CZ75" s="5">
        <f t="shared" si="51"/>
        <v>0</v>
      </c>
      <c r="DA75" s="258">
        <f>Table1[[#This Row],[OriginalDispatch]]-Table1[[#This Row],[QuickPayCharge]]</f>
        <v>229</v>
      </c>
      <c r="DB75" s="5">
        <v>0</v>
      </c>
      <c r="DC75" s="5" t="s">
        <v>133</v>
      </c>
      <c r="DD75" s="104">
        <f t="shared" si="52"/>
        <v>42244</v>
      </c>
      <c r="DE75" s="15">
        <f>MONTH(Table1[[#This Row],[Weekending]])</f>
        <v>8</v>
      </c>
      <c r="DF75" s="15">
        <f>YEAR(Table1[[#This Row],[Weekending]])</f>
        <v>2015</v>
      </c>
      <c r="DG75" s="4"/>
    </row>
    <row r="76" spans="1:111">
      <c r="A76" s="20" t="str">
        <f t="shared" si="34"/>
        <v>818149</v>
      </c>
      <c r="B76" s="146">
        <v>42244</v>
      </c>
      <c r="C76" s="144">
        <v>6011581</v>
      </c>
      <c r="D76" s="298" t="s">
        <v>555</v>
      </c>
      <c r="E76" s="298">
        <v>3</v>
      </c>
      <c r="F76" s="298" t="str">
        <f>INDEX(BrokerTBL!$B:$B,MATCH(D76,BrokerTBL!$A:$A,0))</f>
        <v>P.O. Box 799</v>
      </c>
      <c r="G76" s="298" t="str">
        <f>INDEX(BrokerTBL!$C:$C,MATCH(D76,BrokerTBL!$A:$A,0))</f>
        <v>Milford</v>
      </c>
      <c r="H76" s="298" t="str">
        <f>INDEX(BrokerTBL!$D:$D,MATCH(D76,BrokerTBL!$A:$A,0))</f>
        <v>Ohio</v>
      </c>
      <c r="I76" s="298" t="str">
        <f>INDEX(BrokerTBL!$E:$E,MATCH(D76,BrokerTBL!$A:$A,0))</f>
        <v>US</v>
      </c>
      <c r="J76" s="298">
        <f>INDEX(BrokerTBL!$F:$F,MATCH(D76,BrokerTBL!$A:$A,0))</f>
        <v>45150</v>
      </c>
      <c r="K76" s="298" t="s">
        <v>727</v>
      </c>
      <c r="L76" s="145">
        <v>6011581</v>
      </c>
      <c r="M76" s="146">
        <v>42244</v>
      </c>
      <c r="N76" s="162" t="s">
        <v>136</v>
      </c>
      <c r="O76" s="298" t="s">
        <v>728</v>
      </c>
      <c r="P76" s="298" t="s">
        <v>214</v>
      </c>
      <c r="Q76" s="298" t="s">
        <v>139</v>
      </c>
      <c r="R76" s="298">
        <v>93772</v>
      </c>
      <c r="S76" s="298" t="s">
        <v>118</v>
      </c>
      <c r="T76" s="298">
        <v>5592507166</v>
      </c>
      <c r="U76" s="298" t="s">
        <v>120</v>
      </c>
      <c r="V76" s="298">
        <v>53</v>
      </c>
      <c r="W76" s="298" t="s">
        <v>729</v>
      </c>
      <c r="X76" s="144" t="s">
        <v>136</v>
      </c>
      <c r="Y76" s="298" t="s">
        <v>123</v>
      </c>
      <c r="Z76" s="298" t="s">
        <v>123</v>
      </c>
      <c r="AA76" s="298" t="s">
        <v>123</v>
      </c>
      <c r="AB76" s="298" t="s">
        <v>123</v>
      </c>
      <c r="AC76" s="298" t="s">
        <v>730</v>
      </c>
      <c r="AD76" s="145"/>
      <c r="AE76" s="146">
        <v>42247</v>
      </c>
      <c r="AF76" s="416" t="s">
        <v>123</v>
      </c>
      <c r="AG76" s="298" t="s">
        <v>731</v>
      </c>
      <c r="AH76" s="298" t="s">
        <v>732</v>
      </c>
      <c r="AI76" s="298" t="s">
        <v>139</v>
      </c>
      <c r="AJ76" s="298">
        <v>96022</v>
      </c>
      <c r="AK76" s="298" t="s">
        <v>118</v>
      </c>
      <c r="AL76" s="298" t="s">
        <v>733</v>
      </c>
      <c r="AM76" s="142" t="str">
        <f>INDEX(CarrierDriverTBL!$B:$B,MATCH(Table1[[#This Row],[DriverID]],CarrierDriverTBL!$A:$A,0))</f>
        <v>UBTrucking</v>
      </c>
      <c r="AN76" s="10" t="s">
        <v>192</v>
      </c>
      <c r="AO76" s="142" t="str">
        <f>INDEX(CarrierDriverTBL!$C:$C,MATCH(Table1[[#This Row],[DriverID]],CarrierDriverTBL!$A:$A,0))</f>
        <v>Albel</v>
      </c>
      <c r="AP76" s="142" t="str">
        <f>INDEX(CarrierDriverTBL!$D:$D,MATCH(Table1[[#This Row],[DriverID]],CarrierDriverTBL!$A:$A,0))</f>
        <v>Chahil</v>
      </c>
      <c r="AQ76" s="142" t="str">
        <f>INDEX(CarrierDriverTBL!$X:$X,MATCH(Table1[[#This Row],[DriverID]],CarrierDriverTBL!$A:$A,0))</f>
        <v>A8390649</v>
      </c>
      <c r="AR76" s="160">
        <f>INDEX(CarrierDriverTBL!$Y:$Y,MATCH(Table1[[#This Row],[DriverID]],CarrierDriverTBL!$A:$A,0))</f>
        <v>42402</v>
      </c>
      <c r="AS76" s="142" t="str">
        <f t="shared" si="35"/>
        <v>GOOD</v>
      </c>
      <c r="AT76" s="160">
        <f>INDEX(CarrierDriverTBL!$E:$E,MATCH(Table1[[#This Row],[DriverID]],CarrierDriverTBL!$A:$A,0))</f>
        <v>22314</v>
      </c>
      <c r="AU76" s="163">
        <f ca="1">INDEX(CarrierDriverTBL!$F:$F,MATCH(Table1[[#This Row],[DriverID]],CarrierDriverTBL!$A:$A,0))</f>
        <v>55.512328767123286</v>
      </c>
      <c r="AV76" s="142" t="str">
        <f>INDEX(CarrierDriverTBL!$K:$K,MATCH(Table1[[#This Row],[DriverID]],CarrierDriverTBL!$A:$A,0))</f>
        <v>510-773-9450</v>
      </c>
      <c r="AW76" s="142" t="str">
        <f>INDEX(CarrierDriverTBL!$M:$M,MATCH(Table1[[#This Row],[DriverID]],CarrierDriverTBL!$A:$A,0))</f>
        <v>3124 Cynthia CT</v>
      </c>
      <c r="AX76" s="142" t="str">
        <f>INDEX(CarrierDriverTBL!$N:$N,MATCH(Table1[[#This Row],[DriverID]],CarrierDriverTBL!$A:$A,0))</f>
        <v>Tracy</v>
      </c>
      <c r="AY76" s="142" t="str">
        <f>INDEX(CarrierDriverTBL!$O:$O,MATCH(Table1[[#This Row],[DriverID]],CarrierDriverTBL!$A:$A,0))</f>
        <v>CA</v>
      </c>
      <c r="AZ76" s="142">
        <f>INDEX(CarrierDriverTBL!$P:$P,MATCH(Table1[[#This Row],[DriverID]],CarrierDriverTBL!$A:$A,0))</f>
        <v>95377</v>
      </c>
      <c r="BA76" s="142" t="str">
        <f>INDEX(CarrierDriverTBL!$Q:$Q,MATCH(Table1[[#This Row],[DriverID]],CarrierDriverTBL!$A:$A,0))</f>
        <v>US</v>
      </c>
      <c r="BB76" s="176" t="str">
        <f>INDEX(CarrierDriverTBL!$R:$R,MATCH(Table1[[#This Row],[DriverID]],CarrierDriverTBL!$A:$A,0))</f>
        <v>ubgollc@gmail.com</v>
      </c>
      <c r="BC76" s="160">
        <f>INDEX(CarrierDriverTBL!$AB:$AB,MATCH(Table1[[#This Row],[DriverID]],CarrierDriverTBL!$A:$A,0))</f>
        <v>42167</v>
      </c>
      <c r="BD76" s="142" t="str">
        <f ca="1">INDEX(CarrierDriverTBL!$AD:$AD,MATCH(LoadMaster!$AN:$AN,CarrierDriverTBL!$A:$A,0))</f>
        <v>MISSING</v>
      </c>
      <c r="BE76" s="142">
        <f>INDEX(CarrierDriverTBL!$AE:$AE,MATCH(Table1[DriverID],CarrierDriverTBL!$A:$A,0))</f>
        <v>913971</v>
      </c>
      <c r="BF76" s="142">
        <f>INDEX(CarrierDriverTBL!$AF:$AF,MATCH(Table1[DriverID],CarrierDriverTBL!$A:$A,0))</f>
        <v>2627544</v>
      </c>
      <c r="BG76" s="142">
        <f>INDEX(CarrierDriverTBL!$AG:$AG,MATCH(Table1[DriverID],CarrierDriverTBL!$A:$A,0))</f>
        <v>466133</v>
      </c>
      <c r="BH76" s="142" t="str">
        <f>INDEX(CarrierDriverTBL!$AH:$AH,MATCH(Table1[DriverID],CarrierDriverTBL!$A:$A,0))</f>
        <v>GM Lawrence Ins</v>
      </c>
      <c r="BI76" s="142" t="str">
        <f>INDEX(CarrierDriverTBL!$AI:$AI,MATCH(Table1[DriverID],CarrierDriverTBL!$A:$A,0))</f>
        <v>DSK2842P160210</v>
      </c>
      <c r="BJ76" s="160">
        <f>INDEX(CarrierDriverTBL!$AJ:$AJ,MATCH(Table1[[#This Row],[DriverID]],CarrierDriverTBL!$A:$A,0))</f>
        <v>42778</v>
      </c>
      <c r="BK76" s="10">
        <f t="shared" si="36"/>
        <v>534</v>
      </c>
      <c r="BL76" s="174">
        <v>650</v>
      </c>
      <c r="BM76" s="144">
        <v>305</v>
      </c>
      <c r="BN76" s="159">
        <f t="shared" si="53"/>
        <v>2.1311475409836067</v>
      </c>
      <c r="BO76" s="167">
        <v>600</v>
      </c>
      <c r="BP76" s="159">
        <f t="shared" si="54"/>
        <v>1.9672131147540983</v>
      </c>
      <c r="BQ76" s="133">
        <v>2.7989999999999999</v>
      </c>
      <c r="BR76" s="166">
        <f t="shared" si="55"/>
        <v>0.14983333333333335</v>
      </c>
      <c r="BS76" s="167">
        <f t="shared" si="37"/>
        <v>1.8173797814207651</v>
      </c>
      <c r="BT76" s="159">
        <f t="shared" si="38"/>
        <v>45.69916666666667</v>
      </c>
      <c r="BU76" s="10" t="str">
        <f t="shared" si="39"/>
        <v>Tql</v>
      </c>
      <c r="BV76" s="15"/>
      <c r="BW76" s="4" t="str">
        <f>Table1[[#This Row],[BrokerAddress]]</f>
        <v>P.O. Box 799</v>
      </c>
      <c r="BX76" s="4" t="str">
        <f t="shared" si="40"/>
        <v>Milford</v>
      </c>
      <c r="BY76" s="4" t="str">
        <f t="shared" si="41"/>
        <v>Ohio</v>
      </c>
      <c r="BZ76" s="4">
        <f t="shared" si="42"/>
        <v>45150</v>
      </c>
      <c r="CA76" s="10" t="str">
        <f t="shared" si="43"/>
        <v>US</v>
      </c>
      <c r="CB76" s="15" t="s">
        <v>131</v>
      </c>
      <c r="CC76" s="62"/>
      <c r="CD76" s="15" t="s">
        <v>132</v>
      </c>
      <c r="CE76" s="64">
        <v>0</v>
      </c>
      <c r="CF76" s="4">
        <v>0</v>
      </c>
      <c r="CG76" s="132">
        <f t="shared" si="44"/>
        <v>0</v>
      </c>
      <c r="CH76" s="4" t="s">
        <v>132</v>
      </c>
      <c r="CI76" s="5">
        <v>0</v>
      </c>
      <c r="CJ76" s="4">
        <v>0</v>
      </c>
      <c r="CK76" s="132">
        <f t="shared" si="45"/>
        <v>0</v>
      </c>
      <c r="CL76" s="4" t="s">
        <v>132</v>
      </c>
      <c r="CM76" s="5">
        <v>0</v>
      </c>
      <c r="CN76" s="4">
        <v>0</v>
      </c>
      <c r="CO76" s="132">
        <f t="shared" si="46"/>
        <v>0</v>
      </c>
      <c r="CP76" s="4" t="s">
        <v>132</v>
      </c>
      <c r="CQ76" s="5">
        <v>0</v>
      </c>
      <c r="CR76" s="4">
        <v>0</v>
      </c>
      <c r="CS76" s="132">
        <f t="shared" si="47"/>
        <v>0</v>
      </c>
      <c r="CT76" s="159">
        <f t="shared" si="48"/>
        <v>0</v>
      </c>
      <c r="CU76" s="168">
        <f t="shared" si="49"/>
        <v>650</v>
      </c>
      <c r="CV76" s="183">
        <f t="shared" ref="CV76:CV122" si="56">(100*CT76)/100</f>
        <v>0</v>
      </c>
      <c r="CW76" s="82">
        <f t="shared" si="33"/>
        <v>600</v>
      </c>
      <c r="CX76" s="79">
        <f>IF(ISBLANK(E76),"AddQuickPay",IF(E76=2,CU76*0.98,IF(E76=2.4,CU76*0.976,IF(E76=3,CU76*0.97,IF(E76=5,CU76*0.95,IF(E76=1.5,CU76*0.985,IF(E76=2.5,CU76*0.975,IF(E76=1.3,CU76*0.987,IF(E76=1,CU76*0.99,IF(E76=4,CU76*0.96,CU76*1))))))))))-Table1[[#This Row],[ComCheck+QuickPayFee]]</f>
        <v>630.5</v>
      </c>
      <c r="CY76" s="5">
        <f t="shared" si="50"/>
        <v>50</v>
      </c>
      <c r="CZ76" s="5">
        <f t="shared" si="51"/>
        <v>19.5</v>
      </c>
      <c r="DA76" s="258">
        <f>Table1[[#This Row],[OriginalDispatch]]-Table1[[#This Row],[QuickPayCharge]]</f>
        <v>30.5</v>
      </c>
      <c r="DB76" s="5">
        <v>0</v>
      </c>
      <c r="DC76" s="5" t="s">
        <v>133</v>
      </c>
      <c r="DD76" s="104">
        <f t="shared" si="52"/>
        <v>42244</v>
      </c>
      <c r="DE76" s="15">
        <f>MONTH(Table1[[#This Row],[Weekending]])</f>
        <v>8</v>
      </c>
      <c r="DF76" s="15">
        <f>YEAR(Table1[[#This Row],[Weekending]])</f>
        <v>2015</v>
      </c>
      <c r="DG76" s="4"/>
    </row>
    <row r="77" spans="1:111">
      <c r="A77" s="20" t="str">
        <f t="shared" si="34"/>
        <v>57974816</v>
      </c>
      <c r="B77" s="146">
        <v>42244</v>
      </c>
      <c r="C77" s="144">
        <v>180504157</v>
      </c>
      <c r="D77" s="298" t="s">
        <v>111</v>
      </c>
      <c r="E77" s="298">
        <v>2</v>
      </c>
      <c r="F77" s="298" t="str">
        <f>INDEX(BrokerTBL!$B:$B,MATCH(D77,BrokerTBL!$A:$A,0))</f>
        <v>P.O. Box 3474</v>
      </c>
      <c r="G77" s="298" t="str">
        <f>INDEX(BrokerTBL!$C:$C,MATCH(D77,BrokerTBL!$A:$A,0))</f>
        <v>Chicago</v>
      </c>
      <c r="H77" s="298" t="str">
        <f>INDEX(BrokerTBL!$D:$D,MATCH(D77,BrokerTBL!$A:$A,0))</f>
        <v>Il</v>
      </c>
      <c r="I77" s="298" t="str">
        <f>INDEX(BrokerTBL!$E:$E,MATCH(D77,BrokerTBL!$A:$A,0))</f>
        <v>US</v>
      </c>
      <c r="J77" s="298">
        <f>INDEX(BrokerTBL!$F:$F,MATCH(D77,BrokerTBL!$A:$A,0))</f>
        <v>60654</v>
      </c>
      <c r="K77" s="298" t="s">
        <v>734</v>
      </c>
      <c r="L77" s="145" t="s">
        <v>735</v>
      </c>
      <c r="M77" s="146">
        <v>42244</v>
      </c>
      <c r="N77" s="144" t="s">
        <v>736</v>
      </c>
      <c r="O77" s="298" t="s">
        <v>737</v>
      </c>
      <c r="P77" s="298" t="s">
        <v>738</v>
      </c>
      <c r="Q77" s="298" t="s">
        <v>139</v>
      </c>
      <c r="R77" s="298">
        <v>89502</v>
      </c>
      <c r="S77" s="298" t="s">
        <v>118</v>
      </c>
      <c r="T77" s="298" t="s">
        <v>136</v>
      </c>
      <c r="U77" s="298" t="s">
        <v>120</v>
      </c>
      <c r="V77" s="298">
        <v>53</v>
      </c>
      <c r="W77" s="298" t="s">
        <v>739</v>
      </c>
      <c r="X77" s="144">
        <v>45000</v>
      </c>
      <c r="Y77" s="298" t="s">
        <v>740</v>
      </c>
      <c r="Z77" s="298" t="s">
        <v>123</v>
      </c>
      <c r="AA77" s="298">
        <v>22</v>
      </c>
      <c r="AB77" s="298" t="s">
        <v>123</v>
      </c>
      <c r="AC77" s="298" t="s">
        <v>741</v>
      </c>
      <c r="AD77" s="145">
        <v>4648</v>
      </c>
      <c r="AE77" s="146">
        <v>42247</v>
      </c>
      <c r="AF77" s="298" t="s">
        <v>742</v>
      </c>
      <c r="AG77" s="298" t="s">
        <v>743</v>
      </c>
      <c r="AH77" s="298" t="s">
        <v>299</v>
      </c>
      <c r="AI77" s="298" t="s">
        <v>139</v>
      </c>
      <c r="AJ77" s="298">
        <v>94601</v>
      </c>
      <c r="AK77" s="298" t="s">
        <v>118</v>
      </c>
      <c r="AL77" s="298" t="s">
        <v>123</v>
      </c>
      <c r="AM77" s="171" t="str">
        <f>INDEX(CarrierDriverTBL!$B:$B,MATCH(Table1[[#This Row],[DriverID]],CarrierDriverTBL!$A:$A,0))</f>
        <v>UBTrucking</v>
      </c>
      <c r="AN77" s="10" t="s">
        <v>663</v>
      </c>
      <c r="AO77" s="142" t="str">
        <f>INDEX(CarrierDriverTBL!$C:$C,MATCH(Table1[[#This Row],[DriverID]],CarrierDriverTBL!$A:$A,0))</f>
        <v>Christopher J.</v>
      </c>
      <c r="AP77" s="142" t="str">
        <f>INDEX(CarrierDriverTBL!$D:$D,MATCH(Table1[[#This Row],[DriverID]],CarrierDriverTBL!$A:$A,0))</f>
        <v>Vanoss</v>
      </c>
      <c r="AQ77" s="142" t="str">
        <f>INDEX(CarrierDriverTBL!$X:$X,MATCH(Table1[[#This Row],[DriverID]],CarrierDriverTBL!$A:$A,0))</f>
        <v>C6568516</v>
      </c>
      <c r="AR77" s="160">
        <f>INDEX(CarrierDriverTBL!$Y:$Y,MATCH(Table1[[#This Row],[DriverID]],CarrierDriverTBL!$A:$A,0))</f>
        <v>43568</v>
      </c>
      <c r="AS77" s="142" t="str">
        <f t="shared" si="35"/>
        <v>GOOD</v>
      </c>
      <c r="AT77" s="160">
        <f>INDEX(CarrierDriverTBL!$E:$E,MATCH(Table1[[#This Row],[DriverID]],CarrierDriverTBL!$A:$A,0))</f>
        <v>25306</v>
      </c>
      <c r="AU77" s="163">
        <f ca="1">INDEX(CarrierDriverTBL!$F:$F,MATCH(Table1[[#This Row],[DriverID]],CarrierDriverTBL!$A:$A,0))</f>
        <v>47.315068493150683</v>
      </c>
      <c r="AV77" s="142" t="str">
        <f>INDEX(CarrierDriverTBL!$K:$K,MATCH(Table1[[#This Row],[DriverID]],CarrierDriverTBL!$A:$A,0))</f>
        <v>209-993-1286</v>
      </c>
      <c r="AW77" s="142" t="str">
        <f>INDEX(CarrierDriverTBL!$M:$M,MATCH(Table1[[#This Row],[DriverID]],CarrierDriverTBL!$A:$A,0))</f>
        <v>1044 Rivara RD # 106</v>
      </c>
      <c r="AX77" s="142" t="str">
        <f>INDEX(CarrierDriverTBL!$N:$N,MATCH(Table1[[#This Row],[DriverID]],CarrierDriverTBL!$A:$A,0))</f>
        <v>Stockton</v>
      </c>
      <c r="AY77" s="142" t="str">
        <f>INDEX(CarrierDriverTBL!$O:$O,MATCH(Table1[[#This Row],[DriverID]],CarrierDriverTBL!$A:$A,0))</f>
        <v>CA</v>
      </c>
      <c r="AZ77" s="142">
        <f>INDEX(CarrierDriverTBL!$P:$P,MATCH(Table1[[#This Row],[DriverID]],CarrierDriverTBL!$A:$A,0))</f>
        <v>95219</v>
      </c>
      <c r="BA77" s="142" t="str">
        <f>INDEX(CarrierDriverTBL!$Q:$Q,MATCH(Table1[[#This Row],[DriverID]],CarrierDriverTBL!$A:$A,0))</f>
        <v>US</v>
      </c>
      <c r="BB77" s="176" t="str">
        <f>INDEX(CarrierDriverTBL!$R:$R,MATCH(Table1[[#This Row],[DriverID]],CarrierDriverTBL!$A:$A,0))</f>
        <v xml:space="preserve">cvanoss@live.com </v>
      </c>
      <c r="BC77" s="160">
        <f>INDEX(CarrierDriverTBL!$AB:$AB,MATCH(Table1[[#This Row],[DriverID]],CarrierDriverTBL!$A:$A,0))</f>
        <v>42231</v>
      </c>
      <c r="BD77" s="142" t="str">
        <f ca="1">INDEX(CarrierDriverTBL!$AD:$AD,MATCH(LoadMaster!$AN:$AN,CarrierDriverTBL!$A:$A,0))</f>
        <v>MISSING</v>
      </c>
      <c r="BE77" s="142">
        <f>INDEX(CarrierDriverTBL!$AE:$AE,MATCH(Table1[DriverID],CarrierDriverTBL!$A:$A,0))</f>
        <v>913971</v>
      </c>
      <c r="BF77" s="142">
        <f>INDEX(CarrierDriverTBL!$AF:$AF,MATCH(Table1[DriverID],CarrierDriverTBL!$A:$A,0))</f>
        <v>2627544</v>
      </c>
      <c r="BG77" s="142">
        <f>INDEX(CarrierDriverTBL!$AG:$AG,MATCH(Table1[DriverID],CarrierDriverTBL!$A:$A,0))</f>
        <v>466133</v>
      </c>
      <c r="BH77" s="142" t="str">
        <f>INDEX(CarrierDriverTBL!$AH:$AH,MATCH(Table1[DriverID],CarrierDriverTBL!$A:$A,0))</f>
        <v>GM Lawrence Ins</v>
      </c>
      <c r="BI77" s="142" t="str">
        <f>INDEX(CarrierDriverTBL!$AI:$AI,MATCH(Table1[DriverID],CarrierDriverTBL!$A:$A,0))</f>
        <v>DSK2842P160210</v>
      </c>
      <c r="BJ77" s="160">
        <f>INDEX(CarrierDriverTBL!$AJ:$AJ,MATCH(Table1[[#This Row],[DriverID]],CarrierDriverTBL!$A:$A,0))</f>
        <v>42778</v>
      </c>
      <c r="BK77" s="10">
        <f t="shared" si="36"/>
        <v>534</v>
      </c>
      <c r="BL77" s="174">
        <v>500</v>
      </c>
      <c r="BM77" s="144">
        <v>238</v>
      </c>
      <c r="BN77" s="159">
        <f t="shared" si="53"/>
        <v>2.1008403361344539</v>
      </c>
      <c r="BO77" s="167">
        <v>450</v>
      </c>
      <c r="BP77" s="159">
        <f t="shared" si="54"/>
        <v>1.8907563025210083</v>
      </c>
      <c r="BQ77" s="133">
        <v>2.7989999999999999</v>
      </c>
      <c r="BR77" s="166">
        <f t="shared" si="55"/>
        <v>0.14983333333333335</v>
      </c>
      <c r="BS77" s="167">
        <f t="shared" si="37"/>
        <v>1.7409229691876751</v>
      </c>
      <c r="BT77" s="159">
        <f t="shared" si="38"/>
        <v>35.660333333333334</v>
      </c>
      <c r="BU77" s="10" t="str">
        <f t="shared" si="39"/>
        <v>Ch Robinson</v>
      </c>
      <c r="BV77" s="15"/>
      <c r="BW77" s="4" t="str">
        <f>Table1[[#This Row],[BrokerAddress]]</f>
        <v>P.O. Box 3474</v>
      </c>
      <c r="BX77" s="4" t="str">
        <f t="shared" si="40"/>
        <v>Chicago</v>
      </c>
      <c r="BY77" s="4" t="str">
        <f t="shared" si="41"/>
        <v>Il</v>
      </c>
      <c r="BZ77" s="4">
        <f t="shared" si="42"/>
        <v>60654</v>
      </c>
      <c r="CA77" s="10" t="str">
        <f t="shared" si="43"/>
        <v>US</v>
      </c>
      <c r="CB77" s="15" t="s">
        <v>131</v>
      </c>
      <c r="CC77" s="62"/>
      <c r="CD77" s="15" t="s">
        <v>132</v>
      </c>
      <c r="CE77" s="64">
        <v>0</v>
      </c>
      <c r="CF77" s="4">
        <v>0</v>
      </c>
      <c r="CG77" s="132">
        <f t="shared" si="44"/>
        <v>0</v>
      </c>
      <c r="CH77" s="4" t="s">
        <v>132</v>
      </c>
      <c r="CI77" s="5">
        <v>0</v>
      </c>
      <c r="CJ77" s="4">
        <v>0</v>
      </c>
      <c r="CK77" s="132">
        <f t="shared" si="45"/>
        <v>0</v>
      </c>
      <c r="CL77" s="4" t="s">
        <v>132</v>
      </c>
      <c r="CM77" s="5">
        <v>0</v>
      </c>
      <c r="CN77" s="4">
        <v>0</v>
      </c>
      <c r="CO77" s="132">
        <f t="shared" si="46"/>
        <v>0</v>
      </c>
      <c r="CP77" s="4" t="s">
        <v>132</v>
      </c>
      <c r="CQ77" s="5">
        <v>0</v>
      </c>
      <c r="CR77" s="4">
        <v>0</v>
      </c>
      <c r="CS77" s="132">
        <f t="shared" si="47"/>
        <v>0</v>
      </c>
      <c r="CT77" s="159">
        <f t="shared" si="48"/>
        <v>0</v>
      </c>
      <c r="CU77" s="168">
        <f t="shared" si="49"/>
        <v>500</v>
      </c>
      <c r="CV77" s="183">
        <f t="shared" si="56"/>
        <v>0</v>
      </c>
      <c r="CW77" s="82">
        <f t="shared" si="33"/>
        <v>450</v>
      </c>
      <c r="CX77" s="79">
        <f>IF(ISBLANK(E77),"AddQuickPay",IF(E77=2,CU77*0.98,IF(E77=2.4,CU77*0.976,IF(E77=3,CU77*0.97,IF(E77=5,CU77*0.95,IF(E77=1.5,CU77*0.985,IF(E77=2.5,CU77*0.975,IF(E77=1.3,CU77*0.987,IF(E77=1,CU77*0.99,IF(E77=4,CU77*0.96,CU77*1))))))))))-Table1[[#This Row],[ComCheck+QuickPayFee]]</f>
        <v>490</v>
      </c>
      <c r="CY77" s="5">
        <f t="shared" si="50"/>
        <v>50</v>
      </c>
      <c r="CZ77" s="5">
        <f t="shared" si="51"/>
        <v>10</v>
      </c>
      <c r="DA77" s="258">
        <f>Table1[[#This Row],[OriginalDispatch]]-Table1[[#This Row],[QuickPayCharge]]</f>
        <v>40</v>
      </c>
      <c r="DB77" s="5">
        <v>0</v>
      </c>
      <c r="DC77" s="5" t="s">
        <v>133</v>
      </c>
      <c r="DD77" s="104">
        <f t="shared" si="52"/>
        <v>42244</v>
      </c>
      <c r="DE77" s="15">
        <f>MONTH(Table1[[#This Row],[Weekending]])</f>
        <v>8</v>
      </c>
      <c r="DF77" s="15">
        <f>YEAR(Table1[[#This Row],[Weekending]])</f>
        <v>2015</v>
      </c>
      <c r="DG77" s="4"/>
    </row>
    <row r="78" spans="1:111">
      <c r="A78" s="20" t="str">
        <f t="shared" si="34"/>
        <v>43434316</v>
      </c>
      <c r="B78" s="146">
        <v>42244</v>
      </c>
      <c r="C78" s="144">
        <v>6007543</v>
      </c>
      <c r="D78" s="298" t="s">
        <v>555</v>
      </c>
      <c r="E78" s="298">
        <v>3</v>
      </c>
      <c r="F78" s="298" t="str">
        <f>INDEX(BrokerTBL!$B:$B,MATCH(D78,BrokerTBL!$A:$A,0))</f>
        <v>P.O. Box 799</v>
      </c>
      <c r="G78" s="298" t="str">
        <f>INDEX(BrokerTBL!$C:$C,MATCH(D78,BrokerTBL!$A:$A,0))</f>
        <v>Milford</v>
      </c>
      <c r="H78" s="298" t="str">
        <f>INDEX(BrokerTBL!$D:$D,MATCH(D78,BrokerTBL!$A:$A,0))</f>
        <v>Ohio</v>
      </c>
      <c r="I78" s="298" t="str">
        <f>INDEX(BrokerTBL!$E:$E,MATCH(D78,BrokerTBL!$A:$A,0))</f>
        <v>US</v>
      </c>
      <c r="J78" s="298">
        <f>INDEX(BrokerTBL!$F:$F,MATCH(D78,BrokerTBL!$A:$A,0))</f>
        <v>45150</v>
      </c>
      <c r="K78" s="298" t="s">
        <v>744</v>
      </c>
      <c r="L78" s="145">
        <v>6007543</v>
      </c>
      <c r="M78" s="146">
        <v>42244</v>
      </c>
      <c r="N78" s="162" t="s">
        <v>136</v>
      </c>
      <c r="O78" s="298" t="s">
        <v>745</v>
      </c>
      <c r="P78" s="298" t="s">
        <v>184</v>
      </c>
      <c r="Q78" s="298" t="s">
        <v>139</v>
      </c>
      <c r="R78" s="298">
        <v>95201</v>
      </c>
      <c r="S78" s="298" t="s">
        <v>118</v>
      </c>
      <c r="T78" s="298" t="s">
        <v>746</v>
      </c>
      <c r="U78" s="298" t="s">
        <v>120</v>
      </c>
      <c r="V78" s="298">
        <v>53</v>
      </c>
      <c r="W78" s="298" t="s">
        <v>747</v>
      </c>
      <c r="X78" s="144" t="s">
        <v>136</v>
      </c>
      <c r="Y78" s="298" t="s">
        <v>123</v>
      </c>
      <c r="Z78" s="298" t="s">
        <v>123</v>
      </c>
      <c r="AA78" s="298" t="s">
        <v>123</v>
      </c>
      <c r="AB78" s="298" t="s">
        <v>123</v>
      </c>
      <c r="AC78" s="298" t="s">
        <v>748</v>
      </c>
      <c r="AD78" s="145">
        <v>6007543</v>
      </c>
      <c r="AE78" s="146">
        <v>42244</v>
      </c>
      <c r="AF78" s="416" t="s">
        <v>123</v>
      </c>
      <c r="AG78" s="298" t="s">
        <v>749</v>
      </c>
      <c r="AH78" s="298" t="s">
        <v>750</v>
      </c>
      <c r="AI78" s="298" t="s">
        <v>264</v>
      </c>
      <c r="AJ78" s="298">
        <v>89447</v>
      </c>
      <c r="AK78" s="298" t="s">
        <v>118</v>
      </c>
      <c r="AL78" s="298" t="s">
        <v>751</v>
      </c>
      <c r="AM78" s="171" t="str">
        <f>INDEX(CarrierDriverTBL!$B:$B,MATCH(Table1[[#This Row],[DriverID]],CarrierDriverTBL!$A:$A,0))</f>
        <v>UBTrucking</v>
      </c>
      <c r="AN78" s="10" t="s">
        <v>663</v>
      </c>
      <c r="AO78" s="142" t="str">
        <f>INDEX(CarrierDriverTBL!$C:$C,MATCH(Table1[[#This Row],[DriverID]],CarrierDriverTBL!$A:$A,0))</f>
        <v>Christopher J.</v>
      </c>
      <c r="AP78" s="142" t="str">
        <f>INDEX(CarrierDriverTBL!$D:$D,MATCH(Table1[[#This Row],[DriverID]],CarrierDriverTBL!$A:$A,0))</f>
        <v>Vanoss</v>
      </c>
      <c r="AQ78" s="142" t="str">
        <f>INDEX(CarrierDriverTBL!$X:$X,MATCH(Table1[[#This Row],[DriverID]],CarrierDriverTBL!$A:$A,0))</f>
        <v>C6568516</v>
      </c>
      <c r="AR78" s="160">
        <f>INDEX(CarrierDriverTBL!$Y:$Y,MATCH(Table1[[#This Row],[DriverID]],CarrierDriverTBL!$A:$A,0))</f>
        <v>43568</v>
      </c>
      <c r="AS78" s="142" t="str">
        <f t="shared" si="35"/>
        <v>GOOD</v>
      </c>
      <c r="AT78" s="160">
        <f>INDEX(CarrierDriverTBL!$E:$E,MATCH(Table1[[#This Row],[DriverID]],CarrierDriverTBL!$A:$A,0))</f>
        <v>25306</v>
      </c>
      <c r="AU78" s="163">
        <f ca="1">INDEX(CarrierDriverTBL!$F:$F,MATCH(Table1[[#This Row],[DriverID]],CarrierDriverTBL!$A:$A,0))</f>
        <v>47.315068493150683</v>
      </c>
      <c r="AV78" s="142" t="str">
        <f>INDEX(CarrierDriverTBL!$K:$K,MATCH(Table1[[#This Row],[DriverID]],CarrierDriverTBL!$A:$A,0))</f>
        <v>209-993-1286</v>
      </c>
      <c r="AW78" s="142" t="str">
        <f>INDEX(CarrierDriverTBL!$M:$M,MATCH(Table1[[#This Row],[DriverID]],CarrierDriverTBL!$A:$A,0))</f>
        <v>1044 Rivara RD # 106</v>
      </c>
      <c r="AX78" s="142" t="str">
        <f>INDEX(CarrierDriverTBL!$N:$N,MATCH(Table1[[#This Row],[DriverID]],CarrierDriverTBL!$A:$A,0))</f>
        <v>Stockton</v>
      </c>
      <c r="AY78" s="142" t="str">
        <f>INDEX(CarrierDriverTBL!$O:$O,MATCH(Table1[[#This Row],[DriverID]],CarrierDriverTBL!$A:$A,0))</f>
        <v>CA</v>
      </c>
      <c r="AZ78" s="142">
        <f>INDEX(CarrierDriverTBL!$P:$P,MATCH(Table1[[#This Row],[DriverID]],CarrierDriverTBL!$A:$A,0))</f>
        <v>95219</v>
      </c>
      <c r="BA78" s="142" t="str">
        <f>INDEX(CarrierDriverTBL!$Q:$Q,MATCH(Table1[[#This Row],[DriverID]],CarrierDriverTBL!$A:$A,0))</f>
        <v>US</v>
      </c>
      <c r="BB78" s="176" t="str">
        <f>INDEX(CarrierDriverTBL!$R:$R,MATCH(Table1[[#This Row],[DriverID]],CarrierDriverTBL!$A:$A,0))</f>
        <v xml:space="preserve">cvanoss@live.com </v>
      </c>
      <c r="BC78" s="160">
        <f>INDEX(CarrierDriverTBL!$AB:$AB,MATCH(Table1[[#This Row],[DriverID]],CarrierDriverTBL!$A:$A,0))</f>
        <v>42231</v>
      </c>
      <c r="BD78" s="142" t="str">
        <f ca="1">INDEX(CarrierDriverTBL!$AD:$AD,MATCH(LoadMaster!$AN:$AN,CarrierDriverTBL!$A:$A,0))</f>
        <v>MISSING</v>
      </c>
      <c r="BE78" s="142">
        <f>INDEX(CarrierDriverTBL!$AE:$AE,MATCH(Table1[DriverID],CarrierDriverTBL!$A:$A,0))</f>
        <v>913971</v>
      </c>
      <c r="BF78" s="142">
        <f>INDEX(CarrierDriverTBL!$AF:$AF,MATCH(Table1[DriverID],CarrierDriverTBL!$A:$A,0))</f>
        <v>2627544</v>
      </c>
      <c r="BG78" s="142">
        <f>INDEX(CarrierDriverTBL!$AG:$AG,MATCH(Table1[DriverID],CarrierDriverTBL!$A:$A,0))</f>
        <v>466133</v>
      </c>
      <c r="BH78" s="142" t="str">
        <f>INDEX(CarrierDriverTBL!$AH:$AH,MATCH(Table1[DriverID],CarrierDriverTBL!$A:$A,0))</f>
        <v>GM Lawrence Ins</v>
      </c>
      <c r="BI78" s="142" t="str">
        <f>INDEX(CarrierDriverTBL!$AI:$AI,MATCH(Table1[DriverID],CarrierDriverTBL!$A:$A,0))</f>
        <v>DSK2842P160210</v>
      </c>
      <c r="BJ78" s="160">
        <f>INDEX(CarrierDriverTBL!$AJ:$AJ,MATCH(Table1[[#This Row],[DriverID]],CarrierDriverTBL!$A:$A,0))</f>
        <v>42778</v>
      </c>
      <c r="BK78" s="10">
        <f t="shared" si="36"/>
        <v>534</v>
      </c>
      <c r="BL78" s="174">
        <v>700</v>
      </c>
      <c r="BM78" s="144">
        <v>190</v>
      </c>
      <c r="BN78" s="159">
        <f t="shared" si="53"/>
        <v>3.6842105263157894</v>
      </c>
      <c r="BO78" s="167">
        <v>630</v>
      </c>
      <c r="BP78" s="159">
        <f t="shared" si="54"/>
        <v>3.3157894736842106</v>
      </c>
      <c r="BQ78" s="133">
        <v>2.7989999999999999</v>
      </c>
      <c r="BR78" s="166">
        <f t="shared" si="55"/>
        <v>0.14983333333333335</v>
      </c>
      <c r="BS78" s="167">
        <f t="shared" si="37"/>
        <v>3.1659561403508771</v>
      </c>
      <c r="BT78" s="159">
        <f t="shared" si="38"/>
        <v>28.468333333333337</v>
      </c>
      <c r="BU78" s="10" t="str">
        <f t="shared" si="39"/>
        <v>Tql</v>
      </c>
      <c r="BV78" s="15"/>
      <c r="BW78" s="4" t="str">
        <f>Table1[[#This Row],[BrokerAddress]]</f>
        <v>P.O. Box 799</v>
      </c>
      <c r="BX78" s="4" t="str">
        <f t="shared" si="40"/>
        <v>Milford</v>
      </c>
      <c r="BY78" s="4" t="str">
        <f t="shared" si="41"/>
        <v>Ohio</v>
      </c>
      <c r="BZ78" s="4">
        <f t="shared" si="42"/>
        <v>45150</v>
      </c>
      <c r="CA78" s="10" t="str">
        <f t="shared" si="43"/>
        <v>US</v>
      </c>
      <c r="CB78" s="15" t="s">
        <v>131</v>
      </c>
      <c r="CC78" s="62"/>
      <c r="CD78" s="15" t="s">
        <v>132</v>
      </c>
      <c r="CE78" s="64">
        <v>0</v>
      </c>
      <c r="CF78" s="4">
        <v>0</v>
      </c>
      <c r="CG78" s="132">
        <f t="shared" si="44"/>
        <v>0</v>
      </c>
      <c r="CH78" s="4" t="s">
        <v>132</v>
      </c>
      <c r="CI78" s="5">
        <v>0</v>
      </c>
      <c r="CJ78" s="4">
        <v>0</v>
      </c>
      <c r="CK78" s="132">
        <f t="shared" si="45"/>
        <v>0</v>
      </c>
      <c r="CL78" s="4" t="s">
        <v>132</v>
      </c>
      <c r="CM78" s="5">
        <v>0</v>
      </c>
      <c r="CN78" s="4">
        <v>0</v>
      </c>
      <c r="CO78" s="132">
        <f t="shared" si="46"/>
        <v>0</v>
      </c>
      <c r="CP78" s="4" t="s">
        <v>132</v>
      </c>
      <c r="CQ78" s="5">
        <v>0</v>
      </c>
      <c r="CR78" s="4">
        <v>0</v>
      </c>
      <c r="CS78" s="132">
        <f t="shared" si="47"/>
        <v>0</v>
      </c>
      <c r="CT78" s="159">
        <f t="shared" si="48"/>
        <v>0</v>
      </c>
      <c r="CU78" s="168">
        <f t="shared" si="49"/>
        <v>700</v>
      </c>
      <c r="CV78" s="183">
        <f t="shared" si="56"/>
        <v>0</v>
      </c>
      <c r="CW78" s="82">
        <f t="shared" si="33"/>
        <v>630</v>
      </c>
      <c r="CX78" s="79">
        <f>IF(ISBLANK(E78),"AddQuickPay",IF(E78=2,CU78*0.98,IF(E78=2.4,CU78*0.976,IF(E78=3,CU78*0.97,IF(E78=5,CU78*0.95,IF(E78=1.5,CU78*0.985,IF(E78=2.5,CU78*0.975,IF(E78=1.3,CU78*0.987,IF(E78=1,CU78*0.99,IF(E78=4,CU78*0.96,CU78*1))))))))))-Table1[[#This Row],[ComCheck+QuickPayFee]]</f>
        <v>679</v>
      </c>
      <c r="CY78" s="5">
        <f t="shared" si="50"/>
        <v>70</v>
      </c>
      <c r="CZ78" s="5">
        <f t="shared" si="51"/>
        <v>21</v>
      </c>
      <c r="DA78" s="258">
        <f>Table1[[#This Row],[OriginalDispatch]]-Table1[[#This Row],[QuickPayCharge]]</f>
        <v>49</v>
      </c>
      <c r="DB78" s="5">
        <v>0</v>
      </c>
      <c r="DC78" s="5" t="s">
        <v>133</v>
      </c>
      <c r="DD78" s="104">
        <f t="shared" si="52"/>
        <v>42244</v>
      </c>
      <c r="DE78" s="15">
        <f>MONTH(Table1[[#This Row],[Weekending]])</f>
        <v>8</v>
      </c>
      <c r="DF78" s="15">
        <f>YEAR(Table1[[#This Row],[Weekending]])</f>
        <v>2015</v>
      </c>
      <c r="DG78" s="4"/>
    </row>
    <row r="79" spans="1:111">
      <c r="A79" s="20" t="str">
        <f t="shared" si="34"/>
        <v>741049</v>
      </c>
      <c r="B79" s="146">
        <v>42244</v>
      </c>
      <c r="C79" s="144">
        <v>180401274</v>
      </c>
      <c r="D79" s="298" t="s">
        <v>111</v>
      </c>
      <c r="E79" s="298">
        <v>2</v>
      </c>
      <c r="F79" s="298" t="str">
        <f>INDEX(BrokerTBL!$B:$B,MATCH(D79,BrokerTBL!$A:$A,0))</f>
        <v>P.O. Box 3474</v>
      </c>
      <c r="G79" s="298" t="str">
        <f>INDEX(BrokerTBL!$C:$C,MATCH(D79,BrokerTBL!$A:$A,0))</f>
        <v>Chicago</v>
      </c>
      <c r="H79" s="298" t="str">
        <f>INDEX(BrokerTBL!$D:$D,MATCH(D79,BrokerTBL!$A:$A,0))</f>
        <v>Il</v>
      </c>
      <c r="I79" s="298" t="str">
        <f>INDEX(BrokerTBL!$E:$E,MATCH(D79,BrokerTBL!$A:$A,0))</f>
        <v>US</v>
      </c>
      <c r="J79" s="298">
        <f>INDEX(BrokerTBL!$F:$F,MATCH(D79,BrokerTBL!$A:$A,0))</f>
        <v>60654</v>
      </c>
      <c r="K79" s="298" t="s">
        <v>752</v>
      </c>
      <c r="L79" s="145" t="s">
        <v>753</v>
      </c>
      <c r="M79" s="146">
        <v>42244</v>
      </c>
      <c r="N79" s="144" t="s">
        <v>754</v>
      </c>
      <c r="O79" s="298" t="s">
        <v>755</v>
      </c>
      <c r="P79" s="298" t="s">
        <v>184</v>
      </c>
      <c r="Q79" s="298" t="s">
        <v>139</v>
      </c>
      <c r="R79" s="298">
        <v>95203</v>
      </c>
      <c r="S79" s="298" t="s">
        <v>118</v>
      </c>
      <c r="T79" s="298" t="s">
        <v>756</v>
      </c>
      <c r="U79" s="298" t="s">
        <v>120</v>
      </c>
      <c r="V79" s="298">
        <v>53</v>
      </c>
      <c r="W79" s="298" t="s">
        <v>757</v>
      </c>
      <c r="X79" s="144">
        <v>7000</v>
      </c>
      <c r="Y79" s="298" t="s">
        <v>26</v>
      </c>
      <c r="Z79" s="298" t="s">
        <v>123</v>
      </c>
      <c r="AA79" s="298" t="s">
        <v>123</v>
      </c>
      <c r="AB79" s="298" t="s">
        <v>123</v>
      </c>
      <c r="AC79" s="298" t="s">
        <v>758</v>
      </c>
      <c r="AD79" s="145"/>
      <c r="AE79" s="146">
        <v>42244</v>
      </c>
      <c r="AF79" s="416" t="s">
        <v>123</v>
      </c>
      <c r="AG79" s="298" t="s">
        <v>759</v>
      </c>
      <c r="AH79" s="298" t="s">
        <v>154</v>
      </c>
      <c r="AI79" s="298" t="s">
        <v>139</v>
      </c>
      <c r="AJ79" s="298">
        <v>93313</v>
      </c>
      <c r="AK79" s="298" t="s">
        <v>118</v>
      </c>
      <c r="AL79" s="298" t="s">
        <v>760</v>
      </c>
      <c r="AM79" s="142" t="str">
        <f>INDEX(CarrierDriverTBL!$B:$B,MATCH(Table1[[#This Row],[DriverID]],CarrierDriverTBL!$A:$A,0))</f>
        <v>UBTrucking</v>
      </c>
      <c r="AN79" s="10" t="s">
        <v>192</v>
      </c>
      <c r="AO79" s="142" t="str">
        <f>INDEX(CarrierDriverTBL!$C:$C,MATCH(Table1[[#This Row],[DriverID]],CarrierDriverTBL!$A:$A,0))</f>
        <v>Albel</v>
      </c>
      <c r="AP79" s="142" t="str">
        <f>INDEX(CarrierDriverTBL!$D:$D,MATCH(Table1[[#This Row],[DriverID]],CarrierDriverTBL!$A:$A,0))</f>
        <v>Chahil</v>
      </c>
      <c r="AQ79" s="142" t="str">
        <f>INDEX(CarrierDriverTBL!$X:$X,MATCH(Table1[[#This Row],[DriverID]],CarrierDriverTBL!$A:$A,0))</f>
        <v>A8390649</v>
      </c>
      <c r="AR79" s="160">
        <f>INDEX(CarrierDriverTBL!$Y:$Y,MATCH(Table1[[#This Row],[DriverID]],CarrierDriverTBL!$A:$A,0))</f>
        <v>42402</v>
      </c>
      <c r="AS79" s="142" t="str">
        <f t="shared" si="35"/>
        <v>GOOD</v>
      </c>
      <c r="AT79" s="160">
        <f>INDEX(CarrierDriverTBL!$E:$E,MATCH(Table1[[#This Row],[DriverID]],CarrierDriverTBL!$A:$A,0))</f>
        <v>22314</v>
      </c>
      <c r="AU79" s="163">
        <f ca="1">INDEX(CarrierDriverTBL!$F:$F,MATCH(Table1[[#This Row],[DriverID]],CarrierDriverTBL!$A:$A,0))</f>
        <v>55.512328767123286</v>
      </c>
      <c r="AV79" s="142" t="str">
        <f>INDEX(CarrierDriverTBL!$K:$K,MATCH(Table1[[#This Row],[DriverID]],CarrierDriverTBL!$A:$A,0))</f>
        <v>510-773-9450</v>
      </c>
      <c r="AW79" s="142" t="str">
        <f>INDEX(CarrierDriverTBL!$M:$M,MATCH(Table1[[#This Row],[DriverID]],CarrierDriverTBL!$A:$A,0))</f>
        <v>3124 Cynthia CT</v>
      </c>
      <c r="AX79" s="142" t="str">
        <f>INDEX(CarrierDriverTBL!$N:$N,MATCH(Table1[[#This Row],[DriverID]],CarrierDriverTBL!$A:$A,0))</f>
        <v>Tracy</v>
      </c>
      <c r="AY79" s="142" t="str">
        <f>INDEX(CarrierDriverTBL!$O:$O,MATCH(Table1[[#This Row],[DriverID]],CarrierDriverTBL!$A:$A,0))</f>
        <v>CA</v>
      </c>
      <c r="AZ79" s="142">
        <f>INDEX(CarrierDriverTBL!$P:$P,MATCH(Table1[[#This Row],[DriverID]],CarrierDriverTBL!$A:$A,0))</f>
        <v>95377</v>
      </c>
      <c r="BA79" s="142" t="str">
        <f>INDEX(CarrierDriverTBL!$Q:$Q,MATCH(Table1[[#This Row],[DriverID]],CarrierDriverTBL!$A:$A,0))</f>
        <v>US</v>
      </c>
      <c r="BB79" s="176" t="str">
        <f>INDEX(CarrierDriverTBL!$R:$R,MATCH(Table1[[#This Row],[DriverID]],CarrierDriverTBL!$A:$A,0))</f>
        <v>ubgollc@gmail.com</v>
      </c>
      <c r="BC79" s="160">
        <f>INDEX(CarrierDriverTBL!$AB:$AB,MATCH(Table1[[#This Row],[DriverID]],CarrierDriverTBL!$A:$A,0))</f>
        <v>42167</v>
      </c>
      <c r="BD79" s="142" t="str">
        <f ca="1">INDEX(CarrierDriverTBL!$AD:$AD,MATCH(LoadMaster!$AN:$AN,CarrierDriverTBL!$A:$A,0))</f>
        <v>MISSING</v>
      </c>
      <c r="BE79" s="142">
        <f>INDEX(CarrierDriverTBL!$AE:$AE,MATCH(Table1[DriverID],CarrierDriverTBL!$A:$A,0))</f>
        <v>913971</v>
      </c>
      <c r="BF79" s="142">
        <f>INDEX(CarrierDriverTBL!$AF:$AF,MATCH(Table1[DriverID],CarrierDriverTBL!$A:$A,0))</f>
        <v>2627544</v>
      </c>
      <c r="BG79" s="142">
        <f>INDEX(CarrierDriverTBL!$AG:$AG,MATCH(Table1[DriverID],CarrierDriverTBL!$A:$A,0))</f>
        <v>466133</v>
      </c>
      <c r="BH79" s="142" t="str">
        <f>INDEX(CarrierDriverTBL!$AH:$AH,MATCH(Table1[DriverID],CarrierDriverTBL!$A:$A,0))</f>
        <v>GM Lawrence Ins</v>
      </c>
      <c r="BI79" s="142" t="str">
        <f>INDEX(CarrierDriverTBL!$AI:$AI,MATCH(Table1[DriverID],CarrierDriverTBL!$A:$A,0))</f>
        <v>DSK2842P160210</v>
      </c>
      <c r="BJ79" s="160">
        <f>INDEX(CarrierDriverTBL!$AJ:$AJ,MATCH(Table1[[#This Row],[DriverID]],CarrierDriverTBL!$A:$A,0))</f>
        <v>42778</v>
      </c>
      <c r="BK79" s="10">
        <f t="shared" si="36"/>
        <v>534</v>
      </c>
      <c r="BL79" s="174">
        <v>800</v>
      </c>
      <c r="BM79" s="144">
        <v>243</v>
      </c>
      <c r="BN79" s="159">
        <f t="shared" si="53"/>
        <v>3.2921810699588478</v>
      </c>
      <c r="BO79" s="167">
        <v>750</v>
      </c>
      <c r="BP79" s="159">
        <f t="shared" si="54"/>
        <v>3.0864197530864197</v>
      </c>
      <c r="BQ79" s="133">
        <v>2.7989999999999999</v>
      </c>
      <c r="BR79" s="166">
        <f t="shared" si="55"/>
        <v>0.14983333333333335</v>
      </c>
      <c r="BS79" s="167">
        <f t="shared" si="37"/>
        <v>2.9365864197530862</v>
      </c>
      <c r="BT79" s="159">
        <f t="shared" si="38"/>
        <v>36.409500000000001</v>
      </c>
      <c r="BU79" s="10" t="str">
        <f t="shared" si="39"/>
        <v>Ch Robinson</v>
      </c>
      <c r="BV79" s="15"/>
      <c r="BW79" s="4" t="str">
        <f>Table1[[#This Row],[BrokerAddress]]</f>
        <v>P.O. Box 3474</v>
      </c>
      <c r="BX79" s="4" t="str">
        <f t="shared" si="40"/>
        <v>Chicago</v>
      </c>
      <c r="BY79" s="4" t="str">
        <f t="shared" si="41"/>
        <v>Il</v>
      </c>
      <c r="BZ79" s="4">
        <f t="shared" si="42"/>
        <v>60654</v>
      </c>
      <c r="CA79" s="10" t="str">
        <f t="shared" si="43"/>
        <v>US</v>
      </c>
      <c r="CB79" s="15" t="s">
        <v>131</v>
      </c>
      <c r="CC79" s="62"/>
      <c r="CD79" s="15" t="s">
        <v>132</v>
      </c>
      <c r="CE79" s="64">
        <v>0</v>
      </c>
      <c r="CF79" s="4">
        <v>0</v>
      </c>
      <c r="CG79" s="132">
        <f t="shared" si="44"/>
        <v>0</v>
      </c>
      <c r="CH79" s="4" t="s">
        <v>132</v>
      </c>
      <c r="CI79" s="5">
        <v>0</v>
      </c>
      <c r="CJ79" s="4">
        <v>0</v>
      </c>
      <c r="CK79" s="132">
        <f t="shared" si="45"/>
        <v>0</v>
      </c>
      <c r="CL79" s="4" t="s">
        <v>132</v>
      </c>
      <c r="CM79" s="5">
        <v>0</v>
      </c>
      <c r="CN79" s="4">
        <v>0</v>
      </c>
      <c r="CO79" s="132">
        <f t="shared" si="46"/>
        <v>0</v>
      </c>
      <c r="CP79" s="4" t="s">
        <v>132</v>
      </c>
      <c r="CQ79" s="5">
        <v>0</v>
      </c>
      <c r="CR79" s="4">
        <v>0</v>
      </c>
      <c r="CS79" s="132">
        <f t="shared" si="47"/>
        <v>0</v>
      </c>
      <c r="CT79" s="159">
        <f t="shared" si="48"/>
        <v>0</v>
      </c>
      <c r="CU79" s="168">
        <f t="shared" si="49"/>
        <v>800</v>
      </c>
      <c r="CV79" s="169">
        <f t="shared" si="56"/>
        <v>0</v>
      </c>
      <c r="CW79" s="82">
        <f t="shared" si="33"/>
        <v>750</v>
      </c>
      <c r="CX79" s="79">
        <f>IF(ISBLANK(E79),"AddQuickPay",IF(E79=2,CU79*0.98,IF(E79=2.4,CU79*0.976,IF(E79=3,CU79*0.97,IF(E79=5,CU79*0.95,IF(E79=1.5,CU79*0.985,IF(E79=2.5,CU79*0.975,IF(E79=1.3,CU79*0.987,IF(E79=1,CU79*0.99,IF(E79=4,CU79*0.96,CU79*1))))))))))-Table1[[#This Row],[ComCheck+QuickPayFee]]</f>
        <v>784</v>
      </c>
      <c r="CY79" s="5">
        <f t="shared" si="50"/>
        <v>50</v>
      </c>
      <c r="CZ79" s="5">
        <f t="shared" si="51"/>
        <v>16</v>
      </c>
      <c r="DA79" s="258">
        <f>Table1[[#This Row],[OriginalDispatch]]-Table1[[#This Row],[QuickPayCharge]]</f>
        <v>34</v>
      </c>
      <c r="DB79" s="5">
        <v>0</v>
      </c>
      <c r="DC79" s="5" t="s">
        <v>133</v>
      </c>
      <c r="DD79" s="104">
        <f t="shared" si="52"/>
        <v>42244</v>
      </c>
      <c r="DE79" s="15">
        <f>MONTH(Table1[[#This Row],[Weekending]])</f>
        <v>8</v>
      </c>
      <c r="DF79" s="15">
        <f>YEAR(Table1[[#This Row],[Weekending]])</f>
        <v>2015</v>
      </c>
      <c r="DG79" s="4"/>
    </row>
    <row r="80" spans="1:111">
      <c r="A80" s="20" t="str">
        <f t="shared" si="34"/>
        <v>29171749</v>
      </c>
      <c r="B80" s="146">
        <v>42247</v>
      </c>
      <c r="C80" s="144">
        <v>180391629</v>
      </c>
      <c r="D80" s="298" t="s">
        <v>111</v>
      </c>
      <c r="E80" s="298">
        <v>2</v>
      </c>
      <c r="F80" s="298" t="str">
        <f>INDEX(BrokerTBL!$B:$B,MATCH(D80,BrokerTBL!$A:$A,0))</f>
        <v>P.O. Box 3474</v>
      </c>
      <c r="G80" s="298" t="str">
        <f>INDEX(BrokerTBL!$C:$C,MATCH(D80,BrokerTBL!$A:$A,0))</f>
        <v>Chicago</v>
      </c>
      <c r="H80" s="298" t="str">
        <f>INDEX(BrokerTBL!$D:$D,MATCH(D80,BrokerTBL!$A:$A,0))</f>
        <v>Il</v>
      </c>
      <c r="I80" s="298" t="str">
        <f>INDEX(BrokerTBL!$E:$E,MATCH(D80,BrokerTBL!$A:$A,0))</f>
        <v>US</v>
      </c>
      <c r="J80" s="298">
        <f>INDEX(BrokerTBL!$F:$F,MATCH(D80,BrokerTBL!$A:$A,0))</f>
        <v>60654</v>
      </c>
      <c r="K80" s="144" t="s">
        <v>398</v>
      </c>
      <c r="L80" s="145">
        <v>208917</v>
      </c>
      <c r="M80" s="146">
        <v>42247</v>
      </c>
      <c r="N80" s="144" t="s">
        <v>761</v>
      </c>
      <c r="O80" s="298" t="s">
        <v>400</v>
      </c>
      <c r="P80" s="298" t="s">
        <v>401</v>
      </c>
      <c r="Q80" s="298" t="s">
        <v>139</v>
      </c>
      <c r="R80" s="298">
        <v>96003</v>
      </c>
      <c r="S80" s="298" t="s">
        <v>118</v>
      </c>
      <c r="T80" s="298" t="s">
        <v>762</v>
      </c>
      <c r="U80" s="298" t="s">
        <v>120</v>
      </c>
      <c r="V80" s="298">
        <v>53</v>
      </c>
      <c r="W80" s="298" t="s">
        <v>601</v>
      </c>
      <c r="X80" s="144">
        <v>27968</v>
      </c>
      <c r="Y80" s="298" t="s">
        <v>26</v>
      </c>
      <c r="Z80" s="298" t="s">
        <v>123</v>
      </c>
      <c r="AA80" s="298">
        <v>8</v>
      </c>
      <c r="AB80" s="298" t="s">
        <v>123</v>
      </c>
      <c r="AC80" s="298" t="s">
        <v>763</v>
      </c>
      <c r="AD80" s="145">
        <v>208917</v>
      </c>
      <c r="AE80" s="146">
        <v>42248</v>
      </c>
      <c r="AF80" s="298" t="s">
        <v>761</v>
      </c>
      <c r="AG80" s="298" t="s">
        <v>764</v>
      </c>
      <c r="AH80" s="298" t="s">
        <v>765</v>
      </c>
      <c r="AI80" s="298" t="s">
        <v>139</v>
      </c>
      <c r="AJ80" s="298">
        <v>94538</v>
      </c>
      <c r="AK80" s="298" t="s">
        <v>118</v>
      </c>
      <c r="AL80" s="298" t="s">
        <v>766</v>
      </c>
      <c r="AM80" s="142" t="str">
        <f>INDEX(CarrierDriverTBL!$B:$B,MATCH(Table1[[#This Row],[DriverID]],CarrierDriverTBL!$A:$A,0))</f>
        <v>UBTrucking</v>
      </c>
      <c r="AN80" s="10" t="s">
        <v>192</v>
      </c>
      <c r="AO80" s="142" t="str">
        <f>INDEX(CarrierDriverTBL!$C:$C,MATCH(Table1[[#This Row],[DriverID]],CarrierDriverTBL!$A:$A,0))</f>
        <v>Albel</v>
      </c>
      <c r="AP80" s="142" t="str">
        <f>INDEX(CarrierDriverTBL!$D:$D,MATCH(Table1[[#This Row],[DriverID]],CarrierDriverTBL!$A:$A,0))</f>
        <v>Chahil</v>
      </c>
      <c r="AQ80" s="142" t="str">
        <f>INDEX(CarrierDriverTBL!$X:$X,MATCH(Table1[[#This Row],[DriverID]],CarrierDriverTBL!$A:$A,0))</f>
        <v>A8390649</v>
      </c>
      <c r="AR80" s="160">
        <f>INDEX(CarrierDriverTBL!$Y:$Y,MATCH(Table1[[#This Row],[DriverID]],CarrierDriverTBL!$A:$A,0))</f>
        <v>42402</v>
      </c>
      <c r="AS80" s="142" t="str">
        <f t="shared" si="35"/>
        <v>GOOD</v>
      </c>
      <c r="AT80" s="160">
        <f>INDEX(CarrierDriverTBL!$E:$E,MATCH(Table1[[#This Row],[DriverID]],CarrierDriverTBL!$A:$A,0))</f>
        <v>22314</v>
      </c>
      <c r="AU80" s="163">
        <f ca="1">INDEX(CarrierDriverTBL!$F:$F,MATCH(Table1[[#This Row],[DriverID]],CarrierDriverTBL!$A:$A,0))</f>
        <v>55.512328767123286</v>
      </c>
      <c r="AV80" s="142" t="str">
        <f>INDEX(CarrierDriverTBL!$K:$K,MATCH(Table1[[#This Row],[DriverID]],CarrierDriverTBL!$A:$A,0))</f>
        <v>510-773-9450</v>
      </c>
      <c r="AW80" s="142" t="str">
        <f>INDEX(CarrierDriverTBL!$M:$M,MATCH(Table1[[#This Row],[DriverID]],CarrierDriverTBL!$A:$A,0))</f>
        <v>3124 Cynthia CT</v>
      </c>
      <c r="AX80" s="142" t="str">
        <f>INDEX(CarrierDriverTBL!$N:$N,MATCH(Table1[[#This Row],[DriverID]],CarrierDriverTBL!$A:$A,0))</f>
        <v>Tracy</v>
      </c>
      <c r="AY80" s="142" t="str">
        <f>INDEX(CarrierDriverTBL!$O:$O,MATCH(Table1[[#This Row],[DriverID]],CarrierDriverTBL!$A:$A,0))</f>
        <v>CA</v>
      </c>
      <c r="AZ80" s="142">
        <f>INDEX(CarrierDriverTBL!$P:$P,MATCH(Table1[[#This Row],[DriverID]],CarrierDriverTBL!$A:$A,0))</f>
        <v>95377</v>
      </c>
      <c r="BA80" s="142" t="str">
        <f>INDEX(CarrierDriverTBL!$Q:$Q,MATCH(Table1[[#This Row],[DriverID]],CarrierDriverTBL!$A:$A,0))</f>
        <v>US</v>
      </c>
      <c r="BB80" s="176" t="str">
        <f>INDEX(CarrierDriverTBL!$R:$R,MATCH(Table1[[#This Row],[DriverID]],CarrierDriverTBL!$A:$A,0))</f>
        <v>ubgollc@gmail.com</v>
      </c>
      <c r="BC80" s="160">
        <f>INDEX(CarrierDriverTBL!$AB:$AB,MATCH(Table1[[#This Row],[DriverID]],CarrierDriverTBL!$A:$A,0))</f>
        <v>42167</v>
      </c>
      <c r="BD80" s="142" t="str">
        <f ca="1">INDEX(CarrierDriverTBL!$AD:$AD,MATCH(LoadMaster!$AN:$AN,CarrierDriverTBL!$A:$A,0))</f>
        <v>MISSING</v>
      </c>
      <c r="BE80" s="142">
        <f>INDEX(CarrierDriverTBL!$AE:$AE,MATCH(Table1[DriverID],CarrierDriverTBL!$A:$A,0))</f>
        <v>913971</v>
      </c>
      <c r="BF80" s="142">
        <f>INDEX(CarrierDriverTBL!$AF:$AF,MATCH(Table1[DriverID],CarrierDriverTBL!$A:$A,0))</f>
        <v>2627544</v>
      </c>
      <c r="BG80" s="142">
        <f>INDEX(CarrierDriverTBL!$AG:$AG,MATCH(Table1[DriverID],CarrierDriverTBL!$A:$A,0))</f>
        <v>466133</v>
      </c>
      <c r="BH80" s="142" t="str">
        <f>INDEX(CarrierDriverTBL!$AH:$AH,MATCH(Table1[DriverID],CarrierDriverTBL!$A:$A,0))</f>
        <v>GM Lawrence Ins</v>
      </c>
      <c r="BI80" s="142" t="str">
        <f>INDEX(CarrierDriverTBL!$AI:$AI,MATCH(Table1[DriverID],CarrierDriverTBL!$A:$A,0))</f>
        <v>DSK2842P160210</v>
      </c>
      <c r="BJ80" s="160">
        <f>INDEX(CarrierDriverTBL!$AJ:$AJ,MATCH(Table1[[#This Row],[DriverID]],CarrierDriverTBL!$A:$A,0))</f>
        <v>42778</v>
      </c>
      <c r="BK80" s="10">
        <f t="shared" si="36"/>
        <v>531</v>
      </c>
      <c r="BL80" s="174">
        <v>600</v>
      </c>
      <c r="BM80" s="144">
        <v>237</v>
      </c>
      <c r="BN80" s="159">
        <f t="shared" si="53"/>
        <v>2.5316455696202533</v>
      </c>
      <c r="BO80" s="167">
        <v>550</v>
      </c>
      <c r="BP80" s="159">
        <f t="shared" si="54"/>
        <v>2.3206751054852321</v>
      </c>
      <c r="BQ80" s="133">
        <v>2.7989999999999999</v>
      </c>
      <c r="BR80" s="166">
        <f t="shared" si="55"/>
        <v>0.14983333333333335</v>
      </c>
      <c r="BS80" s="167">
        <f t="shared" si="37"/>
        <v>2.1708417721518987</v>
      </c>
      <c r="BT80" s="159">
        <f t="shared" si="38"/>
        <v>35.5105</v>
      </c>
      <c r="BU80" s="10" t="str">
        <f t="shared" si="39"/>
        <v>Ch Robinson</v>
      </c>
      <c r="BV80" s="15"/>
      <c r="BW80" s="4" t="str">
        <f>Table1[[#This Row],[BrokerAddress]]</f>
        <v>P.O. Box 3474</v>
      </c>
      <c r="BX80" s="4" t="str">
        <f t="shared" si="40"/>
        <v>Chicago</v>
      </c>
      <c r="BY80" s="4" t="str">
        <f t="shared" si="41"/>
        <v>Il</v>
      </c>
      <c r="BZ80" s="4">
        <f t="shared" si="42"/>
        <v>60654</v>
      </c>
      <c r="CA80" s="10" t="str">
        <f t="shared" si="43"/>
        <v>US</v>
      </c>
      <c r="CB80" s="15" t="s">
        <v>131</v>
      </c>
      <c r="CC80" s="62"/>
      <c r="CD80" s="15" t="s">
        <v>149</v>
      </c>
      <c r="CE80" s="64">
        <v>25</v>
      </c>
      <c r="CF80" s="4">
        <v>1.25</v>
      </c>
      <c r="CG80" s="132">
        <f t="shared" si="44"/>
        <v>31.25</v>
      </c>
      <c r="CH80" s="4" t="s">
        <v>132</v>
      </c>
      <c r="CI80" s="5">
        <v>0</v>
      </c>
      <c r="CJ80" s="4">
        <v>0</v>
      </c>
      <c r="CK80" s="132">
        <f t="shared" si="45"/>
        <v>0</v>
      </c>
      <c r="CL80" s="4" t="s">
        <v>132</v>
      </c>
      <c r="CM80" s="5">
        <v>0</v>
      </c>
      <c r="CN80" s="4">
        <v>0</v>
      </c>
      <c r="CO80" s="132">
        <f t="shared" si="46"/>
        <v>0</v>
      </c>
      <c r="CP80" s="4" t="s">
        <v>132</v>
      </c>
      <c r="CQ80" s="5">
        <v>0</v>
      </c>
      <c r="CR80" s="4">
        <v>0</v>
      </c>
      <c r="CS80" s="132">
        <f t="shared" si="47"/>
        <v>0</v>
      </c>
      <c r="CT80" s="159">
        <f t="shared" si="48"/>
        <v>31.25</v>
      </c>
      <c r="CU80" s="168">
        <f t="shared" si="49"/>
        <v>631.25</v>
      </c>
      <c r="CV80" s="183">
        <f t="shared" si="56"/>
        <v>31.25</v>
      </c>
      <c r="CW80" s="82">
        <f t="shared" si="33"/>
        <v>581.25</v>
      </c>
      <c r="CX80" s="79">
        <f>IF(ISBLANK(E80),"AddQuickPay",IF(E80=2,CU80*0.98,IF(E80=2.4,CU80*0.976,IF(E80=3,CU80*0.97,IF(E80=5,CU80*0.95,IF(E80=1.5,CU80*0.985,IF(E80=2.5,CU80*0.975,IF(E80=1.3,CU80*0.987,IF(E80=1,CU80*0.99,IF(E80=4,CU80*0.96,CU80*1))))))))))-Table1[[#This Row],[ComCheck+QuickPayFee]]</f>
        <v>618.625</v>
      </c>
      <c r="CY80" s="5">
        <f t="shared" si="50"/>
        <v>50</v>
      </c>
      <c r="CZ80" s="5">
        <f t="shared" si="51"/>
        <v>12.625</v>
      </c>
      <c r="DA80" s="258">
        <f>Table1[[#This Row],[OriginalDispatch]]-Table1[[#This Row],[QuickPayCharge]]</f>
        <v>37.375</v>
      </c>
      <c r="DB80" s="5">
        <v>0</v>
      </c>
      <c r="DC80" s="5" t="s">
        <v>133</v>
      </c>
      <c r="DD80" s="104">
        <f t="shared" si="52"/>
        <v>42251</v>
      </c>
      <c r="DE80" s="15">
        <f>MONTH(Table1[[#This Row],[Weekending]])</f>
        <v>9</v>
      </c>
      <c r="DF80" s="15">
        <f>YEAR(Table1[[#This Row],[Weekending]])</f>
        <v>2015</v>
      </c>
      <c r="DG80" s="4"/>
    </row>
    <row r="81" spans="1:111">
      <c r="A81" s="20" t="str">
        <f t="shared" si="34"/>
        <v>76775916</v>
      </c>
      <c r="B81" s="146">
        <v>42247</v>
      </c>
      <c r="C81" s="144">
        <v>180015876</v>
      </c>
      <c r="D81" s="298" t="s">
        <v>111</v>
      </c>
      <c r="E81" s="298">
        <v>2</v>
      </c>
      <c r="F81" s="298" t="str">
        <f>INDEX(BrokerTBL!$B:$B,MATCH(D81,BrokerTBL!$A:$A,0))</f>
        <v>P.O. Box 3474</v>
      </c>
      <c r="G81" s="298" t="str">
        <f>INDEX(BrokerTBL!$C:$C,MATCH(D81,BrokerTBL!$A:$A,0))</f>
        <v>Chicago</v>
      </c>
      <c r="H81" s="298" t="str">
        <f>INDEX(BrokerTBL!$D:$D,MATCH(D81,BrokerTBL!$A:$A,0))</f>
        <v>Il</v>
      </c>
      <c r="I81" s="298" t="str">
        <f>INDEX(BrokerTBL!$E:$E,MATCH(D81,BrokerTBL!$A:$A,0))</f>
        <v>US</v>
      </c>
      <c r="J81" s="298">
        <f>INDEX(BrokerTBL!$F:$F,MATCH(D81,BrokerTBL!$A:$A,0))</f>
        <v>60654</v>
      </c>
      <c r="K81" s="298" t="s">
        <v>767</v>
      </c>
      <c r="L81" s="145" t="s">
        <v>768</v>
      </c>
      <c r="M81" s="146">
        <v>42247</v>
      </c>
      <c r="N81" s="162" t="s">
        <v>136</v>
      </c>
      <c r="O81" s="298" t="s">
        <v>769</v>
      </c>
      <c r="P81" s="298" t="s">
        <v>770</v>
      </c>
      <c r="Q81" s="298" t="s">
        <v>139</v>
      </c>
      <c r="R81" s="298">
        <v>94560</v>
      </c>
      <c r="S81" s="298" t="s">
        <v>118</v>
      </c>
      <c r="T81" s="298" t="s">
        <v>136</v>
      </c>
      <c r="U81" s="298" t="s">
        <v>120</v>
      </c>
      <c r="V81" s="298">
        <v>53</v>
      </c>
      <c r="W81" s="298" t="s">
        <v>771</v>
      </c>
      <c r="X81" s="144">
        <v>45318</v>
      </c>
      <c r="Y81" s="298" t="s">
        <v>123</v>
      </c>
      <c r="Z81" s="298">
        <v>900</v>
      </c>
      <c r="AA81" s="298" t="s">
        <v>123</v>
      </c>
      <c r="AB81" s="298" t="s">
        <v>123</v>
      </c>
      <c r="AC81" s="298" t="s">
        <v>772</v>
      </c>
      <c r="AD81" s="145">
        <v>2184959</v>
      </c>
      <c r="AE81" s="146">
        <v>42248</v>
      </c>
      <c r="AF81" s="416" t="s">
        <v>123</v>
      </c>
      <c r="AG81" s="298" t="s">
        <v>773</v>
      </c>
      <c r="AH81" s="298" t="s">
        <v>774</v>
      </c>
      <c r="AI81" s="298" t="s">
        <v>139</v>
      </c>
      <c r="AJ81" s="298">
        <v>93401</v>
      </c>
      <c r="AK81" s="298" t="s">
        <v>118</v>
      </c>
      <c r="AL81" s="298" t="s">
        <v>123</v>
      </c>
      <c r="AM81" s="171" t="str">
        <f>INDEX(CarrierDriverTBL!$B:$B,MATCH(Table1[[#This Row],[DriverID]],CarrierDriverTBL!$A:$A,0))</f>
        <v>UBTrucking</v>
      </c>
      <c r="AN81" s="10" t="s">
        <v>663</v>
      </c>
      <c r="AO81" s="142" t="str">
        <f>INDEX(CarrierDriverTBL!$C:$C,MATCH(Table1[[#This Row],[DriverID]],CarrierDriverTBL!$A:$A,0))</f>
        <v>Christopher J.</v>
      </c>
      <c r="AP81" s="142" t="str">
        <f>INDEX(CarrierDriverTBL!$D:$D,MATCH(Table1[[#This Row],[DriverID]],CarrierDriverTBL!$A:$A,0))</f>
        <v>Vanoss</v>
      </c>
      <c r="AQ81" s="142" t="str">
        <f>INDEX(CarrierDriverTBL!$X:$X,MATCH(Table1[[#This Row],[DriverID]],CarrierDriverTBL!$A:$A,0))</f>
        <v>C6568516</v>
      </c>
      <c r="AR81" s="160">
        <f>INDEX(CarrierDriverTBL!$Y:$Y,MATCH(Table1[[#This Row],[DriverID]],CarrierDriverTBL!$A:$A,0))</f>
        <v>43568</v>
      </c>
      <c r="AS81" s="142" t="str">
        <f t="shared" si="35"/>
        <v>GOOD</v>
      </c>
      <c r="AT81" s="160">
        <f>INDEX(CarrierDriverTBL!$E:$E,MATCH(Table1[[#This Row],[DriverID]],CarrierDriverTBL!$A:$A,0))</f>
        <v>25306</v>
      </c>
      <c r="AU81" s="163">
        <f ca="1">INDEX(CarrierDriverTBL!$F:$F,MATCH(Table1[[#This Row],[DriverID]],CarrierDriverTBL!$A:$A,0))</f>
        <v>47.315068493150683</v>
      </c>
      <c r="AV81" s="142" t="str">
        <f>INDEX(CarrierDriverTBL!$K:$K,MATCH(Table1[[#This Row],[DriverID]],CarrierDriverTBL!$A:$A,0))</f>
        <v>209-993-1286</v>
      </c>
      <c r="AW81" s="142" t="str">
        <f>INDEX(CarrierDriverTBL!$M:$M,MATCH(Table1[[#This Row],[DriverID]],CarrierDriverTBL!$A:$A,0))</f>
        <v>1044 Rivara RD # 106</v>
      </c>
      <c r="AX81" s="142" t="str">
        <f>INDEX(CarrierDriverTBL!$N:$N,MATCH(Table1[[#This Row],[DriverID]],CarrierDriverTBL!$A:$A,0))</f>
        <v>Stockton</v>
      </c>
      <c r="AY81" s="142" t="str">
        <f>INDEX(CarrierDriverTBL!$O:$O,MATCH(Table1[[#This Row],[DriverID]],CarrierDriverTBL!$A:$A,0))</f>
        <v>CA</v>
      </c>
      <c r="AZ81" s="142">
        <f>INDEX(CarrierDriverTBL!$P:$P,MATCH(Table1[[#This Row],[DriverID]],CarrierDriverTBL!$A:$A,0))</f>
        <v>95219</v>
      </c>
      <c r="BA81" s="142" t="str">
        <f>INDEX(CarrierDriverTBL!$Q:$Q,MATCH(Table1[[#This Row],[DriverID]],CarrierDriverTBL!$A:$A,0))</f>
        <v>US</v>
      </c>
      <c r="BB81" s="176" t="str">
        <f>INDEX(CarrierDriverTBL!$R:$R,MATCH(Table1[[#This Row],[DriverID]],CarrierDriverTBL!$A:$A,0))</f>
        <v xml:space="preserve">cvanoss@live.com </v>
      </c>
      <c r="BC81" s="160">
        <f>INDEX(CarrierDriverTBL!$AB:$AB,MATCH(Table1[[#This Row],[DriverID]],CarrierDriverTBL!$A:$A,0))</f>
        <v>42231</v>
      </c>
      <c r="BD81" s="142" t="str">
        <f ca="1">INDEX(CarrierDriverTBL!$AD:$AD,MATCH(LoadMaster!$AN:$AN,CarrierDriverTBL!$A:$A,0))</f>
        <v>MISSING</v>
      </c>
      <c r="BE81" s="142">
        <f>INDEX(CarrierDriverTBL!$AE:$AE,MATCH(Table1[DriverID],CarrierDriverTBL!$A:$A,0))</f>
        <v>913971</v>
      </c>
      <c r="BF81" s="142">
        <f>INDEX(CarrierDriverTBL!$AF:$AF,MATCH(Table1[DriverID],CarrierDriverTBL!$A:$A,0))</f>
        <v>2627544</v>
      </c>
      <c r="BG81" s="142">
        <f>INDEX(CarrierDriverTBL!$AG:$AG,MATCH(Table1[DriverID],CarrierDriverTBL!$A:$A,0))</f>
        <v>466133</v>
      </c>
      <c r="BH81" s="142" t="str">
        <f>INDEX(CarrierDriverTBL!$AH:$AH,MATCH(Table1[DriverID],CarrierDriverTBL!$A:$A,0))</f>
        <v>GM Lawrence Ins</v>
      </c>
      <c r="BI81" s="142" t="str">
        <f>INDEX(CarrierDriverTBL!$AI:$AI,MATCH(Table1[DriverID],CarrierDriverTBL!$A:$A,0))</f>
        <v>DSK2842P160210</v>
      </c>
      <c r="BJ81" s="160">
        <f>INDEX(CarrierDriverTBL!$AJ:$AJ,MATCH(Table1[[#This Row],[DriverID]],CarrierDriverTBL!$A:$A,0))</f>
        <v>42778</v>
      </c>
      <c r="BK81" s="10">
        <f t="shared" si="36"/>
        <v>531</v>
      </c>
      <c r="BL81" s="174">
        <v>600</v>
      </c>
      <c r="BM81" s="144">
        <v>210</v>
      </c>
      <c r="BN81" s="159">
        <f t="shared" si="53"/>
        <v>2.8571428571428572</v>
      </c>
      <c r="BO81" s="167">
        <v>540</v>
      </c>
      <c r="BP81" s="159">
        <f t="shared" si="54"/>
        <v>2.5714285714285716</v>
      </c>
      <c r="BQ81" s="133">
        <v>2.7989999999999999</v>
      </c>
      <c r="BR81" s="166">
        <f t="shared" si="55"/>
        <v>0.14983333333333335</v>
      </c>
      <c r="BS81" s="167">
        <f t="shared" si="37"/>
        <v>2.4215952380952381</v>
      </c>
      <c r="BT81" s="159">
        <f t="shared" si="38"/>
        <v>31.465000000000003</v>
      </c>
      <c r="BU81" s="10" t="str">
        <f t="shared" si="39"/>
        <v>Ch Robinson</v>
      </c>
      <c r="BV81" s="15"/>
      <c r="BW81" s="4" t="str">
        <f>Table1[[#This Row],[BrokerAddress]]</f>
        <v>P.O. Box 3474</v>
      </c>
      <c r="BX81" s="4" t="str">
        <f t="shared" si="40"/>
        <v>Chicago</v>
      </c>
      <c r="BY81" s="4" t="str">
        <f t="shared" si="41"/>
        <v>Il</v>
      </c>
      <c r="BZ81" s="4">
        <f t="shared" si="42"/>
        <v>60654</v>
      </c>
      <c r="CA81" s="10" t="str">
        <f t="shared" si="43"/>
        <v>US</v>
      </c>
      <c r="CB81" s="15" t="s">
        <v>131</v>
      </c>
      <c r="CC81" s="62"/>
      <c r="CD81" s="15" t="s">
        <v>132</v>
      </c>
      <c r="CE81" s="64">
        <v>0</v>
      </c>
      <c r="CF81" s="4">
        <v>0</v>
      </c>
      <c r="CG81" s="132">
        <f t="shared" si="44"/>
        <v>0</v>
      </c>
      <c r="CH81" s="4" t="s">
        <v>132</v>
      </c>
      <c r="CI81" s="5">
        <v>0</v>
      </c>
      <c r="CJ81" s="4">
        <v>0</v>
      </c>
      <c r="CK81" s="132">
        <f t="shared" si="45"/>
        <v>0</v>
      </c>
      <c r="CL81" s="4" t="s">
        <v>132</v>
      </c>
      <c r="CM81" s="5">
        <v>0</v>
      </c>
      <c r="CN81" s="4">
        <v>0</v>
      </c>
      <c r="CO81" s="132">
        <f t="shared" si="46"/>
        <v>0</v>
      </c>
      <c r="CP81" s="4" t="s">
        <v>132</v>
      </c>
      <c r="CQ81" s="5">
        <v>0</v>
      </c>
      <c r="CR81" s="4">
        <v>0</v>
      </c>
      <c r="CS81" s="132">
        <f t="shared" si="47"/>
        <v>0</v>
      </c>
      <c r="CT81" s="159">
        <f t="shared" si="48"/>
        <v>0</v>
      </c>
      <c r="CU81" s="168">
        <f t="shared" si="49"/>
        <v>600</v>
      </c>
      <c r="CV81" s="183">
        <f t="shared" si="56"/>
        <v>0</v>
      </c>
      <c r="CW81" s="82">
        <f t="shared" si="33"/>
        <v>540</v>
      </c>
      <c r="CX81" s="79">
        <f>IF(ISBLANK(E81),"AddQuickPay",IF(E81=2,CU81*0.98,IF(E81=2.4,CU81*0.976,IF(E81=3,CU81*0.97,IF(E81=5,CU81*0.95,IF(E81=1.5,CU81*0.985,IF(E81=2.5,CU81*0.975,IF(E81=1.3,CU81*0.987,IF(E81=1,CU81*0.99,IF(E81=4,CU81*0.96,CU81*1))))))))))-Table1[[#This Row],[ComCheck+QuickPayFee]]</f>
        <v>588</v>
      </c>
      <c r="CY81" s="5">
        <f t="shared" si="50"/>
        <v>60</v>
      </c>
      <c r="CZ81" s="5">
        <f t="shared" si="51"/>
        <v>12</v>
      </c>
      <c r="DA81" s="258">
        <f>Table1[[#This Row],[OriginalDispatch]]-Table1[[#This Row],[QuickPayCharge]]</f>
        <v>48</v>
      </c>
      <c r="DB81" s="5">
        <v>0</v>
      </c>
      <c r="DC81" s="5" t="s">
        <v>133</v>
      </c>
      <c r="DD81" s="104">
        <f t="shared" si="52"/>
        <v>42251</v>
      </c>
      <c r="DE81" s="15">
        <f>MONTH(Table1[[#This Row],[Weekending]])</f>
        <v>9</v>
      </c>
      <c r="DF81" s="15">
        <f>YEAR(Table1[[#This Row],[Weekending]])</f>
        <v>2015</v>
      </c>
      <c r="DG81" s="4"/>
    </row>
    <row r="82" spans="1:111">
      <c r="A82" s="20" t="str">
        <f t="shared" si="34"/>
        <v>89191916</v>
      </c>
      <c r="B82" s="146">
        <v>42248</v>
      </c>
      <c r="C82" s="144">
        <v>180513289</v>
      </c>
      <c r="D82" s="298" t="s">
        <v>111</v>
      </c>
      <c r="E82" s="298">
        <v>2</v>
      </c>
      <c r="F82" s="298" t="str">
        <f>INDEX(BrokerTBL!$B:$B,MATCH(D82,BrokerTBL!$A:$A,0))</f>
        <v>P.O. Box 3474</v>
      </c>
      <c r="G82" s="298" t="str">
        <f>INDEX(BrokerTBL!$C:$C,MATCH(D82,BrokerTBL!$A:$A,0))</f>
        <v>Chicago</v>
      </c>
      <c r="H82" s="298" t="str">
        <f>INDEX(BrokerTBL!$D:$D,MATCH(D82,BrokerTBL!$A:$A,0))</f>
        <v>Il</v>
      </c>
      <c r="I82" s="298" t="str">
        <f>INDEX(BrokerTBL!$E:$E,MATCH(D82,BrokerTBL!$A:$A,0))</f>
        <v>US</v>
      </c>
      <c r="J82" s="298">
        <f>INDEX(BrokerTBL!$F:$F,MATCH(D82,BrokerTBL!$A:$A,0))</f>
        <v>60654</v>
      </c>
      <c r="K82" s="298" t="s">
        <v>775</v>
      </c>
      <c r="L82" s="145">
        <v>7689819</v>
      </c>
      <c r="M82" s="146">
        <v>42248</v>
      </c>
      <c r="N82" s="144" t="s">
        <v>318</v>
      </c>
      <c r="O82" s="298" t="s">
        <v>776</v>
      </c>
      <c r="P82" s="298" t="s">
        <v>777</v>
      </c>
      <c r="Q82" s="298" t="s">
        <v>139</v>
      </c>
      <c r="R82" s="298">
        <v>93927</v>
      </c>
      <c r="S82" s="298" t="s">
        <v>118</v>
      </c>
      <c r="T82" s="298" t="s">
        <v>778</v>
      </c>
      <c r="U82" s="298" t="s">
        <v>120</v>
      </c>
      <c r="V82" s="298">
        <v>53</v>
      </c>
      <c r="W82" s="298" t="s">
        <v>376</v>
      </c>
      <c r="X82" s="144">
        <v>26000</v>
      </c>
      <c r="Y82" s="298" t="s">
        <v>26</v>
      </c>
      <c r="Z82" s="298">
        <v>14</v>
      </c>
      <c r="AA82" s="298">
        <v>14</v>
      </c>
      <c r="AB82" s="298" t="s">
        <v>123</v>
      </c>
      <c r="AC82" s="298" t="s">
        <v>779</v>
      </c>
      <c r="AD82" s="145" t="s">
        <v>780</v>
      </c>
      <c r="AE82" s="146">
        <v>42249</v>
      </c>
      <c r="AF82" s="416" t="s">
        <v>123</v>
      </c>
      <c r="AG82" s="298" t="s">
        <v>781</v>
      </c>
      <c r="AH82" s="298" t="s">
        <v>184</v>
      </c>
      <c r="AI82" s="298" t="s">
        <v>139</v>
      </c>
      <c r="AJ82" s="298">
        <v>95215</v>
      </c>
      <c r="AK82" s="298" t="s">
        <v>118</v>
      </c>
      <c r="AL82" s="298" t="s">
        <v>782</v>
      </c>
      <c r="AM82" s="171" t="str">
        <f>INDEX(CarrierDriverTBL!$B:$B,MATCH(Table1[[#This Row],[DriverID]],CarrierDriverTBL!$A:$A,0))</f>
        <v>UBTrucking</v>
      </c>
      <c r="AN82" s="10" t="s">
        <v>663</v>
      </c>
      <c r="AO82" s="142" t="str">
        <f>INDEX(CarrierDriverTBL!$C:$C,MATCH(Table1[[#This Row],[DriverID]],CarrierDriverTBL!$A:$A,0))</f>
        <v>Christopher J.</v>
      </c>
      <c r="AP82" s="142" t="str">
        <f>INDEX(CarrierDriverTBL!$D:$D,MATCH(Table1[[#This Row],[DriverID]],CarrierDriverTBL!$A:$A,0))</f>
        <v>Vanoss</v>
      </c>
      <c r="AQ82" s="142" t="str">
        <f>INDEX(CarrierDriverTBL!$X:$X,MATCH(Table1[[#This Row],[DriverID]],CarrierDriverTBL!$A:$A,0))</f>
        <v>C6568516</v>
      </c>
      <c r="AR82" s="160">
        <f>INDEX(CarrierDriverTBL!$Y:$Y,MATCH(Table1[[#This Row],[DriverID]],CarrierDriverTBL!$A:$A,0))</f>
        <v>43568</v>
      </c>
      <c r="AS82" s="142" t="str">
        <f t="shared" si="35"/>
        <v>GOOD</v>
      </c>
      <c r="AT82" s="160">
        <f>INDEX(CarrierDriverTBL!$E:$E,MATCH(Table1[[#This Row],[DriverID]],CarrierDriverTBL!$A:$A,0))</f>
        <v>25306</v>
      </c>
      <c r="AU82" s="163">
        <f ca="1">INDEX(CarrierDriverTBL!$F:$F,MATCH(Table1[[#This Row],[DriverID]],CarrierDriverTBL!$A:$A,0))</f>
        <v>47.315068493150683</v>
      </c>
      <c r="AV82" s="142" t="str">
        <f>INDEX(CarrierDriverTBL!$K:$K,MATCH(Table1[[#This Row],[DriverID]],CarrierDriverTBL!$A:$A,0))</f>
        <v>209-993-1286</v>
      </c>
      <c r="AW82" s="142" t="str">
        <f>INDEX(CarrierDriverTBL!$M:$M,MATCH(Table1[[#This Row],[DriverID]],CarrierDriverTBL!$A:$A,0))</f>
        <v>1044 Rivara RD # 106</v>
      </c>
      <c r="AX82" s="142" t="str">
        <f>INDEX(CarrierDriverTBL!$N:$N,MATCH(Table1[[#This Row],[DriverID]],CarrierDriverTBL!$A:$A,0))</f>
        <v>Stockton</v>
      </c>
      <c r="AY82" s="142" t="str">
        <f>INDEX(CarrierDriverTBL!$O:$O,MATCH(Table1[[#This Row],[DriverID]],CarrierDriverTBL!$A:$A,0))</f>
        <v>CA</v>
      </c>
      <c r="AZ82" s="142">
        <f>INDEX(CarrierDriverTBL!$P:$P,MATCH(Table1[[#This Row],[DriverID]],CarrierDriverTBL!$A:$A,0))</f>
        <v>95219</v>
      </c>
      <c r="BA82" s="142" t="str">
        <f>INDEX(CarrierDriverTBL!$Q:$Q,MATCH(Table1[[#This Row],[DriverID]],CarrierDriverTBL!$A:$A,0))</f>
        <v>US</v>
      </c>
      <c r="BB82" s="176" t="str">
        <f>INDEX(CarrierDriverTBL!$R:$R,MATCH(Table1[[#This Row],[DriverID]],CarrierDriverTBL!$A:$A,0))</f>
        <v xml:space="preserve">cvanoss@live.com </v>
      </c>
      <c r="BC82" s="160">
        <f>INDEX(CarrierDriverTBL!$AB:$AB,MATCH(Table1[[#This Row],[DriverID]],CarrierDriverTBL!$A:$A,0))</f>
        <v>42231</v>
      </c>
      <c r="BD82" s="142" t="str">
        <f ca="1">INDEX(CarrierDriverTBL!$AD:$AD,MATCH(LoadMaster!$AN:$AN,CarrierDriverTBL!$A:$A,0))</f>
        <v>MISSING</v>
      </c>
      <c r="BE82" s="142">
        <f>INDEX(CarrierDriverTBL!$AE:$AE,MATCH(Table1[DriverID],CarrierDriverTBL!$A:$A,0))</f>
        <v>913971</v>
      </c>
      <c r="BF82" s="142">
        <f>INDEX(CarrierDriverTBL!$AF:$AF,MATCH(Table1[DriverID],CarrierDriverTBL!$A:$A,0))</f>
        <v>2627544</v>
      </c>
      <c r="BG82" s="142">
        <f>INDEX(CarrierDriverTBL!$AG:$AG,MATCH(Table1[DriverID],CarrierDriverTBL!$A:$A,0))</f>
        <v>466133</v>
      </c>
      <c r="BH82" s="142" t="str">
        <f>INDEX(CarrierDriverTBL!$AH:$AH,MATCH(Table1[DriverID],CarrierDriverTBL!$A:$A,0))</f>
        <v>GM Lawrence Ins</v>
      </c>
      <c r="BI82" s="142" t="str">
        <f>INDEX(CarrierDriverTBL!$AI:$AI,MATCH(Table1[DriverID],CarrierDriverTBL!$A:$A,0))</f>
        <v>DSK2842P160210</v>
      </c>
      <c r="BJ82" s="160">
        <f>INDEX(CarrierDriverTBL!$AJ:$AJ,MATCH(Table1[[#This Row],[DriverID]],CarrierDriverTBL!$A:$A,0))</f>
        <v>42778</v>
      </c>
      <c r="BK82" s="10">
        <f t="shared" si="36"/>
        <v>530</v>
      </c>
      <c r="BL82" s="174">
        <v>600</v>
      </c>
      <c r="BM82" s="144">
        <v>174</v>
      </c>
      <c r="BN82" s="159">
        <f t="shared" si="53"/>
        <v>3.4482758620689653</v>
      </c>
      <c r="BO82" s="167">
        <v>540</v>
      </c>
      <c r="BP82" s="159">
        <f t="shared" si="54"/>
        <v>3.103448275862069</v>
      </c>
      <c r="BQ82" s="133">
        <v>2.7989999999999999</v>
      </c>
      <c r="BR82" s="166">
        <f t="shared" si="55"/>
        <v>0.14983333333333335</v>
      </c>
      <c r="BS82" s="167">
        <f t="shared" si="37"/>
        <v>2.9536149425287355</v>
      </c>
      <c r="BT82" s="159">
        <f t="shared" si="38"/>
        <v>26.071000000000002</v>
      </c>
      <c r="BU82" s="10" t="str">
        <f t="shared" si="39"/>
        <v>Ch Robinson</v>
      </c>
      <c r="BV82" s="15"/>
      <c r="BW82" s="4" t="str">
        <f>Table1[[#This Row],[BrokerAddress]]</f>
        <v>P.O. Box 3474</v>
      </c>
      <c r="BX82" s="4" t="str">
        <f t="shared" si="40"/>
        <v>Chicago</v>
      </c>
      <c r="BY82" s="4" t="str">
        <f t="shared" si="41"/>
        <v>Il</v>
      </c>
      <c r="BZ82" s="4">
        <f t="shared" si="42"/>
        <v>60654</v>
      </c>
      <c r="CA82" s="10" t="str">
        <f t="shared" si="43"/>
        <v>US</v>
      </c>
      <c r="CB82" s="15" t="s">
        <v>131</v>
      </c>
      <c r="CC82" s="62"/>
      <c r="CD82" s="15" t="s">
        <v>132</v>
      </c>
      <c r="CE82" s="64">
        <v>0</v>
      </c>
      <c r="CF82" s="4">
        <v>0</v>
      </c>
      <c r="CG82" s="132">
        <f t="shared" si="44"/>
        <v>0</v>
      </c>
      <c r="CH82" s="4" t="s">
        <v>132</v>
      </c>
      <c r="CI82" s="5">
        <v>0</v>
      </c>
      <c r="CJ82" s="4">
        <v>0</v>
      </c>
      <c r="CK82" s="132">
        <f t="shared" si="45"/>
        <v>0</v>
      </c>
      <c r="CL82" s="4" t="s">
        <v>132</v>
      </c>
      <c r="CM82" s="5">
        <v>0</v>
      </c>
      <c r="CN82" s="4">
        <v>0</v>
      </c>
      <c r="CO82" s="132">
        <f t="shared" si="46"/>
        <v>0</v>
      </c>
      <c r="CP82" s="4" t="s">
        <v>132</v>
      </c>
      <c r="CQ82" s="5">
        <v>0</v>
      </c>
      <c r="CR82" s="4">
        <v>0</v>
      </c>
      <c r="CS82" s="132">
        <f t="shared" si="47"/>
        <v>0</v>
      </c>
      <c r="CT82" s="159">
        <f t="shared" si="48"/>
        <v>0</v>
      </c>
      <c r="CU82" s="168">
        <f t="shared" si="49"/>
        <v>600</v>
      </c>
      <c r="CV82" s="183">
        <f t="shared" si="56"/>
        <v>0</v>
      </c>
      <c r="CW82" s="82">
        <f t="shared" si="33"/>
        <v>540</v>
      </c>
      <c r="CX82" s="79">
        <f>IF(ISBLANK(E82),"AddQuickPay",IF(E82=2,CU82*0.98,IF(E82=2.4,CU82*0.976,IF(E82=3,CU82*0.97,IF(E82=5,CU82*0.95,IF(E82=1.5,CU82*0.985,IF(E82=2.5,CU82*0.975,IF(E82=1.3,CU82*0.987,IF(E82=1,CU82*0.99,IF(E82=4,CU82*0.96,CU82*1))))))))))-Table1[[#This Row],[ComCheck+QuickPayFee]]</f>
        <v>588</v>
      </c>
      <c r="CY82" s="5">
        <f t="shared" si="50"/>
        <v>60</v>
      </c>
      <c r="CZ82" s="5">
        <f t="shared" si="51"/>
        <v>12</v>
      </c>
      <c r="DA82" s="258">
        <f>Table1[[#This Row],[OriginalDispatch]]-Table1[[#This Row],[QuickPayCharge]]</f>
        <v>48</v>
      </c>
      <c r="DB82" s="5">
        <v>0</v>
      </c>
      <c r="DC82" s="5" t="s">
        <v>133</v>
      </c>
      <c r="DD82" s="104">
        <f t="shared" si="52"/>
        <v>42251</v>
      </c>
      <c r="DE82" s="15">
        <f>MONTH(Table1[[#This Row],[Weekending]])</f>
        <v>9</v>
      </c>
      <c r="DF82" s="15">
        <f>YEAR(Table1[[#This Row],[Weekending]])</f>
        <v>2015</v>
      </c>
      <c r="DG82" s="4"/>
    </row>
    <row r="83" spans="1:111">
      <c r="A83" s="20" t="str">
        <f t="shared" si="34"/>
        <v>64159749</v>
      </c>
      <c r="B83" s="146">
        <v>42248</v>
      </c>
      <c r="C83" s="144">
        <v>180396164</v>
      </c>
      <c r="D83" s="298" t="s">
        <v>111</v>
      </c>
      <c r="E83" s="298">
        <v>2</v>
      </c>
      <c r="F83" s="298" t="str">
        <f>INDEX(BrokerTBL!$B:$B,MATCH(D83,BrokerTBL!$A:$A,0))</f>
        <v>P.O. Box 3474</v>
      </c>
      <c r="G83" s="298" t="str">
        <f>INDEX(BrokerTBL!$C:$C,MATCH(D83,BrokerTBL!$A:$A,0))</f>
        <v>Chicago</v>
      </c>
      <c r="H83" s="298" t="str">
        <f>INDEX(BrokerTBL!$D:$D,MATCH(D83,BrokerTBL!$A:$A,0))</f>
        <v>Il</v>
      </c>
      <c r="I83" s="298" t="str">
        <f>INDEX(BrokerTBL!$E:$E,MATCH(D83,BrokerTBL!$A:$A,0))</f>
        <v>US</v>
      </c>
      <c r="J83" s="298">
        <f>INDEX(BrokerTBL!$F:$F,MATCH(D83,BrokerTBL!$A:$A,0))</f>
        <v>60654</v>
      </c>
      <c r="K83" s="298" t="s">
        <v>783</v>
      </c>
      <c r="L83" s="145" t="s">
        <v>784</v>
      </c>
      <c r="M83" s="146">
        <v>42248</v>
      </c>
      <c r="N83" s="144" t="s">
        <v>785</v>
      </c>
      <c r="O83" s="298" t="s">
        <v>786</v>
      </c>
      <c r="P83" s="298" t="s">
        <v>787</v>
      </c>
      <c r="Q83" s="298" t="s">
        <v>139</v>
      </c>
      <c r="R83" s="298">
        <v>94802</v>
      </c>
      <c r="S83" s="298" t="s">
        <v>118</v>
      </c>
      <c r="T83" s="298" t="s">
        <v>788</v>
      </c>
      <c r="U83" s="298" t="s">
        <v>120</v>
      </c>
      <c r="V83" s="298">
        <v>53</v>
      </c>
      <c r="W83" s="298" t="s">
        <v>789</v>
      </c>
      <c r="X83" s="144">
        <v>43610</v>
      </c>
      <c r="Y83" s="298" t="s">
        <v>123</v>
      </c>
      <c r="Z83" s="298">
        <v>948</v>
      </c>
      <c r="AA83" s="298" t="s">
        <v>123</v>
      </c>
      <c r="AB83" s="298" t="s">
        <v>123</v>
      </c>
      <c r="AC83" s="298" t="s">
        <v>790</v>
      </c>
      <c r="AD83" s="145">
        <v>1103247597</v>
      </c>
      <c r="AE83" s="146">
        <v>42249</v>
      </c>
      <c r="AF83" s="416" t="s">
        <v>123</v>
      </c>
      <c r="AG83" s="298" t="s">
        <v>791</v>
      </c>
      <c r="AH83" s="298" t="s">
        <v>366</v>
      </c>
      <c r="AI83" s="298" t="s">
        <v>139</v>
      </c>
      <c r="AJ83" s="298">
        <v>95776</v>
      </c>
      <c r="AK83" s="298" t="s">
        <v>118</v>
      </c>
      <c r="AL83" s="298" t="s">
        <v>792</v>
      </c>
      <c r="AM83" s="171" t="str">
        <f>INDEX(CarrierDriverTBL!$B:$B,MATCH(Table1[[#This Row],[DriverID]],CarrierDriverTBL!$A:$A,0))</f>
        <v>UBTrucking</v>
      </c>
      <c r="AN83" s="10" t="s">
        <v>192</v>
      </c>
      <c r="AO83" s="142" t="str">
        <f>INDEX(CarrierDriverTBL!$C:$C,MATCH(Table1[[#This Row],[DriverID]],CarrierDriverTBL!$A:$A,0))</f>
        <v>Albel</v>
      </c>
      <c r="AP83" s="142" t="str">
        <f>INDEX(CarrierDriverTBL!$D:$D,MATCH(Table1[[#This Row],[DriverID]],CarrierDriverTBL!$A:$A,0))</f>
        <v>Chahil</v>
      </c>
      <c r="AQ83" s="142" t="str">
        <f>INDEX(CarrierDriverTBL!$X:$X,MATCH(Table1[[#This Row],[DriverID]],CarrierDriverTBL!$A:$A,0))</f>
        <v>A8390649</v>
      </c>
      <c r="AR83" s="160">
        <f>INDEX(CarrierDriverTBL!$Y:$Y,MATCH(Table1[[#This Row],[DriverID]],CarrierDriverTBL!$A:$A,0))</f>
        <v>42402</v>
      </c>
      <c r="AS83" s="142" t="str">
        <f t="shared" si="35"/>
        <v>GOOD</v>
      </c>
      <c r="AT83" s="160">
        <f>INDEX(CarrierDriverTBL!$E:$E,MATCH(Table1[[#This Row],[DriverID]],CarrierDriverTBL!$A:$A,0))</f>
        <v>22314</v>
      </c>
      <c r="AU83" s="163">
        <f ca="1">INDEX(CarrierDriverTBL!$F:$F,MATCH(Table1[[#This Row],[DriverID]],CarrierDriverTBL!$A:$A,0))</f>
        <v>55.512328767123286</v>
      </c>
      <c r="AV83" s="142" t="str">
        <f>INDEX(CarrierDriverTBL!$K:$K,MATCH(Table1[[#This Row],[DriverID]],CarrierDriverTBL!$A:$A,0))</f>
        <v>510-773-9450</v>
      </c>
      <c r="AW83" s="142" t="str">
        <f>INDEX(CarrierDriverTBL!$M:$M,MATCH(Table1[[#This Row],[DriverID]],CarrierDriverTBL!$A:$A,0))</f>
        <v>3124 Cynthia CT</v>
      </c>
      <c r="AX83" s="142" t="str">
        <f>INDEX(CarrierDriverTBL!$N:$N,MATCH(Table1[[#This Row],[DriverID]],CarrierDriverTBL!$A:$A,0))</f>
        <v>Tracy</v>
      </c>
      <c r="AY83" s="142" t="str">
        <f>INDEX(CarrierDriverTBL!$O:$O,MATCH(Table1[[#This Row],[DriverID]],CarrierDriverTBL!$A:$A,0))</f>
        <v>CA</v>
      </c>
      <c r="AZ83" s="142">
        <f>INDEX(CarrierDriverTBL!$P:$P,MATCH(Table1[[#This Row],[DriverID]],CarrierDriverTBL!$A:$A,0))</f>
        <v>95377</v>
      </c>
      <c r="BA83" s="142" t="str">
        <f>INDEX(CarrierDriverTBL!$Q:$Q,MATCH(Table1[[#This Row],[DriverID]],CarrierDriverTBL!$A:$A,0))</f>
        <v>US</v>
      </c>
      <c r="BB83" s="176" t="str">
        <f>INDEX(CarrierDriverTBL!$R:$R,MATCH(Table1[[#This Row],[DriverID]],CarrierDriverTBL!$A:$A,0))</f>
        <v>ubgollc@gmail.com</v>
      </c>
      <c r="BC83" s="160">
        <f>INDEX(CarrierDriverTBL!$AB:$AB,MATCH(Table1[[#This Row],[DriverID]],CarrierDriverTBL!$A:$A,0))</f>
        <v>42167</v>
      </c>
      <c r="BD83" s="142" t="str">
        <f ca="1">INDEX(CarrierDriverTBL!$AD:$AD,MATCH(LoadMaster!$AN:$AN,CarrierDriverTBL!$A:$A,0))</f>
        <v>MISSING</v>
      </c>
      <c r="BE83" s="142">
        <f>INDEX(CarrierDriverTBL!$AE:$AE,MATCH(Table1[DriverID],CarrierDriverTBL!$A:$A,0))</f>
        <v>913971</v>
      </c>
      <c r="BF83" s="142">
        <f>INDEX(CarrierDriverTBL!$AF:$AF,MATCH(Table1[DriverID],CarrierDriverTBL!$A:$A,0))</f>
        <v>2627544</v>
      </c>
      <c r="BG83" s="142">
        <f>INDEX(CarrierDriverTBL!$AG:$AG,MATCH(Table1[DriverID],CarrierDriverTBL!$A:$A,0))</f>
        <v>466133</v>
      </c>
      <c r="BH83" s="142" t="str">
        <f>INDEX(CarrierDriverTBL!$AH:$AH,MATCH(Table1[DriverID],CarrierDriverTBL!$A:$A,0))</f>
        <v>GM Lawrence Ins</v>
      </c>
      <c r="BI83" s="142" t="str">
        <f>INDEX(CarrierDriverTBL!$AI:$AI,MATCH(Table1[DriverID],CarrierDriverTBL!$A:$A,0))</f>
        <v>DSK2842P160210</v>
      </c>
      <c r="BJ83" s="160">
        <f>INDEX(CarrierDriverTBL!$AJ:$AJ,MATCH(Table1[[#This Row],[DriverID]],CarrierDriverTBL!$A:$A,0))</f>
        <v>42778</v>
      </c>
      <c r="BK83" s="10">
        <f t="shared" si="36"/>
        <v>530</v>
      </c>
      <c r="BL83" s="174">
        <v>650</v>
      </c>
      <c r="BM83" s="144">
        <v>150</v>
      </c>
      <c r="BN83" s="159">
        <f t="shared" si="53"/>
        <v>4.333333333333333</v>
      </c>
      <c r="BO83" s="167">
        <v>600</v>
      </c>
      <c r="BP83" s="159">
        <f t="shared" si="54"/>
        <v>4</v>
      </c>
      <c r="BQ83" s="133">
        <v>2.7989999999999999</v>
      </c>
      <c r="BR83" s="166">
        <f t="shared" si="55"/>
        <v>0.14983333333333335</v>
      </c>
      <c r="BS83" s="167">
        <f t="shared" si="37"/>
        <v>3.8501666666666665</v>
      </c>
      <c r="BT83" s="159">
        <f t="shared" si="38"/>
        <v>22.475000000000001</v>
      </c>
      <c r="BU83" s="10" t="str">
        <f t="shared" si="39"/>
        <v>Ch Robinson</v>
      </c>
      <c r="BV83" s="15"/>
      <c r="BW83" s="4" t="str">
        <f>Table1[[#This Row],[BrokerAddress]]</f>
        <v>P.O. Box 3474</v>
      </c>
      <c r="BX83" s="4" t="str">
        <f t="shared" si="40"/>
        <v>Chicago</v>
      </c>
      <c r="BY83" s="4" t="str">
        <f t="shared" si="41"/>
        <v>Il</v>
      </c>
      <c r="BZ83" s="4">
        <f t="shared" si="42"/>
        <v>60654</v>
      </c>
      <c r="CA83" s="10" t="str">
        <f t="shared" si="43"/>
        <v>US</v>
      </c>
      <c r="CB83" s="15" t="s">
        <v>131</v>
      </c>
      <c r="CC83" s="62"/>
      <c r="CD83" s="15" t="s">
        <v>149</v>
      </c>
      <c r="CE83" s="64">
        <v>25</v>
      </c>
      <c r="CF83" s="4">
        <v>1</v>
      </c>
      <c r="CG83" s="132">
        <f t="shared" si="44"/>
        <v>25</v>
      </c>
      <c r="CH83" s="4" t="s">
        <v>132</v>
      </c>
      <c r="CI83" s="5">
        <v>0</v>
      </c>
      <c r="CJ83" s="4">
        <v>0</v>
      </c>
      <c r="CK83" s="132">
        <f t="shared" si="45"/>
        <v>0</v>
      </c>
      <c r="CL83" s="4" t="s">
        <v>132</v>
      </c>
      <c r="CM83" s="5">
        <v>0</v>
      </c>
      <c r="CN83" s="4">
        <v>0</v>
      </c>
      <c r="CO83" s="132">
        <f t="shared" si="46"/>
        <v>0</v>
      </c>
      <c r="CP83" s="4" t="s">
        <v>132</v>
      </c>
      <c r="CQ83" s="5">
        <v>0</v>
      </c>
      <c r="CR83" s="4">
        <v>0</v>
      </c>
      <c r="CS83" s="132">
        <f t="shared" si="47"/>
        <v>0</v>
      </c>
      <c r="CT83" s="159">
        <f t="shared" si="48"/>
        <v>25</v>
      </c>
      <c r="CU83" s="168">
        <f t="shared" si="49"/>
        <v>675</v>
      </c>
      <c r="CV83" s="183">
        <f t="shared" si="56"/>
        <v>25</v>
      </c>
      <c r="CW83" s="82">
        <f t="shared" si="33"/>
        <v>625</v>
      </c>
      <c r="CX83" s="79">
        <f>IF(ISBLANK(E83),"AddQuickPay",IF(E83=2,CU83*0.98,IF(E83=2.4,CU83*0.976,IF(E83=3,CU83*0.97,IF(E83=5,CU83*0.95,IF(E83=1.5,CU83*0.985,IF(E83=2.5,CU83*0.975,IF(E83=1.3,CU83*0.987,IF(E83=1,CU83*0.99,IF(E83=4,CU83*0.96,CU83*1))))))))))-Table1[[#This Row],[ComCheck+QuickPayFee]]</f>
        <v>661.5</v>
      </c>
      <c r="CY83" s="5">
        <f t="shared" si="50"/>
        <v>50</v>
      </c>
      <c r="CZ83" s="5">
        <f t="shared" si="51"/>
        <v>13.5</v>
      </c>
      <c r="DA83" s="258">
        <f>Table1[[#This Row],[OriginalDispatch]]-Table1[[#This Row],[QuickPayCharge]]</f>
        <v>36.5</v>
      </c>
      <c r="DB83" s="5">
        <v>0</v>
      </c>
      <c r="DC83" s="5" t="s">
        <v>133</v>
      </c>
      <c r="DD83" s="104">
        <f t="shared" si="52"/>
        <v>42251</v>
      </c>
      <c r="DE83" s="15">
        <f>MONTH(Table1[[#This Row],[Weekending]])</f>
        <v>9</v>
      </c>
      <c r="DF83" s="15">
        <f>YEAR(Table1[[#This Row],[Weekending]])</f>
        <v>2015</v>
      </c>
      <c r="DG83" s="4"/>
    </row>
    <row r="84" spans="1:111">
      <c r="A84" s="20" t="str">
        <f t="shared" si="34"/>
        <v>46784616</v>
      </c>
      <c r="B84" s="146">
        <v>42249</v>
      </c>
      <c r="C84" s="144">
        <v>180617246</v>
      </c>
      <c r="D84" s="298" t="s">
        <v>111</v>
      </c>
      <c r="E84" s="298">
        <v>2</v>
      </c>
      <c r="F84" s="298" t="str">
        <f>INDEX(BrokerTBL!$B:$B,MATCH(D84,BrokerTBL!$A:$A,0))</f>
        <v>P.O. Box 3474</v>
      </c>
      <c r="G84" s="298" t="str">
        <f>INDEX(BrokerTBL!$C:$C,MATCH(D84,BrokerTBL!$A:$A,0))</f>
        <v>Chicago</v>
      </c>
      <c r="H84" s="298" t="str">
        <f>INDEX(BrokerTBL!$D:$D,MATCH(D84,BrokerTBL!$A:$A,0))</f>
        <v>Il</v>
      </c>
      <c r="I84" s="298" t="str">
        <f>INDEX(BrokerTBL!$E:$E,MATCH(D84,BrokerTBL!$A:$A,0))</f>
        <v>US</v>
      </c>
      <c r="J84" s="298">
        <f>INDEX(BrokerTBL!$F:$F,MATCH(D84,BrokerTBL!$A:$A,0))</f>
        <v>60654</v>
      </c>
      <c r="K84" s="298" t="s">
        <v>793</v>
      </c>
      <c r="L84" s="145" t="s">
        <v>794</v>
      </c>
      <c r="M84" s="146">
        <v>42249</v>
      </c>
      <c r="N84" s="144" t="s">
        <v>795</v>
      </c>
      <c r="O84" s="298" t="s">
        <v>796</v>
      </c>
      <c r="P84" s="298" t="s">
        <v>345</v>
      </c>
      <c r="Q84" s="298" t="s">
        <v>139</v>
      </c>
      <c r="R84" s="298">
        <v>93635</v>
      </c>
      <c r="S84" s="298" t="s">
        <v>118</v>
      </c>
      <c r="T84" s="298" t="s">
        <v>797</v>
      </c>
      <c r="U84" s="298" t="s">
        <v>120</v>
      </c>
      <c r="V84" s="298">
        <v>53</v>
      </c>
      <c r="W84" s="298" t="s">
        <v>136</v>
      </c>
      <c r="X84" s="144">
        <v>43500</v>
      </c>
      <c r="Y84" s="298" t="s">
        <v>798</v>
      </c>
      <c r="Z84" s="298">
        <v>15</v>
      </c>
      <c r="AA84" s="298" t="s">
        <v>123</v>
      </c>
      <c r="AB84" s="298" t="s">
        <v>123</v>
      </c>
      <c r="AC84" s="298" t="s">
        <v>799</v>
      </c>
      <c r="AD84" s="145">
        <v>4550001146</v>
      </c>
      <c r="AE84" s="146">
        <v>42251</v>
      </c>
      <c r="AF84" s="298" t="s">
        <v>800</v>
      </c>
      <c r="AG84" s="298" t="s">
        <v>801</v>
      </c>
      <c r="AH84" s="298" t="s">
        <v>802</v>
      </c>
      <c r="AI84" s="298" t="s">
        <v>803</v>
      </c>
      <c r="AJ84" s="298">
        <v>84663</v>
      </c>
      <c r="AK84" s="298" t="s">
        <v>118</v>
      </c>
      <c r="AL84" s="298" t="s">
        <v>804</v>
      </c>
      <c r="AM84" s="171" t="str">
        <f>INDEX(CarrierDriverTBL!$B:$B,MATCH(Table1[[#This Row],[DriverID]],CarrierDriverTBL!$A:$A,0))</f>
        <v>UBTrucking</v>
      </c>
      <c r="AN84" s="10" t="s">
        <v>663</v>
      </c>
      <c r="AO84" s="142" t="str">
        <f>INDEX(CarrierDriverTBL!$C:$C,MATCH(Table1[[#This Row],[DriverID]],CarrierDriverTBL!$A:$A,0))</f>
        <v>Christopher J.</v>
      </c>
      <c r="AP84" s="142" t="str">
        <f>INDEX(CarrierDriverTBL!$D:$D,MATCH(Table1[[#This Row],[DriverID]],CarrierDriverTBL!$A:$A,0))</f>
        <v>Vanoss</v>
      </c>
      <c r="AQ84" s="142" t="str">
        <f>INDEX(CarrierDriverTBL!$X:$X,MATCH(Table1[[#This Row],[DriverID]],CarrierDriverTBL!$A:$A,0))</f>
        <v>C6568516</v>
      </c>
      <c r="AR84" s="160">
        <f>INDEX(CarrierDriverTBL!$Y:$Y,MATCH(Table1[[#This Row],[DriverID]],CarrierDriverTBL!$A:$A,0))</f>
        <v>43568</v>
      </c>
      <c r="AS84" s="142" t="str">
        <f t="shared" si="35"/>
        <v>GOOD</v>
      </c>
      <c r="AT84" s="160">
        <f>INDEX(CarrierDriverTBL!$E:$E,MATCH(Table1[[#This Row],[DriverID]],CarrierDriverTBL!$A:$A,0))</f>
        <v>25306</v>
      </c>
      <c r="AU84" s="163">
        <f ca="1">INDEX(CarrierDriverTBL!$F:$F,MATCH(Table1[[#This Row],[DriverID]],CarrierDriverTBL!$A:$A,0))</f>
        <v>47.315068493150683</v>
      </c>
      <c r="AV84" s="142" t="str">
        <f>INDEX(CarrierDriverTBL!$K:$K,MATCH(Table1[[#This Row],[DriverID]],CarrierDriverTBL!$A:$A,0))</f>
        <v>209-993-1286</v>
      </c>
      <c r="AW84" s="142" t="str">
        <f>INDEX(CarrierDriverTBL!$M:$M,MATCH(Table1[[#This Row],[DriverID]],CarrierDriverTBL!$A:$A,0))</f>
        <v>1044 Rivara RD # 106</v>
      </c>
      <c r="AX84" s="142" t="str">
        <f>INDEX(CarrierDriverTBL!$N:$N,MATCH(Table1[[#This Row],[DriverID]],CarrierDriverTBL!$A:$A,0))</f>
        <v>Stockton</v>
      </c>
      <c r="AY84" s="142" t="str">
        <f>INDEX(CarrierDriverTBL!$O:$O,MATCH(Table1[[#This Row],[DriverID]],CarrierDriverTBL!$A:$A,0))</f>
        <v>CA</v>
      </c>
      <c r="AZ84" s="142">
        <f>INDEX(CarrierDriverTBL!$P:$P,MATCH(Table1[[#This Row],[DriverID]],CarrierDriverTBL!$A:$A,0))</f>
        <v>95219</v>
      </c>
      <c r="BA84" s="142" t="str">
        <f>INDEX(CarrierDriverTBL!$Q:$Q,MATCH(Table1[[#This Row],[DriverID]],CarrierDriverTBL!$A:$A,0))</f>
        <v>US</v>
      </c>
      <c r="BB84" s="176" t="str">
        <f>INDEX(CarrierDriverTBL!$R:$R,MATCH(Table1[[#This Row],[DriverID]],CarrierDriverTBL!$A:$A,0))</f>
        <v xml:space="preserve">cvanoss@live.com </v>
      </c>
      <c r="BC84" s="160">
        <f>INDEX(CarrierDriverTBL!$AB:$AB,MATCH(Table1[[#This Row],[DriverID]],CarrierDriverTBL!$A:$A,0))</f>
        <v>42231</v>
      </c>
      <c r="BD84" s="142" t="str">
        <f ca="1">INDEX(CarrierDriverTBL!$AD:$AD,MATCH(LoadMaster!$AN:$AN,CarrierDriverTBL!$A:$A,0))</f>
        <v>MISSING</v>
      </c>
      <c r="BE84" s="142">
        <f>INDEX(CarrierDriverTBL!$AE:$AE,MATCH(Table1[DriverID],CarrierDriverTBL!$A:$A,0))</f>
        <v>913971</v>
      </c>
      <c r="BF84" s="142">
        <f>INDEX(CarrierDriverTBL!$AF:$AF,MATCH(Table1[DriverID],CarrierDriverTBL!$A:$A,0))</f>
        <v>2627544</v>
      </c>
      <c r="BG84" s="142">
        <f>INDEX(CarrierDriverTBL!$AG:$AG,MATCH(Table1[DriverID],CarrierDriverTBL!$A:$A,0))</f>
        <v>466133</v>
      </c>
      <c r="BH84" s="142" t="str">
        <f>INDEX(CarrierDriverTBL!$AH:$AH,MATCH(Table1[DriverID],CarrierDriverTBL!$A:$A,0))</f>
        <v>GM Lawrence Ins</v>
      </c>
      <c r="BI84" s="142" t="str">
        <f>INDEX(CarrierDriverTBL!$AI:$AI,MATCH(Table1[DriverID],CarrierDriverTBL!$A:$A,0))</f>
        <v>DSK2842P160210</v>
      </c>
      <c r="BJ84" s="160">
        <f>INDEX(CarrierDriverTBL!$AJ:$AJ,MATCH(Table1[[#This Row],[DriverID]],CarrierDriverTBL!$A:$A,0))</f>
        <v>42778</v>
      </c>
      <c r="BK84" s="10">
        <f t="shared" si="36"/>
        <v>529</v>
      </c>
      <c r="BL84" s="174">
        <v>1850</v>
      </c>
      <c r="BM84" s="144">
        <v>807</v>
      </c>
      <c r="BN84" s="159">
        <f t="shared" si="53"/>
        <v>2.2924411400247831</v>
      </c>
      <c r="BO84" s="167">
        <v>1665</v>
      </c>
      <c r="BP84" s="159">
        <f t="shared" si="54"/>
        <v>2.0631970260223049</v>
      </c>
      <c r="BQ84" s="133">
        <v>2.7989999999999999</v>
      </c>
      <c r="BR84" s="166">
        <f t="shared" si="55"/>
        <v>0.14983333333333335</v>
      </c>
      <c r="BS84" s="167">
        <f t="shared" si="37"/>
        <v>1.9133636926889717</v>
      </c>
      <c r="BT84" s="159">
        <f t="shared" si="38"/>
        <v>120.91550000000001</v>
      </c>
      <c r="BU84" s="10" t="str">
        <f t="shared" si="39"/>
        <v>Ch Robinson</v>
      </c>
      <c r="BV84" s="15"/>
      <c r="BW84" s="4" t="str">
        <f>Table1[[#This Row],[BrokerAddress]]</f>
        <v>P.O. Box 3474</v>
      </c>
      <c r="BX84" s="4" t="str">
        <f t="shared" si="40"/>
        <v>Chicago</v>
      </c>
      <c r="BY84" s="4" t="str">
        <f t="shared" si="41"/>
        <v>Il</v>
      </c>
      <c r="BZ84" s="4">
        <f t="shared" si="42"/>
        <v>60654</v>
      </c>
      <c r="CA84" s="10" t="str">
        <f t="shared" si="43"/>
        <v>US</v>
      </c>
      <c r="CB84" s="15" t="s">
        <v>131</v>
      </c>
      <c r="CC84" s="62"/>
      <c r="CD84" s="15" t="s">
        <v>132</v>
      </c>
      <c r="CE84" s="64">
        <v>0</v>
      </c>
      <c r="CF84" s="4">
        <v>0</v>
      </c>
      <c r="CG84" s="132">
        <f t="shared" si="44"/>
        <v>0</v>
      </c>
      <c r="CH84" s="4" t="s">
        <v>132</v>
      </c>
      <c r="CI84" s="5">
        <v>0</v>
      </c>
      <c r="CJ84" s="4">
        <v>0</v>
      </c>
      <c r="CK84" s="132">
        <f t="shared" si="45"/>
        <v>0</v>
      </c>
      <c r="CL84" s="4" t="s">
        <v>132</v>
      </c>
      <c r="CM84" s="5">
        <v>0</v>
      </c>
      <c r="CN84" s="4">
        <v>0</v>
      </c>
      <c r="CO84" s="132">
        <f t="shared" si="46"/>
        <v>0</v>
      </c>
      <c r="CP84" s="4" t="s">
        <v>132</v>
      </c>
      <c r="CQ84" s="5">
        <v>0</v>
      </c>
      <c r="CR84" s="4">
        <v>0</v>
      </c>
      <c r="CS84" s="132">
        <f t="shared" si="47"/>
        <v>0</v>
      </c>
      <c r="CT84" s="159">
        <f t="shared" si="48"/>
        <v>0</v>
      </c>
      <c r="CU84" s="168">
        <f t="shared" si="49"/>
        <v>1850</v>
      </c>
      <c r="CV84" s="183">
        <f t="shared" si="56"/>
        <v>0</v>
      </c>
      <c r="CW84" s="82">
        <f t="shared" si="33"/>
        <v>1665</v>
      </c>
      <c r="CX84" s="79">
        <f>IF(ISBLANK(E84),"AddQuickPay",IF(E84=2,CU84*0.98,IF(E84=2.4,CU84*0.976,IF(E84=3,CU84*0.97,IF(E84=5,CU84*0.95,IF(E84=1.5,CU84*0.985,IF(E84=2.5,CU84*0.975,IF(E84=1.3,CU84*0.987,IF(E84=1,CU84*0.99,IF(E84=4,CU84*0.96,CU84*1))))))))))-Table1[[#This Row],[ComCheck+QuickPayFee]]</f>
        <v>1813</v>
      </c>
      <c r="CY84" s="5">
        <f t="shared" si="50"/>
        <v>185</v>
      </c>
      <c r="CZ84" s="5">
        <f t="shared" si="51"/>
        <v>37</v>
      </c>
      <c r="DA84" s="258">
        <f>Table1[[#This Row],[OriginalDispatch]]-Table1[[#This Row],[QuickPayCharge]]</f>
        <v>148</v>
      </c>
      <c r="DB84" s="5">
        <v>0</v>
      </c>
      <c r="DC84" s="5" t="s">
        <v>133</v>
      </c>
      <c r="DD84" s="104">
        <f t="shared" si="52"/>
        <v>42251</v>
      </c>
      <c r="DE84" s="15">
        <f>MONTH(Table1[[#This Row],[Weekending]])</f>
        <v>9</v>
      </c>
      <c r="DF84" s="15">
        <f>YEAR(Table1[[#This Row],[Weekending]])</f>
        <v>2015</v>
      </c>
      <c r="DG84" s="4"/>
    </row>
    <row r="85" spans="1:111">
      <c r="A85" s="20" t="str">
        <f t="shared" si="34"/>
        <v>849X9X49</v>
      </c>
      <c r="B85" s="146">
        <v>42249</v>
      </c>
      <c r="C85" s="144">
        <v>6015884</v>
      </c>
      <c r="D85" s="298" t="s">
        <v>555</v>
      </c>
      <c r="E85" s="298">
        <v>3</v>
      </c>
      <c r="F85" s="298" t="str">
        <f>INDEX(BrokerTBL!$B:$B,MATCH(D85,BrokerTBL!$A:$A,0))</f>
        <v>P.O. Box 799</v>
      </c>
      <c r="G85" s="298" t="str">
        <f>INDEX(BrokerTBL!$C:$C,MATCH(D85,BrokerTBL!$A:$A,0))</f>
        <v>Milford</v>
      </c>
      <c r="H85" s="298" t="str">
        <f>INDEX(BrokerTBL!$D:$D,MATCH(D85,BrokerTBL!$A:$A,0))</f>
        <v>Ohio</v>
      </c>
      <c r="I85" s="298" t="str">
        <f>INDEX(BrokerTBL!$E:$E,MATCH(D85,BrokerTBL!$A:$A,0))</f>
        <v>US</v>
      </c>
      <c r="J85" s="298">
        <f>INDEX(BrokerTBL!$F:$F,MATCH(D85,BrokerTBL!$A:$A,0))</f>
        <v>45150</v>
      </c>
      <c r="K85" s="298" t="s">
        <v>805</v>
      </c>
      <c r="L85" s="145" t="s">
        <v>806</v>
      </c>
      <c r="M85" s="146">
        <v>42249</v>
      </c>
      <c r="N85" s="162" t="s">
        <v>136</v>
      </c>
      <c r="O85" s="298" t="s">
        <v>807</v>
      </c>
      <c r="P85" s="298" t="s">
        <v>689</v>
      </c>
      <c r="Q85" s="298" t="s">
        <v>139</v>
      </c>
      <c r="R85" s="298">
        <v>95691</v>
      </c>
      <c r="S85" s="298" t="s">
        <v>118</v>
      </c>
      <c r="T85" s="298" t="s">
        <v>136</v>
      </c>
      <c r="U85" s="298" t="s">
        <v>120</v>
      </c>
      <c r="V85" s="298">
        <v>53</v>
      </c>
      <c r="W85" s="298" t="s">
        <v>808</v>
      </c>
      <c r="X85" s="144" t="s">
        <v>136</v>
      </c>
      <c r="Y85" s="298" t="s">
        <v>123</v>
      </c>
      <c r="Z85" s="298" t="s">
        <v>123</v>
      </c>
      <c r="AA85" s="298" t="s">
        <v>123</v>
      </c>
      <c r="AB85" s="298" t="s">
        <v>123</v>
      </c>
      <c r="AC85" s="298" t="s">
        <v>809</v>
      </c>
      <c r="AD85" s="145" t="s">
        <v>806</v>
      </c>
      <c r="AE85" s="146">
        <v>42250</v>
      </c>
      <c r="AF85" s="298">
        <v>800</v>
      </c>
      <c r="AG85" s="298" t="s">
        <v>810</v>
      </c>
      <c r="AH85" s="298" t="s">
        <v>154</v>
      </c>
      <c r="AI85" s="298" t="s">
        <v>139</v>
      </c>
      <c r="AJ85" s="298">
        <v>93313</v>
      </c>
      <c r="AK85" s="298" t="s">
        <v>118</v>
      </c>
      <c r="AL85" s="298" t="s">
        <v>811</v>
      </c>
      <c r="AM85" s="171" t="str">
        <f>INDEX(CarrierDriverTBL!$B:$B,MATCH(Table1[[#This Row],[DriverID]],CarrierDriverTBL!$A:$A,0))</f>
        <v>UBTrucking</v>
      </c>
      <c r="AN85" s="10" t="s">
        <v>192</v>
      </c>
      <c r="AO85" s="142" t="str">
        <f>INDEX(CarrierDriverTBL!$C:$C,MATCH(Table1[[#This Row],[DriverID]],CarrierDriverTBL!$A:$A,0))</f>
        <v>Albel</v>
      </c>
      <c r="AP85" s="142" t="str">
        <f>INDEX(CarrierDriverTBL!$D:$D,MATCH(Table1[[#This Row],[DriverID]],CarrierDriverTBL!$A:$A,0))</f>
        <v>Chahil</v>
      </c>
      <c r="AQ85" s="142" t="str">
        <f>INDEX(CarrierDriverTBL!$X:$X,MATCH(Table1[[#This Row],[DriverID]],CarrierDriverTBL!$A:$A,0))</f>
        <v>A8390649</v>
      </c>
      <c r="AR85" s="160">
        <f>INDEX(CarrierDriverTBL!$Y:$Y,MATCH(Table1[[#This Row],[DriverID]],CarrierDriverTBL!$A:$A,0))</f>
        <v>42402</v>
      </c>
      <c r="AS85" s="142" t="str">
        <f t="shared" si="35"/>
        <v>GOOD</v>
      </c>
      <c r="AT85" s="160">
        <f>INDEX(CarrierDriverTBL!$E:$E,MATCH(Table1[[#This Row],[DriverID]],CarrierDriverTBL!$A:$A,0))</f>
        <v>22314</v>
      </c>
      <c r="AU85" s="163">
        <f ca="1">INDEX(CarrierDriverTBL!$F:$F,MATCH(Table1[[#This Row],[DriverID]],CarrierDriverTBL!$A:$A,0))</f>
        <v>55.512328767123286</v>
      </c>
      <c r="AV85" s="142" t="str">
        <f>INDEX(CarrierDriverTBL!$K:$K,MATCH(Table1[[#This Row],[DriverID]],CarrierDriverTBL!$A:$A,0))</f>
        <v>510-773-9450</v>
      </c>
      <c r="AW85" s="142" t="str">
        <f>INDEX(CarrierDriverTBL!$M:$M,MATCH(Table1[[#This Row],[DriverID]],CarrierDriverTBL!$A:$A,0))</f>
        <v>3124 Cynthia CT</v>
      </c>
      <c r="AX85" s="142" t="str">
        <f>INDEX(CarrierDriverTBL!$N:$N,MATCH(Table1[[#This Row],[DriverID]],CarrierDriverTBL!$A:$A,0))</f>
        <v>Tracy</v>
      </c>
      <c r="AY85" s="142" t="str">
        <f>INDEX(CarrierDriverTBL!$O:$O,MATCH(Table1[[#This Row],[DriverID]],CarrierDriverTBL!$A:$A,0))</f>
        <v>CA</v>
      </c>
      <c r="AZ85" s="142">
        <f>INDEX(CarrierDriverTBL!$P:$P,MATCH(Table1[[#This Row],[DriverID]],CarrierDriverTBL!$A:$A,0))</f>
        <v>95377</v>
      </c>
      <c r="BA85" s="142" t="str">
        <f>INDEX(CarrierDriverTBL!$Q:$Q,MATCH(Table1[[#This Row],[DriverID]],CarrierDriverTBL!$A:$A,0))</f>
        <v>US</v>
      </c>
      <c r="BB85" s="176" t="str">
        <f>INDEX(CarrierDriverTBL!$R:$R,MATCH(Table1[[#This Row],[DriverID]],CarrierDriverTBL!$A:$A,0))</f>
        <v>ubgollc@gmail.com</v>
      </c>
      <c r="BC85" s="160">
        <f>INDEX(CarrierDriverTBL!$AB:$AB,MATCH(Table1[[#This Row],[DriverID]],CarrierDriverTBL!$A:$A,0))</f>
        <v>42167</v>
      </c>
      <c r="BD85" s="142" t="str">
        <f ca="1">INDEX(CarrierDriverTBL!$AD:$AD,MATCH(LoadMaster!$AN:$AN,CarrierDriverTBL!$A:$A,0))</f>
        <v>MISSING</v>
      </c>
      <c r="BE85" s="142">
        <f>INDEX(CarrierDriverTBL!$AE:$AE,MATCH(Table1[DriverID],CarrierDriverTBL!$A:$A,0))</f>
        <v>913971</v>
      </c>
      <c r="BF85" s="142">
        <f>INDEX(CarrierDriverTBL!$AF:$AF,MATCH(Table1[DriverID],CarrierDriverTBL!$A:$A,0))</f>
        <v>2627544</v>
      </c>
      <c r="BG85" s="142">
        <f>INDEX(CarrierDriverTBL!$AG:$AG,MATCH(Table1[DriverID],CarrierDriverTBL!$A:$A,0))</f>
        <v>466133</v>
      </c>
      <c r="BH85" s="142" t="str">
        <f>INDEX(CarrierDriverTBL!$AH:$AH,MATCH(Table1[DriverID],CarrierDriverTBL!$A:$A,0))</f>
        <v>GM Lawrence Ins</v>
      </c>
      <c r="BI85" s="142" t="str">
        <f>INDEX(CarrierDriverTBL!$AI:$AI,MATCH(Table1[DriverID],CarrierDriverTBL!$A:$A,0))</f>
        <v>DSK2842P160210</v>
      </c>
      <c r="BJ85" s="160">
        <f>INDEX(CarrierDriverTBL!$AJ:$AJ,MATCH(Table1[[#This Row],[DriverID]],CarrierDriverTBL!$A:$A,0))</f>
        <v>42778</v>
      </c>
      <c r="BK85" s="10">
        <f t="shared" si="36"/>
        <v>529</v>
      </c>
      <c r="BL85" s="174">
        <v>650</v>
      </c>
      <c r="BM85" s="144">
        <v>285</v>
      </c>
      <c r="BN85" s="159">
        <f t="shared" si="53"/>
        <v>2.2807017543859649</v>
      </c>
      <c r="BO85" s="167">
        <v>600</v>
      </c>
      <c r="BP85" s="159">
        <f t="shared" si="54"/>
        <v>2.1052631578947367</v>
      </c>
      <c r="BQ85" s="133">
        <v>2.7989999999999999</v>
      </c>
      <c r="BR85" s="166">
        <f t="shared" si="55"/>
        <v>0.14983333333333335</v>
      </c>
      <c r="BS85" s="167">
        <f t="shared" si="37"/>
        <v>1.9554298245614035</v>
      </c>
      <c r="BT85" s="159">
        <f t="shared" si="38"/>
        <v>42.702500000000001</v>
      </c>
      <c r="BU85" s="10" t="str">
        <f t="shared" si="39"/>
        <v>Tql</v>
      </c>
      <c r="BV85" s="15"/>
      <c r="BW85" s="4" t="str">
        <f>Table1[[#This Row],[BrokerAddress]]</f>
        <v>P.O. Box 799</v>
      </c>
      <c r="BX85" s="4" t="str">
        <f t="shared" si="40"/>
        <v>Milford</v>
      </c>
      <c r="BY85" s="4" t="str">
        <f t="shared" si="41"/>
        <v>Ohio</v>
      </c>
      <c r="BZ85" s="4">
        <f t="shared" si="42"/>
        <v>45150</v>
      </c>
      <c r="CA85" s="10" t="str">
        <f t="shared" si="43"/>
        <v>US</v>
      </c>
      <c r="CB85" s="15" t="s">
        <v>131</v>
      </c>
      <c r="CC85" s="62"/>
      <c r="CD85" s="15" t="s">
        <v>132</v>
      </c>
      <c r="CE85" s="64">
        <v>0</v>
      </c>
      <c r="CF85" s="4">
        <v>0</v>
      </c>
      <c r="CG85" s="132">
        <f t="shared" si="44"/>
        <v>0</v>
      </c>
      <c r="CH85" s="4" t="s">
        <v>132</v>
      </c>
      <c r="CI85" s="5">
        <v>0</v>
      </c>
      <c r="CJ85" s="4">
        <v>0</v>
      </c>
      <c r="CK85" s="132">
        <f t="shared" si="45"/>
        <v>0</v>
      </c>
      <c r="CL85" s="4" t="s">
        <v>132</v>
      </c>
      <c r="CM85" s="5">
        <v>0</v>
      </c>
      <c r="CN85" s="4">
        <v>0</v>
      </c>
      <c r="CO85" s="132">
        <f t="shared" si="46"/>
        <v>0</v>
      </c>
      <c r="CP85" s="4" t="s">
        <v>132</v>
      </c>
      <c r="CQ85" s="5">
        <v>0</v>
      </c>
      <c r="CR85" s="4">
        <v>0</v>
      </c>
      <c r="CS85" s="132">
        <f t="shared" si="47"/>
        <v>0</v>
      </c>
      <c r="CT85" s="159">
        <f t="shared" si="48"/>
        <v>0</v>
      </c>
      <c r="CU85" s="168">
        <f t="shared" si="49"/>
        <v>650</v>
      </c>
      <c r="CV85" s="183">
        <f t="shared" si="56"/>
        <v>0</v>
      </c>
      <c r="CW85" s="82">
        <f t="shared" si="33"/>
        <v>600</v>
      </c>
      <c r="CX85" s="79">
        <f>IF(ISBLANK(E85),"AddQuickPay",IF(E85=2,CU85*0.98,IF(E85=2.4,CU85*0.976,IF(E85=3,CU85*0.97,IF(E85=5,CU85*0.95,IF(E85=1.5,CU85*0.985,IF(E85=2.5,CU85*0.975,IF(E85=1.3,CU85*0.987,IF(E85=1,CU85*0.99,IF(E85=4,CU85*0.96,CU85*1))))))))))-Table1[[#This Row],[ComCheck+QuickPayFee]]</f>
        <v>630.5</v>
      </c>
      <c r="CY85" s="5">
        <f t="shared" si="50"/>
        <v>50</v>
      </c>
      <c r="CZ85" s="5">
        <f t="shared" si="51"/>
        <v>19.5</v>
      </c>
      <c r="DA85" s="258">
        <f>Table1[[#This Row],[OriginalDispatch]]-Table1[[#This Row],[QuickPayCharge]]</f>
        <v>30.5</v>
      </c>
      <c r="DB85" s="5">
        <v>0</v>
      </c>
      <c r="DC85" s="5" t="s">
        <v>133</v>
      </c>
      <c r="DD85" s="104">
        <f t="shared" si="52"/>
        <v>42251</v>
      </c>
      <c r="DE85" s="15">
        <f>MONTH(Table1[[#This Row],[Weekending]])</f>
        <v>9</v>
      </c>
      <c r="DF85" s="15">
        <f>YEAR(Table1[[#This Row],[Weekending]])</f>
        <v>2015</v>
      </c>
      <c r="DG85" s="4"/>
    </row>
    <row r="86" spans="1:111">
      <c r="A86" s="20" t="str">
        <f t="shared" si="34"/>
        <v>94le49</v>
      </c>
      <c r="B86" s="146">
        <v>42065</v>
      </c>
      <c r="C86" s="144">
        <v>1994</v>
      </c>
      <c r="D86" s="298" t="s">
        <v>812</v>
      </c>
      <c r="E86" s="298">
        <v>0</v>
      </c>
      <c r="F86" s="298" t="str">
        <f>INDEX(BrokerTBL!$B:$B,MATCH(D86,BrokerTBL!$A:$A,0))</f>
        <v>Po Box 8453</v>
      </c>
      <c r="G86" s="298" t="str">
        <f>INDEX(BrokerTBL!$C:$C,MATCH(D86,BrokerTBL!$A:$A,0))</f>
        <v>Fresno</v>
      </c>
      <c r="H86" s="298" t="str">
        <f>INDEX(BrokerTBL!$D:$D,MATCH(D86,BrokerTBL!$A:$A,0))</f>
        <v>Ca</v>
      </c>
      <c r="I86" s="298" t="str">
        <f>INDEX(BrokerTBL!$E:$E,MATCH(D86,BrokerTBL!$A:$A,0))</f>
        <v>US</v>
      </c>
      <c r="J86" s="298">
        <f>INDEX(BrokerTBL!$F:$F,MATCH(D86,BrokerTBL!$A:$A,0))</f>
        <v>93747</v>
      </c>
      <c r="K86" s="298" t="s">
        <v>813</v>
      </c>
      <c r="L86" s="145" t="s">
        <v>814</v>
      </c>
      <c r="M86" s="146">
        <v>42250</v>
      </c>
      <c r="N86" s="144">
        <v>1000</v>
      </c>
      <c r="O86" s="298" t="s">
        <v>815</v>
      </c>
      <c r="P86" s="298" t="s">
        <v>154</v>
      </c>
      <c r="Q86" s="298" t="s">
        <v>139</v>
      </c>
      <c r="R86" s="298">
        <v>93308</v>
      </c>
      <c r="S86" s="298" t="s">
        <v>118</v>
      </c>
      <c r="T86" s="298" t="s">
        <v>136</v>
      </c>
      <c r="U86" s="298" t="s">
        <v>120</v>
      </c>
      <c r="V86" s="298">
        <v>53</v>
      </c>
      <c r="W86" s="298" t="s">
        <v>136</v>
      </c>
      <c r="X86" s="144">
        <v>6500</v>
      </c>
      <c r="Y86" s="298" t="s">
        <v>123</v>
      </c>
      <c r="Z86" s="298">
        <v>48</v>
      </c>
      <c r="AA86" s="298" t="s">
        <v>123</v>
      </c>
      <c r="AB86" s="298" t="s">
        <v>123</v>
      </c>
      <c r="AC86" s="298" t="s">
        <v>816</v>
      </c>
      <c r="AD86" s="145"/>
      <c r="AE86" s="146">
        <v>42250</v>
      </c>
      <c r="AF86" s="298">
        <v>400</v>
      </c>
      <c r="AG86" s="298" t="s">
        <v>817</v>
      </c>
      <c r="AH86" s="298" t="s">
        <v>818</v>
      </c>
      <c r="AI86" s="298" t="s">
        <v>139</v>
      </c>
      <c r="AJ86" s="298">
        <v>95953</v>
      </c>
      <c r="AK86" s="298" t="s">
        <v>118</v>
      </c>
      <c r="AL86" s="298" t="s">
        <v>123</v>
      </c>
      <c r="AM86" s="171" t="str">
        <f>INDEX(CarrierDriverTBL!$B:$B,MATCH(Table1[[#This Row],[DriverID]],CarrierDriverTBL!$A:$A,0))</f>
        <v>UBTrucking</v>
      </c>
      <c r="AN86" s="10" t="s">
        <v>192</v>
      </c>
      <c r="AO86" s="142" t="str">
        <f>INDEX(CarrierDriverTBL!$C:$C,MATCH(Table1[[#This Row],[DriverID]],CarrierDriverTBL!$A:$A,0))</f>
        <v>Albel</v>
      </c>
      <c r="AP86" s="142" t="str">
        <f>INDEX(CarrierDriverTBL!$D:$D,MATCH(Table1[[#This Row],[DriverID]],CarrierDriverTBL!$A:$A,0))</f>
        <v>Chahil</v>
      </c>
      <c r="AQ86" s="142" t="str">
        <f>INDEX(CarrierDriverTBL!$X:$X,MATCH(Table1[[#This Row],[DriverID]],CarrierDriverTBL!$A:$A,0))</f>
        <v>A8390649</v>
      </c>
      <c r="AR86" s="160">
        <f>INDEX(CarrierDriverTBL!$Y:$Y,MATCH(Table1[[#This Row],[DriverID]],CarrierDriverTBL!$A:$A,0))</f>
        <v>42402</v>
      </c>
      <c r="AS86" s="142" t="str">
        <f t="shared" si="35"/>
        <v>GOOD</v>
      </c>
      <c r="AT86" s="160">
        <f>INDEX(CarrierDriverTBL!$E:$E,MATCH(Table1[[#This Row],[DriverID]],CarrierDriverTBL!$A:$A,0))</f>
        <v>22314</v>
      </c>
      <c r="AU86" s="163">
        <f ca="1">INDEX(CarrierDriverTBL!$F:$F,MATCH(Table1[[#This Row],[DriverID]],CarrierDriverTBL!$A:$A,0))</f>
        <v>55.512328767123286</v>
      </c>
      <c r="AV86" s="142" t="str">
        <f>INDEX(CarrierDriverTBL!$K:$K,MATCH(Table1[[#This Row],[DriverID]],CarrierDriverTBL!$A:$A,0))</f>
        <v>510-773-9450</v>
      </c>
      <c r="AW86" s="142" t="str">
        <f>INDEX(CarrierDriverTBL!$M:$M,MATCH(Table1[[#This Row],[DriverID]],CarrierDriverTBL!$A:$A,0))</f>
        <v>3124 Cynthia CT</v>
      </c>
      <c r="AX86" s="142" t="str">
        <f>INDEX(CarrierDriverTBL!$N:$N,MATCH(Table1[[#This Row],[DriverID]],CarrierDriverTBL!$A:$A,0))</f>
        <v>Tracy</v>
      </c>
      <c r="AY86" s="142" t="str">
        <f>INDEX(CarrierDriverTBL!$O:$O,MATCH(Table1[[#This Row],[DriverID]],CarrierDriverTBL!$A:$A,0))</f>
        <v>CA</v>
      </c>
      <c r="AZ86" s="142">
        <f>INDEX(CarrierDriverTBL!$P:$P,MATCH(Table1[[#This Row],[DriverID]],CarrierDriverTBL!$A:$A,0))</f>
        <v>95377</v>
      </c>
      <c r="BA86" s="142" t="str">
        <f>INDEX(CarrierDriverTBL!$Q:$Q,MATCH(Table1[[#This Row],[DriverID]],CarrierDriverTBL!$A:$A,0))</f>
        <v>US</v>
      </c>
      <c r="BB86" s="176" t="str">
        <f>INDEX(CarrierDriverTBL!$R:$R,MATCH(Table1[[#This Row],[DriverID]],CarrierDriverTBL!$A:$A,0))</f>
        <v>ubgollc@gmail.com</v>
      </c>
      <c r="BC86" s="160">
        <f>INDEX(CarrierDriverTBL!$AB:$AB,MATCH(Table1[[#This Row],[DriverID]],CarrierDriverTBL!$A:$A,0))</f>
        <v>42167</v>
      </c>
      <c r="BD86" s="142" t="str">
        <f ca="1">INDEX(CarrierDriverTBL!$AD:$AD,MATCH(LoadMaster!$AN:$AN,CarrierDriverTBL!$A:$A,0))</f>
        <v>MISSING</v>
      </c>
      <c r="BE86" s="142">
        <f>INDEX(CarrierDriverTBL!$AE:$AE,MATCH(Table1[DriverID],CarrierDriverTBL!$A:$A,0))</f>
        <v>913971</v>
      </c>
      <c r="BF86" s="142">
        <f>INDEX(CarrierDriverTBL!$AF:$AF,MATCH(Table1[DriverID],CarrierDriverTBL!$A:$A,0))</f>
        <v>2627544</v>
      </c>
      <c r="BG86" s="142">
        <f>INDEX(CarrierDriverTBL!$AG:$AG,MATCH(Table1[DriverID],CarrierDriverTBL!$A:$A,0))</f>
        <v>466133</v>
      </c>
      <c r="BH86" s="142" t="str">
        <f>INDEX(CarrierDriverTBL!$AH:$AH,MATCH(Table1[DriverID],CarrierDriverTBL!$A:$A,0))</f>
        <v>GM Lawrence Ins</v>
      </c>
      <c r="BI86" s="142" t="str">
        <f>INDEX(CarrierDriverTBL!$AI:$AI,MATCH(Table1[DriverID],CarrierDriverTBL!$A:$A,0))</f>
        <v>DSK2842P160210</v>
      </c>
      <c r="BJ86" s="160">
        <f>INDEX(CarrierDriverTBL!$AJ:$AJ,MATCH(Table1[[#This Row],[DriverID]],CarrierDriverTBL!$A:$A,0))</f>
        <v>42778</v>
      </c>
      <c r="BK86" s="10">
        <f t="shared" si="36"/>
        <v>528</v>
      </c>
      <c r="BL86" s="174">
        <v>900</v>
      </c>
      <c r="BM86" s="144">
        <v>318</v>
      </c>
      <c r="BN86" s="159">
        <f t="shared" si="53"/>
        <v>2.8301886792452828</v>
      </c>
      <c r="BO86" s="167">
        <v>850</v>
      </c>
      <c r="BP86" s="159">
        <f t="shared" si="54"/>
        <v>2.6729559748427674</v>
      </c>
      <c r="BQ86" s="133">
        <v>2.7989999999999999</v>
      </c>
      <c r="BR86" s="166">
        <f t="shared" si="55"/>
        <v>0.14983333333333335</v>
      </c>
      <c r="BS86" s="167">
        <f t="shared" si="37"/>
        <v>2.5231226415094339</v>
      </c>
      <c r="BT86" s="159">
        <f t="shared" si="38"/>
        <v>47.647000000000006</v>
      </c>
      <c r="BU86" s="10" t="str">
        <f t="shared" si="39"/>
        <v>Golden State Brokers Inc</v>
      </c>
      <c r="BV86" s="15"/>
      <c r="BW86" s="4" t="str">
        <f>Table1[[#This Row],[BrokerAddress]]</f>
        <v>Po Box 8453</v>
      </c>
      <c r="BX86" s="4" t="str">
        <f t="shared" si="40"/>
        <v>Fresno</v>
      </c>
      <c r="BY86" s="4" t="str">
        <f t="shared" si="41"/>
        <v>Ca</v>
      </c>
      <c r="BZ86" s="4">
        <f t="shared" si="42"/>
        <v>93747</v>
      </c>
      <c r="CA86" s="10" t="str">
        <f t="shared" si="43"/>
        <v>US</v>
      </c>
      <c r="CB86" s="15" t="s">
        <v>453</v>
      </c>
      <c r="CC86" s="62"/>
      <c r="CD86" s="15" t="s">
        <v>819</v>
      </c>
      <c r="CE86" s="64">
        <v>50</v>
      </c>
      <c r="CF86" s="4">
        <v>1</v>
      </c>
      <c r="CG86" s="132">
        <f t="shared" si="44"/>
        <v>50</v>
      </c>
      <c r="CH86" s="4" t="s">
        <v>132</v>
      </c>
      <c r="CI86" s="5">
        <v>0</v>
      </c>
      <c r="CJ86" s="4">
        <v>0</v>
      </c>
      <c r="CK86" s="132">
        <f t="shared" si="45"/>
        <v>0</v>
      </c>
      <c r="CL86" s="4" t="s">
        <v>132</v>
      </c>
      <c r="CM86" s="5">
        <v>0</v>
      </c>
      <c r="CN86" s="4">
        <v>0</v>
      </c>
      <c r="CO86" s="132">
        <f t="shared" si="46"/>
        <v>0</v>
      </c>
      <c r="CP86" s="4" t="s">
        <v>132</v>
      </c>
      <c r="CQ86" s="5">
        <v>0</v>
      </c>
      <c r="CR86" s="4">
        <v>0</v>
      </c>
      <c r="CS86" s="132">
        <f t="shared" si="47"/>
        <v>0</v>
      </c>
      <c r="CT86" s="159">
        <f t="shared" si="48"/>
        <v>50</v>
      </c>
      <c r="CU86" s="168">
        <f t="shared" si="49"/>
        <v>950</v>
      </c>
      <c r="CV86" s="183">
        <f t="shared" si="56"/>
        <v>50</v>
      </c>
      <c r="CW86" s="82">
        <f t="shared" si="33"/>
        <v>900</v>
      </c>
      <c r="CX86" s="79">
        <f>IF(ISBLANK(E86),"AddQuickPay",IF(E86=2,CU86*0.98,IF(E86=2.4,CU86*0.976,IF(E86=3,CU86*0.97,IF(E86=5,CU86*0.95,IF(E86=1.5,CU86*0.985,IF(E86=2.5,CU86*0.975,IF(E86=1.3,CU86*0.987,IF(E86=1,CU86*0.99,IF(E86=4,CU86*0.96,CU86*1))))))))))-Table1[[#This Row],[ComCheck+QuickPayFee]]</f>
        <v>950</v>
      </c>
      <c r="CY86" s="5">
        <f t="shared" si="50"/>
        <v>50</v>
      </c>
      <c r="CZ86" s="5">
        <f t="shared" si="51"/>
        <v>0</v>
      </c>
      <c r="DA86" s="258">
        <f>Table1[[#This Row],[OriginalDispatch]]-Table1[[#This Row],[QuickPayCharge]]</f>
        <v>50</v>
      </c>
      <c r="DB86" s="5">
        <v>0</v>
      </c>
      <c r="DC86" s="5" t="s">
        <v>133</v>
      </c>
      <c r="DD86" s="104">
        <f t="shared" si="52"/>
        <v>42251</v>
      </c>
      <c r="DE86" s="15">
        <f>MONTH(Table1[[#This Row],[Weekending]])</f>
        <v>9</v>
      </c>
      <c r="DF86" s="15">
        <f>YEAR(Table1[[#This Row],[Weekending]])</f>
        <v>2015</v>
      </c>
      <c r="DG86" s="4" t="s">
        <v>820</v>
      </c>
    </row>
    <row r="87" spans="1:111">
      <c r="A87" s="20" t="str">
        <f t="shared" si="34"/>
        <v>33471749</v>
      </c>
      <c r="B87" s="146">
        <v>42251</v>
      </c>
      <c r="C87" s="144">
        <v>180950633</v>
      </c>
      <c r="D87" s="298" t="s">
        <v>111</v>
      </c>
      <c r="E87" s="298">
        <v>2</v>
      </c>
      <c r="F87" s="298" t="str">
        <f>INDEX(BrokerTBL!$B:$B,MATCH(D87,BrokerTBL!$A:$A,0))</f>
        <v>P.O. Box 3474</v>
      </c>
      <c r="G87" s="298" t="str">
        <f>INDEX(BrokerTBL!$C:$C,MATCH(D87,BrokerTBL!$A:$A,0))</f>
        <v>Chicago</v>
      </c>
      <c r="H87" s="298" t="str">
        <f>INDEX(BrokerTBL!$D:$D,MATCH(D87,BrokerTBL!$A:$A,0))</f>
        <v>Il</v>
      </c>
      <c r="I87" s="298" t="str">
        <f>INDEX(BrokerTBL!$E:$E,MATCH(D87,BrokerTBL!$A:$A,0))</f>
        <v>US</v>
      </c>
      <c r="J87" s="298">
        <f>INDEX(BrokerTBL!$F:$F,MATCH(D87,BrokerTBL!$A:$A,0))</f>
        <v>60654</v>
      </c>
      <c r="K87" s="298" t="s">
        <v>821</v>
      </c>
      <c r="L87" s="145">
        <v>2749547</v>
      </c>
      <c r="M87" s="146">
        <v>42251</v>
      </c>
      <c r="N87" s="162" t="s">
        <v>136</v>
      </c>
      <c r="O87" s="298" t="s">
        <v>822</v>
      </c>
      <c r="P87" s="298" t="s">
        <v>823</v>
      </c>
      <c r="Q87" s="298" t="s">
        <v>139</v>
      </c>
      <c r="R87" s="298">
        <v>95215</v>
      </c>
      <c r="S87" s="298" t="s">
        <v>118</v>
      </c>
      <c r="T87" s="298" t="s">
        <v>824</v>
      </c>
      <c r="U87" s="298" t="s">
        <v>120</v>
      </c>
      <c r="V87" s="298">
        <v>53</v>
      </c>
      <c r="W87" s="298" t="s">
        <v>825</v>
      </c>
      <c r="X87" s="144">
        <v>44100</v>
      </c>
      <c r="Y87" s="298" t="s">
        <v>26</v>
      </c>
      <c r="Z87" s="298">
        <v>850</v>
      </c>
      <c r="AA87" s="298" t="s">
        <v>123</v>
      </c>
      <c r="AB87" s="298" t="s">
        <v>123</v>
      </c>
      <c r="AC87" s="298" t="s">
        <v>826</v>
      </c>
      <c r="AD87" s="145" t="s">
        <v>827</v>
      </c>
      <c r="AE87" s="146">
        <v>42251</v>
      </c>
      <c r="AF87" s="416" t="s">
        <v>123</v>
      </c>
      <c r="AG87" s="298" t="s">
        <v>828</v>
      </c>
      <c r="AH87" s="298" t="s">
        <v>829</v>
      </c>
      <c r="AI87" s="298" t="s">
        <v>139</v>
      </c>
      <c r="AJ87" s="298">
        <v>93662</v>
      </c>
      <c r="AK87" s="298" t="s">
        <v>118</v>
      </c>
      <c r="AL87" s="298" t="s">
        <v>830</v>
      </c>
      <c r="AM87" s="171" t="str">
        <f>INDEX(CarrierDriverTBL!$B:$B,MATCH(Table1[[#This Row],[DriverID]],CarrierDriverTBL!$A:$A,0))</f>
        <v>UBTrucking</v>
      </c>
      <c r="AN87" s="10" t="s">
        <v>192</v>
      </c>
      <c r="AO87" s="142" t="str">
        <f>INDEX(CarrierDriverTBL!$C:$C,MATCH(Table1[[#This Row],[DriverID]],CarrierDriverTBL!$A:$A,0))</f>
        <v>Albel</v>
      </c>
      <c r="AP87" s="142" t="str">
        <f>INDEX(CarrierDriverTBL!$D:$D,MATCH(Table1[[#This Row],[DriverID]],CarrierDriverTBL!$A:$A,0))</f>
        <v>Chahil</v>
      </c>
      <c r="AQ87" s="142" t="str">
        <f>INDEX(CarrierDriverTBL!$X:$X,MATCH(Table1[[#This Row],[DriverID]],CarrierDriverTBL!$A:$A,0))</f>
        <v>A8390649</v>
      </c>
      <c r="AR87" s="160">
        <f>INDEX(CarrierDriverTBL!$Y:$Y,MATCH(Table1[[#This Row],[DriverID]],CarrierDriverTBL!$A:$A,0))</f>
        <v>42402</v>
      </c>
      <c r="AS87" s="142" t="str">
        <f t="shared" si="35"/>
        <v>GOOD</v>
      </c>
      <c r="AT87" s="160">
        <f>INDEX(CarrierDriverTBL!$E:$E,MATCH(Table1[[#This Row],[DriverID]],CarrierDriverTBL!$A:$A,0))</f>
        <v>22314</v>
      </c>
      <c r="AU87" s="163">
        <f ca="1">INDEX(CarrierDriverTBL!$F:$F,MATCH(Table1[[#This Row],[DriverID]],CarrierDriverTBL!$A:$A,0))</f>
        <v>55.512328767123286</v>
      </c>
      <c r="AV87" s="142" t="str">
        <f>INDEX(CarrierDriverTBL!$K:$K,MATCH(Table1[[#This Row],[DriverID]],CarrierDriverTBL!$A:$A,0))</f>
        <v>510-773-9450</v>
      </c>
      <c r="AW87" s="142" t="str">
        <f>INDEX(CarrierDriverTBL!$M:$M,MATCH(Table1[[#This Row],[DriverID]],CarrierDriverTBL!$A:$A,0))</f>
        <v>3124 Cynthia CT</v>
      </c>
      <c r="AX87" s="142" t="str">
        <f>INDEX(CarrierDriverTBL!$N:$N,MATCH(Table1[[#This Row],[DriverID]],CarrierDriverTBL!$A:$A,0))</f>
        <v>Tracy</v>
      </c>
      <c r="AY87" s="142" t="str">
        <f>INDEX(CarrierDriverTBL!$O:$O,MATCH(Table1[[#This Row],[DriverID]],CarrierDriverTBL!$A:$A,0))</f>
        <v>CA</v>
      </c>
      <c r="AZ87" s="142">
        <f>INDEX(CarrierDriverTBL!$P:$P,MATCH(Table1[[#This Row],[DriverID]],CarrierDriverTBL!$A:$A,0))</f>
        <v>95377</v>
      </c>
      <c r="BA87" s="142" t="str">
        <f>INDEX(CarrierDriverTBL!$Q:$Q,MATCH(Table1[[#This Row],[DriverID]],CarrierDriverTBL!$A:$A,0))</f>
        <v>US</v>
      </c>
      <c r="BB87" s="176" t="str">
        <f>INDEX(CarrierDriverTBL!$R:$R,MATCH(Table1[[#This Row],[DriverID]],CarrierDriverTBL!$A:$A,0))</f>
        <v>ubgollc@gmail.com</v>
      </c>
      <c r="BC87" s="160">
        <f>INDEX(CarrierDriverTBL!$AB:$AB,MATCH(Table1[[#This Row],[DriverID]],CarrierDriverTBL!$A:$A,0))</f>
        <v>42167</v>
      </c>
      <c r="BD87" s="142" t="str">
        <f ca="1">INDEX(CarrierDriverTBL!$AD:$AD,MATCH(LoadMaster!$AN:$AN,CarrierDriverTBL!$A:$A,0))</f>
        <v>MISSING</v>
      </c>
      <c r="BE87" s="142">
        <f>INDEX(CarrierDriverTBL!$AE:$AE,MATCH(Table1[DriverID],CarrierDriverTBL!$A:$A,0))</f>
        <v>913971</v>
      </c>
      <c r="BF87" s="142">
        <f>INDEX(CarrierDriverTBL!$AF:$AF,MATCH(Table1[DriverID],CarrierDriverTBL!$A:$A,0))</f>
        <v>2627544</v>
      </c>
      <c r="BG87" s="142">
        <f>INDEX(CarrierDriverTBL!$AG:$AG,MATCH(Table1[DriverID],CarrierDriverTBL!$A:$A,0))</f>
        <v>466133</v>
      </c>
      <c r="BH87" s="142" t="str">
        <f>INDEX(CarrierDriverTBL!$AH:$AH,MATCH(Table1[DriverID],CarrierDriverTBL!$A:$A,0))</f>
        <v>GM Lawrence Ins</v>
      </c>
      <c r="BI87" s="142" t="str">
        <f>INDEX(CarrierDriverTBL!$AI:$AI,MATCH(Table1[DriverID],CarrierDriverTBL!$A:$A,0))</f>
        <v>DSK2842P160210</v>
      </c>
      <c r="BJ87" s="160">
        <f>INDEX(CarrierDriverTBL!$AJ:$AJ,MATCH(Table1[[#This Row],[DriverID]],CarrierDriverTBL!$A:$A,0))</f>
        <v>42778</v>
      </c>
      <c r="BK87" s="10">
        <f t="shared" si="36"/>
        <v>527</v>
      </c>
      <c r="BL87" s="174">
        <v>550</v>
      </c>
      <c r="BM87" s="144">
        <v>136</v>
      </c>
      <c r="BN87" s="159">
        <f t="shared" si="53"/>
        <v>4.0441176470588234</v>
      </c>
      <c r="BO87" s="167">
        <v>500</v>
      </c>
      <c r="BP87" s="159">
        <f t="shared" si="54"/>
        <v>3.6764705882352939</v>
      </c>
      <c r="BQ87" s="133">
        <v>2.7989999999999999</v>
      </c>
      <c r="BR87" s="166">
        <f t="shared" si="55"/>
        <v>0.14983333333333335</v>
      </c>
      <c r="BS87" s="167">
        <f t="shared" si="37"/>
        <v>3.5266372549019604</v>
      </c>
      <c r="BT87" s="159">
        <f t="shared" si="38"/>
        <v>20.377333333333336</v>
      </c>
      <c r="BU87" s="10" t="str">
        <f t="shared" si="39"/>
        <v>Ch Robinson</v>
      </c>
      <c r="BV87" s="15"/>
      <c r="BW87" s="4" t="str">
        <f>Table1[[#This Row],[BrokerAddress]]</f>
        <v>P.O. Box 3474</v>
      </c>
      <c r="BX87" s="4" t="str">
        <f t="shared" si="40"/>
        <v>Chicago</v>
      </c>
      <c r="BY87" s="4" t="str">
        <f t="shared" si="41"/>
        <v>Il</v>
      </c>
      <c r="BZ87" s="4">
        <f t="shared" si="42"/>
        <v>60654</v>
      </c>
      <c r="CA87" s="10" t="str">
        <f t="shared" si="43"/>
        <v>US</v>
      </c>
      <c r="CB87" s="15" t="s">
        <v>131</v>
      </c>
      <c r="CC87" s="62"/>
      <c r="CD87" s="15" t="s">
        <v>149</v>
      </c>
      <c r="CE87" s="64">
        <v>30</v>
      </c>
      <c r="CF87" s="4">
        <v>1</v>
      </c>
      <c r="CG87" s="132">
        <f t="shared" si="44"/>
        <v>30</v>
      </c>
      <c r="CH87" s="4" t="s">
        <v>132</v>
      </c>
      <c r="CI87" s="5">
        <v>0</v>
      </c>
      <c r="CJ87" s="4">
        <v>0</v>
      </c>
      <c r="CK87" s="132">
        <f t="shared" si="45"/>
        <v>0</v>
      </c>
      <c r="CL87" s="4" t="s">
        <v>132</v>
      </c>
      <c r="CM87" s="5">
        <v>0</v>
      </c>
      <c r="CN87" s="4">
        <v>0</v>
      </c>
      <c r="CO87" s="132">
        <f t="shared" si="46"/>
        <v>0</v>
      </c>
      <c r="CP87" s="4" t="s">
        <v>132</v>
      </c>
      <c r="CQ87" s="5">
        <v>0</v>
      </c>
      <c r="CR87" s="4">
        <v>0</v>
      </c>
      <c r="CS87" s="132">
        <f t="shared" si="47"/>
        <v>0</v>
      </c>
      <c r="CT87" s="159">
        <f t="shared" si="48"/>
        <v>30</v>
      </c>
      <c r="CU87" s="168">
        <f t="shared" si="49"/>
        <v>580</v>
      </c>
      <c r="CV87" s="183">
        <f t="shared" si="56"/>
        <v>30</v>
      </c>
      <c r="CW87" s="82">
        <f t="shared" si="33"/>
        <v>530</v>
      </c>
      <c r="CX87" s="79">
        <f>IF(ISBLANK(E87),"AddQuickPay",IF(E87=2,CU87*0.98,IF(E87=2.4,CU87*0.976,IF(E87=3,CU87*0.97,IF(E87=5,CU87*0.95,IF(E87=1.5,CU87*0.985,IF(E87=2.5,CU87*0.975,IF(E87=1.3,CU87*0.987,IF(E87=1,CU87*0.99,IF(E87=4,CU87*0.96,CU87*1))))))))))-Table1[[#This Row],[ComCheck+QuickPayFee]]</f>
        <v>568.4</v>
      </c>
      <c r="CY87" s="5">
        <f t="shared" si="50"/>
        <v>50</v>
      </c>
      <c r="CZ87" s="5">
        <f t="shared" si="51"/>
        <v>11.6</v>
      </c>
      <c r="DA87" s="258">
        <f>Table1[[#This Row],[OriginalDispatch]]-Table1[[#This Row],[QuickPayCharge]]</f>
        <v>38.4</v>
      </c>
      <c r="DB87" s="5">
        <v>0</v>
      </c>
      <c r="DC87" s="5" t="s">
        <v>133</v>
      </c>
      <c r="DD87" s="104">
        <f t="shared" si="52"/>
        <v>42251</v>
      </c>
      <c r="DE87" s="15">
        <f>MONTH(Table1[[#This Row],[Weekending]])</f>
        <v>9</v>
      </c>
      <c r="DF87" s="15">
        <f>YEAR(Table1[[#This Row],[Weekending]])</f>
        <v>2015</v>
      </c>
      <c r="DG87" s="4" t="s">
        <v>831</v>
      </c>
    </row>
    <row r="88" spans="1:111">
      <c r="A88" s="20" t="str">
        <f t="shared" si="34"/>
        <v>98er16</v>
      </c>
      <c r="B88" s="146">
        <v>42251</v>
      </c>
      <c r="C88" s="144">
        <v>6032998</v>
      </c>
      <c r="D88" s="298" t="s">
        <v>555</v>
      </c>
      <c r="E88" s="298">
        <v>3</v>
      </c>
      <c r="F88" s="298" t="str">
        <f>INDEX(BrokerTBL!$B:$B,MATCH(D88,BrokerTBL!$A:$A,0))</f>
        <v>P.O. Box 799</v>
      </c>
      <c r="G88" s="298" t="str">
        <f>INDEX(BrokerTBL!$C:$C,MATCH(D88,BrokerTBL!$A:$A,0))</f>
        <v>Milford</v>
      </c>
      <c r="H88" s="298" t="str">
        <f>INDEX(BrokerTBL!$D:$D,MATCH(D88,BrokerTBL!$A:$A,0))</f>
        <v>Ohio</v>
      </c>
      <c r="I88" s="298" t="str">
        <f>INDEX(BrokerTBL!$E:$E,MATCH(D88,BrokerTBL!$A:$A,0))</f>
        <v>US</v>
      </c>
      <c r="J88" s="298">
        <f>INDEX(BrokerTBL!$F:$F,MATCH(D88,BrokerTBL!$A:$A,0))</f>
        <v>45150</v>
      </c>
      <c r="K88" s="298" t="s">
        <v>832</v>
      </c>
      <c r="L88" s="145" t="s">
        <v>833</v>
      </c>
      <c r="M88" s="146">
        <v>42251</v>
      </c>
      <c r="N88" s="144" t="s">
        <v>598</v>
      </c>
      <c r="O88" s="298" t="s">
        <v>834</v>
      </c>
      <c r="P88" s="298" t="s">
        <v>835</v>
      </c>
      <c r="Q88" s="298" t="s">
        <v>803</v>
      </c>
      <c r="R88" s="298">
        <v>84052</v>
      </c>
      <c r="S88" s="298" t="s">
        <v>118</v>
      </c>
      <c r="T88" s="298" t="s">
        <v>136</v>
      </c>
      <c r="U88" s="298" t="s">
        <v>120</v>
      </c>
      <c r="V88" s="298">
        <v>53</v>
      </c>
      <c r="W88" s="298" t="s">
        <v>836</v>
      </c>
      <c r="X88" s="144" t="s">
        <v>136</v>
      </c>
      <c r="Y88" s="298" t="s">
        <v>123</v>
      </c>
      <c r="Z88" s="298" t="s">
        <v>123</v>
      </c>
      <c r="AA88" s="298" t="s">
        <v>123</v>
      </c>
      <c r="AB88" s="298" t="s">
        <v>123</v>
      </c>
      <c r="AC88" s="298" t="s">
        <v>837</v>
      </c>
      <c r="AD88" s="145"/>
      <c r="AE88" s="146">
        <v>42252</v>
      </c>
      <c r="AF88" s="298" t="s">
        <v>598</v>
      </c>
      <c r="AG88" s="298" t="s">
        <v>838</v>
      </c>
      <c r="AH88" s="298" t="s">
        <v>839</v>
      </c>
      <c r="AI88" s="298" t="s">
        <v>139</v>
      </c>
      <c r="AJ88" s="298">
        <v>93274</v>
      </c>
      <c r="AK88" s="298" t="s">
        <v>118</v>
      </c>
      <c r="AL88" s="298" t="s">
        <v>840</v>
      </c>
      <c r="AM88" s="171" t="str">
        <f>INDEX(CarrierDriverTBL!$B:$B,MATCH(Table1[[#This Row],[DriverID]],CarrierDriverTBL!$A:$A,0))</f>
        <v>UBTrucking</v>
      </c>
      <c r="AN88" s="10" t="s">
        <v>663</v>
      </c>
      <c r="AO88" s="142" t="str">
        <f>INDEX(CarrierDriverTBL!$C:$C,MATCH(Table1[[#This Row],[DriverID]],CarrierDriverTBL!$A:$A,0))</f>
        <v>Christopher J.</v>
      </c>
      <c r="AP88" s="142" t="str">
        <f>INDEX(CarrierDriverTBL!$D:$D,MATCH(Table1[[#This Row],[DriverID]],CarrierDriverTBL!$A:$A,0))</f>
        <v>Vanoss</v>
      </c>
      <c r="AQ88" s="142" t="str">
        <f>INDEX(CarrierDriverTBL!$X:$X,MATCH(Table1[[#This Row],[DriverID]],CarrierDriverTBL!$A:$A,0))</f>
        <v>C6568516</v>
      </c>
      <c r="AR88" s="160">
        <f>INDEX(CarrierDriverTBL!$Y:$Y,MATCH(Table1[[#This Row],[DriverID]],CarrierDriverTBL!$A:$A,0))</f>
        <v>43568</v>
      </c>
      <c r="AS88" s="142" t="str">
        <f t="shared" si="35"/>
        <v>GOOD</v>
      </c>
      <c r="AT88" s="160">
        <f>INDEX(CarrierDriverTBL!$E:$E,MATCH(Table1[[#This Row],[DriverID]],CarrierDriverTBL!$A:$A,0))</f>
        <v>25306</v>
      </c>
      <c r="AU88" s="163">
        <f ca="1">INDEX(CarrierDriverTBL!$F:$F,MATCH(Table1[[#This Row],[DriverID]],CarrierDriverTBL!$A:$A,0))</f>
        <v>47.315068493150683</v>
      </c>
      <c r="AV88" s="142" t="str">
        <f>INDEX(CarrierDriverTBL!$K:$K,MATCH(Table1[[#This Row],[DriverID]],CarrierDriverTBL!$A:$A,0))</f>
        <v>209-993-1286</v>
      </c>
      <c r="AW88" s="142" t="str">
        <f>INDEX(CarrierDriverTBL!$M:$M,MATCH(Table1[[#This Row],[DriverID]],CarrierDriverTBL!$A:$A,0))</f>
        <v>1044 Rivara RD # 106</v>
      </c>
      <c r="AX88" s="142" t="str">
        <f>INDEX(CarrierDriverTBL!$N:$N,MATCH(Table1[[#This Row],[DriverID]],CarrierDriverTBL!$A:$A,0))</f>
        <v>Stockton</v>
      </c>
      <c r="AY88" s="142" t="str">
        <f>INDEX(CarrierDriverTBL!$O:$O,MATCH(Table1[[#This Row],[DriverID]],CarrierDriverTBL!$A:$A,0))</f>
        <v>CA</v>
      </c>
      <c r="AZ88" s="142">
        <f>INDEX(CarrierDriverTBL!$P:$P,MATCH(Table1[[#This Row],[DriverID]],CarrierDriverTBL!$A:$A,0))</f>
        <v>95219</v>
      </c>
      <c r="BA88" s="142" t="str">
        <f>INDEX(CarrierDriverTBL!$Q:$Q,MATCH(Table1[[#This Row],[DriverID]],CarrierDriverTBL!$A:$A,0))</f>
        <v>US</v>
      </c>
      <c r="BB88" s="176" t="str">
        <f>INDEX(CarrierDriverTBL!$R:$R,MATCH(Table1[[#This Row],[DriverID]],CarrierDriverTBL!$A:$A,0))</f>
        <v xml:space="preserve">cvanoss@live.com </v>
      </c>
      <c r="BC88" s="160">
        <f>INDEX(CarrierDriverTBL!$AB:$AB,MATCH(Table1[[#This Row],[DriverID]],CarrierDriverTBL!$A:$A,0))</f>
        <v>42231</v>
      </c>
      <c r="BD88" s="142" t="str">
        <f ca="1">INDEX(CarrierDriverTBL!$AD:$AD,MATCH(LoadMaster!$AN:$AN,CarrierDriverTBL!$A:$A,0))</f>
        <v>MISSING</v>
      </c>
      <c r="BE88" s="142">
        <f>INDEX(CarrierDriverTBL!$AE:$AE,MATCH(Table1[DriverID],CarrierDriverTBL!$A:$A,0))</f>
        <v>913971</v>
      </c>
      <c r="BF88" s="142">
        <f>INDEX(CarrierDriverTBL!$AF:$AF,MATCH(Table1[DriverID],CarrierDriverTBL!$A:$A,0))</f>
        <v>2627544</v>
      </c>
      <c r="BG88" s="142">
        <f>INDEX(CarrierDriverTBL!$AG:$AG,MATCH(Table1[DriverID],CarrierDriverTBL!$A:$A,0))</f>
        <v>466133</v>
      </c>
      <c r="BH88" s="142" t="str">
        <f>INDEX(CarrierDriverTBL!$AH:$AH,MATCH(Table1[DriverID],CarrierDriverTBL!$A:$A,0))</f>
        <v>GM Lawrence Ins</v>
      </c>
      <c r="BI88" s="142" t="str">
        <f>INDEX(CarrierDriverTBL!$AI:$AI,MATCH(Table1[DriverID],CarrierDriverTBL!$A:$A,0))</f>
        <v>DSK2842P160210</v>
      </c>
      <c r="BJ88" s="160">
        <f>INDEX(CarrierDriverTBL!$AJ:$AJ,MATCH(Table1[[#This Row],[DriverID]],CarrierDriverTBL!$A:$A,0))</f>
        <v>42778</v>
      </c>
      <c r="BK88" s="10">
        <f t="shared" si="36"/>
        <v>527</v>
      </c>
      <c r="BL88" s="174">
        <v>900</v>
      </c>
      <c r="BM88" s="144">
        <v>845</v>
      </c>
      <c r="BN88" s="159">
        <f t="shared" si="53"/>
        <v>1.0650887573964498</v>
      </c>
      <c r="BO88" s="167">
        <v>810</v>
      </c>
      <c r="BP88" s="159">
        <f t="shared" si="54"/>
        <v>0.95857988165680474</v>
      </c>
      <c r="BQ88" s="133">
        <v>2.7989999999999999</v>
      </c>
      <c r="BR88" s="166">
        <f t="shared" si="55"/>
        <v>0.14983333333333335</v>
      </c>
      <c r="BS88" s="167">
        <f t="shared" si="37"/>
        <v>0.80874654832347137</v>
      </c>
      <c r="BT88" s="159">
        <f t="shared" si="38"/>
        <v>126.60916666666668</v>
      </c>
      <c r="BU88" s="10" t="str">
        <f t="shared" si="39"/>
        <v>Tql</v>
      </c>
      <c r="BV88" s="15"/>
      <c r="BW88" s="4" t="str">
        <f>Table1[[#This Row],[BrokerAddress]]</f>
        <v>P.O. Box 799</v>
      </c>
      <c r="BX88" s="4" t="str">
        <f t="shared" si="40"/>
        <v>Milford</v>
      </c>
      <c r="BY88" s="4" t="str">
        <f t="shared" si="41"/>
        <v>Ohio</v>
      </c>
      <c r="BZ88" s="4">
        <f t="shared" si="42"/>
        <v>45150</v>
      </c>
      <c r="CA88" s="10" t="str">
        <f t="shared" si="43"/>
        <v>US</v>
      </c>
      <c r="CB88" s="15" t="s">
        <v>131</v>
      </c>
      <c r="CC88" s="62"/>
      <c r="CD88" s="15" t="s">
        <v>222</v>
      </c>
      <c r="CE88" s="64">
        <v>50</v>
      </c>
      <c r="CF88" s="4">
        <v>1</v>
      </c>
      <c r="CG88" s="132">
        <f t="shared" si="44"/>
        <v>50</v>
      </c>
      <c r="CH88" s="4" t="s">
        <v>132</v>
      </c>
      <c r="CI88" s="5">
        <v>0</v>
      </c>
      <c r="CJ88" s="4">
        <v>0</v>
      </c>
      <c r="CK88" s="132">
        <f t="shared" si="45"/>
        <v>0</v>
      </c>
      <c r="CL88" s="4" t="s">
        <v>132</v>
      </c>
      <c r="CM88" s="5">
        <v>0</v>
      </c>
      <c r="CN88" s="4">
        <v>0</v>
      </c>
      <c r="CO88" s="132">
        <f t="shared" si="46"/>
        <v>0</v>
      </c>
      <c r="CP88" s="4" t="s">
        <v>132</v>
      </c>
      <c r="CQ88" s="5">
        <v>0</v>
      </c>
      <c r="CR88" s="4">
        <v>0</v>
      </c>
      <c r="CS88" s="132">
        <f t="shared" si="47"/>
        <v>0</v>
      </c>
      <c r="CT88" s="159">
        <f t="shared" si="48"/>
        <v>50</v>
      </c>
      <c r="CU88" s="168">
        <f t="shared" si="49"/>
        <v>950</v>
      </c>
      <c r="CV88" s="183">
        <f t="shared" si="56"/>
        <v>50</v>
      </c>
      <c r="CW88" s="82">
        <f t="shared" si="33"/>
        <v>860</v>
      </c>
      <c r="CX88" s="79">
        <f>IF(ISBLANK(E88),"AddQuickPay",IF(E88=2,CU88*0.98,IF(E88=2.4,CU88*0.976,IF(E88=3,CU88*0.97,IF(E88=5,CU88*0.95,IF(E88=1.5,CU88*0.985,IF(E88=2.5,CU88*0.975,IF(E88=1.3,CU88*0.987,IF(E88=1,CU88*0.99,IF(E88=4,CU88*0.96,CU88*1))))))))))-Table1[[#This Row],[ComCheck+QuickPayFee]]</f>
        <v>921.5</v>
      </c>
      <c r="CY88" s="5">
        <f t="shared" si="50"/>
        <v>90</v>
      </c>
      <c r="CZ88" s="5">
        <f t="shared" si="51"/>
        <v>28.5</v>
      </c>
      <c r="DA88" s="258">
        <f>Table1[[#This Row],[OriginalDispatch]]-Table1[[#This Row],[QuickPayCharge]]</f>
        <v>61.5</v>
      </c>
      <c r="DB88" s="5">
        <v>0</v>
      </c>
      <c r="DC88" s="5" t="s">
        <v>133</v>
      </c>
      <c r="DD88" s="104">
        <f t="shared" si="52"/>
        <v>42251</v>
      </c>
      <c r="DE88" s="15">
        <f>MONTH(Table1[[#This Row],[Weekending]])</f>
        <v>9</v>
      </c>
      <c r="DF88" s="15">
        <f>YEAR(Table1[[#This Row],[Weekending]])</f>
        <v>2015</v>
      </c>
      <c r="DG88" s="4" t="s">
        <v>841</v>
      </c>
    </row>
    <row r="89" spans="1:111">
      <c r="A89" s="20" t="str">
        <f t="shared" si="34"/>
        <v>500U-249</v>
      </c>
      <c r="B89" s="146">
        <v>42254</v>
      </c>
      <c r="C89" s="144">
        <v>6015850</v>
      </c>
      <c r="D89" s="298" t="s">
        <v>555</v>
      </c>
      <c r="E89" s="298">
        <v>3</v>
      </c>
      <c r="F89" s="298" t="str">
        <f>INDEX(BrokerTBL!$B:$B,MATCH(D89,BrokerTBL!$A:$A,0))</f>
        <v>P.O. Box 799</v>
      </c>
      <c r="G89" s="298" t="str">
        <f>INDEX(BrokerTBL!$C:$C,MATCH(D89,BrokerTBL!$A:$A,0))</f>
        <v>Milford</v>
      </c>
      <c r="H89" s="298" t="str">
        <f>INDEX(BrokerTBL!$D:$D,MATCH(D89,BrokerTBL!$A:$A,0))</f>
        <v>Ohio</v>
      </c>
      <c r="I89" s="298" t="str">
        <f>INDEX(BrokerTBL!$E:$E,MATCH(D89,BrokerTBL!$A:$A,0))</f>
        <v>US</v>
      </c>
      <c r="J89" s="298">
        <f>INDEX(BrokerTBL!$F:$F,MATCH(D89,BrokerTBL!$A:$A,0))</f>
        <v>45150</v>
      </c>
      <c r="K89" s="298" t="s">
        <v>805</v>
      </c>
      <c r="L89" s="145" t="s">
        <v>842</v>
      </c>
      <c r="M89" s="146">
        <v>42255</v>
      </c>
      <c r="N89" s="144">
        <v>900</v>
      </c>
      <c r="O89" s="298" t="s">
        <v>807</v>
      </c>
      <c r="P89" s="298" t="s">
        <v>689</v>
      </c>
      <c r="Q89" s="298" t="s">
        <v>139</v>
      </c>
      <c r="R89" s="298">
        <v>95691</v>
      </c>
      <c r="S89" s="298" t="s">
        <v>118</v>
      </c>
      <c r="T89" s="298" t="s">
        <v>136</v>
      </c>
      <c r="U89" s="298" t="s">
        <v>120</v>
      </c>
      <c r="V89" s="298">
        <v>53</v>
      </c>
      <c r="W89" s="298" t="s">
        <v>808</v>
      </c>
      <c r="X89" s="144" t="s">
        <v>136</v>
      </c>
      <c r="Y89" s="298" t="s">
        <v>123</v>
      </c>
      <c r="Z89" s="298" t="s">
        <v>123</v>
      </c>
      <c r="AA89" s="298" t="s">
        <v>123</v>
      </c>
      <c r="AB89" s="298" t="s">
        <v>123</v>
      </c>
      <c r="AC89" s="298" t="s">
        <v>843</v>
      </c>
      <c r="AD89" s="145" t="s">
        <v>844</v>
      </c>
      <c r="AE89" s="146">
        <v>42255</v>
      </c>
      <c r="AF89" s="416" t="s">
        <v>123</v>
      </c>
      <c r="AG89" s="298" t="s">
        <v>845</v>
      </c>
      <c r="AH89" s="298" t="s">
        <v>846</v>
      </c>
      <c r="AI89" s="298" t="s">
        <v>139</v>
      </c>
      <c r="AJ89" s="298" t="s">
        <v>847</v>
      </c>
      <c r="AK89" s="298" t="s">
        <v>118</v>
      </c>
      <c r="AL89" s="298" t="s">
        <v>848</v>
      </c>
      <c r="AM89" s="171" t="str">
        <f>INDEX(CarrierDriverTBL!$B:$B,MATCH(Table1[[#This Row],[DriverID]],CarrierDriverTBL!$A:$A,0))</f>
        <v>UBTrucking</v>
      </c>
      <c r="AN89" s="10" t="s">
        <v>192</v>
      </c>
      <c r="AO89" s="142" t="str">
        <f>INDEX(CarrierDriverTBL!$C:$C,MATCH(Table1[[#This Row],[DriverID]],CarrierDriverTBL!$A:$A,0))</f>
        <v>Albel</v>
      </c>
      <c r="AP89" s="142" t="str">
        <f>INDEX(CarrierDriverTBL!$D:$D,MATCH(Table1[[#This Row],[DriverID]],CarrierDriverTBL!$A:$A,0))</f>
        <v>Chahil</v>
      </c>
      <c r="AQ89" s="142" t="str">
        <f>INDEX(CarrierDriverTBL!$X:$X,MATCH(Table1[[#This Row],[DriverID]],CarrierDriverTBL!$A:$A,0))</f>
        <v>A8390649</v>
      </c>
      <c r="AR89" s="160">
        <f>INDEX(CarrierDriverTBL!$Y:$Y,MATCH(Table1[[#This Row],[DriverID]],CarrierDriverTBL!$A:$A,0))</f>
        <v>42402</v>
      </c>
      <c r="AS89" s="142" t="str">
        <f t="shared" si="35"/>
        <v>GOOD</v>
      </c>
      <c r="AT89" s="160">
        <f>INDEX(CarrierDriverTBL!$E:$E,MATCH(Table1[[#This Row],[DriverID]],CarrierDriverTBL!$A:$A,0))</f>
        <v>22314</v>
      </c>
      <c r="AU89" s="163">
        <f ca="1">INDEX(CarrierDriverTBL!$F:$F,MATCH(Table1[[#This Row],[DriverID]],CarrierDriverTBL!$A:$A,0))</f>
        <v>55.512328767123286</v>
      </c>
      <c r="AV89" s="142" t="str">
        <f>INDEX(CarrierDriverTBL!$K:$K,MATCH(Table1[[#This Row],[DriverID]],CarrierDriverTBL!$A:$A,0))</f>
        <v>510-773-9450</v>
      </c>
      <c r="AW89" s="142" t="str">
        <f>INDEX(CarrierDriverTBL!$M:$M,MATCH(Table1[[#This Row],[DriverID]],CarrierDriverTBL!$A:$A,0))</f>
        <v>3124 Cynthia CT</v>
      </c>
      <c r="AX89" s="142" t="str">
        <f>INDEX(CarrierDriverTBL!$N:$N,MATCH(Table1[[#This Row],[DriverID]],CarrierDriverTBL!$A:$A,0))</f>
        <v>Tracy</v>
      </c>
      <c r="AY89" s="142" t="str">
        <f>INDEX(CarrierDriverTBL!$O:$O,MATCH(Table1[[#This Row],[DriverID]],CarrierDriverTBL!$A:$A,0))</f>
        <v>CA</v>
      </c>
      <c r="AZ89" s="142">
        <f>INDEX(CarrierDriverTBL!$P:$P,MATCH(Table1[[#This Row],[DriverID]],CarrierDriverTBL!$A:$A,0))</f>
        <v>95377</v>
      </c>
      <c r="BA89" s="142" t="str">
        <f>INDEX(CarrierDriverTBL!$Q:$Q,MATCH(Table1[[#This Row],[DriverID]],CarrierDriverTBL!$A:$A,0))</f>
        <v>US</v>
      </c>
      <c r="BB89" s="176" t="str">
        <f>INDEX(CarrierDriverTBL!$R:$R,MATCH(Table1[[#This Row],[DriverID]],CarrierDriverTBL!$A:$A,0))</f>
        <v>ubgollc@gmail.com</v>
      </c>
      <c r="BC89" s="160">
        <f>INDEX(CarrierDriverTBL!$AB:$AB,MATCH(Table1[[#This Row],[DriverID]],CarrierDriverTBL!$A:$A,0))</f>
        <v>42167</v>
      </c>
      <c r="BD89" s="142" t="str">
        <f ca="1">INDEX(CarrierDriverTBL!$AD:$AD,MATCH(LoadMaster!$AN:$AN,CarrierDriverTBL!$A:$A,0))</f>
        <v>MISSING</v>
      </c>
      <c r="BE89" s="142">
        <f>INDEX(CarrierDriverTBL!$AE:$AE,MATCH(Table1[DriverID],CarrierDriverTBL!$A:$A,0))</f>
        <v>913971</v>
      </c>
      <c r="BF89" s="142">
        <f>INDEX(CarrierDriverTBL!$AF:$AF,MATCH(Table1[DriverID],CarrierDriverTBL!$A:$A,0))</f>
        <v>2627544</v>
      </c>
      <c r="BG89" s="142">
        <f>INDEX(CarrierDriverTBL!$AG:$AG,MATCH(Table1[DriverID],CarrierDriverTBL!$A:$A,0))</f>
        <v>466133</v>
      </c>
      <c r="BH89" s="142" t="str">
        <f>INDEX(CarrierDriverTBL!$AH:$AH,MATCH(Table1[DriverID],CarrierDriverTBL!$A:$A,0))</f>
        <v>GM Lawrence Ins</v>
      </c>
      <c r="BI89" s="142" t="str">
        <f>INDEX(CarrierDriverTBL!$AI:$AI,MATCH(Table1[DriverID],CarrierDriverTBL!$A:$A,0))</f>
        <v>DSK2842P160210</v>
      </c>
      <c r="BJ89" s="160">
        <f>INDEX(CarrierDriverTBL!$AJ:$AJ,MATCH(Table1[[#This Row],[DriverID]],CarrierDriverTBL!$A:$A,0))</f>
        <v>42778</v>
      </c>
      <c r="BK89" s="10">
        <f t="shared" si="36"/>
        <v>523</v>
      </c>
      <c r="BL89" s="174">
        <v>700</v>
      </c>
      <c r="BM89" s="144">
        <v>325</v>
      </c>
      <c r="BN89" s="159">
        <f t="shared" si="53"/>
        <v>2.1538461538461537</v>
      </c>
      <c r="BO89" s="167">
        <v>650</v>
      </c>
      <c r="BP89" s="159">
        <f t="shared" si="54"/>
        <v>2</v>
      </c>
      <c r="BQ89" s="133">
        <v>2.7989999999999999</v>
      </c>
      <c r="BR89" s="166">
        <f t="shared" si="55"/>
        <v>0.14983333333333335</v>
      </c>
      <c r="BS89" s="167">
        <f t="shared" si="37"/>
        <v>1.8501666666666667</v>
      </c>
      <c r="BT89" s="159">
        <f t="shared" si="38"/>
        <v>48.69583333333334</v>
      </c>
      <c r="BU89" s="10" t="str">
        <f t="shared" si="39"/>
        <v>Tql</v>
      </c>
      <c r="BV89" s="15"/>
      <c r="BW89" s="4" t="str">
        <f>Table1[[#This Row],[BrokerAddress]]</f>
        <v>P.O. Box 799</v>
      </c>
      <c r="BX89" s="4" t="str">
        <f t="shared" si="40"/>
        <v>Milford</v>
      </c>
      <c r="BY89" s="4" t="str">
        <f t="shared" si="41"/>
        <v>Ohio</v>
      </c>
      <c r="BZ89" s="4">
        <f t="shared" si="42"/>
        <v>45150</v>
      </c>
      <c r="CA89" s="10" t="str">
        <f t="shared" si="43"/>
        <v>US</v>
      </c>
      <c r="CB89" s="15" t="s">
        <v>131</v>
      </c>
      <c r="CC89" s="62"/>
      <c r="CD89" s="15" t="s">
        <v>132</v>
      </c>
      <c r="CE89" s="64">
        <v>0</v>
      </c>
      <c r="CF89" s="4">
        <v>0</v>
      </c>
      <c r="CG89" s="132">
        <f t="shared" si="44"/>
        <v>0</v>
      </c>
      <c r="CH89" s="4" t="s">
        <v>132</v>
      </c>
      <c r="CI89" s="5">
        <v>0</v>
      </c>
      <c r="CJ89" s="4">
        <v>0</v>
      </c>
      <c r="CK89" s="132">
        <f t="shared" si="45"/>
        <v>0</v>
      </c>
      <c r="CL89" s="4" t="s">
        <v>132</v>
      </c>
      <c r="CM89" s="5">
        <v>0</v>
      </c>
      <c r="CN89" s="4">
        <v>0</v>
      </c>
      <c r="CO89" s="132">
        <f t="shared" si="46"/>
        <v>0</v>
      </c>
      <c r="CP89" s="4" t="s">
        <v>132</v>
      </c>
      <c r="CQ89" s="5">
        <v>0</v>
      </c>
      <c r="CR89" s="4">
        <v>0</v>
      </c>
      <c r="CS89" s="132">
        <f t="shared" si="47"/>
        <v>0</v>
      </c>
      <c r="CT89" s="159">
        <f t="shared" si="48"/>
        <v>0</v>
      </c>
      <c r="CU89" s="168">
        <f t="shared" si="49"/>
        <v>700</v>
      </c>
      <c r="CV89" s="183">
        <f t="shared" si="56"/>
        <v>0</v>
      </c>
      <c r="CW89" s="82">
        <f t="shared" si="33"/>
        <v>650</v>
      </c>
      <c r="CX89" s="79">
        <f>IF(ISBLANK(E89),"AddQuickPay",IF(E89=2,CU89*0.98,IF(E89=2.4,CU89*0.976,IF(E89=3,CU89*0.97,IF(E89=5,CU89*0.95,IF(E89=1.5,CU89*0.985,IF(E89=2.5,CU89*0.975,IF(E89=1.3,CU89*0.987,IF(E89=1,CU89*0.99,IF(E89=4,CU89*0.96,CU89*1))))))))))-Table1[[#This Row],[ComCheck+QuickPayFee]]</f>
        <v>679</v>
      </c>
      <c r="CY89" s="5">
        <f t="shared" si="50"/>
        <v>50</v>
      </c>
      <c r="CZ89" s="5">
        <f t="shared" si="51"/>
        <v>21</v>
      </c>
      <c r="DA89" s="258">
        <f>Table1[[#This Row],[OriginalDispatch]]-Table1[[#This Row],[QuickPayCharge]]</f>
        <v>29</v>
      </c>
      <c r="DB89" s="5">
        <v>0</v>
      </c>
      <c r="DC89" s="5" t="s">
        <v>133</v>
      </c>
      <c r="DD89" s="104">
        <f t="shared" si="52"/>
        <v>42258</v>
      </c>
      <c r="DE89" s="15">
        <f>MONTH(Table1[[#This Row],[Weekending]])</f>
        <v>9</v>
      </c>
      <c r="DF89" s="15">
        <f>YEAR(Table1[[#This Row],[Weekending]])</f>
        <v>2015</v>
      </c>
      <c r="DG89" s="4"/>
    </row>
    <row r="90" spans="1:111">
      <c r="A90" s="20" t="str">
        <f t="shared" si="34"/>
        <v>36519949</v>
      </c>
      <c r="B90" s="146">
        <v>42256</v>
      </c>
      <c r="C90" s="144">
        <v>180405036</v>
      </c>
      <c r="D90" s="298" t="s">
        <v>111</v>
      </c>
      <c r="E90" s="298">
        <v>2</v>
      </c>
      <c r="F90" s="298" t="str">
        <f>INDEX(BrokerTBL!$B:$B,MATCH(D90,BrokerTBL!$A:$A,0))</f>
        <v>P.O. Box 3474</v>
      </c>
      <c r="G90" s="298" t="str">
        <f>INDEX(BrokerTBL!$C:$C,MATCH(D90,BrokerTBL!$A:$A,0))</f>
        <v>Chicago</v>
      </c>
      <c r="H90" s="298" t="str">
        <f>INDEX(BrokerTBL!$D:$D,MATCH(D90,BrokerTBL!$A:$A,0))</f>
        <v>Il</v>
      </c>
      <c r="I90" s="298" t="str">
        <f>INDEX(BrokerTBL!$E:$E,MATCH(D90,BrokerTBL!$A:$A,0))</f>
        <v>US</v>
      </c>
      <c r="J90" s="298">
        <f>INDEX(BrokerTBL!$F:$F,MATCH(D90,BrokerTBL!$A:$A,0))</f>
        <v>60654</v>
      </c>
      <c r="K90" s="298" t="s">
        <v>849</v>
      </c>
      <c r="L90" s="145" t="s">
        <v>850</v>
      </c>
      <c r="M90" s="146">
        <v>42256</v>
      </c>
      <c r="N90" s="144" t="s">
        <v>851</v>
      </c>
      <c r="O90" s="298" t="s">
        <v>852</v>
      </c>
      <c r="P90" s="298" t="s">
        <v>853</v>
      </c>
      <c r="Q90" s="298" t="s">
        <v>139</v>
      </c>
      <c r="R90" s="298">
        <v>93622</v>
      </c>
      <c r="S90" s="298" t="s">
        <v>118</v>
      </c>
      <c r="T90" s="298" t="s">
        <v>854</v>
      </c>
      <c r="U90" s="298" t="s">
        <v>120</v>
      </c>
      <c r="V90" s="298">
        <v>53</v>
      </c>
      <c r="W90" s="298" t="s">
        <v>855</v>
      </c>
      <c r="X90" s="144">
        <v>44000</v>
      </c>
      <c r="Y90" s="298" t="s">
        <v>740</v>
      </c>
      <c r="Z90" s="298" t="s">
        <v>123</v>
      </c>
      <c r="AA90" s="298" t="s">
        <v>123</v>
      </c>
      <c r="AB90" s="298" t="s">
        <v>123</v>
      </c>
      <c r="AC90" s="298" t="s">
        <v>856</v>
      </c>
      <c r="AD90" s="145">
        <v>13399</v>
      </c>
      <c r="AE90" s="146">
        <v>42257</v>
      </c>
      <c r="AF90" s="298" t="s">
        <v>857</v>
      </c>
      <c r="AG90" s="298" t="s">
        <v>858</v>
      </c>
      <c r="AH90" s="298" t="s">
        <v>859</v>
      </c>
      <c r="AI90" s="298" t="s">
        <v>139</v>
      </c>
      <c r="AJ90" s="298">
        <v>94544</v>
      </c>
      <c r="AK90" s="298" t="s">
        <v>118</v>
      </c>
      <c r="AL90" s="298" t="s">
        <v>860</v>
      </c>
      <c r="AM90" s="171" t="str">
        <f>INDEX(CarrierDriverTBL!$B:$B,MATCH(Table1[[#This Row],[DriverID]],CarrierDriverTBL!$A:$A,0))</f>
        <v>UBTrucking</v>
      </c>
      <c r="AN90" s="10" t="s">
        <v>192</v>
      </c>
      <c r="AO90" s="142" t="str">
        <f>INDEX(CarrierDriverTBL!$C:$C,MATCH(Table1[[#This Row],[DriverID]],CarrierDriverTBL!$A:$A,0))</f>
        <v>Albel</v>
      </c>
      <c r="AP90" s="142" t="str">
        <f>INDEX(CarrierDriverTBL!$D:$D,MATCH(Table1[[#This Row],[DriverID]],CarrierDriverTBL!$A:$A,0))</f>
        <v>Chahil</v>
      </c>
      <c r="AQ90" s="142" t="str">
        <f>INDEX(CarrierDriverTBL!$X:$X,MATCH(Table1[[#This Row],[DriverID]],CarrierDriverTBL!$A:$A,0))</f>
        <v>A8390649</v>
      </c>
      <c r="AR90" s="160">
        <f>INDEX(CarrierDriverTBL!$Y:$Y,MATCH(Table1[[#This Row],[DriverID]],CarrierDriverTBL!$A:$A,0))</f>
        <v>42402</v>
      </c>
      <c r="AS90" s="142" t="str">
        <f t="shared" si="35"/>
        <v>GOOD</v>
      </c>
      <c r="AT90" s="160">
        <f>INDEX(CarrierDriverTBL!$E:$E,MATCH(Table1[[#This Row],[DriverID]],CarrierDriverTBL!$A:$A,0))</f>
        <v>22314</v>
      </c>
      <c r="AU90" s="163">
        <f ca="1">INDEX(CarrierDriverTBL!$F:$F,MATCH(Table1[[#This Row],[DriverID]],CarrierDriverTBL!$A:$A,0))</f>
        <v>55.512328767123286</v>
      </c>
      <c r="AV90" s="142" t="str">
        <f>INDEX(CarrierDriverTBL!$K:$K,MATCH(Table1[[#This Row],[DriverID]],CarrierDriverTBL!$A:$A,0))</f>
        <v>510-773-9450</v>
      </c>
      <c r="AW90" s="142" t="str">
        <f>INDEX(CarrierDriverTBL!$M:$M,MATCH(Table1[[#This Row],[DriverID]],CarrierDriverTBL!$A:$A,0))</f>
        <v>3124 Cynthia CT</v>
      </c>
      <c r="AX90" s="142" t="str">
        <f>INDEX(CarrierDriverTBL!$N:$N,MATCH(Table1[[#This Row],[DriverID]],CarrierDriverTBL!$A:$A,0))</f>
        <v>Tracy</v>
      </c>
      <c r="AY90" s="142" t="str">
        <f>INDEX(CarrierDriverTBL!$O:$O,MATCH(Table1[[#This Row],[DriverID]],CarrierDriverTBL!$A:$A,0))</f>
        <v>CA</v>
      </c>
      <c r="AZ90" s="142">
        <f>INDEX(CarrierDriverTBL!$P:$P,MATCH(Table1[[#This Row],[DriverID]],CarrierDriverTBL!$A:$A,0))</f>
        <v>95377</v>
      </c>
      <c r="BA90" s="142" t="str">
        <f>INDEX(CarrierDriverTBL!$Q:$Q,MATCH(Table1[[#This Row],[DriverID]],CarrierDriverTBL!$A:$A,0))</f>
        <v>US</v>
      </c>
      <c r="BB90" s="176" t="str">
        <f>INDEX(CarrierDriverTBL!$R:$R,MATCH(Table1[[#This Row],[DriverID]],CarrierDriverTBL!$A:$A,0))</f>
        <v>ubgollc@gmail.com</v>
      </c>
      <c r="BC90" s="160">
        <f>INDEX(CarrierDriverTBL!$AB:$AB,MATCH(Table1[[#This Row],[DriverID]],CarrierDriverTBL!$A:$A,0))</f>
        <v>42167</v>
      </c>
      <c r="BD90" s="142" t="str">
        <f ca="1">INDEX(CarrierDriverTBL!$AD:$AD,MATCH(LoadMaster!$AN:$AN,CarrierDriverTBL!$A:$A,0))</f>
        <v>MISSING</v>
      </c>
      <c r="BE90" s="142">
        <f>INDEX(CarrierDriverTBL!$AE:$AE,MATCH(Table1[DriverID],CarrierDriverTBL!$A:$A,0))</f>
        <v>913971</v>
      </c>
      <c r="BF90" s="142">
        <f>INDEX(CarrierDriverTBL!$AF:$AF,MATCH(Table1[DriverID],CarrierDriverTBL!$A:$A,0))</f>
        <v>2627544</v>
      </c>
      <c r="BG90" s="142">
        <f>INDEX(CarrierDriverTBL!$AG:$AG,MATCH(Table1[DriverID],CarrierDriverTBL!$A:$A,0))</f>
        <v>466133</v>
      </c>
      <c r="BH90" s="142" t="str">
        <f>INDEX(CarrierDriverTBL!$AH:$AH,MATCH(Table1[DriverID],CarrierDriverTBL!$A:$A,0))</f>
        <v>GM Lawrence Ins</v>
      </c>
      <c r="BI90" s="142" t="str">
        <f>INDEX(CarrierDriverTBL!$AI:$AI,MATCH(Table1[DriverID],CarrierDriverTBL!$A:$A,0))</f>
        <v>DSK2842P160210</v>
      </c>
      <c r="BJ90" s="160">
        <f>INDEX(CarrierDriverTBL!$AJ:$AJ,MATCH(Table1[[#This Row],[DriverID]],CarrierDriverTBL!$A:$A,0))</f>
        <v>42778</v>
      </c>
      <c r="BK90" s="10">
        <f t="shared" si="36"/>
        <v>522</v>
      </c>
      <c r="BL90" s="174">
        <v>600</v>
      </c>
      <c r="BM90" s="144">
        <v>136</v>
      </c>
      <c r="BN90" s="159">
        <f t="shared" si="53"/>
        <v>4.4117647058823533</v>
      </c>
      <c r="BO90" s="167">
        <v>550</v>
      </c>
      <c r="BP90" s="159">
        <f t="shared" si="54"/>
        <v>4.0441176470588234</v>
      </c>
      <c r="BQ90" s="133">
        <v>2.7989999999999999</v>
      </c>
      <c r="BR90" s="166">
        <f t="shared" si="55"/>
        <v>0.14983333333333335</v>
      </c>
      <c r="BS90" s="167">
        <f t="shared" si="37"/>
        <v>3.8942843137254899</v>
      </c>
      <c r="BT90" s="159">
        <f t="shared" si="38"/>
        <v>20.377333333333336</v>
      </c>
      <c r="BU90" s="10" t="str">
        <f t="shared" si="39"/>
        <v>Ch Robinson</v>
      </c>
      <c r="BV90" s="15"/>
      <c r="BW90" s="4" t="str">
        <f>Table1[[#This Row],[BrokerAddress]]</f>
        <v>P.O. Box 3474</v>
      </c>
      <c r="BX90" s="4" t="str">
        <f t="shared" si="40"/>
        <v>Chicago</v>
      </c>
      <c r="BY90" s="4" t="str">
        <f t="shared" si="41"/>
        <v>Il</v>
      </c>
      <c r="BZ90" s="4">
        <f t="shared" si="42"/>
        <v>60654</v>
      </c>
      <c r="CA90" s="10" t="str">
        <f t="shared" si="43"/>
        <v>US</v>
      </c>
      <c r="CB90" s="15" t="s">
        <v>131</v>
      </c>
      <c r="CC90" s="62"/>
      <c r="CD90" s="15" t="s">
        <v>132</v>
      </c>
      <c r="CE90" s="64">
        <v>0</v>
      </c>
      <c r="CF90" s="4">
        <v>0</v>
      </c>
      <c r="CG90" s="132">
        <f t="shared" si="44"/>
        <v>0</v>
      </c>
      <c r="CH90" s="4" t="s">
        <v>132</v>
      </c>
      <c r="CI90" s="5">
        <v>0</v>
      </c>
      <c r="CJ90" s="4">
        <v>0</v>
      </c>
      <c r="CK90" s="132">
        <f t="shared" si="45"/>
        <v>0</v>
      </c>
      <c r="CL90" s="4" t="s">
        <v>132</v>
      </c>
      <c r="CM90" s="5">
        <v>0</v>
      </c>
      <c r="CN90" s="4">
        <v>0</v>
      </c>
      <c r="CO90" s="132">
        <f t="shared" si="46"/>
        <v>0</v>
      </c>
      <c r="CP90" s="4" t="s">
        <v>132</v>
      </c>
      <c r="CQ90" s="5">
        <v>0</v>
      </c>
      <c r="CR90" s="4">
        <v>0</v>
      </c>
      <c r="CS90" s="132">
        <f t="shared" si="47"/>
        <v>0</v>
      </c>
      <c r="CT90" s="159">
        <f t="shared" si="48"/>
        <v>0</v>
      </c>
      <c r="CU90" s="168">
        <f t="shared" si="49"/>
        <v>600</v>
      </c>
      <c r="CV90" s="183">
        <f t="shared" si="56"/>
        <v>0</v>
      </c>
      <c r="CW90" s="82">
        <f t="shared" ref="CW90:CW121" si="57">BO90+CV90</f>
        <v>550</v>
      </c>
      <c r="CX90" s="79">
        <f>IF(ISBLANK(E90),"AddQuickPay",IF(E90=2,CU90*0.98,IF(E90=2.4,CU90*0.976,IF(E90=3,CU90*0.97,IF(E90=5,CU90*0.95,IF(E90=1.5,CU90*0.985,IF(E90=2.5,CU90*0.975,IF(E90=1.3,CU90*0.987,IF(E90=1,CU90*0.99,IF(E90=4,CU90*0.96,CU90*1))))))))))-Table1[[#This Row],[ComCheck+QuickPayFee]]</f>
        <v>588</v>
      </c>
      <c r="CY90" s="5">
        <f t="shared" si="50"/>
        <v>50</v>
      </c>
      <c r="CZ90" s="5">
        <f t="shared" si="51"/>
        <v>12</v>
      </c>
      <c r="DA90" s="258">
        <f>Table1[[#This Row],[OriginalDispatch]]-Table1[[#This Row],[QuickPayCharge]]</f>
        <v>38</v>
      </c>
      <c r="DB90" s="5">
        <v>0</v>
      </c>
      <c r="DC90" s="5" t="s">
        <v>133</v>
      </c>
      <c r="DD90" s="104">
        <f t="shared" si="52"/>
        <v>42258</v>
      </c>
      <c r="DE90" s="15">
        <f>MONTH(Table1[[#This Row],[Weekending]])</f>
        <v>9</v>
      </c>
      <c r="DF90" s="15">
        <f>YEAR(Table1[[#This Row],[Weekending]])</f>
        <v>2015</v>
      </c>
      <c r="DG90" s="4"/>
    </row>
    <row r="91" spans="1:111">
      <c r="A91" s="20" t="str">
        <f t="shared" si="34"/>
        <v>27anne49</v>
      </c>
      <c r="B91" s="146">
        <v>42257</v>
      </c>
      <c r="C91" s="144">
        <v>181285327</v>
      </c>
      <c r="D91" s="298" t="s">
        <v>111</v>
      </c>
      <c r="E91" s="298">
        <v>2</v>
      </c>
      <c r="F91" s="298" t="str">
        <f>INDEX(BrokerTBL!$B:$B,MATCH(D91,BrokerTBL!$A:$A,0))</f>
        <v>P.O. Box 3474</v>
      </c>
      <c r="G91" s="298" t="str">
        <f>INDEX(BrokerTBL!$C:$C,MATCH(D91,BrokerTBL!$A:$A,0))</f>
        <v>Chicago</v>
      </c>
      <c r="H91" s="298" t="str">
        <f>INDEX(BrokerTBL!$D:$D,MATCH(D91,BrokerTBL!$A:$A,0))</f>
        <v>Il</v>
      </c>
      <c r="I91" s="298" t="str">
        <f>INDEX(BrokerTBL!$E:$E,MATCH(D91,BrokerTBL!$A:$A,0))</f>
        <v>US</v>
      </c>
      <c r="J91" s="298">
        <f>INDEX(BrokerTBL!$F:$F,MATCH(D91,BrokerTBL!$A:$A,0))</f>
        <v>60654</v>
      </c>
      <c r="K91" s="298" t="s">
        <v>861</v>
      </c>
      <c r="L91" s="145" t="s">
        <v>862</v>
      </c>
      <c r="M91" s="146">
        <v>42257</v>
      </c>
      <c r="N91" s="144" t="s">
        <v>613</v>
      </c>
      <c r="O91" s="298" t="s">
        <v>863</v>
      </c>
      <c r="P91" s="298" t="s">
        <v>864</v>
      </c>
      <c r="Q91" s="298" t="s">
        <v>139</v>
      </c>
      <c r="R91" s="298">
        <v>95035</v>
      </c>
      <c r="S91" s="298" t="s">
        <v>118</v>
      </c>
      <c r="T91" s="298" t="s">
        <v>865</v>
      </c>
      <c r="U91" s="298" t="s">
        <v>120</v>
      </c>
      <c r="V91" s="298">
        <v>53</v>
      </c>
      <c r="W91" s="298" t="s">
        <v>866</v>
      </c>
      <c r="X91" s="144">
        <v>35000</v>
      </c>
      <c r="Y91" s="298" t="s">
        <v>26</v>
      </c>
      <c r="Z91" s="298" t="s">
        <v>123</v>
      </c>
      <c r="AA91" s="298" t="s">
        <v>123</v>
      </c>
      <c r="AB91" s="298" t="s">
        <v>123</v>
      </c>
      <c r="AC91" s="298" t="s">
        <v>867</v>
      </c>
      <c r="AD91" s="145" t="s">
        <v>132</v>
      </c>
      <c r="AE91" s="146">
        <v>42257</v>
      </c>
      <c r="AF91" s="298" t="s">
        <v>868</v>
      </c>
      <c r="AG91" s="298" t="s">
        <v>869</v>
      </c>
      <c r="AH91" s="298" t="s">
        <v>870</v>
      </c>
      <c r="AI91" s="298" t="s">
        <v>139</v>
      </c>
      <c r="AJ91" s="298">
        <v>94080</v>
      </c>
      <c r="AK91" s="298" t="s">
        <v>118</v>
      </c>
      <c r="AL91" s="298" t="s">
        <v>871</v>
      </c>
      <c r="AM91" s="171" t="str">
        <f>INDEX(CarrierDriverTBL!$B:$B,MATCH(Table1[[#This Row],[DriverID]],CarrierDriverTBL!$A:$A,0))</f>
        <v>UBTrucking</v>
      </c>
      <c r="AN91" s="10" t="s">
        <v>192</v>
      </c>
      <c r="AO91" s="142" t="str">
        <f>INDEX(CarrierDriverTBL!$C:$C,MATCH(Table1[[#This Row],[DriverID]],CarrierDriverTBL!$A:$A,0))</f>
        <v>Albel</v>
      </c>
      <c r="AP91" s="142" t="str">
        <f>INDEX(CarrierDriverTBL!$D:$D,MATCH(Table1[[#This Row],[DriverID]],CarrierDriverTBL!$A:$A,0))</f>
        <v>Chahil</v>
      </c>
      <c r="AQ91" s="142" t="str">
        <f>INDEX(CarrierDriverTBL!$X:$X,MATCH(Table1[[#This Row],[DriverID]],CarrierDriverTBL!$A:$A,0))</f>
        <v>A8390649</v>
      </c>
      <c r="AR91" s="160">
        <f>INDEX(CarrierDriverTBL!$Y:$Y,MATCH(Table1[[#This Row],[DriverID]],CarrierDriverTBL!$A:$A,0))</f>
        <v>42402</v>
      </c>
      <c r="AS91" s="142" t="str">
        <f t="shared" si="35"/>
        <v>GOOD</v>
      </c>
      <c r="AT91" s="160">
        <f>INDEX(CarrierDriverTBL!$E:$E,MATCH(Table1[[#This Row],[DriverID]],CarrierDriverTBL!$A:$A,0))</f>
        <v>22314</v>
      </c>
      <c r="AU91" s="163">
        <f ca="1">INDEX(CarrierDriverTBL!$F:$F,MATCH(Table1[[#This Row],[DriverID]],CarrierDriverTBL!$A:$A,0))</f>
        <v>55.512328767123286</v>
      </c>
      <c r="AV91" s="142" t="str">
        <f>INDEX(CarrierDriverTBL!$K:$K,MATCH(Table1[[#This Row],[DriverID]],CarrierDriverTBL!$A:$A,0))</f>
        <v>510-773-9450</v>
      </c>
      <c r="AW91" s="142" t="str">
        <f>INDEX(CarrierDriverTBL!$M:$M,MATCH(Table1[[#This Row],[DriverID]],CarrierDriverTBL!$A:$A,0))</f>
        <v>3124 Cynthia CT</v>
      </c>
      <c r="AX91" s="142" t="str">
        <f>INDEX(CarrierDriverTBL!$N:$N,MATCH(Table1[[#This Row],[DriverID]],CarrierDriverTBL!$A:$A,0))</f>
        <v>Tracy</v>
      </c>
      <c r="AY91" s="142" t="str">
        <f>INDEX(CarrierDriverTBL!$O:$O,MATCH(Table1[[#This Row],[DriverID]],CarrierDriverTBL!$A:$A,0))</f>
        <v>CA</v>
      </c>
      <c r="AZ91" s="142">
        <f>INDEX(CarrierDriverTBL!$P:$P,MATCH(Table1[[#This Row],[DriverID]],CarrierDriverTBL!$A:$A,0))</f>
        <v>95377</v>
      </c>
      <c r="BA91" s="142" t="str">
        <f>INDEX(CarrierDriverTBL!$Q:$Q,MATCH(Table1[[#This Row],[DriverID]],CarrierDriverTBL!$A:$A,0))</f>
        <v>US</v>
      </c>
      <c r="BB91" s="176" t="str">
        <f>INDEX(CarrierDriverTBL!$R:$R,MATCH(Table1[[#This Row],[DriverID]],CarrierDriverTBL!$A:$A,0))</f>
        <v>ubgollc@gmail.com</v>
      </c>
      <c r="BC91" s="160">
        <f>INDEX(CarrierDriverTBL!$AB:$AB,MATCH(Table1[[#This Row],[DriverID]],CarrierDriverTBL!$A:$A,0))</f>
        <v>42167</v>
      </c>
      <c r="BD91" s="142" t="str">
        <f ca="1">INDEX(CarrierDriverTBL!$AD:$AD,MATCH(LoadMaster!$AN:$AN,CarrierDriverTBL!$A:$A,0))</f>
        <v>MISSING</v>
      </c>
      <c r="BE91" s="142">
        <f>INDEX(CarrierDriverTBL!$AE:$AE,MATCH(Table1[DriverID],CarrierDriverTBL!$A:$A,0))</f>
        <v>913971</v>
      </c>
      <c r="BF91" s="142">
        <f>INDEX(CarrierDriverTBL!$AF:$AF,MATCH(Table1[DriverID],CarrierDriverTBL!$A:$A,0))</f>
        <v>2627544</v>
      </c>
      <c r="BG91" s="142">
        <f>INDEX(CarrierDriverTBL!$AG:$AG,MATCH(Table1[DriverID],CarrierDriverTBL!$A:$A,0))</f>
        <v>466133</v>
      </c>
      <c r="BH91" s="142" t="str">
        <f>INDEX(CarrierDriverTBL!$AH:$AH,MATCH(Table1[DriverID],CarrierDriverTBL!$A:$A,0))</f>
        <v>GM Lawrence Ins</v>
      </c>
      <c r="BI91" s="142" t="str">
        <f>INDEX(CarrierDriverTBL!$AI:$AI,MATCH(Table1[DriverID],CarrierDriverTBL!$A:$A,0))</f>
        <v>DSK2842P160210</v>
      </c>
      <c r="BJ91" s="160">
        <f>INDEX(CarrierDriverTBL!$AJ:$AJ,MATCH(Table1[[#This Row],[DriverID]],CarrierDriverTBL!$A:$A,0))</f>
        <v>42778</v>
      </c>
      <c r="BK91" s="10">
        <f t="shared" si="36"/>
        <v>521</v>
      </c>
      <c r="BL91" s="174">
        <v>400</v>
      </c>
      <c r="BM91" s="144">
        <v>38</v>
      </c>
      <c r="BN91" s="159">
        <f t="shared" si="53"/>
        <v>10.526315789473685</v>
      </c>
      <c r="BO91" s="167">
        <v>350</v>
      </c>
      <c r="BP91" s="159">
        <f t="shared" si="54"/>
        <v>9.2105263157894743</v>
      </c>
      <c r="BQ91" s="133">
        <v>2.7989999999999999</v>
      </c>
      <c r="BR91" s="166">
        <f t="shared" si="55"/>
        <v>0.14983333333333335</v>
      </c>
      <c r="BS91" s="167">
        <f t="shared" si="37"/>
        <v>9.0606929824561409</v>
      </c>
      <c r="BT91" s="159">
        <f t="shared" si="38"/>
        <v>5.6936666666666671</v>
      </c>
      <c r="BU91" s="10" t="str">
        <f t="shared" si="39"/>
        <v>Ch Robinson</v>
      </c>
      <c r="BV91" s="15"/>
      <c r="BW91" s="4" t="str">
        <f>Table1[[#This Row],[BrokerAddress]]</f>
        <v>P.O. Box 3474</v>
      </c>
      <c r="BX91" s="4" t="str">
        <f t="shared" si="40"/>
        <v>Chicago</v>
      </c>
      <c r="BY91" s="4" t="str">
        <f t="shared" si="41"/>
        <v>Il</v>
      </c>
      <c r="BZ91" s="4">
        <f t="shared" si="42"/>
        <v>60654</v>
      </c>
      <c r="CA91" s="10" t="str">
        <f t="shared" si="43"/>
        <v>US</v>
      </c>
      <c r="CB91" s="15" t="s">
        <v>131</v>
      </c>
      <c r="CC91" s="62"/>
      <c r="CD91" s="15" t="s">
        <v>132</v>
      </c>
      <c r="CE91" s="64">
        <v>0</v>
      </c>
      <c r="CF91" s="4">
        <v>0</v>
      </c>
      <c r="CG91" s="132">
        <f t="shared" si="44"/>
        <v>0</v>
      </c>
      <c r="CH91" s="4" t="s">
        <v>132</v>
      </c>
      <c r="CI91" s="5">
        <v>0</v>
      </c>
      <c r="CJ91" s="4">
        <v>0</v>
      </c>
      <c r="CK91" s="132">
        <f t="shared" si="45"/>
        <v>0</v>
      </c>
      <c r="CL91" s="4" t="s">
        <v>132</v>
      </c>
      <c r="CM91" s="5">
        <v>0</v>
      </c>
      <c r="CN91" s="4">
        <v>0</v>
      </c>
      <c r="CO91" s="132">
        <f t="shared" si="46"/>
        <v>0</v>
      </c>
      <c r="CP91" s="4" t="s">
        <v>132</v>
      </c>
      <c r="CQ91" s="5">
        <v>0</v>
      </c>
      <c r="CR91" s="4">
        <v>0</v>
      </c>
      <c r="CS91" s="132">
        <f t="shared" si="47"/>
        <v>0</v>
      </c>
      <c r="CT91" s="159">
        <f t="shared" si="48"/>
        <v>0</v>
      </c>
      <c r="CU91" s="168">
        <f t="shared" si="49"/>
        <v>400</v>
      </c>
      <c r="CV91" s="183">
        <f t="shared" si="56"/>
        <v>0</v>
      </c>
      <c r="CW91" s="82">
        <f t="shared" si="57"/>
        <v>350</v>
      </c>
      <c r="CX91" s="79">
        <f>IF(ISBLANK(E91),"AddQuickPay",IF(E91=2,CU91*0.98,IF(E91=2.4,CU91*0.976,IF(E91=3,CU91*0.97,IF(E91=5,CU91*0.95,IF(E91=1.5,CU91*0.985,IF(E91=2.5,CU91*0.975,IF(E91=1.3,CU91*0.987,IF(E91=1,CU91*0.99,IF(E91=4,CU91*0.96,CU91*1))))))))))-Table1[[#This Row],[ComCheck+QuickPayFee]]</f>
        <v>392</v>
      </c>
      <c r="CY91" s="5">
        <f t="shared" si="50"/>
        <v>50</v>
      </c>
      <c r="CZ91" s="5">
        <f t="shared" si="51"/>
        <v>8</v>
      </c>
      <c r="DA91" s="258">
        <f>Table1[[#This Row],[OriginalDispatch]]-Table1[[#This Row],[QuickPayCharge]]</f>
        <v>42</v>
      </c>
      <c r="DB91" s="5">
        <v>0</v>
      </c>
      <c r="DC91" s="5" t="s">
        <v>133</v>
      </c>
      <c r="DD91" s="104">
        <f t="shared" si="52"/>
        <v>42258</v>
      </c>
      <c r="DE91" s="15">
        <f>MONTH(Table1[[#This Row],[Weekending]])</f>
        <v>9</v>
      </c>
      <c r="DF91" s="15">
        <f>YEAR(Table1[[#This Row],[Weekending]])</f>
        <v>2015</v>
      </c>
      <c r="DG91" s="4"/>
    </row>
    <row r="92" spans="1:111">
      <c r="A92" s="20" t="str">
        <f t="shared" si="34"/>
        <v>56050516</v>
      </c>
      <c r="B92" s="146">
        <v>42258</v>
      </c>
      <c r="C92" s="144">
        <v>180878956</v>
      </c>
      <c r="D92" s="298" t="s">
        <v>111</v>
      </c>
      <c r="E92" s="298">
        <v>2</v>
      </c>
      <c r="F92" s="298" t="str">
        <f>INDEX(BrokerTBL!$B:$B,MATCH(D92,BrokerTBL!$A:$A,0))</f>
        <v>P.O. Box 3474</v>
      </c>
      <c r="G92" s="298" t="str">
        <f>INDEX(BrokerTBL!$C:$C,MATCH(D92,BrokerTBL!$A:$A,0))</f>
        <v>Chicago</v>
      </c>
      <c r="H92" s="298" t="str">
        <f>INDEX(BrokerTBL!$D:$D,MATCH(D92,BrokerTBL!$A:$A,0))</f>
        <v>Il</v>
      </c>
      <c r="I92" s="298" t="str">
        <f>INDEX(BrokerTBL!$E:$E,MATCH(D92,BrokerTBL!$A:$A,0))</f>
        <v>US</v>
      </c>
      <c r="J92" s="298">
        <f>INDEX(BrokerTBL!$F:$F,MATCH(D92,BrokerTBL!$A:$A,0))</f>
        <v>60654</v>
      </c>
      <c r="K92" s="298" t="s">
        <v>872</v>
      </c>
      <c r="L92" s="145" t="s">
        <v>873</v>
      </c>
      <c r="M92" s="146">
        <v>42257</v>
      </c>
      <c r="N92" s="144" t="s">
        <v>874</v>
      </c>
      <c r="O92" s="298" t="s">
        <v>875</v>
      </c>
      <c r="P92" s="298" t="s">
        <v>605</v>
      </c>
      <c r="Q92" s="298" t="s">
        <v>139</v>
      </c>
      <c r="R92" s="298">
        <v>95330</v>
      </c>
      <c r="S92" s="298" t="s">
        <v>118</v>
      </c>
      <c r="T92" s="298" t="s">
        <v>876</v>
      </c>
      <c r="U92" s="298" t="s">
        <v>120</v>
      </c>
      <c r="V92" s="298">
        <v>53</v>
      </c>
      <c r="W92" s="298" t="s">
        <v>877</v>
      </c>
      <c r="X92" s="144">
        <v>13000</v>
      </c>
      <c r="Y92" s="298" t="s">
        <v>26</v>
      </c>
      <c r="Z92" s="298" t="s">
        <v>123</v>
      </c>
      <c r="AA92" s="298">
        <v>10</v>
      </c>
      <c r="AB92" s="298" t="s">
        <v>123</v>
      </c>
      <c r="AC92" s="298" t="s">
        <v>878</v>
      </c>
      <c r="AD92" s="145" t="s">
        <v>873</v>
      </c>
      <c r="AE92" s="146">
        <v>42258</v>
      </c>
      <c r="AF92" s="298" t="s">
        <v>879</v>
      </c>
      <c r="AG92" s="298" t="s">
        <v>880</v>
      </c>
      <c r="AH92" s="298" t="s">
        <v>881</v>
      </c>
      <c r="AI92" s="298" t="s">
        <v>139</v>
      </c>
      <c r="AJ92" s="298">
        <v>92675</v>
      </c>
      <c r="AK92" s="298" t="s">
        <v>118</v>
      </c>
      <c r="AL92" s="298" t="s">
        <v>882</v>
      </c>
      <c r="AM92" s="171" t="str">
        <f>INDEX(CarrierDriverTBL!$B:$B,MATCH(Table1[[#This Row],[DriverID]],CarrierDriverTBL!$A:$A,0))</f>
        <v>UBTrucking</v>
      </c>
      <c r="AN92" s="10" t="s">
        <v>663</v>
      </c>
      <c r="AO92" s="142" t="str">
        <f>INDEX(CarrierDriverTBL!$C:$C,MATCH(Table1[[#This Row],[DriverID]],CarrierDriverTBL!$A:$A,0))</f>
        <v>Christopher J.</v>
      </c>
      <c r="AP92" s="142" t="str">
        <f>INDEX(CarrierDriverTBL!$D:$D,MATCH(Table1[[#This Row],[DriverID]],CarrierDriverTBL!$A:$A,0))</f>
        <v>Vanoss</v>
      </c>
      <c r="AQ92" s="142" t="str">
        <f>INDEX(CarrierDriverTBL!$X:$X,MATCH(Table1[[#This Row],[DriverID]],CarrierDriverTBL!$A:$A,0))</f>
        <v>C6568516</v>
      </c>
      <c r="AR92" s="160">
        <f>INDEX(CarrierDriverTBL!$Y:$Y,MATCH(Table1[[#This Row],[DriverID]],CarrierDriverTBL!$A:$A,0))</f>
        <v>43568</v>
      </c>
      <c r="AS92" s="142" t="str">
        <f t="shared" si="35"/>
        <v>GOOD</v>
      </c>
      <c r="AT92" s="160">
        <f>INDEX(CarrierDriverTBL!$E:$E,MATCH(Table1[[#This Row],[DriverID]],CarrierDriverTBL!$A:$A,0))</f>
        <v>25306</v>
      </c>
      <c r="AU92" s="163">
        <f ca="1">INDEX(CarrierDriverTBL!$F:$F,MATCH(Table1[[#This Row],[DriverID]],CarrierDriverTBL!$A:$A,0))</f>
        <v>47.315068493150683</v>
      </c>
      <c r="AV92" s="142" t="str">
        <f>INDEX(CarrierDriverTBL!$K:$K,MATCH(Table1[[#This Row],[DriverID]],CarrierDriverTBL!$A:$A,0))</f>
        <v>209-993-1286</v>
      </c>
      <c r="AW92" s="142" t="str">
        <f>INDEX(CarrierDriverTBL!$M:$M,MATCH(Table1[[#This Row],[DriverID]],CarrierDriverTBL!$A:$A,0))</f>
        <v>1044 Rivara RD # 106</v>
      </c>
      <c r="AX92" s="142" t="str">
        <f>INDEX(CarrierDriverTBL!$N:$N,MATCH(Table1[[#This Row],[DriverID]],CarrierDriverTBL!$A:$A,0))</f>
        <v>Stockton</v>
      </c>
      <c r="AY92" s="142" t="str">
        <f>INDEX(CarrierDriverTBL!$O:$O,MATCH(Table1[[#This Row],[DriverID]],CarrierDriverTBL!$A:$A,0))</f>
        <v>CA</v>
      </c>
      <c r="AZ92" s="142">
        <f>INDEX(CarrierDriverTBL!$P:$P,MATCH(Table1[[#This Row],[DriverID]],CarrierDriverTBL!$A:$A,0))</f>
        <v>95219</v>
      </c>
      <c r="BA92" s="142" t="str">
        <f>INDEX(CarrierDriverTBL!$Q:$Q,MATCH(Table1[[#This Row],[DriverID]],CarrierDriverTBL!$A:$A,0))</f>
        <v>US</v>
      </c>
      <c r="BB92" s="176" t="str">
        <f>INDEX(CarrierDriverTBL!$R:$R,MATCH(Table1[[#This Row],[DriverID]],CarrierDriverTBL!$A:$A,0))</f>
        <v xml:space="preserve">cvanoss@live.com </v>
      </c>
      <c r="BC92" s="160">
        <f>INDEX(CarrierDriverTBL!$AB:$AB,MATCH(Table1[[#This Row],[DriverID]],CarrierDriverTBL!$A:$A,0))</f>
        <v>42231</v>
      </c>
      <c r="BD92" s="142" t="str">
        <f ca="1">INDEX(CarrierDriverTBL!$AD:$AD,MATCH(LoadMaster!$AN:$AN,CarrierDriverTBL!$A:$A,0))</f>
        <v>MISSING</v>
      </c>
      <c r="BE92" s="142">
        <f>INDEX(CarrierDriverTBL!$AE:$AE,MATCH(Table1[DriverID],CarrierDriverTBL!$A:$A,0))</f>
        <v>913971</v>
      </c>
      <c r="BF92" s="142">
        <f>INDEX(CarrierDriverTBL!$AF:$AF,MATCH(Table1[DriverID],CarrierDriverTBL!$A:$A,0))</f>
        <v>2627544</v>
      </c>
      <c r="BG92" s="142">
        <f>INDEX(CarrierDriverTBL!$AG:$AG,MATCH(Table1[DriverID],CarrierDriverTBL!$A:$A,0))</f>
        <v>466133</v>
      </c>
      <c r="BH92" s="142" t="str">
        <f>INDEX(CarrierDriverTBL!$AH:$AH,MATCH(Table1[DriverID],CarrierDriverTBL!$A:$A,0))</f>
        <v>GM Lawrence Ins</v>
      </c>
      <c r="BI92" s="142" t="str">
        <f>INDEX(CarrierDriverTBL!$AI:$AI,MATCH(Table1[DriverID],CarrierDriverTBL!$A:$A,0))</f>
        <v>DSK2842P160210</v>
      </c>
      <c r="BJ92" s="160">
        <f>INDEX(CarrierDriverTBL!$AJ:$AJ,MATCH(Table1[[#This Row],[DriverID]],CarrierDriverTBL!$A:$A,0))</f>
        <v>42778</v>
      </c>
      <c r="BK92" s="10">
        <f t="shared" si="36"/>
        <v>521</v>
      </c>
      <c r="BL92" s="174">
        <v>850</v>
      </c>
      <c r="BM92" s="144">
        <v>400</v>
      </c>
      <c r="BN92" s="159">
        <f t="shared" si="53"/>
        <v>2.125</v>
      </c>
      <c r="BO92" s="167">
        <v>765</v>
      </c>
      <c r="BP92" s="159">
        <f t="shared" si="54"/>
        <v>1.9125000000000001</v>
      </c>
      <c r="BQ92" s="133">
        <v>2.7989999999999999</v>
      </c>
      <c r="BR92" s="166">
        <f t="shared" si="55"/>
        <v>0.14983333333333335</v>
      </c>
      <c r="BS92" s="167">
        <f t="shared" si="37"/>
        <v>1.7626666666666668</v>
      </c>
      <c r="BT92" s="159">
        <f t="shared" si="38"/>
        <v>59.933333333333337</v>
      </c>
      <c r="BU92" s="10" t="str">
        <f t="shared" si="39"/>
        <v>Ch Robinson</v>
      </c>
      <c r="BV92" s="15"/>
      <c r="BW92" s="4" t="str">
        <f>Table1[[#This Row],[BrokerAddress]]</f>
        <v>P.O. Box 3474</v>
      </c>
      <c r="BX92" s="4" t="str">
        <f t="shared" si="40"/>
        <v>Chicago</v>
      </c>
      <c r="BY92" s="4" t="str">
        <f t="shared" si="41"/>
        <v>Il</v>
      </c>
      <c r="BZ92" s="4">
        <f t="shared" si="42"/>
        <v>60654</v>
      </c>
      <c r="CA92" s="10" t="str">
        <f t="shared" si="43"/>
        <v>US</v>
      </c>
      <c r="CB92" s="15" t="s">
        <v>131</v>
      </c>
      <c r="CC92" s="62"/>
      <c r="CD92" s="15" t="s">
        <v>132</v>
      </c>
      <c r="CE92" s="64">
        <v>0</v>
      </c>
      <c r="CF92" s="4">
        <v>0</v>
      </c>
      <c r="CG92" s="132">
        <f t="shared" si="44"/>
        <v>0</v>
      </c>
      <c r="CH92" s="4" t="s">
        <v>132</v>
      </c>
      <c r="CI92" s="5">
        <v>0</v>
      </c>
      <c r="CJ92" s="4">
        <v>0</v>
      </c>
      <c r="CK92" s="132">
        <f t="shared" si="45"/>
        <v>0</v>
      </c>
      <c r="CL92" s="4" t="s">
        <v>132</v>
      </c>
      <c r="CM92" s="5">
        <v>0</v>
      </c>
      <c r="CN92" s="4">
        <v>0</v>
      </c>
      <c r="CO92" s="132">
        <f t="shared" si="46"/>
        <v>0</v>
      </c>
      <c r="CP92" s="4" t="s">
        <v>132</v>
      </c>
      <c r="CQ92" s="5">
        <v>0</v>
      </c>
      <c r="CR92" s="4">
        <v>0</v>
      </c>
      <c r="CS92" s="132">
        <f t="shared" si="47"/>
        <v>0</v>
      </c>
      <c r="CT92" s="159">
        <f t="shared" si="48"/>
        <v>0</v>
      </c>
      <c r="CU92" s="168">
        <f t="shared" si="49"/>
        <v>850</v>
      </c>
      <c r="CV92" s="183">
        <f t="shared" si="56"/>
        <v>0</v>
      </c>
      <c r="CW92" s="82">
        <f t="shared" si="57"/>
        <v>765</v>
      </c>
      <c r="CX92" s="79">
        <f>IF(ISBLANK(E92),"AddQuickPay",IF(E92=2,CU92*0.98,IF(E92=2.4,CU92*0.976,IF(E92=3,CU92*0.97,IF(E92=5,CU92*0.95,IF(E92=1.5,CU92*0.985,IF(E92=2.5,CU92*0.975,IF(E92=1.3,CU92*0.987,IF(E92=1,CU92*0.99,IF(E92=4,CU92*0.96,CU92*1))))))))))-Table1[[#This Row],[ComCheck+QuickPayFee]]</f>
        <v>833</v>
      </c>
      <c r="CY92" s="5">
        <f t="shared" si="50"/>
        <v>85</v>
      </c>
      <c r="CZ92" s="5">
        <f t="shared" si="51"/>
        <v>17</v>
      </c>
      <c r="DA92" s="258">
        <f>Table1[[#This Row],[OriginalDispatch]]-Table1[[#This Row],[QuickPayCharge]]</f>
        <v>68</v>
      </c>
      <c r="DB92" s="5">
        <v>0</v>
      </c>
      <c r="DC92" s="5" t="s">
        <v>133</v>
      </c>
      <c r="DD92" s="104">
        <f t="shared" si="52"/>
        <v>42258</v>
      </c>
      <c r="DE92" s="15">
        <f>MONTH(Table1[[#This Row],[Weekending]])</f>
        <v>9</v>
      </c>
      <c r="DF92" s="15">
        <f>YEAR(Table1[[#This Row],[Weekending]])</f>
        <v>2015</v>
      </c>
      <c r="DG92" s="4"/>
    </row>
    <row r="93" spans="1:111">
      <c r="A93" s="20" t="str">
        <f t="shared" si="34"/>
        <v>12523949</v>
      </c>
      <c r="B93" s="146">
        <v>42257</v>
      </c>
      <c r="C93" s="144">
        <v>181271412</v>
      </c>
      <c r="D93" s="298" t="s">
        <v>111</v>
      </c>
      <c r="E93" s="298">
        <v>2</v>
      </c>
      <c r="F93" s="298" t="str">
        <f>INDEX(BrokerTBL!$B:$B,MATCH(D93,BrokerTBL!$A:$A,0))</f>
        <v>P.O. Box 3474</v>
      </c>
      <c r="G93" s="298" t="str">
        <f>INDEX(BrokerTBL!$C:$C,MATCH(D93,BrokerTBL!$A:$A,0))</f>
        <v>Chicago</v>
      </c>
      <c r="H93" s="298" t="str">
        <f>INDEX(BrokerTBL!$D:$D,MATCH(D93,BrokerTBL!$A:$A,0))</f>
        <v>Il</v>
      </c>
      <c r="I93" s="298" t="str">
        <f>INDEX(BrokerTBL!$E:$E,MATCH(D93,BrokerTBL!$A:$A,0))</f>
        <v>US</v>
      </c>
      <c r="J93" s="298">
        <f>INDEX(BrokerTBL!$F:$F,MATCH(D93,BrokerTBL!$A:$A,0))</f>
        <v>60654</v>
      </c>
      <c r="K93" s="298" t="s">
        <v>883</v>
      </c>
      <c r="L93" s="145">
        <v>16513852</v>
      </c>
      <c r="M93" s="146">
        <v>42257</v>
      </c>
      <c r="N93" s="144" t="s">
        <v>884</v>
      </c>
      <c r="O93" s="298" t="s">
        <v>885</v>
      </c>
      <c r="P93" s="298" t="s">
        <v>770</v>
      </c>
      <c r="Q93" s="298" t="s">
        <v>139</v>
      </c>
      <c r="R93" s="298">
        <v>94560</v>
      </c>
      <c r="S93" s="298" t="s">
        <v>118</v>
      </c>
      <c r="T93" s="298" t="s">
        <v>886</v>
      </c>
      <c r="U93" s="298" t="s">
        <v>120</v>
      </c>
      <c r="V93" s="298">
        <v>53</v>
      </c>
      <c r="W93" s="298" t="s">
        <v>887</v>
      </c>
      <c r="X93" s="144">
        <v>43257</v>
      </c>
      <c r="Y93" s="298" t="s">
        <v>26</v>
      </c>
      <c r="Z93" s="298">
        <v>833</v>
      </c>
      <c r="AA93" s="298" t="s">
        <v>123</v>
      </c>
      <c r="AB93" s="298" t="s">
        <v>123</v>
      </c>
      <c r="AC93" s="298" t="s">
        <v>849</v>
      </c>
      <c r="AD93" s="145">
        <v>107239</v>
      </c>
      <c r="AE93" s="146">
        <v>42258</v>
      </c>
      <c r="AF93" s="298" t="s">
        <v>857</v>
      </c>
      <c r="AG93" s="298" t="s">
        <v>852</v>
      </c>
      <c r="AH93" s="298" t="s">
        <v>853</v>
      </c>
      <c r="AI93" s="298" t="s">
        <v>139</v>
      </c>
      <c r="AJ93" s="298">
        <v>93622</v>
      </c>
      <c r="AK93" s="298" t="s">
        <v>118</v>
      </c>
      <c r="AL93" s="298" t="s">
        <v>854</v>
      </c>
      <c r="AM93" s="171" t="str">
        <f>INDEX(CarrierDriverTBL!$B:$B,MATCH(Table1[[#This Row],[DriverID]],CarrierDriverTBL!$A:$A,0))</f>
        <v>UBTrucking</v>
      </c>
      <c r="AN93" s="10" t="s">
        <v>192</v>
      </c>
      <c r="AO93" s="142" t="str">
        <f>INDEX(CarrierDriverTBL!$C:$C,MATCH(Table1[[#This Row],[DriverID]],CarrierDriverTBL!$A:$A,0))</f>
        <v>Albel</v>
      </c>
      <c r="AP93" s="142" t="str">
        <f>INDEX(CarrierDriverTBL!$D:$D,MATCH(Table1[[#This Row],[DriverID]],CarrierDriverTBL!$A:$A,0))</f>
        <v>Chahil</v>
      </c>
      <c r="AQ93" s="142" t="str">
        <f>INDEX(CarrierDriverTBL!$X:$X,MATCH(Table1[[#This Row],[DriverID]],CarrierDriverTBL!$A:$A,0))</f>
        <v>A8390649</v>
      </c>
      <c r="AR93" s="160">
        <f>INDEX(CarrierDriverTBL!$Y:$Y,MATCH(Table1[[#This Row],[DriverID]],CarrierDriverTBL!$A:$A,0))</f>
        <v>42402</v>
      </c>
      <c r="AS93" s="142" t="str">
        <f t="shared" si="35"/>
        <v>GOOD</v>
      </c>
      <c r="AT93" s="160">
        <f>INDEX(CarrierDriverTBL!$E:$E,MATCH(Table1[[#This Row],[DriverID]],CarrierDriverTBL!$A:$A,0))</f>
        <v>22314</v>
      </c>
      <c r="AU93" s="163">
        <f ca="1">INDEX(CarrierDriverTBL!$F:$F,MATCH(Table1[[#This Row],[DriverID]],CarrierDriverTBL!$A:$A,0))</f>
        <v>55.512328767123286</v>
      </c>
      <c r="AV93" s="142" t="str">
        <f>INDEX(CarrierDriverTBL!$K:$K,MATCH(Table1[[#This Row],[DriverID]],CarrierDriverTBL!$A:$A,0))</f>
        <v>510-773-9450</v>
      </c>
      <c r="AW93" s="142" t="str">
        <f>INDEX(CarrierDriverTBL!$M:$M,MATCH(Table1[[#This Row],[DriverID]],CarrierDriverTBL!$A:$A,0))</f>
        <v>3124 Cynthia CT</v>
      </c>
      <c r="AX93" s="142" t="str">
        <f>INDEX(CarrierDriverTBL!$N:$N,MATCH(Table1[[#This Row],[DriverID]],CarrierDriverTBL!$A:$A,0))</f>
        <v>Tracy</v>
      </c>
      <c r="AY93" s="142" t="str">
        <f>INDEX(CarrierDriverTBL!$O:$O,MATCH(Table1[[#This Row],[DriverID]],CarrierDriverTBL!$A:$A,0))</f>
        <v>CA</v>
      </c>
      <c r="AZ93" s="142">
        <f>INDEX(CarrierDriverTBL!$P:$P,MATCH(Table1[[#This Row],[DriverID]],CarrierDriverTBL!$A:$A,0))</f>
        <v>95377</v>
      </c>
      <c r="BA93" s="142" t="str">
        <f>INDEX(CarrierDriverTBL!$Q:$Q,MATCH(Table1[[#This Row],[DriverID]],CarrierDriverTBL!$A:$A,0))</f>
        <v>US</v>
      </c>
      <c r="BB93" s="176" t="str">
        <f>INDEX(CarrierDriverTBL!$R:$R,MATCH(Table1[[#This Row],[DriverID]],CarrierDriverTBL!$A:$A,0))</f>
        <v>ubgollc@gmail.com</v>
      </c>
      <c r="BC93" s="160">
        <f>INDEX(CarrierDriverTBL!$AB:$AB,MATCH(Table1[[#This Row],[DriverID]],CarrierDriverTBL!$A:$A,0))</f>
        <v>42167</v>
      </c>
      <c r="BD93" s="142" t="str">
        <f ca="1">INDEX(CarrierDriverTBL!$AD:$AD,MATCH(LoadMaster!$AN:$AN,CarrierDriverTBL!$A:$A,0))</f>
        <v>MISSING</v>
      </c>
      <c r="BE93" s="142">
        <f>INDEX(CarrierDriverTBL!$AE:$AE,MATCH(Table1[DriverID],CarrierDriverTBL!$A:$A,0))</f>
        <v>913971</v>
      </c>
      <c r="BF93" s="142">
        <f>INDEX(CarrierDriverTBL!$AF:$AF,MATCH(Table1[DriverID],CarrierDriverTBL!$A:$A,0))</f>
        <v>2627544</v>
      </c>
      <c r="BG93" s="142">
        <f>INDEX(CarrierDriverTBL!$AG:$AG,MATCH(Table1[DriverID],CarrierDriverTBL!$A:$A,0))</f>
        <v>466133</v>
      </c>
      <c r="BH93" s="142" t="str">
        <f>INDEX(CarrierDriverTBL!$AH:$AH,MATCH(Table1[DriverID],CarrierDriverTBL!$A:$A,0))</f>
        <v>GM Lawrence Ins</v>
      </c>
      <c r="BI93" s="142" t="str">
        <f>INDEX(CarrierDriverTBL!$AI:$AI,MATCH(Table1[DriverID],CarrierDriverTBL!$A:$A,0))</f>
        <v>DSK2842P160210</v>
      </c>
      <c r="BJ93" s="160">
        <f>INDEX(CarrierDriverTBL!$AJ:$AJ,MATCH(Table1[[#This Row],[DriverID]],CarrierDriverTBL!$A:$A,0))</f>
        <v>42778</v>
      </c>
      <c r="BK93" s="10">
        <f t="shared" si="36"/>
        <v>521</v>
      </c>
      <c r="BL93" s="174">
        <v>500</v>
      </c>
      <c r="BM93" s="144">
        <v>145</v>
      </c>
      <c r="BN93" s="159">
        <f t="shared" si="53"/>
        <v>3.4482758620689653</v>
      </c>
      <c r="BO93" s="167">
        <v>450</v>
      </c>
      <c r="BP93" s="159">
        <f t="shared" si="54"/>
        <v>3.103448275862069</v>
      </c>
      <c r="BQ93" s="133">
        <v>2.7989999999999999</v>
      </c>
      <c r="BR93" s="166">
        <f t="shared" si="55"/>
        <v>0.14983333333333335</v>
      </c>
      <c r="BS93" s="167">
        <f t="shared" si="37"/>
        <v>2.9536149425287355</v>
      </c>
      <c r="BT93" s="159">
        <f t="shared" si="38"/>
        <v>21.725833333333334</v>
      </c>
      <c r="BU93" s="10" t="str">
        <f t="shared" si="39"/>
        <v>Ch Robinson</v>
      </c>
      <c r="BV93" s="15"/>
      <c r="BW93" s="4" t="str">
        <f>Table1[[#This Row],[BrokerAddress]]</f>
        <v>P.O. Box 3474</v>
      </c>
      <c r="BX93" s="4" t="str">
        <f t="shared" si="40"/>
        <v>Chicago</v>
      </c>
      <c r="BY93" s="4" t="str">
        <f t="shared" si="41"/>
        <v>Il</v>
      </c>
      <c r="BZ93" s="4">
        <f t="shared" si="42"/>
        <v>60654</v>
      </c>
      <c r="CA93" s="10" t="str">
        <f t="shared" si="43"/>
        <v>US</v>
      </c>
      <c r="CB93" s="15" t="s">
        <v>131</v>
      </c>
      <c r="CC93" s="62"/>
      <c r="CD93" s="15" t="s">
        <v>132</v>
      </c>
      <c r="CE93" s="64">
        <v>0</v>
      </c>
      <c r="CF93" s="4">
        <v>0</v>
      </c>
      <c r="CG93" s="132">
        <f t="shared" si="44"/>
        <v>0</v>
      </c>
      <c r="CH93" s="4" t="s">
        <v>132</v>
      </c>
      <c r="CI93" s="5">
        <v>0</v>
      </c>
      <c r="CJ93" s="4">
        <v>0</v>
      </c>
      <c r="CK93" s="132">
        <f t="shared" si="45"/>
        <v>0</v>
      </c>
      <c r="CL93" s="4" t="s">
        <v>132</v>
      </c>
      <c r="CM93" s="5">
        <v>0</v>
      </c>
      <c r="CN93" s="4">
        <v>0</v>
      </c>
      <c r="CO93" s="132">
        <f t="shared" si="46"/>
        <v>0</v>
      </c>
      <c r="CP93" s="4" t="s">
        <v>132</v>
      </c>
      <c r="CQ93" s="5">
        <v>0</v>
      </c>
      <c r="CR93" s="4">
        <v>0</v>
      </c>
      <c r="CS93" s="132">
        <f t="shared" si="47"/>
        <v>0</v>
      </c>
      <c r="CT93" s="159">
        <f t="shared" si="48"/>
        <v>0</v>
      </c>
      <c r="CU93" s="168">
        <f t="shared" si="49"/>
        <v>500</v>
      </c>
      <c r="CV93" s="183">
        <f t="shared" si="56"/>
        <v>0</v>
      </c>
      <c r="CW93" s="82">
        <f t="shared" si="57"/>
        <v>450</v>
      </c>
      <c r="CX93" s="79">
        <f>IF(ISBLANK(E93),"AddQuickPay",IF(E93=2,CU93*0.98,IF(E93=2.4,CU93*0.976,IF(E93=3,CU93*0.97,IF(E93=5,CU93*0.95,IF(E93=1.5,CU93*0.985,IF(E93=2.5,CU93*0.975,IF(E93=1.3,CU93*0.987,IF(E93=1,CU93*0.99,IF(E93=4,CU93*0.96,CU93*1))))))))))-Table1[[#This Row],[ComCheck+QuickPayFee]]</f>
        <v>490</v>
      </c>
      <c r="CY93" s="5">
        <f t="shared" si="50"/>
        <v>50</v>
      </c>
      <c r="CZ93" s="5">
        <f t="shared" si="51"/>
        <v>10</v>
      </c>
      <c r="DA93" s="258">
        <f>Table1[[#This Row],[OriginalDispatch]]-Table1[[#This Row],[QuickPayCharge]]</f>
        <v>40</v>
      </c>
      <c r="DB93" s="5">
        <v>0</v>
      </c>
      <c r="DC93" s="5" t="s">
        <v>133</v>
      </c>
      <c r="DD93" s="104">
        <f t="shared" si="52"/>
        <v>42258</v>
      </c>
      <c r="DE93" s="15">
        <f>MONTH(Table1[[#This Row],[Weekending]])</f>
        <v>9</v>
      </c>
      <c r="DF93" s="15">
        <f>YEAR(Table1[[#This Row],[Weekending]])</f>
        <v>2015</v>
      </c>
      <c r="DG93" s="4"/>
    </row>
    <row r="94" spans="1:111">
      <c r="A94" s="20" t="str">
        <f t="shared" si="34"/>
        <v>91leme16</v>
      </c>
      <c r="B94" s="146">
        <v>42258</v>
      </c>
      <c r="C94" s="144">
        <v>6050091</v>
      </c>
      <c r="D94" s="298" t="s">
        <v>555</v>
      </c>
      <c r="E94" s="298">
        <v>3</v>
      </c>
      <c r="F94" s="298" t="str">
        <f>INDEX(BrokerTBL!$B:$B,MATCH(D94,BrokerTBL!$A:$A,0))</f>
        <v>P.O. Box 799</v>
      </c>
      <c r="G94" s="298" t="str">
        <f>INDEX(BrokerTBL!$C:$C,MATCH(D94,BrokerTBL!$A:$A,0))</f>
        <v>Milford</v>
      </c>
      <c r="H94" s="298" t="str">
        <f>INDEX(BrokerTBL!$D:$D,MATCH(D94,BrokerTBL!$A:$A,0))</f>
        <v>Ohio</v>
      </c>
      <c r="I94" s="298" t="str">
        <f>INDEX(BrokerTBL!$E:$E,MATCH(D94,BrokerTBL!$A:$A,0))</f>
        <v>US</v>
      </c>
      <c r="J94" s="298">
        <f>INDEX(BrokerTBL!$F:$F,MATCH(D94,BrokerTBL!$A:$A,0))</f>
        <v>45150</v>
      </c>
      <c r="K94" s="298" t="s">
        <v>888</v>
      </c>
      <c r="L94" s="145" t="s">
        <v>889</v>
      </c>
      <c r="M94" s="146">
        <v>42259</v>
      </c>
      <c r="N94" s="144" t="s">
        <v>890</v>
      </c>
      <c r="O94" s="298" t="s">
        <v>891</v>
      </c>
      <c r="P94" s="298" t="s">
        <v>892</v>
      </c>
      <c r="Q94" s="298" t="s">
        <v>139</v>
      </c>
      <c r="R94" s="298">
        <v>90670</v>
      </c>
      <c r="S94" s="298" t="s">
        <v>118</v>
      </c>
      <c r="T94" s="298" t="s">
        <v>893</v>
      </c>
      <c r="U94" s="298" t="s">
        <v>120</v>
      </c>
      <c r="V94" s="298">
        <v>53</v>
      </c>
      <c r="W94" s="298" t="s">
        <v>894</v>
      </c>
      <c r="X94" s="144" t="s">
        <v>136</v>
      </c>
      <c r="Y94" s="298" t="s">
        <v>123</v>
      </c>
      <c r="Z94" s="298" t="s">
        <v>123</v>
      </c>
      <c r="AA94" s="298" t="s">
        <v>123</v>
      </c>
      <c r="AB94" s="298" t="s">
        <v>123</v>
      </c>
      <c r="AC94" s="298" t="s">
        <v>895</v>
      </c>
      <c r="AD94" s="145" t="s">
        <v>896</v>
      </c>
      <c r="AE94" s="146">
        <v>42259</v>
      </c>
      <c r="AF94" s="416" t="s">
        <v>123</v>
      </c>
      <c r="AG94" s="298" t="s">
        <v>897</v>
      </c>
      <c r="AH94" s="298" t="s">
        <v>889</v>
      </c>
      <c r="AI94" s="298" t="s">
        <v>139</v>
      </c>
      <c r="AJ94" s="298">
        <v>95361</v>
      </c>
      <c r="AK94" s="298" t="s">
        <v>118</v>
      </c>
      <c r="AL94" s="298" t="s">
        <v>123</v>
      </c>
      <c r="AM94" s="171" t="str">
        <f>INDEX(CarrierDriverTBL!$B:$B,MATCH(Table1[[#This Row],[DriverID]],CarrierDriverTBL!$A:$A,0))</f>
        <v>UBTrucking</v>
      </c>
      <c r="AN94" s="10" t="s">
        <v>663</v>
      </c>
      <c r="AO94" s="142" t="str">
        <f>INDEX(CarrierDriverTBL!$C:$C,MATCH(Table1[[#This Row],[DriverID]],CarrierDriverTBL!$A:$A,0))</f>
        <v>Christopher J.</v>
      </c>
      <c r="AP94" s="142" t="str">
        <f>INDEX(CarrierDriverTBL!$D:$D,MATCH(Table1[[#This Row],[DriverID]],CarrierDriverTBL!$A:$A,0))</f>
        <v>Vanoss</v>
      </c>
      <c r="AQ94" s="142" t="str">
        <f>INDEX(CarrierDriverTBL!$X:$X,MATCH(Table1[[#This Row],[DriverID]],CarrierDriverTBL!$A:$A,0))</f>
        <v>C6568516</v>
      </c>
      <c r="AR94" s="160">
        <f>INDEX(CarrierDriverTBL!$Y:$Y,MATCH(Table1[[#This Row],[DriverID]],CarrierDriverTBL!$A:$A,0))</f>
        <v>43568</v>
      </c>
      <c r="AS94" s="142" t="str">
        <f t="shared" si="35"/>
        <v>GOOD</v>
      </c>
      <c r="AT94" s="160">
        <f>INDEX(CarrierDriverTBL!$E:$E,MATCH(Table1[[#This Row],[DriverID]],CarrierDriverTBL!$A:$A,0))</f>
        <v>25306</v>
      </c>
      <c r="AU94" s="163">
        <f ca="1">INDEX(CarrierDriverTBL!$F:$F,MATCH(Table1[[#This Row],[DriverID]],CarrierDriverTBL!$A:$A,0))</f>
        <v>47.315068493150683</v>
      </c>
      <c r="AV94" s="142" t="str">
        <f>INDEX(CarrierDriverTBL!$K:$K,MATCH(Table1[[#This Row],[DriverID]],CarrierDriverTBL!$A:$A,0))</f>
        <v>209-993-1286</v>
      </c>
      <c r="AW94" s="142" t="str">
        <f>INDEX(CarrierDriverTBL!$M:$M,MATCH(Table1[[#This Row],[DriverID]],CarrierDriverTBL!$A:$A,0))</f>
        <v>1044 Rivara RD # 106</v>
      </c>
      <c r="AX94" s="142" t="str">
        <f>INDEX(CarrierDriverTBL!$N:$N,MATCH(Table1[[#This Row],[DriverID]],CarrierDriverTBL!$A:$A,0))</f>
        <v>Stockton</v>
      </c>
      <c r="AY94" s="142" t="str">
        <f>INDEX(CarrierDriverTBL!$O:$O,MATCH(Table1[[#This Row],[DriverID]],CarrierDriverTBL!$A:$A,0))</f>
        <v>CA</v>
      </c>
      <c r="AZ94" s="142">
        <f>INDEX(CarrierDriverTBL!$P:$P,MATCH(Table1[[#This Row],[DriverID]],CarrierDriverTBL!$A:$A,0))</f>
        <v>95219</v>
      </c>
      <c r="BA94" s="142" t="str">
        <f>INDEX(CarrierDriverTBL!$Q:$Q,MATCH(Table1[[#This Row],[DriverID]],CarrierDriverTBL!$A:$A,0))</f>
        <v>US</v>
      </c>
      <c r="BB94" s="176" t="str">
        <f>INDEX(CarrierDriverTBL!$R:$R,MATCH(Table1[[#This Row],[DriverID]],CarrierDriverTBL!$A:$A,0))</f>
        <v xml:space="preserve">cvanoss@live.com </v>
      </c>
      <c r="BC94" s="160">
        <f>INDEX(CarrierDriverTBL!$AB:$AB,MATCH(Table1[[#This Row],[DriverID]],CarrierDriverTBL!$A:$A,0))</f>
        <v>42231</v>
      </c>
      <c r="BD94" s="142" t="str">
        <f ca="1">INDEX(CarrierDriverTBL!$AD:$AD,MATCH(LoadMaster!$AN:$AN,CarrierDriverTBL!$A:$A,0))</f>
        <v>MISSING</v>
      </c>
      <c r="BE94" s="142">
        <f>INDEX(CarrierDriverTBL!$AE:$AE,MATCH(Table1[DriverID],CarrierDriverTBL!$A:$A,0))</f>
        <v>913971</v>
      </c>
      <c r="BF94" s="142">
        <f>INDEX(CarrierDriverTBL!$AF:$AF,MATCH(Table1[DriverID],CarrierDriverTBL!$A:$A,0))</f>
        <v>2627544</v>
      </c>
      <c r="BG94" s="142">
        <f>INDEX(CarrierDriverTBL!$AG:$AG,MATCH(Table1[DriverID],CarrierDriverTBL!$A:$A,0))</f>
        <v>466133</v>
      </c>
      <c r="BH94" s="142" t="str">
        <f>INDEX(CarrierDriverTBL!$AH:$AH,MATCH(Table1[DriverID],CarrierDriverTBL!$A:$A,0))</f>
        <v>GM Lawrence Ins</v>
      </c>
      <c r="BI94" s="142" t="str">
        <f>INDEX(CarrierDriverTBL!$AI:$AI,MATCH(Table1[DriverID],CarrierDriverTBL!$A:$A,0))</f>
        <v>DSK2842P160210</v>
      </c>
      <c r="BJ94" s="160">
        <f>INDEX(CarrierDriverTBL!$AJ:$AJ,MATCH(Table1[[#This Row],[DriverID]],CarrierDriverTBL!$A:$A,0))</f>
        <v>42778</v>
      </c>
      <c r="BK94" s="10">
        <f t="shared" si="36"/>
        <v>519</v>
      </c>
      <c r="BL94" s="174">
        <v>775</v>
      </c>
      <c r="BM94" s="144">
        <v>345</v>
      </c>
      <c r="BN94" s="159">
        <f t="shared" si="53"/>
        <v>2.2463768115942031</v>
      </c>
      <c r="BO94" s="167">
        <v>697.5</v>
      </c>
      <c r="BP94" s="159">
        <f t="shared" si="54"/>
        <v>2.0217391304347827</v>
      </c>
      <c r="BQ94" s="133">
        <v>2.7989999999999999</v>
      </c>
      <c r="BR94" s="166">
        <f t="shared" si="55"/>
        <v>0.14983333333333335</v>
      </c>
      <c r="BS94" s="167">
        <f t="shared" si="37"/>
        <v>1.8719057971014494</v>
      </c>
      <c r="BT94" s="159">
        <f t="shared" si="38"/>
        <v>51.692500000000003</v>
      </c>
      <c r="BU94" s="10" t="str">
        <f t="shared" si="39"/>
        <v>Tql</v>
      </c>
      <c r="BV94" s="15"/>
      <c r="BW94" s="4" t="str">
        <f>Table1[[#This Row],[BrokerAddress]]</f>
        <v>P.O. Box 799</v>
      </c>
      <c r="BX94" s="4" t="str">
        <f t="shared" si="40"/>
        <v>Milford</v>
      </c>
      <c r="BY94" s="4" t="str">
        <f t="shared" si="41"/>
        <v>Ohio</v>
      </c>
      <c r="BZ94" s="4">
        <f t="shared" si="42"/>
        <v>45150</v>
      </c>
      <c r="CA94" s="10" t="str">
        <f t="shared" si="43"/>
        <v>US</v>
      </c>
      <c r="CB94" s="15" t="s">
        <v>131</v>
      </c>
      <c r="CC94" s="62"/>
      <c r="CD94" s="15" t="s">
        <v>132</v>
      </c>
      <c r="CE94" s="64">
        <v>0</v>
      </c>
      <c r="CF94" s="4">
        <v>0</v>
      </c>
      <c r="CG94" s="132">
        <f t="shared" si="44"/>
        <v>0</v>
      </c>
      <c r="CH94" s="4" t="s">
        <v>132</v>
      </c>
      <c r="CI94" s="5">
        <v>0</v>
      </c>
      <c r="CJ94" s="4">
        <v>0</v>
      </c>
      <c r="CK94" s="132">
        <f t="shared" si="45"/>
        <v>0</v>
      </c>
      <c r="CL94" s="4" t="s">
        <v>132</v>
      </c>
      <c r="CM94" s="5">
        <v>0</v>
      </c>
      <c r="CN94" s="4">
        <v>0</v>
      </c>
      <c r="CO94" s="132">
        <f t="shared" si="46"/>
        <v>0</v>
      </c>
      <c r="CP94" s="4" t="s">
        <v>132</v>
      </c>
      <c r="CQ94" s="5">
        <v>0</v>
      </c>
      <c r="CR94" s="4">
        <v>0</v>
      </c>
      <c r="CS94" s="132">
        <f t="shared" si="47"/>
        <v>0</v>
      </c>
      <c r="CT94" s="159">
        <f t="shared" si="48"/>
        <v>0</v>
      </c>
      <c r="CU94" s="168">
        <f t="shared" si="49"/>
        <v>775</v>
      </c>
      <c r="CV94" s="183">
        <f t="shared" si="56"/>
        <v>0</v>
      </c>
      <c r="CW94" s="82">
        <f t="shared" si="57"/>
        <v>697.5</v>
      </c>
      <c r="CX94" s="79">
        <f>IF(ISBLANK(E94),"AddQuickPay",IF(E94=2,CU94*0.98,IF(E94=2.4,CU94*0.976,IF(E94=3,CU94*0.97,IF(E94=5,CU94*0.95,IF(E94=1.5,CU94*0.985,IF(E94=2.5,CU94*0.975,IF(E94=1.3,CU94*0.987,IF(E94=1,CU94*0.99,IF(E94=4,CU94*0.96,CU94*1))))))))))-Table1[[#This Row],[ComCheck+QuickPayFee]]</f>
        <v>751.75</v>
      </c>
      <c r="CY94" s="5">
        <f t="shared" si="50"/>
        <v>77.5</v>
      </c>
      <c r="CZ94" s="5">
        <f t="shared" si="51"/>
        <v>23.25</v>
      </c>
      <c r="DA94" s="258">
        <f>Table1[[#This Row],[OriginalDispatch]]-Table1[[#This Row],[QuickPayCharge]]</f>
        <v>54.25</v>
      </c>
      <c r="DB94" s="5">
        <v>0</v>
      </c>
      <c r="DC94" s="5" t="s">
        <v>133</v>
      </c>
      <c r="DD94" s="104">
        <f t="shared" si="52"/>
        <v>42258</v>
      </c>
      <c r="DE94" s="15">
        <f>MONTH(Table1[[#This Row],[Weekending]])</f>
        <v>9</v>
      </c>
      <c r="DF94" s="15">
        <f>YEAR(Table1[[#This Row],[Weekending]])</f>
        <v>2015</v>
      </c>
      <c r="DG94" s="4"/>
    </row>
    <row r="95" spans="1:111">
      <c r="A95" s="20" t="str">
        <f t="shared" si="34"/>
        <v>03843549</v>
      </c>
      <c r="B95" s="146">
        <v>42261</v>
      </c>
      <c r="C95" s="144">
        <v>91303</v>
      </c>
      <c r="D95" s="298" t="s">
        <v>455</v>
      </c>
      <c r="E95" s="298">
        <v>2.5</v>
      </c>
      <c r="F95" s="15" t="str">
        <f>INDEX(BrokerTBL!$B:$B,MATCH(D95,BrokerTBL!$A:$A,0))</f>
        <v>5600 Headquarters Drive C2D11</v>
      </c>
      <c r="G95" s="298" t="str">
        <f>INDEX(BrokerTBL!$C:$C,MATCH(D95,BrokerTBL!$A:$A,0))</f>
        <v>Plano</v>
      </c>
      <c r="H95" s="298" t="str">
        <f>INDEX(BrokerTBL!$D:$D,MATCH(D95,BrokerTBL!$A:$A,0))</f>
        <v>Tx</v>
      </c>
      <c r="I95" s="298" t="str">
        <f>INDEX(BrokerTBL!$E:$E,MATCH(D95,BrokerTBL!$A:$A,0))</f>
        <v>US</v>
      </c>
      <c r="J95" s="298">
        <f>INDEX(BrokerTBL!$F:$F,MATCH(D95,BrokerTBL!$A:$A,0))</f>
        <v>75024</v>
      </c>
      <c r="K95" s="298" t="s">
        <v>456</v>
      </c>
      <c r="L95" s="145">
        <v>663084</v>
      </c>
      <c r="M95" s="146">
        <v>42261</v>
      </c>
      <c r="N95" s="182">
        <v>830</v>
      </c>
      <c r="O95" s="298" t="s">
        <v>457</v>
      </c>
      <c r="P95" s="298" t="s">
        <v>458</v>
      </c>
      <c r="Q95" s="298" t="s">
        <v>139</v>
      </c>
      <c r="R95" s="298">
        <v>95654</v>
      </c>
      <c r="S95" s="298" t="s">
        <v>118</v>
      </c>
      <c r="T95" s="298" t="s">
        <v>459</v>
      </c>
      <c r="U95" s="298" t="s">
        <v>120</v>
      </c>
      <c r="V95" s="298">
        <v>53</v>
      </c>
      <c r="W95" s="298" t="s">
        <v>136</v>
      </c>
      <c r="X95" s="144">
        <v>45302</v>
      </c>
      <c r="Y95" s="298" t="s">
        <v>721</v>
      </c>
      <c r="Z95" s="298">
        <v>28</v>
      </c>
      <c r="AA95" s="298" t="s">
        <v>123</v>
      </c>
      <c r="AB95" s="298" t="s">
        <v>123</v>
      </c>
      <c r="AC95" s="298" t="s">
        <v>460</v>
      </c>
      <c r="AD95" s="145">
        <v>300035</v>
      </c>
      <c r="AE95" s="146">
        <v>42261</v>
      </c>
      <c r="AF95" s="182">
        <v>0.46597222222222201</v>
      </c>
      <c r="AG95" s="298" t="s">
        <v>461</v>
      </c>
      <c r="AH95" s="298" t="s">
        <v>462</v>
      </c>
      <c r="AI95" s="298" t="s">
        <v>139</v>
      </c>
      <c r="AJ95" s="298">
        <v>93227</v>
      </c>
      <c r="AK95" s="298" t="s">
        <v>118</v>
      </c>
      <c r="AL95" s="298" t="s">
        <v>463</v>
      </c>
      <c r="AM95" s="142" t="str">
        <f>INDEX(CarrierDriverTBL!$B:$B,MATCH(Table1[[#This Row],[DriverID]],CarrierDriverTBL!$A:$A,0))</f>
        <v>UBTrucking</v>
      </c>
      <c r="AN95" s="10" t="s">
        <v>192</v>
      </c>
      <c r="AO95" s="142" t="str">
        <f>INDEX(CarrierDriverTBL!$C:$C,MATCH(Table1[[#This Row],[DriverID]],CarrierDriverTBL!$A:$A,0))</f>
        <v>Albel</v>
      </c>
      <c r="AP95" s="142" t="str">
        <f>INDEX(CarrierDriverTBL!$D:$D,MATCH(Table1[[#This Row],[DriverID]],CarrierDriverTBL!$A:$A,0))</f>
        <v>Chahil</v>
      </c>
      <c r="AQ95" s="142" t="str">
        <f>INDEX(CarrierDriverTBL!$X:$X,MATCH(Table1[[#This Row],[DriverID]],CarrierDriverTBL!$A:$A,0))</f>
        <v>A8390649</v>
      </c>
      <c r="AR95" s="160">
        <f>INDEX(CarrierDriverTBL!$Y:$Y,MATCH(Table1[[#This Row],[DriverID]],CarrierDriverTBL!$A:$A,0))</f>
        <v>42402</v>
      </c>
      <c r="AS95" s="142" t="str">
        <f t="shared" si="35"/>
        <v>GOOD</v>
      </c>
      <c r="AT95" s="160">
        <f>INDEX(CarrierDriverTBL!$E:$E,MATCH(Table1[[#This Row],[DriverID]],CarrierDriverTBL!$A:$A,0))</f>
        <v>22314</v>
      </c>
      <c r="AU95" s="163">
        <f ca="1">INDEX(CarrierDriverTBL!$F:$F,MATCH(Table1[[#This Row],[DriverID]],CarrierDriverTBL!$A:$A,0))</f>
        <v>55.512328767123286</v>
      </c>
      <c r="AV95" s="142" t="str">
        <f>INDEX(CarrierDriverTBL!$K:$K,MATCH(Table1[[#This Row],[DriverID]],CarrierDriverTBL!$A:$A,0))</f>
        <v>510-773-9450</v>
      </c>
      <c r="AW95" s="142" t="str">
        <f>INDEX(CarrierDriverTBL!$M:$M,MATCH(Table1[[#This Row],[DriverID]],CarrierDriverTBL!$A:$A,0))</f>
        <v>3124 Cynthia CT</v>
      </c>
      <c r="AX95" s="142" t="str">
        <f>INDEX(CarrierDriverTBL!$N:$N,MATCH(Table1[[#This Row],[DriverID]],CarrierDriverTBL!$A:$A,0))</f>
        <v>Tracy</v>
      </c>
      <c r="AY95" s="142" t="str">
        <f>INDEX(CarrierDriverTBL!$O:$O,MATCH(Table1[[#This Row],[DriverID]],CarrierDriverTBL!$A:$A,0))</f>
        <v>CA</v>
      </c>
      <c r="AZ95" s="142">
        <f>INDEX(CarrierDriverTBL!$P:$P,MATCH(Table1[[#This Row],[DriverID]],CarrierDriverTBL!$A:$A,0))</f>
        <v>95377</v>
      </c>
      <c r="BA95" s="142" t="str">
        <f>INDEX(CarrierDriverTBL!$Q:$Q,MATCH(Table1[[#This Row],[DriverID]],CarrierDriverTBL!$A:$A,0))</f>
        <v>US</v>
      </c>
      <c r="BB95" s="176" t="str">
        <f>INDEX(CarrierDriverTBL!$R:$R,MATCH(Table1[[#This Row],[DriverID]],CarrierDriverTBL!$A:$A,0))</f>
        <v>ubgollc@gmail.com</v>
      </c>
      <c r="BC95" s="160">
        <f>INDEX(CarrierDriverTBL!$AB:$AB,MATCH(Table1[[#This Row],[DriverID]],CarrierDriverTBL!$A:$A,0))</f>
        <v>42167</v>
      </c>
      <c r="BD95" s="142" t="str">
        <f ca="1">INDEX(CarrierDriverTBL!$AD:$AD,MATCH(LoadMaster!$AN:$AN,CarrierDriverTBL!$A:$A,0))</f>
        <v>MISSING</v>
      </c>
      <c r="BE95" s="142">
        <f>INDEX(CarrierDriverTBL!$AE:$AE,MATCH(Table1[DriverID],CarrierDriverTBL!$A:$A,0))</f>
        <v>913971</v>
      </c>
      <c r="BF95" s="142">
        <f>INDEX(CarrierDriverTBL!$AF:$AF,MATCH(Table1[DriverID],CarrierDriverTBL!$A:$A,0))</f>
        <v>2627544</v>
      </c>
      <c r="BG95" s="142">
        <f>INDEX(CarrierDriverTBL!$AG:$AG,MATCH(Table1[DriverID],CarrierDriverTBL!$A:$A,0))</f>
        <v>466133</v>
      </c>
      <c r="BH95" s="142" t="str">
        <f>INDEX(CarrierDriverTBL!$AH:$AH,MATCH(Table1[DriverID],CarrierDriverTBL!$A:$A,0))</f>
        <v>GM Lawrence Ins</v>
      </c>
      <c r="BI95" s="142" t="str">
        <f>INDEX(CarrierDriverTBL!$AI:$AI,MATCH(Table1[DriverID],CarrierDriverTBL!$A:$A,0))</f>
        <v>DSK2842P160210</v>
      </c>
      <c r="BJ95" s="160">
        <f>INDEX(CarrierDriverTBL!$AJ:$AJ,MATCH(Table1[[#This Row],[DriverID]],CarrierDriverTBL!$A:$A,0))</f>
        <v>42778</v>
      </c>
      <c r="BK95" s="10">
        <f t="shared" si="36"/>
        <v>517</v>
      </c>
      <c r="BL95" s="174">
        <v>550</v>
      </c>
      <c r="BM95" s="144">
        <v>198</v>
      </c>
      <c r="BN95" s="159">
        <f t="shared" si="53"/>
        <v>2.7777777777777777</v>
      </c>
      <c r="BO95" s="167">
        <v>500</v>
      </c>
      <c r="BP95" s="159">
        <f t="shared" si="54"/>
        <v>2.5252525252525251</v>
      </c>
      <c r="BQ95" s="133">
        <v>2.7989999999999999</v>
      </c>
      <c r="BR95" s="166">
        <f t="shared" si="55"/>
        <v>0.14983333333333335</v>
      </c>
      <c r="BS95" s="167">
        <f t="shared" si="37"/>
        <v>2.3754191919191916</v>
      </c>
      <c r="BT95" s="159">
        <f t="shared" si="38"/>
        <v>29.667000000000002</v>
      </c>
      <c r="BU95" s="10" t="str">
        <f t="shared" si="39"/>
        <v>Pepsi Logistics Company Inc</v>
      </c>
      <c r="BV95" s="15"/>
      <c r="BW95" s="4" t="str">
        <f>Table1[[#This Row],[BrokerAddress]]</f>
        <v>5600 Headquarters Drive C2D11</v>
      </c>
      <c r="BX95" s="4" t="str">
        <f t="shared" si="40"/>
        <v>Plano</v>
      </c>
      <c r="BY95" s="4" t="str">
        <f t="shared" si="41"/>
        <v>Tx</v>
      </c>
      <c r="BZ95" s="4">
        <f t="shared" si="42"/>
        <v>75024</v>
      </c>
      <c r="CA95" s="10" t="str">
        <f t="shared" si="43"/>
        <v>US</v>
      </c>
      <c r="CB95" s="15" t="s">
        <v>131</v>
      </c>
      <c r="CC95" s="62"/>
      <c r="CD95" s="15" t="s">
        <v>132</v>
      </c>
      <c r="CE95" s="64">
        <v>0</v>
      </c>
      <c r="CF95" s="4">
        <v>0</v>
      </c>
      <c r="CG95" s="132">
        <f t="shared" si="44"/>
        <v>0</v>
      </c>
      <c r="CH95" s="4" t="s">
        <v>132</v>
      </c>
      <c r="CI95" s="5">
        <v>0</v>
      </c>
      <c r="CJ95" s="4">
        <v>0</v>
      </c>
      <c r="CK95" s="132">
        <f t="shared" si="45"/>
        <v>0</v>
      </c>
      <c r="CL95" s="4" t="s">
        <v>132</v>
      </c>
      <c r="CM95" s="5">
        <v>0</v>
      </c>
      <c r="CN95" s="4">
        <v>0</v>
      </c>
      <c r="CO95" s="132">
        <f t="shared" si="46"/>
        <v>0</v>
      </c>
      <c r="CP95" s="4" t="s">
        <v>132</v>
      </c>
      <c r="CQ95" s="5">
        <v>0</v>
      </c>
      <c r="CR95" s="4">
        <v>0</v>
      </c>
      <c r="CS95" s="132">
        <f t="shared" si="47"/>
        <v>0</v>
      </c>
      <c r="CT95" s="159">
        <f t="shared" si="48"/>
        <v>0</v>
      </c>
      <c r="CU95" s="168">
        <f t="shared" si="49"/>
        <v>550</v>
      </c>
      <c r="CV95" s="183">
        <f t="shared" si="56"/>
        <v>0</v>
      </c>
      <c r="CW95" s="82">
        <f t="shared" si="57"/>
        <v>500</v>
      </c>
      <c r="CX95" s="79">
        <f>IF(ISBLANK(E95),"AddQuickPay",IF(E95=2,CU95*0.98,IF(E95=2.4,CU95*0.976,IF(E95=3,CU95*0.97,IF(E95=5,CU95*0.95,IF(E95=1.5,CU95*0.985,IF(E95=2.5,CU95*0.975,IF(E95=1.3,CU95*0.987,IF(E95=1,CU95*0.99,IF(E95=4,CU95*0.96,CU95*1))))))))))-Table1[[#This Row],[ComCheck+QuickPayFee]]</f>
        <v>536.25</v>
      </c>
      <c r="CY95" s="5">
        <f t="shared" si="50"/>
        <v>50</v>
      </c>
      <c r="CZ95" s="5">
        <f t="shared" si="51"/>
        <v>13.75</v>
      </c>
      <c r="DA95" s="258">
        <f>Table1[[#This Row],[OriginalDispatch]]-Table1[[#This Row],[QuickPayCharge]]</f>
        <v>36.25</v>
      </c>
      <c r="DB95" s="5">
        <v>0</v>
      </c>
      <c r="DC95" s="5" t="s">
        <v>133</v>
      </c>
      <c r="DD95" s="104">
        <f t="shared" si="52"/>
        <v>42265</v>
      </c>
      <c r="DE95" s="15">
        <f>MONTH(Table1[[#This Row],[Weekending]])</f>
        <v>9</v>
      </c>
      <c r="DF95" s="15">
        <f>YEAR(Table1[[#This Row],[Weekending]])</f>
        <v>2015</v>
      </c>
      <c r="DG95" s="4"/>
    </row>
    <row r="96" spans="1:111">
      <c r="A96" s="20" t="str">
        <f t="shared" si="34"/>
        <v>00919149</v>
      </c>
      <c r="B96" s="146">
        <v>42262</v>
      </c>
      <c r="C96" s="144">
        <v>181536100</v>
      </c>
      <c r="D96" s="298" t="s">
        <v>111</v>
      </c>
      <c r="E96" s="298">
        <v>2</v>
      </c>
      <c r="F96" s="298" t="str">
        <f>INDEX(BrokerTBL!$B:$B,MATCH(D96,BrokerTBL!$A:$A,0))</f>
        <v>P.O. Box 3474</v>
      </c>
      <c r="G96" s="298" t="str">
        <f>INDEX(BrokerTBL!$C:$C,MATCH(D96,BrokerTBL!$A:$A,0))</f>
        <v>Chicago</v>
      </c>
      <c r="H96" s="298" t="str">
        <f>INDEX(BrokerTBL!$D:$D,MATCH(D96,BrokerTBL!$A:$A,0))</f>
        <v>Il</v>
      </c>
      <c r="I96" s="298" t="str">
        <f>INDEX(BrokerTBL!$E:$E,MATCH(D96,BrokerTBL!$A:$A,0))</f>
        <v>US</v>
      </c>
      <c r="J96" s="298">
        <f>INDEX(BrokerTBL!$F:$F,MATCH(D96,BrokerTBL!$A:$A,0))</f>
        <v>60654</v>
      </c>
      <c r="K96" s="298" t="s">
        <v>898</v>
      </c>
      <c r="L96" s="145">
        <v>131029391</v>
      </c>
      <c r="M96" s="146">
        <v>42262</v>
      </c>
      <c r="N96" s="144" t="s">
        <v>785</v>
      </c>
      <c r="O96" s="298" t="s">
        <v>899</v>
      </c>
      <c r="P96" s="298" t="s">
        <v>900</v>
      </c>
      <c r="Q96" s="298" t="s">
        <v>139</v>
      </c>
      <c r="R96" s="298">
        <v>95348</v>
      </c>
      <c r="S96" s="298" t="s">
        <v>118</v>
      </c>
      <c r="T96" s="298" t="s">
        <v>901</v>
      </c>
      <c r="U96" s="298" t="s">
        <v>120</v>
      </c>
      <c r="V96" s="298">
        <v>53</v>
      </c>
      <c r="W96" s="298" t="s">
        <v>902</v>
      </c>
      <c r="X96" s="144">
        <v>20000</v>
      </c>
      <c r="Y96" s="298" t="s">
        <v>123</v>
      </c>
      <c r="Z96" s="298">
        <v>54</v>
      </c>
      <c r="AA96" s="298" t="s">
        <v>123</v>
      </c>
      <c r="AB96" s="298" t="s">
        <v>123</v>
      </c>
      <c r="AC96" s="298" t="s">
        <v>903</v>
      </c>
      <c r="AD96" s="145">
        <v>131029391</v>
      </c>
      <c r="AE96" s="146">
        <v>42263</v>
      </c>
      <c r="AF96" s="298" t="s">
        <v>904</v>
      </c>
      <c r="AG96" s="298" t="s">
        <v>905</v>
      </c>
      <c r="AH96" s="298" t="s">
        <v>906</v>
      </c>
      <c r="AI96" s="298" t="s">
        <v>139</v>
      </c>
      <c r="AJ96" s="298">
        <v>95449</v>
      </c>
      <c r="AK96" s="298" t="s">
        <v>118</v>
      </c>
      <c r="AL96" s="298" t="s">
        <v>907</v>
      </c>
      <c r="AM96" s="142" t="str">
        <f>INDEX(CarrierDriverTBL!$B:$B,MATCH(Table1[[#This Row],[DriverID]],CarrierDriverTBL!$A:$A,0))</f>
        <v>UBTrucking</v>
      </c>
      <c r="AN96" s="10" t="s">
        <v>192</v>
      </c>
      <c r="AO96" s="142" t="str">
        <f>INDEX(CarrierDriverTBL!$C:$C,MATCH(Table1[[#This Row],[DriverID]],CarrierDriverTBL!$A:$A,0))</f>
        <v>Albel</v>
      </c>
      <c r="AP96" s="142" t="str">
        <f>INDEX(CarrierDriverTBL!$D:$D,MATCH(Table1[[#This Row],[DriverID]],CarrierDriverTBL!$A:$A,0))</f>
        <v>Chahil</v>
      </c>
      <c r="AQ96" s="142" t="str">
        <f>INDEX(CarrierDriverTBL!$X:$X,MATCH(Table1[[#This Row],[DriverID]],CarrierDriverTBL!$A:$A,0))</f>
        <v>A8390649</v>
      </c>
      <c r="AR96" s="160">
        <f>INDEX(CarrierDriverTBL!$Y:$Y,MATCH(Table1[[#This Row],[DriverID]],CarrierDriverTBL!$A:$A,0))</f>
        <v>42402</v>
      </c>
      <c r="AS96" s="142" t="str">
        <f t="shared" si="35"/>
        <v>GOOD</v>
      </c>
      <c r="AT96" s="160">
        <f>INDEX(CarrierDriverTBL!$E:$E,MATCH(Table1[[#This Row],[DriverID]],CarrierDriverTBL!$A:$A,0))</f>
        <v>22314</v>
      </c>
      <c r="AU96" s="163">
        <f ca="1">INDEX(CarrierDriverTBL!$F:$F,MATCH(Table1[[#This Row],[DriverID]],CarrierDriverTBL!$A:$A,0))</f>
        <v>55.512328767123286</v>
      </c>
      <c r="AV96" s="142" t="str">
        <f>INDEX(CarrierDriverTBL!$K:$K,MATCH(Table1[[#This Row],[DriverID]],CarrierDriverTBL!$A:$A,0))</f>
        <v>510-773-9450</v>
      </c>
      <c r="AW96" s="142" t="str">
        <f>INDEX(CarrierDriverTBL!$M:$M,MATCH(Table1[[#This Row],[DriverID]],CarrierDriverTBL!$A:$A,0))</f>
        <v>3124 Cynthia CT</v>
      </c>
      <c r="AX96" s="142" t="str">
        <f>INDEX(CarrierDriverTBL!$N:$N,MATCH(Table1[[#This Row],[DriverID]],CarrierDriverTBL!$A:$A,0))</f>
        <v>Tracy</v>
      </c>
      <c r="AY96" s="142" t="str">
        <f>INDEX(CarrierDriverTBL!$O:$O,MATCH(Table1[[#This Row],[DriverID]],CarrierDriverTBL!$A:$A,0))</f>
        <v>CA</v>
      </c>
      <c r="AZ96" s="142">
        <f>INDEX(CarrierDriverTBL!$P:$P,MATCH(Table1[[#This Row],[DriverID]],CarrierDriverTBL!$A:$A,0))</f>
        <v>95377</v>
      </c>
      <c r="BA96" s="142" t="str">
        <f>INDEX(CarrierDriverTBL!$Q:$Q,MATCH(Table1[[#This Row],[DriverID]],CarrierDriverTBL!$A:$A,0))</f>
        <v>US</v>
      </c>
      <c r="BB96" s="176" t="str">
        <f>INDEX(CarrierDriverTBL!$R:$R,MATCH(Table1[[#This Row],[DriverID]],CarrierDriverTBL!$A:$A,0))</f>
        <v>ubgollc@gmail.com</v>
      </c>
      <c r="BC96" s="160">
        <f>INDEX(CarrierDriverTBL!$AB:$AB,MATCH(Table1[[#This Row],[DriverID]],CarrierDriverTBL!$A:$A,0))</f>
        <v>42167</v>
      </c>
      <c r="BD96" s="142" t="str">
        <f ca="1">INDEX(CarrierDriverTBL!$AD:$AD,MATCH(LoadMaster!$AN:$AN,CarrierDriverTBL!$A:$A,0))</f>
        <v>MISSING</v>
      </c>
      <c r="BE96" s="142">
        <f>INDEX(CarrierDriverTBL!$AE:$AE,MATCH(Table1[DriverID],CarrierDriverTBL!$A:$A,0))</f>
        <v>913971</v>
      </c>
      <c r="BF96" s="142">
        <f>INDEX(CarrierDriverTBL!$AF:$AF,MATCH(Table1[DriverID],CarrierDriverTBL!$A:$A,0))</f>
        <v>2627544</v>
      </c>
      <c r="BG96" s="142">
        <f>INDEX(CarrierDriverTBL!$AG:$AG,MATCH(Table1[DriverID],CarrierDriverTBL!$A:$A,0))</f>
        <v>466133</v>
      </c>
      <c r="BH96" s="142" t="str">
        <f>INDEX(CarrierDriverTBL!$AH:$AH,MATCH(Table1[DriverID],CarrierDriverTBL!$A:$A,0))</f>
        <v>GM Lawrence Ins</v>
      </c>
      <c r="BI96" s="142" t="str">
        <f>INDEX(CarrierDriverTBL!$AI:$AI,MATCH(Table1[DriverID],CarrierDriverTBL!$A:$A,0))</f>
        <v>DSK2842P160210</v>
      </c>
      <c r="BJ96" s="160">
        <f>INDEX(CarrierDriverTBL!$AJ:$AJ,MATCH(Table1[[#This Row],[DriverID]],CarrierDriverTBL!$A:$A,0))</f>
        <v>42778</v>
      </c>
      <c r="BK96" s="10">
        <f t="shared" si="36"/>
        <v>516</v>
      </c>
      <c r="BL96" s="174">
        <v>675</v>
      </c>
      <c r="BM96" s="144">
        <v>233</v>
      </c>
      <c r="BN96" s="159">
        <f t="shared" si="53"/>
        <v>2.8969957081545066</v>
      </c>
      <c r="BO96" s="167">
        <v>625</v>
      </c>
      <c r="BP96" s="159">
        <f t="shared" si="54"/>
        <v>2.6824034334763946</v>
      </c>
      <c r="BQ96" s="133">
        <v>2.7989999999999999</v>
      </c>
      <c r="BR96" s="166">
        <f t="shared" si="55"/>
        <v>0.14983333333333335</v>
      </c>
      <c r="BS96" s="167">
        <f t="shared" si="37"/>
        <v>2.5325701001430612</v>
      </c>
      <c r="BT96" s="159">
        <f t="shared" si="38"/>
        <v>34.911166666666666</v>
      </c>
      <c r="BU96" s="10" t="str">
        <f t="shared" si="39"/>
        <v>Ch Robinson</v>
      </c>
      <c r="BV96" s="15"/>
      <c r="BW96" s="4" t="str">
        <f>Table1[[#This Row],[BrokerAddress]]</f>
        <v>P.O. Box 3474</v>
      </c>
      <c r="BX96" s="4" t="str">
        <f t="shared" si="40"/>
        <v>Chicago</v>
      </c>
      <c r="BY96" s="4" t="str">
        <f t="shared" si="41"/>
        <v>Il</v>
      </c>
      <c r="BZ96" s="4">
        <f t="shared" si="42"/>
        <v>60654</v>
      </c>
      <c r="CA96" s="10" t="str">
        <f t="shared" si="43"/>
        <v>US</v>
      </c>
      <c r="CB96" s="15" t="s">
        <v>131</v>
      </c>
      <c r="CC96" s="62"/>
      <c r="CD96" s="15" t="s">
        <v>132</v>
      </c>
      <c r="CE96" s="64">
        <v>0</v>
      </c>
      <c r="CF96" s="4">
        <v>0</v>
      </c>
      <c r="CG96" s="132">
        <f t="shared" si="44"/>
        <v>0</v>
      </c>
      <c r="CH96" s="4" t="s">
        <v>132</v>
      </c>
      <c r="CI96" s="5">
        <v>0</v>
      </c>
      <c r="CJ96" s="4">
        <v>0</v>
      </c>
      <c r="CK96" s="132">
        <f t="shared" si="45"/>
        <v>0</v>
      </c>
      <c r="CL96" s="4" t="s">
        <v>132</v>
      </c>
      <c r="CM96" s="5">
        <v>0</v>
      </c>
      <c r="CN96" s="4">
        <v>0</v>
      </c>
      <c r="CO96" s="132">
        <f t="shared" si="46"/>
        <v>0</v>
      </c>
      <c r="CP96" s="4" t="s">
        <v>132</v>
      </c>
      <c r="CQ96" s="5">
        <v>0</v>
      </c>
      <c r="CR96" s="4">
        <v>0</v>
      </c>
      <c r="CS96" s="132">
        <f t="shared" si="47"/>
        <v>0</v>
      </c>
      <c r="CT96" s="159">
        <f t="shared" si="48"/>
        <v>0</v>
      </c>
      <c r="CU96" s="168">
        <f t="shared" si="49"/>
        <v>675</v>
      </c>
      <c r="CV96" s="183">
        <f t="shared" si="56"/>
        <v>0</v>
      </c>
      <c r="CW96" s="82">
        <f t="shared" si="57"/>
        <v>625</v>
      </c>
      <c r="CX96" s="79">
        <f>IF(ISBLANK(E96),"AddQuickPay",IF(E96=2,CU96*0.98,IF(E96=2.4,CU96*0.976,IF(E96=3,CU96*0.97,IF(E96=5,CU96*0.95,IF(E96=1.5,CU96*0.985,IF(E96=2.5,CU96*0.975,IF(E96=1.3,CU96*0.987,IF(E96=1,CU96*0.99,IF(E96=4,CU96*0.96,CU96*1))))))))))-Table1[[#This Row],[ComCheck+QuickPayFee]]</f>
        <v>661.5</v>
      </c>
      <c r="CY96" s="5">
        <f t="shared" si="50"/>
        <v>50</v>
      </c>
      <c r="CZ96" s="5">
        <f t="shared" si="51"/>
        <v>13.5</v>
      </c>
      <c r="DA96" s="258">
        <f>Table1[[#This Row],[OriginalDispatch]]-Table1[[#This Row],[QuickPayCharge]]</f>
        <v>36.5</v>
      </c>
      <c r="DB96" s="5">
        <v>0</v>
      </c>
      <c r="DC96" s="5" t="s">
        <v>133</v>
      </c>
      <c r="DD96" s="104">
        <f t="shared" si="52"/>
        <v>42265</v>
      </c>
      <c r="DE96" s="15">
        <f>MONTH(Table1[[#This Row],[Weekending]])</f>
        <v>9</v>
      </c>
      <c r="DF96" s="15">
        <f>YEAR(Table1[[#This Row],[Weekending]])</f>
        <v>2015</v>
      </c>
      <c r="DG96" s="4"/>
    </row>
    <row r="97" spans="1:111">
      <c r="A97" s="20" t="str">
        <f t="shared" si="34"/>
        <v>52101049</v>
      </c>
      <c r="B97" s="146">
        <v>42263</v>
      </c>
      <c r="C97" s="144">
        <v>6205952</v>
      </c>
      <c r="D97" s="298" t="s">
        <v>445</v>
      </c>
      <c r="E97" s="298">
        <v>3</v>
      </c>
      <c r="F97" s="298" t="str">
        <f>INDEX(BrokerTBL!$B:$B,MATCH(D97,BrokerTBL!$A:$A,0))</f>
        <v>960 Northpoint Parkway Suite 150</v>
      </c>
      <c r="G97" s="298" t="str">
        <f>INDEX(BrokerTBL!$C:$C,MATCH(D97,BrokerTBL!$A:$A,0))</f>
        <v>Alpharetta</v>
      </c>
      <c r="H97" s="298" t="str">
        <f>INDEX(BrokerTBL!$D:$D,MATCH(D97,BrokerTBL!$A:$A,0))</f>
        <v>Ga</v>
      </c>
      <c r="I97" s="298" t="str">
        <f>INDEX(BrokerTBL!$E:$E,MATCH(D97,BrokerTBL!$A:$A,0))</f>
        <v>US</v>
      </c>
      <c r="J97" s="298">
        <f>INDEX(BrokerTBL!$F:$F,MATCH(D97,BrokerTBL!$A:$A,0))</f>
        <v>30005</v>
      </c>
      <c r="K97" s="298" t="s">
        <v>572</v>
      </c>
      <c r="L97" s="145">
        <v>77710</v>
      </c>
      <c r="M97" s="146">
        <v>42263</v>
      </c>
      <c r="N97" s="144" t="s">
        <v>908</v>
      </c>
      <c r="O97" s="298" t="s">
        <v>574</v>
      </c>
      <c r="P97" s="298" t="s">
        <v>160</v>
      </c>
      <c r="Q97" s="298" t="s">
        <v>139</v>
      </c>
      <c r="R97" s="298">
        <v>94534</v>
      </c>
      <c r="S97" s="298" t="s">
        <v>118</v>
      </c>
      <c r="T97" s="298" t="s">
        <v>136</v>
      </c>
      <c r="U97" s="298" t="s">
        <v>120</v>
      </c>
      <c r="V97" s="298">
        <v>53</v>
      </c>
      <c r="W97" s="298" t="s">
        <v>909</v>
      </c>
      <c r="X97" s="144">
        <v>42000</v>
      </c>
      <c r="Y97" s="298" t="s">
        <v>123</v>
      </c>
      <c r="Z97" s="298" t="s">
        <v>123</v>
      </c>
      <c r="AA97" s="298" t="s">
        <v>123</v>
      </c>
      <c r="AB97" s="298" t="s">
        <v>123</v>
      </c>
      <c r="AC97" s="298" t="s">
        <v>696</v>
      </c>
      <c r="AD97" s="145">
        <v>77710</v>
      </c>
      <c r="AE97" s="146">
        <v>42264</v>
      </c>
      <c r="AF97" s="298">
        <v>700</v>
      </c>
      <c r="AG97" s="298" t="s">
        <v>698</v>
      </c>
      <c r="AH97" s="298" t="s">
        <v>910</v>
      </c>
      <c r="AI97" s="298" t="s">
        <v>139</v>
      </c>
      <c r="AJ97" s="298">
        <v>93427</v>
      </c>
      <c r="AK97" s="298" t="s">
        <v>118</v>
      </c>
      <c r="AL97" s="298" t="s">
        <v>123</v>
      </c>
      <c r="AM97" s="142" t="str">
        <f>INDEX(CarrierDriverTBL!$B:$B,MATCH(Table1[[#This Row],[DriverID]],CarrierDriverTBL!$A:$A,0))</f>
        <v>UBTrucking</v>
      </c>
      <c r="AN97" s="10" t="s">
        <v>192</v>
      </c>
      <c r="AO97" s="142" t="str">
        <f>INDEX(CarrierDriverTBL!$C:$C,MATCH(Table1[[#This Row],[DriverID]],CarrierDriverTBL!$A:$A,0))</f>
        <v>Albel</v>
      </c>
      <c r="AP97" s="142" t="str">
        <f>INDEX(CarrierDriverTBL!$D:$D,MATCH(Table1[[#This Row],[DriverID]],CarrierDriverTBL!$A:$A,0))</f>
        <v>Chahil</v>
      </c>
      <c r="AQ97" s="142" t="str">
        <f>INDEX(CarrierDriverTBL!$X:$X,MATCH(Table1[[#This Row],[DriverID]],CarrierDriverTBL!$A:$A,0))</f>
        <v>A8390649</v>
      </c>
      <c r="AR97" s="160">
        <f>INDEX(CarrierDriverTBL!$Y:$Y,MATCH(Table1[[#This Row],[DriverID]],CarrierDriverTBL!$A:$A,0))</f>
        <v>42402</v>
      </c>
      <c r="AS97" s="142" t="str">
        <f t="shared" si="35"/>
        <v>GOOD</v>
      </c>
      <c r="AT97" s="160">
        <f>INDEX(CarrierDriverTBL!$E:$E,MATCH(Table1[[#This Row],[DriverID]],CarrierDriverTBL!$A:$A,0))</f>
        <v>22314</v>
      </c>
      <c r="AU97" s="163">
        <f ca="1">INDEX(CarrierDriverTBL!$F:$F,MATCH(Table1[[#This Row],[DriverID]],CarrierDriverTBL!$A:$A,0))</f>
        <v>55.512328767123286</v>
      </c>
      <c r="AV97" s="142" t="str">
        <f>INDEX(CarrierDriverTBL!$K:$K,MATCH(Table1[[#This Row],[DriverID]],CarrierDriverTBL!$A:$A,0))</f>
        <v>510-773-9450</v>
      </c>
      <c r="AW97" s="142" t="str">
        <f>INDEX(CarrierDriverTBL!$M:$M,MATCH(Table1[[#This Row],[DriverID]],CarrierDriverTBL!$A:$A,0))</f>
        <v>3124 Cynthia CT</v>
      </c>
      <c r="AX97" s="142" t="str">
        <f>INDEX(CarrierDriverTBL!$N:$N,MATCH(Table1[[#This Row],[DriverID]],CarrierDriverTBL!$A:$A,0))</f>
        <v>Tracy</v>
      </c>
      <c r="AY97" s="142" t="str">
        <f>INDEX(CarrierDriverTBL!$O:$O,MATCH(Table1[[#This Row],[DriverID]],CarrierDriverTBL!$A:$A,0))</f>
        <v>CA</v>
      </c>
      <c r="AZ97" s="142">
        <f>INDEX(CarrierDriverTBL!$P:$P,MATCH(Table1[[#This Row],[DriverID]],CarrierDriverTBL!$A:$A,0))</f>
        <v>95377</v>
      </c>
      <c r="BA97" s="142" t="str">
        <f>INDEX(CarrierDriverTBL!$Q:$Q,MATCH(Table1[[#This Row],[DriverID]],CarrierDriverTBL!$A:$A,0))</f>
        <v>US</v>
      </c>
      <c r="BB97" s="176" t="str">
        <f>INDEX(CarrierDriverTBL!$R:$R,MATCH(Table1[[#This Row],[DriverID]],CarrierDriverTBL!$A:$A,0))</f>
        <v>ubgollc@gmail.com</v>
      </c>
      <c r="BC97" s="160">
        <f>INDEX(CarrierDriverTBL!$AB:$AB,MATCH(Table1[[#This Row],[DriverID]],CarrierDriverTBL!$A:$A,0))</f>
        <v>42167</v>
      </c>
      <c r="BD97" s="142" t="str">
        <f ca="1">INDEX(CarrierDriverTBL!$AD:$AD,MATCH(LoadMaster!$AN:$AN,CarrierDriverTBL!$A:$A,0))</f>
        <v>MISSING</v>
      </c>
      <c r="BE97" s="142">
        <f>INDEX(CarrierDriverTBL!$AE:$AE,MATCH(Table1[DriverID],CarrierDriverTBL!$A:$A,0))</f>
        <v>913971</v>
      </c>
      <c r="BF97" s="142">
        <f>INDEX(CarrierDriverTBL!$AF:$AF,MATCH(Table1[DriverID],CarrierDriverTBL!$A:$A,0))</f>
        <v>2627544</v>
      </c>
      <c r="BG97" s="142">
        <f>INDEX(CarrierDriverTBL!$AG:$AG,MATCH(Table1[DriverID],CarrierDriverTBL!$A:$A,0))</f>
        <v>466133</v>
      </c>
      <c r="BH97" s="142" t="str">
        <f>INDEX(CarrierDriverTBL!$AH:$AH,MATCH(Table1[DriverID],CarrierDriverTBL!$A:$A,0))</f>
        <v>GM Lawrence Ins</v>
      </c>
      <c r="BI97" s="142" t="str">
        <f>INDEX(CarrierDriverTBL!$AI:$AI,MATCH(Table1[DriverID],CarrierDriverTBL!$A:$A,0))</f>
        <v>DSK2842P160210</v>
      </c>
      <c r="BJ97" s="160">
        <f>INDEX(CarrierDriverTBL!$AJ:$AJ,MATCH(Table1[[#This Row],[DriverID]],CarrierDriverTBL!$A:$A,0))</f>
        <v>42778</v>
      </c>
      <c r="BK97" s="10">
        <f t="shared" si="36"/>
        <v>515</v>
      </c>
      <c r="BL97" s="174">
        <v>700</v>
      </c>
      <c r="BM97" s="144">
        <v>364</v>
      </c>
      <c r="BN97" s="159">
        <f t="shared" si="53"/>
        <v>1.9230769230769231</v>
      </c>
      <c r="BO97" s="167">
        <v>650</v>
      </c>
      <c r="BP97" s="159">
        <f t="shared" si="54"/>
        <v>1.7857142857142858</v>
      </c>
      <c r="BQ97" s="133">
        <v>2.7989999999999999</v>
      </c>
      <c r="BR97" s="166">
        <f t="shared" si="55"/>
        <v>0.14983333333333335</v>
      </c>
      <c r="BS97" s="167">
        <f t="shared" si="37"/>
        <v>1.6358809523809525</v>
      </c>
      <c r="BT97" s="159">
        <f t="shared" si="38"/>
        <v>54.539333333333339</v>
      </c>
      <c r="BU97" s="10" t="str">
        <f t="shared" si="39"/>
        <v>Coyote</v>
      </c>
      <c r="BV97" s="15"/>
      <c r="BW97" s="4" t="str">
        <f>Table1[[#This Row],[BrokerAddress]]</f>
        <v>960 Northpoint Parkway Suite 150</v>
      </c>
      <c r="BX97" s="4" t="str">
        <f t="shared" si="40"/>
        <v>Alpharetta</v>
      </c>
      <c r="BY97" s="4" t="str">
        <f t="shared" si="41"/>
        <v>Ga</v>
      </c>
      <c r="BZ97" s="4">
        <f t="shared" si="42"/>
        <v>30005</v>
      </c>
      <c r="CA97" s="10" t="str">
        <f t="shared" si="43"/>
        <v>US</v>
      </c>
      <c r="CB97" s="15" t="s">
        <v>131</v>
      </c>
      <c r="CC97" s="62"/>
      <c r="CD97" s="15" t="s">
        <v>149</v>
      </c>
      <c r="CE97" s="64">
        <v>35</v>
      </c>
      <c r="CF97" s="4">
        <v>4</v>
      </c>
      <c r="CG97" s="132">
        <f t="shared" si="44"/>
        <v>140</v>
      </c>
      <c r="CH97" s="4" t="s">
        <v>132</v>
      </c>
      <c r="CI97" s="5">
        <v>0</v>
      </c>
      <c r="CJ97" s="4">
        <v>0</v>
      </c>
      <c r="CK97" s="132">
        <f t="shared" si="45"/>
        <v>0</v>
      </c>
      <c r="CL97" s="4" t="s">
        <v>132</v>
      </c>
      <c r="CM97" s="5">
        <v>0</v>
      </c>
      <c r="CN97" s="4">
        <v>0</v>
      </c>
      <c r="CO97" s="132">
        <f t="shared" si="46"/>
        <v>0</v>
      </c>
      <c r="CP97" s="4" t="s">
        <v>132</v>
      </c>
      <c r="CQ97" s="5">
        <v>0</v>
      </c>
      <c r="CR97" s="4">
        <v>0</v>
      </c>
      <c r="CS97" s="132">
        <f t="shared" si="47"/>
        <v>0</v>
      </c>
      <c r="CT97" s="159">
        <f t="shared" si="48"/>
        <v>140</v>
      </c>
      <c r="CU97" s="168">
        <f t="shared" si="49"/>
        <v>840</v>
      </c>
      <c r="CV97" s="183">
        <f t="shared" si="56"/>
        <v>140</v>
      </c>
      <c r="CW97" s="82">
        <f t="shared" si="57"/>
        <v>790</v>
      </c>
      <c r="CX97" s="79">
        <f>IF(ISBLANK(E97),"AddQuickPay",IF(E97=2,CU97*0.98,IF(E97=2.4,CU97*0.976,IF(E97=3,CU97*0.97,IF(E97=5,CU97*0.95,IF(E97=1.5,CU97*0.985,IF(E97=2.5,CU97*0.975,IF(E97=1.3,CU97*0.987,IF(E97=1,CU97*0.99,IF(E97=4,CU97*0.96,CU97*1))))))))))-Table1[[#This Row],[ComCheck+QuickPayFee]]</f>
        <v>814.8</v>
      </c>
      <c r="CY97" s="5">
        <f t="shared" si="50"/>
        <v>50</v>
      </c>
      <c r="CZ97" s="5">
        <f t="shared" si="51"/>
        <v>25.2</v>
      </c>
      <c r="DA97" s="258">
        <f>Table1[[#This Row],[OriginalDispatch]]-Table1[[#This Row],[QuickPayCharge]]</f>
        <v>24.8</v>
      </c>
      <c r="DB97" s="5">
        <v>0</v>
      </c>
      <c r="DC97" s="5" t="s">
        <v>133</v>
      </c>
      <c r="DD97" s="104">
        <f t="shared" si="52"/>
        <v>42265</v>
      </c>
      <c r="DE97" s="15">
        <f>MONTH(Table1[[#This Row],[Weekending]])</f>
        <v>9</v>
      </c>
      <c r="DF97" s="15">
        <f>YEAR(Table1[[#This Row],[Weekending]])</f>
        <v>2015</v>
      </c>
      <c r="DG97" s="4"/>
    </row>
    <row r="98" spans="1:111">
      <c r="A98" s="20" t="str">
        <f t="shared" si="34"/>
        <v>77070749</v>
      </c>
      <c r="B98" s="146">
        <v>42264</v>
      </c>
      <c r="C98" s="144">
        <v>6209177</v>
      </c>
      <c r="D98" s="298" t="s">
        <v>445</v>
      </c>
      <c r="E98" s="298">
        <v>3</v>
      </c>
      <c r="F98" s="298" t="str">
        <f>INDEX(BrokerTBL!$B:$B,MATCH(D98,BrokerTBL!$A:$A,0))</f>
        <v>960 Northpoint Parkway Suite 150</v>
      </c>
      <c r="G98" s="298" t="str">
        <f>INDEX(BrokerTBL!$C:$C,MATCH(D98,BrokerTBL!$A:$A,0))</f>
        <v>Alpharetta</v>
      </c>
      <c r="H98" s="298" t="str">
        <f>INDEX(BrokerTBL!$D:$D,MATCH(D98,BrokerTBL!$A:$A,0))</f>
        <v>Ga</v>
      </c>
      <c r="I98" s="298" t="str">
        <f>INDEX(BrokerTBL!$E:$E,MATCH(D98,BrokerTBL!$A:$A,0))</f>
        <v>US</v>
      </c>
      <c r="J98" s="298">
        <f>INDEX(BrokerTBL!$F:$F,MATCH(D98,BrokerTBL!$A:$A,0))</f>
        <v>30005</v>
      </c>
      <c r="K98" s="298" t="s">
        <v>911</v>
      </c>
      <c r="L98" s="145">
        <v>1163271707</v>
      </c>
      <c r="M98" s="146">
        <v>42264</v>
      </c>
      <c r="N98" s="144" t="s">
        <v>912</v>
      </c>
      <c r="O98" s="298" t="s">
        <v>913</v>
      </c>
      <c r="P98" s="298" t="s">
        <v>634</v>
      </c>
      <c r="Q98" s="298" t="s">
        <v>139</v>
      </c>
      <c r="R98" s="298">
        <v>93455</v>
      </c>
      <c r="S98" s="298" t="s">
        <v>118</v>
      </c>
      <c r="T98" s="298" t="s">
        <v>136</v>
      </c>
      <c r="U98" s="298" t="s">
        <v>120</v>
      </c>
      <c r="V98" s="298">
        <v>53</v>
      </c>
      <c r="W98" s="298" t="s">
        <v>468</v>
      </c>
      <c r="X98" s="144">
        <v>45000</v>
      </c>
      <c r="Y98" s="298" t="s">
        <v>26</v>
      </c>
      <c r="Z98" s="298" t="s">
        <v>123</v>
      </c>
      <c r="AA98" s="298" t="s">
        <v>123</v>
      </c>
      <c r="AB98" s="298" t="s">
        <v>123</v>
      </c>
      <c r="AC98" s="298" t="s">
        <v>914</v>
      </c>
      <c r="AD98" s="145">
        <v>1163271707</v>
      </c>
      <c r="AE98" s="146">
        <v>42265</v>
      </c>
      <c r="AF98" s="298" t="s">
        <v>915</v>
      </c>
      <c r="AG98" s="298" t="s">
        <v>916</v>
      </c>
      <c r="AH98" s="298" t="s">
        <v>917</v>
      </c>
      <c r="AI98" s="298" t="s">
        <v>139</v>
      </c>
      <c r="AJ98" s="298">
        <v>91748</v>
      </c>
      <c r="AK98" s="298" t="s">
        <v>118</v>
      </c>
      <c r="AL98" s="298" t="s">
        <v>123</v>
      </c>
      <c r="AM98" s="142" t="str">
        <f>INDEX(CarrierDriverTBL!$B:$B,MATCH(Table1[[#This Row],[DriverID]],CarrierDriverTBL!$A:$A,0))</f>
        <v>UBTrucking</v>
      </c>
      <c r="AN98" s="10" t="s">
        <v>192</v>
      </c>
      <c r="AO98" s="142" t="str">
        <f>INDEX(CarrierDriverTBL!$C:$C,MATCH(Table1[[#This Row],[DriverID]],CarrierDriverTBL!$A:$A,0))</f>
        <v>Albel</v>
      </c>
      <c r="AP98" s="142" t="str">
        <f>INDEX(CarrierDriverTBL!$D:$D,MATCH(Table1[[#This Row],[DriverID]],CarrierDriverTBL!$A:$A,0))</f>
        <v>Chahil</v>
      </c>
      <c r="AQ98" s="142" t="str">
        <f>INDEX(CarrierDriverTBL!$X:$X,MATCH(Table1[[#This Row],[DriverID]],CarrierDriverTBL!$A:$A,0))</f>
        <v>A8390649</v>
      </c>
      <c r="AR98" s="160">
        <f>INDEX(CarrierDriverTBL!$Y:$Y,MATCH(Table1[[#This Row],[DriverID]],CarrierDriverTBL!$A:$A,0))</f>
        <v>42402</v>
      </c>
      <c r="AS98" s="142" t="str">
        <f t="shared" si="35"/>
        <v>GOOD</v>
      </c>
      <c r="AT98" s="160">
        <f>INDEX(CarrierDriverTBL!$E:$E,MATCH(Table1[[#This Row],[DriverID]],CarrierDriverTBL!$A:$A,0))</f>
        <v>22314</v>
      </c>
      <c r="AU98" s="163">
        <f ca="1">INDEX(CarrierDriverTBL!$F:$F,MATCH(Table1[[#This Row],[DriverID]],CarrierDriverTBL!$A:$A,0))</f>
        <v>55.512328767123286</v>
      </c>
      <c r="AV98" s="142" t="str">
        <f>INDEX(CarrierDriverTBL!$K:$K,MATCH(Table1[[#This Row],[DriverID]],CarrierDriverTBL!$A:$A,0))</f>
        <v>510-773-9450</v>
      </c>
      <c r="AW98" s="142" t="str">
        <f>INDEX(CarrierDriverTBL!$M:$M,MATCH(Table1[[#This Row],[DriverID]],CarrierDriverTBL!$A:$A,0))</f>
        <v>3124 Cynthia CT</v>
      </c>
      <c r="AX98" s="142" t="str">
        <f>INDEX(CarrierDriverTBL!$N:$N,MATCH(Table1[[#This Row],[DriverID]],CarrierDriverTBL!$A:$A,0))</f>
        <v>Tracy</v>
      </c>
      <c r="AY98" s="142" t="str">
        <f>INDEX(CarrierDriverTBL!$O:$O,MATCH(Table1[[#This Row],[DriverID]],CarrierDriverTBL!$A:$A,0))</f>
        <v>CA</v>
      </c>
      <c r="AZ98" s="142">
        <f>INDEX(CarrierDriverTBL!$P:$P,MATCH(Table1[[#This Row],[DriverID]],CarrierDriverTBL!$A:$A,0))</f>
        <v>95377</v>
      </c>
      <c r="BA98" s="142" t="str">
        <f>INDEX(CarrierDriverTBL!$Q:$Q,MATCH(Table1[[#This Row],[DriverID]],CarrierDriverTBL!$A:$A,0))</f>
        <v>US</v>
      </c>
      <c r="BB98" s="176" t="str">
        <f>INDEX(CarrierDriverTBL!$R:$R,MATCH(Table1[[#This Row],[DriverID]],CarrierDriverTBL!$A:$A,0))</f>
        <v>ubgollc@gmail.com</v>
      </c>
      <c r="BC98" s="160">
        <f>INDEX(CarrierDriverTBL!$AB:$AB,MATCH(Table1[[#This Row],[DriverID]],CarrierDriverTBL!$A:$A,0))</f>
        <v>42167</v>
      </c>
      <c r="BD98" s="142" t="str">
        <f ca="1">INDEX(CarrierDriverTBL!$AD:$AD,MATCH(LoadMaster!$AN:$AN,CarrierDriverTBL!$A:$A,0))</f>
        <v>MISSING</v>
      </c>
      <c r="BE98" s="142">
        <f>INDEX(CarrierDriverTBL!$AE:$AE,MATCH(Table1[DriverID],CarrierDriverTBL!$A:$A,0))</f>
        <v>913971</v>
      </c>
      <c r="BF98" s="142">
        <f>INDEX(CarrierDriverTBL!$AF:$AF,MATCH(Table1[DriverID],CarrierDriverTBL!$A:$A,0))</f>
        <v>2627544</v>
      </c>
      <c r="BG98" s="142">
        <f>INDEX(CarrierDriverTBL!$AG:$AG,MATCH(Table1[DriverID],CarrierDriverTBL!$A:$A,0))</f>
        <v>466133</v>
      </c>
      <c r="BH98" s="142" t="str">
        <f>INDEX(CarrierDriverTBL!$AH:$AH,MATCH(Table1[DriverID],CarrierDriverTBL!$A:$A,0))</f>
        <v>GM Lawrence Ins</v>
      </c>
      <c r="BI98" s="142" t="str">
        <f>INDEX(CarrierDriverTBL!$AI:$AI,MATCH(Table1[DriverID],CarrierDriverTBL!$A:$A,0))</f>
        <v>DSK2842P160210</v>
      </c>
      <c r="BJ98" s="160">
        <f>INDEX(CarrierDriverTBL!$AJ:$AJ,MATCH(Table1[[#This Row],[DriverID]],CarrierDriverTBL!$A:$A,0))</f>
        <v>42778</v>
      </c>
      <c r="BK98" s="10">
        <f t="shared" si="36"/>
        <v>514</v>
      </c>
      <c r="BL98" s="64">
        <v>500</v>
      </c>
      <c r="BM98" s="171">
        <v>182</v>
      </c>
      <c r="BN98" s="159">
        <f t="shared" si="53"/>
        <v>2.7472527472527473</v>
      </c>
      <c r="BO98" s="134">
        <v>450</v>
      </c>
      <c r="BP98" s="159">
        <f t="shared" si="54"/>
        <v>2.4725274725274726</v>
      </c>
      <c r="BQ98" s="133">
        <v>2.7989999999999999</v>
      </c>
      <c r="BR98" s="166">
        <f t="shared" si="55"/>
        <v>0.14983333333333335</v>
      </c>
      <c r="BS98" s="167">
        <f t="shared" si="37"/>
        <v>2.3226941391941391</v>
      </c>
      <c r="BT98" s="159">
        <f t="shared" si="38"/>
        <v>27.269666666666669</v>
      </c>
      <c r="BU98" s="10" t="str">
        <f t="shared" si="39"/>
        <v>Coyote</v>
      </c>
      <c r="BV98" s="15"/>
      <c r="BW98" s="4" t="str">
        <f>Table1[[#This Row],[BrokerAddress]]</f>
        <v>960 Northpoint Parkway Suite 150</v>
      </c>
      <c r="BX98" s="4" t="str">
        <f t="shared" si="40"/>
        <v>Alpharetta</v>
      </c>
      <c r="BY98" s="4" t="str">
        <f t="shared" si="41"/>
        <v>Ga</v>
      </c>
      <c r="BZ98" s="4">
        <f t="shared" si="42"/>
        <v>30005</v>
      </c>
      <c r="CA98" s="10" t="str">
        <f t="shared" si="43"/>
        <v>US</v>
      </c>
      <c r="CB98" s="15" t="s">
        <v>131</v>
      </c>
      <c r="CC98" s="62"/>
      <c r="CD98" s="15" t="s">
        <v>132</v>
      </c>
      <c r="CE98" s="64">
        <v>0</v>
      </c>
      <c r="CF98" s="4">
        <v>0</v>
      </c>
      <c r="CG98" s="132">
        <f t="shared" si="44"/>
        <v>0</v>
      </c>
      <c r="CH98" s="4" t="s">
        <v>132</v>
      </c>
      <c r="CI98" s="5">
        <v>0</v>
      </c>
      <c r="CJ98" s="4">
        <v>0</v>
      </c>
      <c r="CK98" s="132">
        <f t="shared" si="45"/>
        <v>0</v>
      </c>
      <c r="CL98" s="4" t="s">
        <v>132</v>
      </c>
      <c r="CM98" s="5">
        <v>0</v>
      </c>
      <c r="CN98" s="4">
        <v>0</v>
      </c>
      <c r="CO98" s="132">
        <f t="shared" si="46"/>
        <v>0</v>
      </c>
      <c r="CP98" s="4" t="s">
        <v>132</v>
      </c>
      <c r="CQ98" s="5">
        <v>0</v>
      </c>
      <c r="CR98" s="4">
        <v>0</v>
      </c>
      <c r="CS98" s="132">
        <f t="shared" si="47"/>
        <v>0</v>
      </c>
      <c r="CT98" s="159">
        <f t="shared" si="48"/>
        <v>0</v>
      </c>
      <c r="CU98" s="168">
        <f t="shared" si="49"/>
        <v>500</v>
      </c>
      <c r="CV98" s="183">
        <f t="shared" si="56"/>
        <v>0</v>
      </c>
      <c r="CW98" s="82">
        <f t="shared" si="57"/>
        <v>450</v>
      </c>
      <c r="CX98" s="79">
        <f>IF(ISBLANK(E98),"AddQuickPay",IF(E98=2,CU98*0.98,IF(E98=2.4,CU98*0.976,IF(E98=3,CU98*0.97,IF(E98=5,CU98*0.95,IF(E98=1.5,CU98*0.985,IF(E98=2.5,CU98*0.975,IF(E98=1.3,CU98*0.987,IF(E98=1,CU98*0.99,IF(E98=4,CU98*0.96,CU98*1))))))))))-Table1[[#This Row],[ComCheck+QuickPayFee]]</f>
        <v>485</v>
      </c>
      <c r="CY98" s="5">
        <f t="shared" si="50"/>
        <v>50</v>
      </c>
      <c r="CZ98" s="5">
        <f t="shared" si="51"/>
        <v>15</v>
      </c>
      <c r="DA98" s="258">
        <f>Table1[[#This Row],[OriginalDispatch]]-Table1[[#This Row],[QuickPayCharge]]</f>
        <v>35</v>
      </c>
      <c r="DB98" s="5">
        <v>0</v>
      </c>
      <c r="DC98" s="5" t="s">
        <v>133</v>
      </c>
      <c r="DD98" s="104">
        <f t="shared" si="52"/>
        <v>42265</v>
      </c>
      <c r="DE98" s="15">
        <f>MONTH(Table1[[#This Row],[Weekending]])</f>
        <v>9</v>
      </c>
      <c r="DF98" s="15">
        <f>YEAR(Table1[[#This Row],[Weekending]])</f>
        <v>2015</v>
      </c>
      <c r="DG98" s="4"/>
    </row>
    <row r="99" spans="1:111">
      <c r="A99" s="20" t="str">
        <f t="shared" si="34"/>
        <v>63leme49</v>
      </c>
      <c r="B99" s="146">
        <v>42265</v>
      </c>
      <c r="C99" s="144">
        <v>6067063</v>
      </c>
      <c r="D99" s="298" t="s">
        <v>555</v>
      </c>
      <c r="E99" s="298">
        <v>3</v>
      </c>
      <c r="F99" s="298" t="str">
        <f>INDEX(BrokerTBL!$B:$B,MATCH(D99,BrokerTBL!$A:$A,0))</f>
        <v>P.O. Box 799</v>
      </c>
      <c r="G99" s="298" t="str">
        <f>INDEX(BrokerTBL!$C:$C,MATCH(D99,BrokerTBL!$A:$A,0))</f>
        <v>Milford</v>
      </c>
      <c r="H99" s="298" t="str">
        <f>INDEX(BrokerTBL!$D:$D,MATCH(D99,BrokerTBL!$A:$A,0))</f>
        <v>Ohio</v>
      </c>
      <c r="I99" s="298" t="str">
        <f>INDEX(BrokerTBL!$E:$E,MATCH(D99,BrokerTBL!$A:$A,0))</f>
        <v>US</v>
      </c>
      <c r="J99" s="298">
        <f>INDEX(BrokerTBL!$F:$F,MATCH(D99,BrokerTBL!$A:$A,0))</f>
        <v>45150</v>
      </c>
      <c r="K99" s="298" t="s">
        <v>888</v>
      </c>
      <c r="L99" s="145" t="s">
        <v>889</v>
      </c>
      <c r="M99" s="146">
        <v>42265</v>
      </c>
      <c r="N99" s="144" t="s">
        <v>918</v>
      </c>
      <c r="O99" s="298" t="s">
        <v>891</v>
      </c>
      <c r="P99" s="298" t="s">
        <v>892</v>
      </c>
      <c r="Q99" s="298" t="s">
        <v>139</v>
      </c>
      <c r="R99" s="298">
        <v>90670</v>
      </c>
      <c r="S99" s="298" t="s">
        <v>118</v>
      </c>
      <c r="T99" s="298" t="s">
        <v>893</v>
      </c>
      <c r="U99" s="298" t="s">
        <v>120</v>
      </c>
      <c r="V99" s="298">
        <v>53</v>
      </c>
      <c r="W99" s="298" t="s">
        <v>894</v>
      </c>
      <c r="X99" s="144" t="s">
        <v>136</v>
      </c>
      <c r="Y99" s="298" t="s">
        <v>123</v>
      </c>
      <c r="Z99" s="298" t="s">
        <v>123</v>
      </c>
      <c r="AA99" s="298" t="s">
        <v>123</v>
      </c>
      <c r="AB99" s="298" t="s">
        <v>123</v>
      </c>
      <c r="AC99" s="298" t="s">
        <v>895</v>
      </c>
      <c r="AD99" s="145" t="s">
        <v>896</v>
      </c>
      <c r="AE99" s="146">
        <v>42266</v>
      </c>
      <c r="AF99" s="416" t="s">
        <v>123</v>
      </c>
      <c r="AG99" s="298" t="s">
        <v>897</v>
      </c>
      <c r="AH99" s="298" t="s">
        <v>889</v>
      </c>
      <c r="AI99" s="298" t="s">
        <v>139</v>
      </c>
      <c r="AJ99" s="298">
        <v>95361</v>
      </c>
      <c r="AK99" s="298" t="s">
        <v>118</v>
      </c>
      <c r="AL99" s="298" t="s">
        <v>123</v>
      </c>
      <c r="AM99" s="142" t="str">
        <f>INDEX(CarrierDriverTBL!$B:$B,MATCH(Table1[[#This Row],[DriverID]],CarrierDriverTBL!$A:$A,0))</f>
        <v>UBTrucking</v>
      </c>
      <c r="AN99" s="10" t="s">
        <v>192</v>
      </c>
      <c r="AO99" s="142" t="str">
        <f>INDEX(CarrierDriverTBL!$C:$C,MATCH(Table1[[#This Row],[DriverID]],CarrierDriverTBL!$A:$A,0))</f>
        <v>Albel</v>
      </c>
      <c r="AP99" s="142" t="str">
        <f>INDEX(CarrierDriverTBL!$D:$D,MATCH(Table1[[#This Row],[DriverID]],CarrierDriverTBL!$A:$A,0))</f>
        <v>Chahil</v>
      </c>
      <c r="AQ99" s="142" t="str">
        <f>INDEX(CarrierDriverTBL!$X:$X,MATCH(Table1[[#This Row],[DriverID]],CarrierDriverTBL!$A:$A,0))</f>
        <v>A8390649</v>
      </c>
      <c r="AR99" s="160">
        <f>INDEX(CarrierDriverTBL!$Y:$Y,MATCH(Table1[[#This Row],[DriverID]],CarrierDriverTBL!$A:$A,0))</f>
        <v>42402</v>
      </c>
      <c r="AS99" s="142" t="str">
        <f t="shared" si="35"/>
        <v>GOOD</v>
      </c>
      <c r="AT99" s="160">
        <f>INDEX(CarrierDriverTBL!$E:$E,MATCH(Table1[[#This Row],[DriverID]],CarrierDriverTBL!$A:$A,0))</f>
        <v>22314</v>
      </c>
      <c r="AU99" s="163">
        <f ca="1">INDEX(CarrierDriverTBL!$F:$F,MATCH(Table1[[#This Row],[DriverID]],CarrierDriverTBL!$A:$A,0))</f>
        <v>55.512328767123286</v>
      </c>
      <c r="AV99" s="142" t="str">
        <f>INDEX(CarrierDriverTBL!$K:$K,MATCH(Table1[[#This Row],[DriverID]],CarrierDriverTBL!$A:$A,0))</f>
        <v>510-773-9450</v>
      </c>
      <c r="AW99" s="142" t="str">
        <f>INDEX(CarrierDriverTBL!$M:$M,MATCH(Table1[[#This Row],[DriverID]],CarrierDriverTBL!$A:$A,0))</f>
        <v>3124 Cynthia CT</v>
      </c>
      <c r="AX99" s="142" t="str">
        <f>INDEX(CarrierDriverTBL!$N:$N,MATCH(Table1[[#This Row],[DriverID]],CarrierDriverTBL!$A:$A,0))</f>
        <v>Tracy</v>
      </c>
      <c r="AY99" s="142" t="str">
        <f>INDEX(CarrierDriverTBL!$O:$O,MATCH(Table1[[#This Row],[DriverID]],CarrierDriverTBL!$A:$A,0))</f>
        <v>CA</v>
      </c>
      <c r="AZ99" s="142">
        <f>INDEX(CarrierDriverTBL!$P:$P,MATCH(Table1[[#This Row],[DriverID]],CarrierDriverTBL!$A:$A,0))</f>
        <v>95377</v>
      </c>
      <c r="BA99" s="142" t="str">
        <f>INDEX(CarrierDriverTBL!$Q:$Q,MATCH(Table1[[#This Row],[DriverID]],CarrierDriverTBL!$A:$A,0))</f>
        <v>US</v>
      </c>
      <c r="BB99" s="176" t="str">
        <f>INDEX(CarrierDriverTBL!$R:$R,MATCH(Table1[[#This Row],[DriverID]],CarrierDriverTBL!$A:$A,0))</f>
        <v>ubgollc@gmail.com</v>
      </c>
      <c r="BC99" s="160">
        <f>INDEX(CarrierDriverTBL!$AB:$AB,MATCH(Table1[[#This Row],[DriverID]],CarrierDriverTBL!$A:$A,0))</f>
        <v>42167</v>
      </c>
      <c r="BD99" s="142" t="str">
        <f ca="1">INDEX(CarrierDriverTBL!$AD:$AD,MATCH(LoadMaster!$AN:$AN,CarrierDriverTBL!$A:$A,0))</f>
        <v>MISSING</v>
      </c>
      <c r="BE99" s="142">
        <f>INDEX(CarrierDriverTBL!$AE:$AE,MATCH(Table1[DriverID],CarrierDriverTBL!$A:$A,0))</f>
        <v>913971</v>
      </c>
      <c r="BF99" s="142">
        <f>INDEX(CarrierDriverTBL!$AF:$AF,MATCH(Table1[DriverID],CarrierDriverTBL!$A:$A,0))</f>
        <v>2627544</v>
      </c>
      <c r="BG99" s="142">
        <f>INDEX(CarrierDriverTBL!$AG:$AG,MATCH(Table1[DriverID],CarrierDriverTBL!$A:$A,0))</f>
        <v>466133</v>
      </c>
      <c r="BH99" s="142" t="str">
        <f>INDEX(CarrierDriverTBL!$AH:$AH,MATCH(Table1[DriverID],CarrierDriverTBL!$A:$A,0))</f>
        <v>GM Lawrence Ins</v>
      </c>
      <c r="BI99" s="142" t="str">
        <f>INDEX(CarrierDriverTBL!$AI:$AI,MATCH(Table1[DriverID],CarrierDriverTBL!$A:$A,0))</f>
        <v>DSK2842P160210</v>
      </c>
      <c r="BJ99" s="160">
        <f>INDEX(CarrierDriverTBL!$AJ:$AJ,MATCH(Table1[[#This Row],[DriverID]],CarrierDriverTBL!$A:$A,0))</f>
        <v>42778</v>
      </c>
      <c r="BK99" s="10">
        <f t="shared" si="36"/>
        <v>513</v>
      </c>
      <c r="BL99" s="64">
        <v>700</v>
      </c>
      <c r="BM99" s="171">
        <v>332</v>
      </c>
      <c r="BN99" s="159">
        <f t="shared" si="53"/>
        <v>2.1084337349397591</v>
      </c>
      <c r="BO99" s="134">
        <v>650</v>
      </c>
      <c r="BP99" s="159">
        <f t="shared" si="54"/>
        <v>1.9578313253012047</v>
      </c>
      <c r="BQ99" s="133">
        <v>2.7989999999999999</v>
      </c>
      <c r="BR99" s="166">
        <f t="shared" si="55"/>
        <v>0.14983333333333335</v>
      </c>
      <c r="BS99" s="167">
        <f t="shared" si="37"/>
        <v>1.8079979919678715</v>
      </c>
      <c r="BT99" s="159">
        <f t="shared" si="38"/>
        <v>49.744666666666674</v>
      </c>
      <c r="BU99" s="10" t="str">
        <f t="shared" si="39"/>
        <v>Tql</v>
      </c>
      <c r="BV99" s="15"/>
      <c r="BW99" s="4" t="str">
        <f>Table1[[#This Row],[BrokerAddress]]</f>
        <v>P.O. Box 799</v>
      </c>
      <c r="BX99" s="4" t="str">
        <f t="shared" si="40"/>
        <v>Milford</v>
      </c>
      <c r="BY99" s="4" t="str">
        <f t="shared" si="41"/>
        <v>Ohio</v>
      </c>
      <c r="BZ99" s="4">
        <f t="shared" si="42"/>
        <v>45150</v>
      </c>
      <c r="CA99" s="10" t="str">
        <f t="shared" si="43"/>
        <v>US</v>
      </c>
      <c r="CB99" s="15" t="s">
        <v>131</v>
      </c>
      <c r="CC99" s="62"/>
      <c r="CD99" s="15" t="s">
        <v>132</v>
      </c>
      <c r="CE99" s="64">
        <v>0</v>
      </c>
      <c r="CF99" s="4">
        <v>0</v>
      </c>
      <c r="CG99" s="132">
        <f t="shared" si="44"/>
        <v>0</v>
      </c>
      <c r="CH99" s="4" t="s">
        <v>132</v>
      </c>
      <c r="CI99" s="5">
        <v>0</v>
      </c>
      <c r="CJ99" s="4">
        <v>0</v>
      </c>
      <c r="CK99" s="132">
        <f t="shared" si="45"/>
        <v>0</v>
      </c>
      <c r="CL99" s="4" t="s">
        <v>132</v>
      </c>
      <c r="CM99" s="5">
        <v>0</v>
      </c>
      <c r="CN99" s="4">
        <v>0</v>
      </c>
      <c r="CO99" s="132">
        <f t="shared" si="46"/>
        <v>0</v>
      </c>
      <c r="CP99" s="4" t="s">
        <v>132</v>
      </c>
      <c r="CQ99" s="5">
        <v>0</v>
      </c>
      <c r="CR99" s="4">
        <v>0</v>
      </c>
      <c r="CS99" s="132">
        <f t="shared" si="47"/>
        <v>0</v>
      </c>
      <c r="CT99" s="159">
        <f t="shared" si="48"/>
        <v>0</v>
      </c>
      <c r="CU99" s="168">
        <f t="shared" si="49"/>
        <v>700</v>
      </c>
      <c r="CV99" s="183">
        <f t="shared" si="56"/>
        <v>0</v>
      </c>
      <c r="CW99" s="82">
        <f t="shared" si="57"/>
        <v>650</v>
      </c>
      <c r="CX99" s="79">
        <f>IF(ISBLANK(E99),"AddQuickPay",IF(E99=2,CU99*0.98,IF(E99=2.4,CU99*0.976,IF(E99=3,CU99*0.97,IF(E99=5,CU99*0.95,IF(E99=1.5,CU99*0.985,IF(E99=2.5,CU99*0.975,IF(E99=1.3,CU99*0.987,IF(E99=1,CU99*0.99,IF(E99=4,CU99*0.96,CU99*1))))))))))-Table1[[#This Row],[ComCheck+QuickPayFee]]</f>
        <v>679</v>
      </c>
      <c r="CY99" s="5">
        <f t="shared" si="50"/>
        <v>50</v>
      </c>
      <c r="CZ99" s="5">
        <f t="shared" si="51"/>
        <v>21</v>
      </c>
      <c r="DA99" s="258">
        <f>Table1[[#This Row],[OriginalDispatch]]-Table1[[#This Row],[QuickPayCharge]]</f>
        <v>29</v>
      </c>
      <c r="DB99" s="5">
        <v>0</v>
      </c>
      <c r="DC99" s="5" t="s">
        <v>133</v>
      </c>
      <c r="DD99" s="104">
        <f t="shared" si="52"/>
        <v>42265</v>
      </c>
      <c r="DE99" s="15">
        <f>MONTH(Table1[[#This Row],[Weekending]])</f>
        <v>9</v>
      </c>
      <c r="DF99" s="15">
        <f>YEAR(Table1[[#This Row],[Weekending]])</f>
        <v>2015</v>
      </c>
      <c r="DG99" s="4"/>
    </row>
    <row r="100" spans="1:111">
      <c r="A100" s="20" t="str">
        <f t="shared" si="34"/>
        <v>891149</v>
      </c>
      <c r="B100" s="146">
        <v>42265</v>
      </c>
      <c r="C100" s="144">
        <v>182039789</v>
      </c>
      <c r="D100" s="298" t="s">
        <v>111</v>
      </c>
      <c r="E100" s="298">
        <v>2</v>
      </c>
      <c r="F100" s="298" t="str">
        <f>INDEX(BrokerTBL!$B:$B,MATCH(D100,BrokerTBL!$A:$A,0))</f>
        <v>P.O. Box 3474</v>
      </c>
      <c r="G100" s="298" t="str">
        <f>INDEX(BrokerTBL!$C:$C,MATCH(D100,BrokerTBL!$A:$A,0))</f>
        <v>Chicago</v>
      </c>
      <c r="H100" s="298" t="str">
        <f>INDEX(BrokerTBL!$D:$D,MATCH(D100,BrokerTBL!$A:$A,0))</f>
        <v>Il</v>
      </c>
      <c r="I100" s="298" t="str">
        <f>INDEX(BrokerTBL!$E:$E,MATCH(D100,BrokerTBL!$A:$A,0))</f>
        <v>US</v>
      </c>
      <c r="J100" s="298">
        <f>INDEX(BrokerTBL!$F:$F,MATCH(D100,BrokerTBL!$A:$A,0))</f>
        <v>60654</v>
      </c>
      <c r="K100" s="298" t="s">
        <v>919</v>
      </c>
      <c r="L100" s="145" t="s">
        <v>920</v>
      </c>
      <c r="M100" s="146">
        <v>42268</v>
      </c>
      <c r="N100" s="144" t="s">
        <v>427</v>
      </c>
      <c r="O100" s="298" t="s">
        <v>921</v>
      </c>
      <c r="P100" s="298" t="s">
        <v>160</v>
      </c>
      <c r="Q100" s="298" t="s">
        <v>139</v>
      </c>
      <c r="R100" s="298">
        <v>94533</v>
      </c>
      <c r="S100" s="298" t="s">
        <v>118</v>
      </c>
      <c r="T100" s="298" t="s">
        <v>922</v>
      </c>
      <c r="U100" s="298" t="s">
        <v>120</v>
      </c>
      <c r="V100" s="298">
        <v>53</v>
      </c>
      <c r="W100" s="298" t="s">
        <v>902</v>
      </c>
      <c r="X100" s="144">
        <v>2000</v>
      </c>
      <c r="Y100" s="298" t="s">
        <v>902</v>
      </c>
      <c r="Z100" s="298" t="s">
        <v>123</v>
      </c>
      <c r="AA100" s="298" t="s">
        <v>123</v>
      </c>
      <c r="AB100" s="298" t="s">
        <v>123</v>
      </c>
      <c r="AC100" s="298" t="s">
        <v>923</v>
      </c>
      <c r="AD100" s="145"/>
      <c r="AE100" s="146">
        <v>42268</v>
      </c>
      <c r="AF100" s="416" t="s">
        <v>123</v>
      </c>
      <c r="AG100" s="298" t="s">
        <v>924</v>
      </c>
      <c r="AH100" s="298" t="s">
        <v>429</v>
      </c>
      <c r="AI100" s="298" t="s">
        <v>139</v>
      </c>
      <c r="AJ100" s="298">
        <v>92446</v>
      </c>
      <c r="AK100" s="298" t="s">
        <v>118</v>
      </c>
      <c r="AL100" s="298" t="s">
        <v>925</v>
      </c>
      <c r="AM100" s="142" t="str">
        <f>INDEX(CarrierDriverTBL!$B:$B,MATCH(Table1[[#This Row],[DriverID]],CarrierDriverTBL!$A:$A,0))</f>
        <v>UBTrucking</v>
      </c>
      <c r="AN100" s="10" t="s">
        <v>192</v>
      </c>
      <c r="AO100" s="142" t="str">
        <f>INDEX(CarrierDriverTBL!$C:$C,MATCH(Table1[[#This Row],[DriverID]],CarrierDriverTBL!$A:$A,0))</f>
        <v>Albel</v>
      </c>
      <c r="AP100" s="142" t="str">
        <f>INDEX(CarrierDriverTBL!$D:$D,MATCH(Table1[[#This Row],[DriverID]],CarrierDriverTBL!$A:$A,0))</f>
        <v>Chahil</v>
      </c>
      <c r="AQ100" s="142" t="str">
        <f>INDEX(CarrierDriverTBL!$X:$X,MATCH(Table1[[#This Row],[DriverID]],CarrierDriverTBL!$A:$A,0))</f>
        <v>A8390649</v>
      </c>
      <c r="AR100" s="160">
        <f>INDEX(CarrierDriverTBL!$Y:$Y,MATCH(Table1[[#This Row],[DriverID]],CarrierDriverTBL!$A:$A,0))</f>
        <v>42402</v>
      </c>
      <c r="AS100" s="142" t="str">
        <f t="shared" si="35"/>
        <v>GOOD</v>
      </c>
      <c r="AT100" s="160">
        <f>INDEX(CarrierDriverTBL!$E:$E,MATCH(Table1[[#This Row],[DriverID]],CarrierDriverTBL!$A:$A,0))</f>
        <v>22314</v>
      </c>
      <c r="AU100" s="163">
        <f ca="1">INDEX(CarrierDriverTBL!$F:$F,MATCH(Table1[[#This Row],[DriverID]],CarrierDriverTBL!$A:$A,0))</f>
        <v>55.512328767123286</v>
      </c>
      <c r="AV100" s="142" t="str">
        <f>INDEX(CarrierDriverTBL!$K:$K,MATCH(Table1[[#This Row],[DriverID]],CarrierDriverTBL!$A:$A,0))</f>
        <v>510-773-9450</v>
      </c>
      <c r="AW100" s="142" t="str">
        <f>INDEX(CarrierDriverTBL!$M:$M,MATCH(Table1[[#This Row],[DriverID]],CarrierDriverTBL!$A:$A,0))</f>
        <v>3124 Cynthia CT</v>
      </c>
      <c r="AX100" s="142" t="str">
        <f>INDEX(CarrierDriverTBL!$N:$N,MATCH(Table1[[#This Row],[DriverID]],CarrierDriverTBL!$A:$A,0))</f>
        <v>Tracy</v>
      </c>
      <c r="AY100" s="142" t="str">
        <f>INDEX(CarrierDriverTBL!$O:$O,MATCH(Table1[[#This Row],[DriverID]],CarrierDriverTBL!$A:$A,0))</f>
        <v>CA</v>
      </c>
      <c r="AZ100" s="142">
        <f>INDEX(CarrierDriverTBL!$P:$P,MATCH(Table1[[#This Row],[DriverID]],CarrierDriverTBL!$A:$A,0))</f>
        <v>95377</v>
      </c>
      <c r="BA100" s="142" t="str">
        <f>INDEX(CarrierDriverTBL!$Q:$Q,MATCH(Table1[[#This Row],[DriverID]],CarrierDriverTBL!$A:$A,0))</f>
        <v>US</v>
      </c>
      <c r="BB100" s="176" t="str">
        <f>INDEX(CarrierDriverTBL!$R:$R,MATCH(Table1[[#This Row],[DriverID]],CarrierDriverTBL!$A:$A,0))</f>
        <v>ubgollc@gmail.com</v>
      </c>
      <c r="BC100" s="160">
        <f>INDEX(CarrierDriverTBL!$AB:$AB,MATCH(Table1[[#This Row],[DriverID]],CarrierDriverTBL!$A:$A,0))</f>
        <v>42167</v>
      </c>
      <c r="BD100" s="142" t="str">
        <f ca="1">INDEX(CarrierDriverTBL!$AD:$AD,MATCH(LoadMaster!$AN:$AN,CarrierDriverTBL!$A:$A,0))</f>
        <v>MISSING</v>
      </c>
      <c r="BE100" s="142">
        <f>INDEX(CarrierDriverTBL!$AE:$AE,MATCH(Table1[DriverID],CarrierDriverTBL!$A:$A,0))</f>
        <v>913971</v>
      </c>
      <c r="BF100" s="142">
        <f>INDEX(CarrierDriverTBL!$AF:$AF,MATCH(Table1[DriverID],CarrierDriverTBL!$A:$A,0))</f>
        <v>2627544</v>
      </c>
      <c r="BG100" s="142">
        <f>INDEX(CarrierDriverTBL!$AG:$AG,MATCH(Table1[DriverID],CarrierDriverTBL!$A:$A,0))</f>
        <v>466133</v>
      </c>
      <c r="BH100" s="142" t="str">
        <f>INDEX(CarrierDriverTBL!$AH:$AH,MATCH(Table1[DriverID],CarrierDriverTBL!$A:$A,0))</f>
        <v>GM Lawrence Ins</v>
      </c>
      <c r="BI100" s="142" t="str">
        <f>INDEX(CarrierDriverTBL!$AI:$AI,MATCH(Table1[DriverID],CarrierDriverTBL!$A:$A,0))</f>
        <v>DSK2842P160210</v>
      </c>
      <c r="BJ100" s="160">
        <f>INDEX(CarrierDriverTBL!$AJ:$AJ,MATCH(Table1[[#This Row],[DriverID]],CarrierDriverTBL!$A:$A,0))</f>
        <v>42778</v>
      </c>
      <c r="BK100" s="10">
        <f t="shared" si="36"/>
        <v>510</v>
      </c>
      <c r="BL100" s="174">
        <v>775</v>
      </c>
      <c r="BM100" s="144">
        <v>240</v>
      </c>
      <c r="BN100" s="159">
        <f t="shared" si="53"/>
        <v>3.2291666666666665</v>
      </c>
      <c r="BO100" s="167">
        <v>725</v>
      </c>
      <c r="BP100" s="159">
        <f t="shared" si="54"/>
        <v>3.0208333333333335</v>
      </c>
      <c r="BQ100" s="133">
        <v>2.7989999999999999</v>
      </c>
      <c r="BR100" s="166">
        <f t="shared" si="55"/>
        <v>0.14983333333333335</v>
      </c>
      <c r="BS100" s="167">
        <f t="shared" si="37"/>
        <v>2.871</v>
      </c>
      <c r="BT100" s="159">
        <f t="shared" si="38"/>
        <v>35.96</v>
      </c>
      <c r="BU100" s="10" t="str">
        <f t="shared" si="39"/>
        <v>Ch Robinson</v>
      </c>
      <c r="BV100" s="15"/>
      <c r="BW100" s="4" t="str">
        <f>Table1[[#This Row],[BrokerAddress]]</f>
        <v>P.O. Box 3474</v>
      </c>
      <c r="BX100" s="4" t="str">
        <f t="shared" si="40"/>
        <v>Chicago</v>
      </c>
      <c r="BY100" s="4" t="str">
        <f t="shared" si="41"/>
        <v>Il</v>
      </c>
      <c r="BZ100" s="4">
        <f t="shared" si="42"/>
        <v>60654</v>
      </c>
      <c r="CA100" s="10" t="str">
        <f t="shared" si="43"/>
        <v>US</v>
      </c>
      <c r="CB100" s="15" t="s">
        <v>131</v>
      </c>
      <c r="CC100" s="62"/>
      <c r="CD100" s="15" t="s">
        <v>132</v>
      </c>
      <c r="CE100" s="64">
        <v>0</v>
      </c>
      <c r="CF100" s="4">
        <v>0</v>
      </c>
      <c r="CG100" s="132">
        <f t="shared" si="44"/>
        <v>0</v>
      </c>
      <c r="CH100" s="4" t="s">
        <v>132</v>
      </c>
      <c r="CI100" s="5">
        <v>0</v>
      </c>
      <c r="CJ100" s="4">
        <v>0</v>
      </c>
      <c r="CK100" s="132">
        <f t="shared" si="45"/>
        <v>0</v>
      </c>
      <c r="CL100" s="4" t="s">
        <v>132</v>
      </c>
      <c r="CM100" s="5">
        <v>0</v>
      </c>
      <c r="CN100" s="4">
        <v>0</v>
      </c>
      <c r="CO100" s="132">
        <f t="shared" si="46"/>
        <v>0</v>
      </c>
      <c r="CP100" s="4" t="s">
        <v>132</v>
      </c>
      <c r="CQ100" s="5">
        <v>0</v>
      </c>
      <c r="CR100" s="4">
        <v>0</v>
      </c>
      <c r="CS100" s="132">
        <f t="shared" si="47"/>
        <v>0</v>
      </c>
      <c r="CT100" s="159">
        <f t="shared" si="48"/>
        <v>0</v>
      </c>
      <c r="CU100" s="168">
        <f t="shared" si="49"/>
        <v>775</v>
      </c>
      <c r="CV100" s="183">
        <f t="shared" si="56"/>
        <v>0</v>
      </c>
      <c r="CW100" s="82">
        <f t="shared" si="57"/>
        <v>725</v>
      </c>
      <c r="CX100" s="79">
        <f>IF(ISBLANK(E100),"AddQuickPay",IF(E100=2,CU100*0.98,IF(E100=2.4,CU100*0.976,IF(E100=3,CU100*0.97,IF(E100=5,CU100*0.95,IF(E100=1.5,CU100*0.985,IF(E100=2.5,CU100*0.975,IF(E100=1.3,CU100*0.987,IF(E100=1,CU100*0.99,IF(E100=4,CU100*0.96,CU100*1))))))))))-Table1[[#This Row],[ComCheck+QuickPayFee]]</f>
        <v>759.5</v>
      </c>
      <c r="CY100" s="5">
        <f t="shared" si="50"/>
        <v>50</v>
      </c>
      <c r="CZ100" s="5">
        <f t="shared" si="51"/>
        <v>15.5</v>
      </c>
      <c r="DA100" s="258">
        <f>Table1[[#This Row],[OriginalDispatch]]-Table1[[#This Row],[QuickPayCharge]]</f>
        <v>34.5</v>
      </c>
      <c r="DB100" s="5">
        <v>0</v>
      </c>
      <c r="DC100" s="5" t="s">
        <v>133</v>
      </c>
      <c r="DD100" s="104">
        <f t="shared" si="52"/>
        <v>42272</v>
      </c>
      <c r="DE100" s="15">
        <f>MONTH(Table1[[#This Row],[Weekending]])</f>
        <v>9</v>
      </c>
      <c r="DF100" s="15">
        <f>YEAR(Table1[[#This Row],[Weekending]])</f>
        <v>2015</v>
      </c>
      <c r="DG100" s="4"/>
    </row>
    <row r="101" spans="1:111">
      <c r="A101" s="20" t="str">
        <f t="shared" si="34"/>
        <v>91252549</v>
      </c>
      <c r="B101" s="146">
        <v>42266</v>
      </c>
      <c r="C101" s="144">
        <v>182087991</v>
      </c>
      <c r="D101" s="298" t="s">
        <v>111</v>
      </c>
      <c r="E101" s="298">
        <v>2</v>
      </c>
      <c r="F101" s="298" t="str">
        <f>INDEX(BrokerTBL!$B:$B,MATCH(D101,BrokerTBL!$A:$A,0))</f>
        <v>P.O. Box 3474</v>
      </c>
      <c r="G101" s="298" t="str">
        <f>INDEX(BrokerTBL!$C:$C,MATCH(D101,BrokerTBL!$A:$A,0))</f>
        <v>Chicago</v>
      </c>
      <c r="H101" s="298" t="str">
        <f>INDEX(BrokerTBL!$D:$D,MATCH(D101,BrokerTBL!$A:$A,0))</f>
        <v>Il</v>
      </c>
      <c r="I101" s="298" t="str">
        <f>INDEX(BrokerTBL!$E:$E,MATCH(D101,BrokerTBL!$A:$A,0))</f>
        <v>US</v>
      </c>
      <c r="J101" s="298">
        <f>INDEX(BrokerTBL!$F:$F,MATCH(D101,BrokerTBL!$A:$A,0))</f>
        <v>60654</v>
      </c>
      <c r="K101" s="298" t="s">
        <v>124</v>
      </c>
      <c r="L101" s="145">
        <v>20210495725</v>
      </c>
      <c r="M101" s="146">
        <v>42269</v>
      </c>
      <c r="N101" s="182">
        <v>0.75</v>
      </c>
      <c r="O101" s="298" t="s">
        <v>926</v>
      </c>
      <c r="P101" s="298" t="s">
        <v>214</v>
      </c>
      <c r="Q101" s="298" t="s">
        <v>139</v>
      </c>
      <c r="R101" s="298">
        <v>93745</v>
      </c>
      <c r="S101" s="298" t="s">
        <v>118</v>
      </c>
      <c r="T101" s="298" t="s">
        <v>927</v>
      </c>
      <c r="U101" s="298" t="s">
        <v>120</v>
      </c>
      <c r="V101" s="298">
        <v>53</v>
      </c>
      <c r="W101" s="298" t="s">
        <v>928</v>
      </c>
      <c r="X101" s="144">
        <v>46210</v>
      </c>
      <c r="Y101" s="298" t="s">
        <v>740</v>
      </c>
      <c r="Z101" s="298">
        <v>1636</v>
      </c>
      <c r="AA101" s="298">
        <v>28</v>
      </c>
      <c r="AB101" s="298" t="s">
        <v>123</v>
      </c>
      <c r="AC101" s="298" t="s">
        <v>124</v>
      </c>
      <c r="AD101" s="145">
        <v>20210495725</v>
      </c>
      <c r="AE101" s="146">
        <v>42270</v>
      </c>
      <c r="AF101" s="298" t="s">
        <v>929</v>
      </c>
      <c r="AG101" s="298" t="s">
        <v>930</v>
      </c>
      <c r="AH101" s="298" t="s">
        <v>401</v>
      </c>
      <c r="AI101" s="298" t="s">
        <v>139</v>
      </c>
      <c r="AJ101" s="298">
        <v>96003</v>
      </c>
      <c r="AK101" s="298" t="s">
        <v>118</v>
      </c>
      <c r="AL101" s="298" t="s">
        <v>931</v>
      </c>
      <c r="AM101" s="142" t="str">
        <f>INDEX(CarrierDriverTBL!$B:$B,MATCH(Table1[[#This Row],[DriverID]],CarrierDriverTBL!$A:$A,0))</f>
        <v>UBTrucking</v>
      </c>
      <c r="AN101" s="10" t="s">
        <v>192</v>
      </c>
      <c r="AO101" s="142" t="str">
        <f>INDEX(CarrierDriverTBL!$C:$C,MATCH(Table1[[#This Row],[DriverID]],CarrierDriverTBL!$A:$A,0))</f>
        <v>Albel</v>
      </c>
      <c r="AP101" s="142" t="str">
        <f>INDEX(CarrierDriverTBL!$D:$D,MATCH(Table1[[#This Row],[DriverID]],CarrierDriverTBL!$A:$A,0))</f>
        <v>Chahil</v>
      </c>
      <c r="AQ101" s="142" t="str">
        <f>INDEX(CarrierDriverTBL!$X:$X,MATCH(Table1[[#This Row],[DriverID]],CarrierDriverTBL!$A:$A,0))</f>
        <v>A8390649</v>
      </c>
      <c r="AR101" s="160">
        <f>INDEX(CarrierDriverTBL!$Y:$Y,MATCH(Table1[[#This Row],[DriverID]],CarrierDriverTBL!$A:$A,0))</f>
        <v>42402</v>
      </c>
      <c r="AS101" s="142" t="str">
        <f t="shared" si="35"/>
        <v>GOOD</v>
      </c>
      <c r="AT101" s="160">
        <f>INDEX(CarrierDriverTBL!$E:$E,MATCH(Table1[[#This Row],[DriverID]],CarrierDriverTBL!$A:$A,0))</f>
        <v>22314</v>
      </c>
      <c r="AU101" s="163">
        <f ca="1">INDEX(CarrierDriverTBL!$F:$F,MATCH(Table1[[#This Row],[DriverID]],CarrierDriverTBL!$A:$A,0))</f>
        <v>55.512328767123286</v>
      </c>
      <c r="AV101" s="142" t="str">
        <f>INDEX(CarrierDriverTBL!$K:$K,MATCH(Table1[[#This Row],[DriverID]],CarrierDriverTBL!$A:$A,0))</f>
        <v>510-773-9450</v>
      </c>
      <c r="AW101" s="142" t="str">
        <f>INDEX(CarrierDriverTBL!$M:$M,MATCH(Table1[[#This Row],[DriverID]],CarrierDriverTBL!$A:$A,0))</f>
        <v>3124 Cynthia CT</v>
      </c>
      <c r="AX101" s="142" t="str">
        <f>INDEX(CarrierDriverTBL!$N:$N,MATCH(Table1[[#This Row],[DriverID]],CarrierDriverTBL!$A:$A,0))</f>
        <v>Tracy</v>
      </c>
      <c r="AY101" s="142" t="str">
        <f>INDEX(CarrierDriverTBL!$O:$O,MATCH(Table1[[#This Row],[DriverID]],CarrierDriverTBL!$A:$A,0))</f>
        <v>CA</v>
      </c>
      <c r="AZ101" s="142">
        <f>INDEX(CarrierDriverTBL!$P:$P,MATCH(Table1[[#This Row],[DriverID]],CarrierDriverTBL!$A:$A,0))</f>
        <v>95377</v>
      </c>
      <c r="BA101" s="142" t="str">
        <f>INDEX(CarrierDriverTBL!$Q:$Q,MATCH(Table1[[#This Row],[DriverID]],CarrierDriverTBL!$A:$A,0))</f>
        <v>US</v>
      </c>
      <c r="BB101" s="176" t="str">
        <f>INDEX(CarrierDriverTBL!$R:$R,MATCH(Table1[[#This Row],[DriverID]],CarrierDriverTBL!$A:$A,0))</f>
        <v>ubgollc@gmail.com</v>
      </c>
      <c r="BC101" s="160">
        <f>INDEX(CarrierDriverTBL!$AB:$AB,MATCH(Table1[[#This Row],[DriverID]],CarrierDriverTBL!$A:$A,0))</f>
        <v>42167</v>
      </c>
      <c r="BD101" s="142" t="str">
        <f ca="1">INDEX(CarrierDriverTBL!$AD:$AD,MATCH(LoadMaster!$AN:$AN,CarrierDriverTBL!$A:$A,0))</f>
        <v>MISSING</v>
      </c>
      <c r="BE101" s="142">
        <f>INDEX(CarrierDriverTBL!$AE:$AE,MATCH(Table1[DriverID],CarrierDriverTBL!$A:$A,0))</f>
        <v>913971</v>
      </c>
      <c r="BF101" s="142">
        <f>INDEX(CarrierDriverTBL!$AF:$AF,MATCH(Table1[DriverID],CarrierDriverTBL!$A:$A,0))</f>
        <v>2627544</v>
      </c>
      <c r="BG101" s="142">
        <f>INDEX(CarrierDriverTBL!$AG:$AG,MATCH(Table1[DriverID],CarrierDriverTBL!$A:$A,0))</f>
        <v>466133</v>
      </c>
      <c r="BH101" s="142" t="str">
        <f>INDEX(CarrierDriverTBL!$AH:$AH,MATCH(Table1[DriverID],CarrierDriverTBL!$A:$A,0))</f>
        <v>GM Lawrence Ins</v>
      </c>
      <c r="BI101" s="142" t="str">
        <f>INDEX(CarrierDriverTBL!$AI:$AI,MATCH(Table1[DriverID],CarrierDriverTBL!$A:$A,0))</f>
        <v>DSK2842P160210</v>
      </c>
      <c r="BJ101" s="160">
        <f>INDEX(CarrierDriverTBL!$AJ:$AJ,MATCH(Table1[[#This Row],[DriverID]],CarrierDriverTBL!$A:$A,0))</f>
        <v>42778</v>
      </c>
      <c r="BK101" s="10">
        <f t="shared" si="36"/>
        <v>509</v>
      </c>
      <c r="BL101" s="174">
        <v>800</v>
      </c>
      <c r="BM101" s="144">
        <v>400</v>
      </c>
      <c r="BN101" s="159">
        <f t="shared" si="53"/>
        <v>2</v>
      </c>
      <c r="BO101" s="167">
        <v>750</v>
      </c>
      <c r="BP101" s="159">
        <f t="shared" si="54"/>
        <v>1.875</v>
      </c>
      <c r="BQ101" s="133">
        <v>2.7989999999999999</v>
      </c>
      <c r="BR101" s="166">
        <f t="shared" si="55"/>
        <v>0.14983333333333335</v>
      </c>
      <c r="BS101" s="167">
        <f t="shared" si="37"/>
        <v>1.7251666666666667</v>
      </c>
      <c r="BT101" s="159">
        <f t="shared" si="38"/>
        <v>59.933333333333337</v>
      </c>
      <c r="BU101" s="10" t="str">
        <f t="shared" si="39"/>
        <v>Ch Robinson</v>
      </c>
      <c r="BV101" s="15"/>
      <c r="BW101" s="4" t="str">
        <f>Table1[[#This Row],[BrokerAddress]]</f>
        <v>P.O. Box 3474</v>
      </c>
      <c r="BX101" s="4" t="str">
        <f t="shared" si="40"/>
        <v>Chicago</v>
      </c>
      <c r="BY101" s="4" t="str">
        <f t="shared" si="41"/>
        <v>Il</v>
      </c>
      <c r="BZ101" s="4">
        <f t="shared" si="42"/>
        <v>60654</v>
      </c>
      <c r="CA101" s="10" t="str">
        <f t="shared" si="43"/>
        <v>US</v>
      </c>
      <c r="CB101" s="15" t="s">
        <v>131</v>
      </c>
      <c r="CC101" s="62"/>
      <c r="CD101" s="15" t="s">
        <v>132</v>
      </c>
      <c r="CE101" s="64">
        <v>0</v>
      </c>
      <c r="CF101" s="4">
        <v>0</v>
      </c>
      <c r="CG101" s="132">
        <f t="shared" si="44"/>
        <v>0</v>
      </c>
      <c r="CH101" s="4" t="s">
        <v>132</v>
      </c>
      <c r="CI101" s="5">
        <v>0</v>
      </c>
      <c r="CJ101" s="4">
        <v>0</v>
      </c>
      <c r="CK101" s="132">
        <f t="shared" si="45"/>
        <v>0</v>
      </c>
      <c r="CL101" s="4" t="s">
        <v>132</v>
      </c>
      <c r="CM101" s="5">
        <v>0</v>
      </c>
      <c r="CN101" s="4">
        <v>0</v>
      </c>
      <c r="CO101" s="132">
        <f t="shared" si="46"/>
        <v>0</v>
      </c>
      <c r="CP101" s="4" t="s">
        <v>132</v>
      </c>
      <c r="CQ101" s="5">
        <v>0</v>
      </c>
      <c r="CR101" s="4">
        <v>0</v>
      </c>
      <c r="CS101" s="132">
        <f t="shared" si="47"/>
        <v>0</v>
      </c>
      <c r="CT101" s="159">
        <f t="shared" si="48"/>
        <v>0</v>
      </c>
      <c r="CU101" s="168">
        <f t="shared" si="49"/>
        <v>800</v>
      </c>
      <c r="CV101" s="183">
        <f t="shared" si="56"/>
        <v>0</v>
      </c>
      <c r="CW101" s="82">
        <f t="shared" si="57"/>
        <v>750</v>
      </c>
      <c r="CX101" s="79">
        <f>IF(ISBLANK(E101),"AddQuickPay",IF(E101=2,CU101*0.98,IF(E101=2.4,CU101*0.976,IF(E101=3,CU101*0.97,IF(E101=5,CU101*0.95,IF(E101=1.5,CU101*0.985,IF(E101=2.5,CU101*0.975,IF(E101=1.3,CU101*0.987,IF(E101=1,CU101*0.99,IF(E101=4,CU101*0.96,CU101*1))))))))))-Table1[[#This Row],[ComCheck+QuickPayFee]]</f>
        <v>784</v>
      </c>
      <c r="CY101" s="5">
        <f t="shared" si="50"/>
        <v>50</v>
      </c>
      <c r="CZ101" s="5">
        <f t="shared" si="51"/>
        <v>16</v>
      </c>
      <c r="DA101" s="258">
        <f>Table1[[#This Row],[OriginalDispatch]]-Table1[[#This Row],[QuickPayCharge]]</f>
        <v>34</v>
      </c>
      <c r="DB101" s="5">
        <v>0</v>
      </c>
      <c r="DC101" s="5" t="s">
        <v>133</v>
      </c>
      <c r="DD101" s="104">
        <f t="shared" si="52"/>
        <v>42272</v>
      </c>
      <c r="DE101" s="15">
        <f>MONTH(Table1[[#This Row],[Weekending]])</f>
        <v>9</v>
      </c>
      <c r="DF101" s="15">
        <f>YEAR(Table1[[#This Row],[Weekending]])</f>
        <v>2015</v>
      </c>
      <c r="DG101" s="4"/>
    </row>
    <row r="102" spans="1:111">
      <c r="A102" s="20" t="str">
        <f t="shared" si="34"/>
        <v>24053949</v>
      </c>
      <c r="B102" s="146">
        <v>42267</v>
      </c>
      <c r="C102" s="144">
        <v>181323224</v>
      </c>
      <c r="D102" s="298" t="s">
        <v>111</v>
      </c>
      <c r="E102" s="298">
        <v>2</v>
      </c>
      <c r="F102" s="298" t="str">
        <f>INDEX(BrokerTBL!$B:$B,MATCH(D102,BrokerTBL!$A:$A,0))</f>
        <v>P.O. Box 3474</v>
      </c>
      <c r="G102" s="298" t="str">
        <f>INDEX(BrokerTBL!$C:$C,MATCH(D102,BrokerTBL!$A:$A,0))</f>
        <v>Chicago</v>
      </c>
      <c r="H102" s="298" t="str">
        <f>INDEX(BrokerTBL!$D:$D,MATCH(D102,BrokerTBL!$A:$A,0))</f>
        <v>Il</v>
      </c>
      <c r="I102" s="298" t="str">
        <f>INDEX(BrokerTBL!$E:$E,MATCH(D102,BrokerTBL!$A:$A,0))</f>
        <v>US</v>
      </c>
      <c r="J102" s="298">
        <f>INDEX(BrokerTBL!$F:$F,MATCH(D102,BrokerTBL!$A:$A,0))</f>
        <v>60654</v>
      </c>
      <c r="K102" s="298" t="s">
        <v>932</v>
      </c>
      <c r="L102" s="145">
        <v>366005</v>
      </c>
      <c r="M102" s="146">
        <v>42270</v>
      </c>
      <c r="N102" s="182">
        <v>0.58333333333333304</v>
      </c>
      <c r="O102" s="298" t="s">
        <v>933</v>
      </c>
      <c r="P102" s="298" t="s">
        <v>169</v>
      </c>
      <c r="Q102" s="298" t="s">
        <v>139</v>
      </c>
      <c r="R102" s="298">
        <v>96094</v>
      </c>
      <c r="S102" s="298" t="s">
        <v>118</v>
      </c>
      <c r="T102" s="298" t="s">
        <v>136</v>
      </c>
      <c r="U102" s="298" t="s">
        <v>120</v>
      </c>
      <c r="V102" s="298">
        <v>53</v>
      </c>
      <c r="W102" s="298" t="s">
        <v>620</v>
      </c>
      <c r="X102" s="144">
        <v>44600</v>
      </c>
      <c r="Y102" s="298" t="s">
        <v>26</v>
      </c>
      <c r="Z102" s="298">
        <v>1080</v>
      </c>
      <c r="AA102" s="298">
        <v>20</v>
      </c>
      <c r="AB102" s="298" t="s">
        <v>123</v>
      </c>
      <c r="AC102" s="298" t="s">
        <v>934</v>
      </c>
      <c r="AD102" s="145">
        <v>153673739</v>
      </c>
      <c r="AE102" s="146">
        <v>42271</v>
      </c>
      <c r="AF102" s="298">
        <v>600</v>
      </c>
      <c r="AG102" s="298" t="s">
        <v>935</v>
      </c>
      <c r="AH102" s="298" t="s">
        <v>380</v>
      </c>
      <c r="AI102" s="298" t="s">
        <v>139</v>
      </c>
      <c r="AJ102" s="298">
        <v>95304</v>
      </c>
      <c r="AK102" s="298" t="s">
        <v>118</v>
      </c>
      <c r="AL102" s="298" t="s">
        <v>123</v>
      </c>
      <c r="AM102" s="142" t="str">
        <f>INDEX(CarrierDriverTBL!$B:$B,MATCH(Table1[[#This Row],[DriverID]],CarrierDriverTBL!$A:$A,0))</f>
        <v>UBTrucking</v>
      </c>
      <c r="AN102" s="10" t="s">
        <v>192</v>
      </c>
      <c r="AO102" s="142" t="str">
        <f>INDEX(CarrierDriverTBL!$C:$C,MATCH(Table1[[#This Row],[DriverID]],CarrierDriverTBL!$A:$A,0))</f>
        <v>Albel</v>
      </c>
      <c r="AP102" s="142" t="str">
        <f>INDEX(CarrierDriverTBL!$D:$D,MATCH(Table1[[#This Row],[DriverID]],CarrierDriverTBL!$A:$A,0))</f>
        <v>Chahil</v>
      </c>
      <c r="AQ102" s="142" t="str">
        <f>INDEX(CarrierDriverTBL!$X:$X,MATCH(Table1[[#This Row],[DriverID]],CarrierDriverTBL!$A:$A,0))</f>
        <v>A8390649</v>
      </c>
      <c r="AR102" s="160">
        <f>INDEX(CarrierDriverTBL!$Y:$Y,MATCH(Table1[[#This Row],[DriverID]],CarrierDriverTBL!$A:$A,0))</f>
        <v>42402</v>
      </c>
      <c r="AS102" s="142" t="str">
        <f t="shared" si="35"/>
        <v>GOOD</v>
      </c>
      <c r="AT102" s="160">
        <f>INDEX(CarrierDriverTBL!$E:$E,MATCH(Table1[[#This Row],[DriverID]],CarrierDriverTBL!$A:$A,0))</f>
        <v>22314</v>
      </c>
      <c r="AU102" s="163">
        <f ca="1">INDEX(CarrierDriverTBL!$F:$F,MATCH(Table1[[#This Row],[DriverID]],CarrierDriverTBL!$A:$A,0))</f>
        <v>55.512328767123286</v>
      </c>
      <c r="AV102" s="142" t="str">
        <f>INDEX(CarrierDriverTBL!$K:$K,MATCH(Table1[[#This Row],[DriverID]],CarrierDriverTBL!$A:$A,0))</f>
        <v>510-773-9450</v>
      </c>
      <c r="AW102" s="142" t="str">
        <f>INDEX(CarrierDriverTBL!$M:$M,MATCH(Table1[[#This Row],[DriverID]],CarrierDriverTBL!$A:$A,0))</f>
        <v>3124 Cynthia CT</v>
      </c>
      <c r="AX102" s="142" t="str">
        <f>INDEX(CarrierDriverTBL!$N:$N,MATCH(Table1[[#This Row],[DriverID]],CarrierDriverTBL!$A:$A,0))</f>
        <v>Tracy</v>
      </c>
      <c r="AY102" s="142" t="str">
        <f>INDEX(CarrierDriverTBL!$O:$O,MATCH(Table1[[#This Row],[DriverID]],CarrierDriverTBL!$A:$A,0))</f>
        <v>CA</v>
      </c>
      <c r="AZ102" s="142">
        <f>INDEX(CarrierDriverTBL!$P:$P,MATCH(Table1[[#This Row],[DriverID]],CarrierDriverTBL!$A:$A,0))</f>
        <v>95377</v>
      </c>
      <c r="BA102" s="142" t="str">
        <f>INDEX(CarrierDriverTBL!$Q:$Q,MATCH(Table1[[#This Row],[DriverID]],CarrierDriverTBL!$A:$A,0))</f>
        <v>US</v>
      </c>
      <c r="BB102" s="176" t="str">
        <f>INDEX(CarrierDriverTBL!$R:$R,MATCH(Table1[[#This Row],[DriverID]],CarrierDriverTBL!$A:$A,0))</f>
        <v>ubgollc@gmail.com</v>
      </c>
      <c r="BC102" s="160">
        <f>INDEX(CarrierDriverTBL!$AB:$AB,MATCH(Table1[[#This Row],[DriverID]],CarrierDriverTBL!$A:$A,0))</f>
        <v>42167</v>
      </c>
      <c r="BD102" s="142" t="str">
        <f ca="1">INDEX(CarrierDriverTBL!$AD:$AD,MATCH(LoadMaster!$AN:$AN,CarrierDriverTBL!$A:$A,0))</f>
        <v>MISSING</v>
      </c>
      <c r="BE102" s="142">
        <f>INDEX(CarrierDriverTBL!$AE:$AE,MATCH(Table1[DriverID],CarrierDriverTBL!$A:$A,0))</f>
        <v>913971</v>
      </c>
      <c r="BF102" s="142">
        <f>INDEX(CarrierDriverTBL!$AF:$AF,MATCH(Table1[DriverID],CarrierDriverTBL!$A:$A,0))</f>
        <v>2627544</v>
      </c>
      <c r="BG102" s="142">
        <f>INDEX(CarrierDriverTBL!$AG:$AG,MATCH(Table1[DriverID],CarrierDriverTBL!$A:$A,0))</f>
        <v>466133</v>
      </c>
      <c r="BH102" s="142" t="str">
        <f>INDEX(CarrierDriverTBL!$AH:$AH,MATCH(Table1[DriverID],CarrierDriverTBL!$A:$A,0))</f>
        <v>GM Lawrence Ins</v>
      </c>
      <c r="BI102" s="142" t="str">
        <f>INDEX(CarrierDriverTBL!$AI:$AI,MATCH(Table1[DriverID],CarrierDriverTBL!$A:$A,0))</f>
        <v>DSK2842P160210</v>
      </c>
      <c r="BJ102" s="160">
        <f>INDEX(CarrierDriverTBL!$AJ:$AJ,MATCH(Table1[[#This Row],[DriverID]],CarrierDriverTBL!$A:$A,0))</f>
        <v>42778</v>
      </c>
      <c r="BK102" s="10">
        <f t="shared" si="36"/>
        <v>508</v>
      </c>
      <c r="BL102" s="64">
        <v>700</v>
      </c>
      <c r="BM102" s="171">
        <v>292</v>
      </c>
      <c r="BN102" s="159">
        <f t="shared" si="53"/>
        <v>2.3972602739726026</v>
      </c>
      <c r="BO102" s="134">
        <v>650</v>
      </c>
      <c r="BP102" s="159">
        <f t="shared" si="54"/>
        <v>2.2260273972602738</v>
      </c>
      <c r="BQ102" s="133">
        <v>2.7989999999999999</v>
      </c>
      <c r="BR102" s="166">
        <f t="shared" si="55"/>
        <v>0.14983333333333335</v>
      </c>
      <c r="BS102" s="167">
        <f t="shared" si="37"/>
        <v>2.0761940639269403</v>
      </c>
      <c r="BT102" s="159">
        <f t="shared" si="38"/>
        <v>43.751333333333335</v>
      </c>
      <c r="BU102" s="10" t="str">
        <f t="shared" si="39"/>
        <v>Ch Robinson</v>
      </c>
      <c r="BV102" s="15"/>
      <c r="BW102" s="4" t="str">
        <f>Table1[[#This Row],[BrokerAddress]]</f>
        <v>P.O. Box 3474</v>
      </c>
      <c r="BX102" s="4" t="str">
        <f t="shared" si="40"/>
        <v>Chicago</v>
      </c>
      <c r="BY102" s="4" t="str">
        <f t="shared" si="41"/>
        <v>Il</v>
      </c>
      <c r="BZ102" s="4">
        <f t="shared" si="42"/>
        <v>60654</v>
      </c>
      <c r="CA102" s="10" t="str">
        <f t="shared" si="43"/>
        <v>US</v>
      </c>
      <c r="CB102" s="15" t="s">
        <v>131</v>
      </c>
      <c r="CC102" s="62"/>
      <c r="CD102" s="15" t="s">
        <v>132</v>
      </c>
      <c r="CE102" s="64">
        <v>0</v>
      </c>
      <c r="CF102" s="4">
        <v>0</v>
      </c>
      <c r="CG102" s="132">
        <f t="shared" si="44"/>
        <v>0</v>
      </c>
      <c r="CH102" s="4" t="s">
        <v>132</v>
      </c>
      <c r="CI102" s="5">
        <v>0</v>
      </c>
      <c r="CJ102" s="4">
        <v>0</v>
      </c>
      <c r="CK102" s="132">
        <f t="shared" si="45"/>
        <v>0</v>
      </c>
      <c r="CL102" s="4" t="s">
        <v>132</v>
      </c>
      <c r="CM102" s="5">
        <v>0</v>
      </c>
      <c r="CN102" s="4">
        <v>0</v>
      </c>
      <c r="CO102" s="132">
        <f t="shared" si="46"/>
        <v>0</v>
      </c>
      <c r="CP102" s="4" t="s">
        <v>132</v>
      </c>
      <c r="CQ102" s="5">
        <v>0</v>
      </c>
      <c r="CR102" s="4">
        <v>0</v>
      </c>
      <c r="CS102" s="132">
        <f t="shared" si="47"/>
        <v>0</v>
      </c>
      <c r="CT102" s="159">
        <f t="shared" si="48"/>
        <v>0</v>
      </c>
      <c r="CU102" s="168">
        <f t="shared" si="49"/>
        <v>700</v>
      </c>
      <c r="CV102" s="183">
        <f t="shared" si="56"/>
        <v>0</v>
      </c>
      <c r="CW102" s="82">
        <f t="shared" si="57"/>
        <v>650</v>
      </c>
      <c r="CX102" s="79">
        <f>IF(ISBLANK(E102),"AddQuickPay",IF(E102=2,CU102*0.98,IF(E102=2.4,CU102*0.976,IF(E102=3,CU102*0.97,IF(E102=5,CU102*0.95,IF(E102=1.5,CU102*0.985,IF(E102=2.5,CU102*0.975,IF(E102=1.3,CU102*0.987,IF(E102=1,CU102*0.99,IF(E102=4,CU102*0.96,CU102*1))))))))))-Table1[[#This Row],[ComCheck+QuickPayFee]]</f>
        <v>686</v>
      </c>
      <c r="CY102" s="5">
        <f t="shared" si="50"/>
        <v>50</v>
      </c>
      <c r="CZ102" s="5">
        <f t="shared" si="51"/>
        <v>14</v>
      </c>
      <c r="DA102" s="258">
        <f>Table1[[#This Row],[OriginalDispatch]]-Table1[[#This Row],[QuickPayCharge]]</f>
        <v>36</v>
      </c>
      <c r="DB102" s="5">
        <v>0</v>
      </c>
      <c r="DC102" s="5" t="s">
        <v>133</v>
      </c>
      <c r="DD102" s="104">
        <f t="shared" si="52"/>
        <v>42272</v>
      </c>
      <c r="DE102" s="15">
        <f>MONTH(Table1[[#This Row],[Weekending]])</f>
        <v>9</v>
      </c>
      <c r="DF102" s="15">
        <f>YEAR(Table1[[#This Row],[Weekending]])</f>
        <v>2015</v>
      </c>
      <c r="DG102" s="4"/>
    </row>
    <row r="103" spans="1:111">
      <c r="A103" s="20" t="str">
        <f t="shared" si="34"/>
        <v>68ne49</v>
      </c>
      <c r="B103" s="160">
        <v>42271</v>
      </c>
      <c r="C103" s="162">
        <v>446968</v>
      </c>
      <c r="D103" s="142" t="s">
        <v>936</v>
      </c>
      <c r="E103" s="142">
        <v>2</v>
      </c>
      <c r="F103" s="142" t="str">
        <f>INDEX(BrokerTBL!$B:$B,MATCH(D103,BrokerTBL!$A:$A,0))</f>
        <v>P.O. Box 391</v>
      </c>
      <c r="G103" s="142" t="str">
        <f>INDEX(BrokerTBL!$C:$C,MATCH(D103,BrokerTBL!$A:$A,0))</f>
        <v>Rome</v>
      </c>
      <c r="H103" s="142" t="str">
        <f>INDEX(BrokerTBL!$D:$D,MATCH(D103,BrokerTBL!$A:$A,0))</f>
        <v>Ga</v>
      </c>
      <c r="I103" s="142" t="str">
        <f>INDEX(BrokerTBL!$E:$E,MATCH(D103,BrokerTBL!$A:$A,0))</f>
        <v>US</v>
      </c>
      <c r="J103" s="142">
        <f>INDEX(BrokerTBL!$F:$F,MATCH(D103,BrokerTBL!$A:$A,0))</f>
        <v>30162</v>
      </c>
      <c r="K103" s="142" t="s">
        <v>937</v>
      </c>
      <c r="L103" s="161" t="s">
        <v>132</v>
      </c>
      <c r="M103" s="160">
        <v>42271</v>
      </c>
      <c r="N103" s="184">
        <v>0.25</v>
      </c>
      <c r="O103" s="142" t="s">
        <v>938</v>
      </c>
      <c r="P103" s="142" t="s">
        <v>449</v>
      </c>
      <c r="Q103" s="142" t="s">
        <v>139</v>
      </c>
      <c r="R103" s="142">
        <v>95050</v>
      </c>
      <c r="S103" s="142" t="s">
        <v>118</v>
      </c>
      <c r="T103" s="298" t="s">
        <v>136</v>
      </c>
      <c r="U103" s="142" t="s">
        <v>120</v>
      </c>
      <c r="V103" s="142">
        <v>53</v>
      </c>
      <c r="W103" s="298" t="s">
        <v>136</v>
      </c>
      <c r="X103" s="162">
        <v>44000</v>
      </c>
      <c r="Y103" s="142" t="s">
        <v>123</v>
      </c>
      <c r="Z103" s="142" t="s">
        <v>123</v>
      </c>
      <c r="AA103" s="142" t="s">
        <v>123</v>
      </c>
      <c r="AB103" s="142" t="s">
        <v>123</v>
      </c>
      <c r="AC103" s="142" t="s">
        <v>939</v>
      </c>
      <c r="AD103" s="161"/>
      <c r="AE103" s="160">
        <v>42275</v>
      </c>
      <c r="AF103" s="416" t="s">
        <v>123</v>
      </c>
      <c r="AG103" s="142" t="s">
        <v>940</v>
      </c>
      <c r="AH103" s="142" t="s">
        <v>462</v>
      </c>
      <c r="AI103" s="142" t="s">
        <v>139</v>
      </c>
      <c r="AJ103" s="142">
        <v>93227</v>
      </c>
      <c r="AK103" s="142" t="s">
        <v>118</v>
      </c>
      <c r="AL103" s="142" t="s">
        <v>123</v>
      </c>
      <c r="AM103" s="10" t="str">
        <f>INDEX(CarrierDriverTBL!$B:$B,MATCH(Table1[[#This Row],[DriverID]],CarrierDriverTBL!$A:$A,0))</f>
        <v>UBTrucking</v>
      </c>
      <c r="AN103" s="10" t="s">
        <v>192</v>
      </c>
      <c r="AO103" s="10" t="str">
        <f>INDEX(CarrierDriverTBL!$C:$C,MATCH(Table1[[#This Row],[DriverID]],CarrierDriverTBL!$A:$A,0))</f>
        <v>Albel</v>
      </c>
      <c r="AP103" s="142" t="str">
        <f>INDEX(CarrierDriverTBL!$D:$D,MATCH(Table1[[#This Row],[DriverID]],CarrierDriverTBL!$A:$A,0))</f>
        <v>Chahil</v>
      </c>
      <c r="AQ103" s="142" t="str">
        <f>INDEX(CarrierDriverTBL!$X:$X,MATCH(Table1[[#This Row],[DriverID]],CarrierDriverTBL!$A:$A,0))</f>
        <v>A8390649</v>
      </c>
      <c r="AR103" s="160">
        <f>INDEX(CarrierDriverTBL!$Y:$Y,MATCH(Table1[[#This Row],[DriverID]],CarrierDriverTBL!$A:$A,0))</f>
        <v>42402</v>
      </c>
      <c r="AS103" s="142" t="str">
        <f t="shared" si="35"/>
        <v>GOOD</v>
      </c>
      <c r="AT103" s="160">
        <f>INDEX(CarrierDriverTBL!$E:$E,MATCH(Table1[[#This Row],[DriverID]],CarrierDriverTBL!$A:$A,0))</f>
        <v>22314</v>
      </c>
      <c r="AU103" s="163">
        <f ca="1">INDEX(CarrierDriverTBL!$F:$F,MATCH(Table1[[#This Row],[DriverID]],CarrierDriverTBL!$A:$A,0))</f>
        <v>55.512328767123286</v>
      </c>
      <c r="AV103" s="142" t="str">
        <f>INDEX(CarrierDriverTBL!$K:$K,MATCH(Table1[[#This Row],[DriverID]],CarrierDriverTBL!$A:$A,0))</f>
        <v>510-773-9450</v>
      </c>
      <c r="AW103" s="142" t="str">
        <f>INDEX(CarrierDriverTBL!$M:$M,MATCH(Table1[[#This Row],[DriverID]],CarrierDriverTBL!$A:$A,0))</f>
        <v>3124 Cynthia CT</v>
      </c>
      <c r="AX103" s="142" t="str">
        <f>INDEX(CarrierDriverTBL!$N:$N,MATCH(Table1[[#This Row],[DriverID]],CarrierDriverTBL!$A:$A,0))</f>
        <v>Tracy</v>
      </c>
      <c r="AY103" s="142" t="str">
        <f>INDEX(CarrierDriverTBL!$O:$O,MATCH(Table1[[#This Row],[DriverID]],CarrierDriverTBL!$A:$A,0))</f>
        <v>CA</v>
      </c>
      <c r="AZ103" s="142">
        <f>INDEX(CarrierDriverTBL!$P:$P,MATCH(Table1[[#This Row],[DriverID]],CarrierDriverTBL!$A:$A,0))</f>
        <v>95377</v>
      </c>
      <c r="BA103" s="142" t="str">
        <f>INDEX(CarrierDriverTBL!$Q:$Q,MATCH(Table1[[#This Row],[DriverID]],CarrierDriverTBL!$A:$A,0))</f>
        <v>US</v>
      </c>
      <c r="BB103" s="176" t="str">
        <f>INDEX(CarrierDriverTBL!$R:$R,MATCH(Table1[[#This Row],[DriverID]],CarrierDriverTBL!$A:$A,0))</f>
        <v>ubgollc@gmail.com</v>
      </c>
      <c r="BC103" s="160">
        <f>INDEX(CarrierDriverTBL!$AB:$AB,MATCH(Table1[[#This Row],[DriverID]],CarrierDriverTBL!$A:$A,0))</f>
        <v>42167</v>
      </c>
      <c r="BD103" s="142" t="str">
        <f ca="1">INDEX(CarrierDriverTBL!$AD:$AD,MATCH(LoadMaster!$AN:$AN,CarrierDriverTBL!$A:$A,0))</f>
        <v>MISSING</v>
      </c>
      <c r="BE103" s="142">
        <f>INDEX(CarrierDriverTBL!$AE:$AE,MATCH(Table1[DriverID],CarrierDriverTBL!$A:$A,0))</f>
        <v>913971</v>
      </c>
      <c r="BF103" s="142">
        <f>INDEX(CarrierDriverTBL!$AF:$AF,MATCH(Table1[DriverID],CarrierDriverTBL!$A:$A,0))</f>
        <v>2627544</v>
      </c>
      <c r="BG103" s="142">
        <f>INDEX(CarrierDriverTBL!$AG:$AG,MATCH(Table1[DriverID],CarrierDriverTBL!$A:$A,0))</f>
        <v>466133</v>
      </c>
      <c r="BH103" s="142" t="str">
        <f>INDEX(CarrierDriverTBL!$AH:$AH,MATCH(Table1[DriverID],CarrierDriverTBL!$A:$A,0))</f>
        <v>GM Lawrence Ins</v>
      </c>
      <c r="BI103" s="142" t="str">
        <f>INDEX(CarrierDriverTBL!$AI:$AI,MATCH(Table1[DriverID],CarrierDriverTBL!$A:$A,0))</f>
        <v>DSK2842P160210</v>
      </c>
      <c r="BJ103" s="160">
        <f>INDEX(CarrierDriverTBL!$AJ:$AJ,MATCH(Table1[[#This Row],[DriverID]],CarrierDriverTBL!$A:$A,0))</f>
        <v>42778</v>
      </c>
      <c r="BK103" s="10">
        <f t="shared" si="36"/>
        <v>507</v>
      </c>
      <c r="BL103" s="167">
        <v>750</v>
      </c>
      <c r="BM103" s="162">
        <v>190</v>
      </c>
      <c r="BN103" s="159">
        <f t="shared" si="53"/>
        <v>3.9473684210526314</v>
      </c>
      <c r="BO103" s="167">
        <v>700</v>
      </c>
      <c r="BP103" s="159">
        <f t="shared" si="54"/>
        <v>3.6842105263157894</v>
      </c>
      <c r="BQ103" s="134">
        <v>3.7989999999999999</v>
      </c>
      <c r="BR103" s="166">
        <f t="shared" si="55"/>
        <v>0.3165</v>
      </c>
      <c r="BS103" s="167">
        <f t="shared" si="37"/>
        <v>3.3677105263157894</v>
      </c>
      <c r="BT103" s="159">
        <f t="shared" si="38"/>
        <v>60.134999999999998</v>
      </c>
      <c r="BU103" s="10" t="str">
        <f t="shared" si="39"/>
        <v>Scott Logistics Corp</v>
      </c>
      <c r="BV103" s="4"/>
      <c r="BW103" s="4" t="str">
        <f>Table1[[#This Row],[BrokerAddress]]</f>
        <v>P.O. Box 391</v>
      </c>
      <c r="BX103" s="4" t="str">
        <f t="shared" si="40"/>
        <v>Rome</v>
      </c>
      <c r="BY103" s="4" t="str">
        <f t="shared" si="41"/>
        <v>Ga</v>
      </c>
      <c r="BZ103" s="4">
        <f t="shared" si="42"/>
        <v>30162</v>
      </c>
      <c r="CA103" s="10" t="str">
        <f t="shared" si="43"/>
        <v>US</v>
      </c>
      <c r="CB103" s="15" t="s">
        <v>131</v>
      </c>
      <c r="CC103" s="61"/>
      <c r="CD103" s="4" t="s">
        <v>941</v>
      </c>
      <c r="CE103" s="5">
        <v>550</v>
      </c>
      <c r="CF103" s="4">
        <v>1</v>
      </c>
      <c r="CG103" s="132">
        <f t="shared" si="44"/>
        <v>550</v>
      </c>
      <c r="CH103" s="4" t="s">
        <v>132</v>
      </c>
      <c r="CI103" s="5">
        <v>0</v>
      </c>
      <c r="CJ103" s="4">
        <v>0</v>
      </c>
      <c r="CK103" s="132">
        <f t="shared" si="45"/>
        <v>0</v>
      </c>
      <c r="CL103" s="4" t="s">
        <v>132</v>
      </c>
      <c r="CM103" s="5">
        <v>0</v>
      </c>
      <c r="CN103" s="4">
        <v>0</v>
      </c>
      <c r="CO103" s="132">
        <f t="shared" si="46"/>
        <v>0</v>
      </c>
      <c r="CP103" s="4" t="s">
        <v>132</v>
      </c>
      <c r="CQ103" s="5">
        <v>0</v>
      </c>
      <c r="CR103" s="4">
        <v>0</v>
      </c>
      <c r="CS103" s="132">
        <f t="shared" si="47"/>
        <v>0</v>
      </c>
      <c r="CT103" s="159">
        <f t="shared" si="48"/>
        <v>550</v>
      </c>
      <c r="CU103" s="168">
        <f t="shared" si="49"/>
        <v>1300</v>
      </c>
      <c r="CV103" s="169">
        <f t="shared" si="56"/>
        <v>550</v>
      </c>
      <c r="CW103" s="82">
        <f t="shared" si="57"/>
        <v>1250</v>
      </c>
      <c r="CX103" s="79">
        <f>IF(ISBLANK(E103),"AddQuickPay",IF(E103=2,CU103*0.98,IF(E103=2.4,CU103*0.976,IF(E103=3,CU103*0.97,IF(E103=5,CU103*0.95,IF(E103=1.5,CU103*0.985,IF(E103=2.5,CU103*0.975,IF(E103=1.3,CU103*0.987,IF(E103=1,CU103*0.99,IF(E103=4,CU103*0.96,CU103*1))))))))))-Table1[[#This Row],[ComCheck+QuickPayFee]]</f>
        <v>1274</v>
      </c>
      <c r="CY103" s="5">
        <f t="shared" si="50"/>
        <v>50</v>
      </c>
      <c r="CZ103" s="5">
        <f t="shared" si="51"/>
        <v>26</v>
      </c>
      <c r="DA103" s="258">
        <f>Table1[[#This Row],[OriginalDispatch]]-Table1[[#This Row],[QuickPayCharge]]</f>
        <v>24</v>
      </c>
      <c r="DB103" s="5">
        <v>0</v>
      </c>
      <c r="DC103" s="5" t="s">
        <v>133</v>
      </c>
      <c r="DD103" s="104">
        <f t="shared" si="52"/>
        <v>42272</v>
      </c>
      <c r="DE103" s="15">
        <f>MONTH(Table1[[#This Row],[Weekending]])</f>
        <v>9</v>
      </c>
      <c r="DF103" s="15">
        <f>YEAR(Table1[[#This Row],[Weekending]])</f>
        <v>2015</v>
      </c>
      <c r="DG103" s="4"/>
    </row>
    <row r="104" spans="1:111">
      <c r="A104" s="20" t="str">
        <f t="shared" si="34"/>
        <v>27626288</v>
      </c>
      <c r="B104" s="160">
        <v>42275</v>
      </c>
      <c r="C104" s="162">
        <v>182280027</v>
      </c>
      <c r="D104" s="142" t="s">
        <v>111</v>
      </c>
      <c r="E104" s="142">
        <v>2</v>
      </c>
      <c r="F104" s="142" t="str">
        <f>INDEX(BrokerTBL!$B:$B,MATCH(D104,BrokerTBL!$A:$A,0))</f>
        <v>P.O. Box 3474</v>
      </c>
      <c r="G104" s="142" t="str">
        <f>INDEX(BrokerTBL!$C:$C,MATCH(D104,BrokerTBL!$A:$A,0))</f>
        <v>Chicago</v>
      </c>
      <c r="H104" s="142" t="str">
        <f>INDEX(BrokerTBL!$D:$D,MATCH(D104,BrokerTBL!$A:$A,0))</f>
        <v>Il</v>
      </c>
      <c r="I104" s="142" t="str">
        <f>INDEX(BrokerTBL!$E:$E,MATCH(D104,BrokerTBL!$A:$A,0))</f>
        <v>US</v>
      </c>
      <c r="J104" s="142">
        <f>INDEX(BrokerTBL!$F:$F,MATCH(D104,BrokerTBL!$A:$A,0))</f>
        <v>60654</v>
      </c>
      <c r="K104" s="142" t="s">
        <v>942</v>
      </c>
      <c r="L104" s="161">
        <v>271762</v>
      </c>
      <c r="M104" s="160">
        <v>42275</v>
      </c>
      <c r="N104" s="162" t="s">
        <v>427</v>
      </c>
      <c r="O104" s="142" t="s">
        <v>943</v>
      </c>
      <c r="P104" s="142" t="s">
        <v>366</v>
      </c>
      <c r="Q104" s="142" t="s">
        <v>139</v>
      </c>
      <c r="R104" s="142">
        <v>95776</v>
      </c>
      <c r="S104" s="142" t="s">
        <v>118</v>
      </c>
      <c r="T104" s="298" t="s">
        <v>136</v>
      </c>
      <c r="U104" s="142" t="s">
        <v>120</v>
      </c>
      <c r="V104" s="142">
        <v>53</v>
      </c>
      <c r="W104" s="142" t="s">
        <v>944</v>
      </c>
      <c r="X104" s="162">
        <v>30000</v>
      </c>
      <c r="Y104" s="142" t="s">
        <v>26</v>
      </c>
      <c r="Z104" s="142" t="s">
        <v>123</v>
      </c>
      <c r="AA104" s="142" t="s">
        <v>123</v>
      </c>
      <c r="AB104" s="142" t="s">
        <v>123</v>
      </c>
      <c r="AC104" s="142" t="s">
        <v>945</v>
      </c>
      <c r="AD104" s="161">
        <v>271762</v>
      </c>
      <c r="AE104" s="160">
        <v>42276</v>
      </c>
      <c r="AF104" s="416" t="s">
        <v>123</v>
      </c>
      <c r="AG104" s="142" t="s">
        <v>946</v>
      </c>
      <c r="AH104" s="142" t="s">
        <v>947</v>
      </c>
      <c r="AI104" s="142" t="s">
        <v>139</v>
      </c>
      <c r="AJ104" s="142">
        <v>93437</v>
      </c>
      <c r="AK104" s="142" t="s">
        <v>118</v>
      </c>
      <c r="AL104" s="142" t="s">
        <v>123</v>
      </c>
      <c r="AM104" s="142" t="str">
        <f>INDEX(CarrierDriverTBL!$B:$B,MATCH(Table1[[#This Row],[DriverID]],CarrierDriverTBL!$A:$A,0))</f>
        <v>UBTrucking</v>
      </c>
      <c r="AN104" s="10" t="s">
        <v>948</v>
      </c>
      <c r="AO104" s="10" t="str">
        <f>INDEX(CarrierDriverTBL!$C:$C,MATCH(Table1[[#This Row],[DriverID]],CarrierDriverTBL!$A:$A,0))</f>
        <v>Wesley</v>
      </c>
      <c r="AP104" s="10" t="str">
        <f>INDEX(CarrierDriverTBL!$D:$D,MATCH(Table1[[#This Row],[DriverID]],CarrierDriverTBL!$A:$A,0))</f>
        <v>Cousain</v>
      </c>
      <c r="AQ104" s="10" t="str">
        <f>INDEX(CarrierDriverTBL!$X:$X,MATCH(Table1[[#This Row],[DriverID]],CarrierDriverTBL!$A:$A,0))</f>
        <v>D4903588</v>
      </c>
      <c r="AR104" s="11">
        <f>INDEX(CarrierDriverTBL!$Y:$Y,MATCH(Table1[[#This Row],[DriverID]],CarrierDriverTBL!$A:$A,0))</f>
        <v>43458</v>
      </c>
      <c r="AS104" s="142" t="str">
        <f t="shared" si="35"/>
        <v>GOOD</v>
      </c>
      <c r="AT104" s="11">
        <f>INDEX(CarrierDriverTBL!$E:$E,MATCH(Table1[[#This Row],[DriverID]],CarrierDriverTBL!$A:$A,0))</f>
        <v>31405</v>
      </c>
      <c r="AU104" s="163">
        <f ca="1">INDEX(CarrierDriverTBL!$F:$F,MATCH(Table1[[#This Row],[DriverID]],CarrierDriverTBL!$A:$A,0))</f>
        <v>30.605479452054794</v>
      </c>
      <c r="AV104" s="10" t="str">
        <f>INDEX(CarrierDriverTBL!$K:$K,MATCH(Table1[[#This Row],[DriverID]],CarrierDriverTBL!$A:$A,0))</f>
        <v>925-383-5364</v>
      </c>
      <c r="AW104" s="10" t="str">
        <f>INDEX(CarrierDriverTBL!$M:$M,MATCH(Table1[[#This Row],[DriverID]],CarrierDriverTBL!$A:$A,0))</f>
        <v>110 Cordova Ln</v>
      </c>
      <c r="AX104" s="10" t="str">
        <f>INDEX(CarrierDriverTBL!$N:$N,MATCH(Table1[[#This Row],[DriverID]],CarrierDriverTBL!$A:$A,0))</f>
        <v>Stockton</v>
      </c>
      <c r="AY104" s="10" t="str">
        <f>INDEX(CarrierDriverTBL!$O:$O,MATCH(Table1[[#This Row],[DriverID]],CarrierDriverTBL!$A:$A,0))</f>
        <v>CA</v>
      </c>
      <c r="AZ104" s="10">
        <f>INDEX(CarrierDriverTBL!$P:$P,MATCH(Table1[[#This Row],[DriverID]],CarrierDriverTBL!$A:$A,0))</f>
        <v>95207</v>
      </c>
      <c r="BA104" s="10" t="str">
        <f>INDEX(CarrierDriverTBL!$Q:$Q,MATCH(Table1[[#This Row],[DriverID]],CarrierDriverTBL!$A:$A,0))</f>
        <v>US</v>
      </c>
      <c r="BB104" s="173" t="str">
        <f>INDEX(CarrierDriverTBL!$R:$R,MATCH(Table1[[#This Row],[DriverID]],CarrierDriverTBL!$A:$A,0))</f>
        <v>wesleycousain1@gmail.com</v>
      </c>
      <c r="BC104" s="160">
        <f>INDEX(CarrierDriverTBL!$AB:$AB,MATCH(Table1[[#This Row],[DriverID]],CarrierDriverTBL!$A:$A,0))</f>
        <v>42271</v>
      </c>
      <c r="BD104" s="142" t="str">
        <f ca="1">INDEX(CarrierDriverTBL!$AD:$AD,MATCH(LoadMaster!$AN:$AN,CarrierDriverTBL!$A:$A,0))</f>
        <v>MISSING</v>
      </c>
      <c r="BE104" s="142">
        <f>INDEX(CarrierDriverTBL!$AE:$AE,MATCH(Table1[DriverID],CarrierDriverTBL!$A:$A,0))</f>
        <v>913971</v>
      </c>
      <c r="BF104" s="142">
        <f>INDEX(CarrierDriverTBL!$AF:$AF,MATCH(Table1[DriverID],CarrierDriverTBL!$A:$A,0))</f>
        <v>2627544</v>
      </c>
      <c r="BG104" s="142">
        <f>INDEX(CarrierDriverTBL!$AG:$AG,MATCH(Table1[DriverID],CarrierDriverTBL!$A:$A,0))</f>
        <v>466133</v>
      </c>
      <c r="BH104" s="142" t="str">
        <f>INDEX(CarrierDriverTBL!$AH:$AH,MATCH(Table1[DriverID],CarrierDriverTBL!$A:$A,0))</f>
        <v>GM Lawrence Ins</v>
      </c>
      <c r="BI104" s="142" t="str">
        <f>INDEX(CarrierDriverTBL!$AI:$AI,MATCH(Table1[DriverID],CarrierDriverTBL!$A:$A,0))</f>
        <v>DSK2842P160210</v>
      </c>
      <c r="BJ104" s="160">
        <f>INDEX(CarrierDriverTBL!$AJ:$AJ,MATCH(Table1[[#This Row],[DriverID]],CarrierDriverTBL!$A:$A,0))</f>
        <v>42778</v>
      </c>
      <c r="BK104" s="10">
        <f t="shared" si="36"/>
        <v>503</v>
      </c>
      <c r="BL104" s="167">
        <v>900</v>
      </c>
      <c r="BM104" s="162">
        <v>363.2</v>
      </c>
      <c r="BN104" s="159">
        <f t="shared" ref="BN104" si="58">BL104/BM104</f>
        <v>2.4779735682819384</v>
      </c>
      <c r="BO104" s="167">
        <v>837</v>
      </c>
      <c r="BP104" s="159">
        <f t="shared" ref="BP104" si="59">BO104/BM104</f>
        <v>2.3045154185022025</v>
      </c>
      <c r="BQ104" s="134">
        <v>2.7989999999999999</v>
      </c>
      <c r="BR104" s="166">
        <f t="shared" ref="BR104" si="60">(BQ104-1.9)/6</f>
        <v>0.14983333333333335</v>
      </c>
      <c r="BS104" s="167">
        <f t="shared" si="37"/>
        <v>2.1546820851688691</v>
      </c>
      <c r="BT104" s="159">
        <f t="shared" si="38"/>
        <v>54.419466666666672</v>
      </c>
      <c r="BU104" s="10" t="str">
        <f t="shared" si="39"/>
        <v>Ch Robinson</v>
      </c>
      <c r="BV104" s="4"/>
      <c r="BW104" s="4" t="str">
        <f>Table1[[#This Row],[BrokerAddress]]</f>
        <v>P.O. Box 3474</v>
      </c>
      <c r="BX104" s="4" t="str">
        <f t="shared" si="40"/>
        <v>Chicago</v>
      </c>
      <c r="BY104" s="4" t="str">
        <f t="shared" si="41"/>
        <v>Il</v>
      </c>
      <c r="BZ104" s="4">
        <f t="shared" si="42"/>
        <v>60654</v>
      </c>
      <c r="CA104" s="10" t="str">
        <f t="shared" si="43"/>
        <v>US</v>
      </c>
      <c r="CB104" s="15" t="s">
        <v>131</v>
      </c>
      <c r="CC104" s="61"/>
      <c r="CD104" s="4" t="s">
        <v>193</v>
      </c>
      <c r="CE104" s="5">
        <v>50</v>
      </c>
      <c r="CF104" s="4">
        <v>1</v>
      </c>
      <c r="CG104" s="132">
        <f t="shared" si="44"/>
        <v>50</v>
      </c>
      <c r="CH104" s="4" t="s">
        <v>308</v>
      </c>
      <c r="CI104" s="5">
        <v>40</v>
      </c>
      <c r="CJ104" s="4">
        <v>1.5</v>
      </c>
      <c r="CK104" s="132">
        <f t="shared" si="45"/>
        <v>60</v>
      </c>
      <c r="CL104" s="4" t="s">
        <v>132</v>
      </c>
      <c r="CM104" s="5">
        <v>0</v>
      </c>
      <c r="CN104" s="4">
        <v>0</v>
      </c>
      <c r="CO104" s="132">
        <f t="shared" si="46"/>
        <v>0</v>
      </c>
      <c r="CP104" s="4" t="s">
        <v>132</v>
      </c>
      <c r="CQ104" s="5">
        <v>0</v>
      </c>
      <c r="CR104" s="4">
        <v>0</v>
      </c>
      <c r="CS104" s="132">
        <f t="shared" si="47"/>
        <v>0</v>
      </c>
      <c r="CT104" s="159">
        <f t="shared" si="48"/>
        <v>110</v>
      </c>
      <c r="CU104" s="168">
        <f t="shared" si="49"/>
        <v>1010</v>
      </c>
      <c r="CV104" s="169">
        <f t="shared" si="56"/>
        <v>110</v>
      </c>
      <c r="CW104" s="82">
        <f t="shared" si="57"/>
        <v>947</v>
      </c>
      <c r="CX104" s="79">
        <f>IF(ISBLANK(E104),"AddQuickPay",IF(E104=2,CU104*0.98,IF(E104=2.4,CU104*0.976,IF(E104=3,CU104*0.97,IF(E104=5,CU104*0.95,IF(E104=1.5,CU104*0.985,IF(E104=2.5,CU104*0.975,IF(E104=1.3,CU104*0.987,IF(E104=1,CU104*0.99,IF(E104=4,CU104*0.96,CU104*1))))))))))-Table1[[#This Row],[ComCheck+QuickPayFee]]</f>
        <v>989.8</v>
      </c>
      <c r="CY104" s="5">
        <f t="shared" si="50"/>
        <v>63</v>
      </c>
      <c r="CZ104" s="5">
        <f t="shared" si="51"/>
        <v>20.2</v>
      </c>
      <c r="DA104" s="258">
        <f>Table1[[#This Row],[OriginalDispatch]]-Table1[[#This Row],[QuickPayCharge]]</f>
        <v>42.8</v>
      </c>
      <c r="DB104" s="5">
        <v>0</v>
      </c>
      <c r="DC104" s="5" t="s">
        <v>133</v>
      </c>
      <c r="DD104" s="104">
        <f t="shared" si="52"/>
        <v>42279</v>
      </c>
      <c r="DE104" s="15">
        <f>MONTH(Table1[[#This Row],[Weekending]])</f>
        <v>10</v>
      </c>
      <c r="DF104" s="15">
        <f>YEAR(Table1[[#This Row],[Weekending]])</f>
        <v>2015</v>
      </c>
      <c r="DG104" s="4"/>
    </row>
    <row r="105" spans="1:111">
      <c r="A105" s="20" t="str">
        <f t="shared" si="34"/>
        <v>30626249</v>
      </c>
      <c r="B105" s="160">
        <v>42276</v>
      </c>
      <c r="C105" s="144">
        <v>182280230</v>
      </c>
      <c r="D105" s="142" t="s">
        <v>111</v>
      </c>
      <c r="E105" s="142">
        <v>2</v>
      </c>
      <c r="F105" s="142" t="str">
        <f>INDEX(BrokerTBL!$B:$B,MATCH(D105,BrokerTBL!$A:$A,0))</f>
        <v>P.O. Box 3474</v>
      </c>
      <c r="G105" s="142" t="str">
        <f>INDEX(BrokerTBL!$C:$C,MATCH(D105,BrokerTBL!$A:$A,0))</f>
        <v>Chicago</v>
      </c>
      <c r="H105" s="142" t="str">
        <f>INDEX(BrokerTBL!$D:$D,MATCH(D105,BrokerTBL!$A:$A,0))</f>
        <v>Il</v>
      </c>
      <c r="I105" s="142" t="str">
        <f>INDEX(BrokerTBL!$E:$E,MATCH(D105,BrokerTBL!$A:$A,0))</f>
        <v>US</v>
      </c>
      <c r="J105" s="142">
        <f>INDEX(BrokerTBL!$F:$F,MATCH(D105,BrokerTBL!$A:$A,0))</f>
        <v>60654</v>
      </c>
      <c r="K105" s="298" t="s">
        <v>942</v>
      </c>
      <c r="L105" s="145" t="s">
        <v>949</v>
      </c>
      <c r="M105" s="146">
        <v>42276</v>
      </c>
      <c r="N105" s="144" t="s">
        <v>427</v>
      </c>
      <c r="O105" s="298" t="s">
        <v>943</v>
      </c>
      <c r="P105" s="298" t="s">
        <v>366</v>
      </c>
      <c r="Q105" s="298" t="s">
        <v>139</v>
      </c>
      <c r="R105" s="298">
        <v>95776</v>
      </c>
      <c r="S105" s="298" t="s">
        <v>118</v>
      </c>
      <c r="T105" s="298" t="s">
        <v>136</v>
      </c>
      <c r="U105" s="142" t="s">
        <v>120</v>
      </c>
      <c r="V105" s="142">
        <v>53</v>
      </c>
      <c r="W105" s="298" t="s">
        <v>944</v>
      </c>
      <c r="X105" s="144">
        <v>30000</v>
      </c>
      <c r="Y105" s="298" t="s">
        <v>26</v>
      </c>
      <c r="Z105" s="298" t="s">
        <v>123</v>
      </c>
      <c r="AA105" s="298" t="s">
        <v>123</v>
      </c>
      <c r="AB105" s="298" t="s">
        <v>123</v>
      </c>
      <c r="AC105" s="142" t="s">
        <v>945</v>
      </c>
      <c r="AD105" s="145" t="s">
        <v>949</v>
      </c>
      <c r="AE105" s="160">
        <v>42277</v>
      </c>
      <c r="AF105" s="416" t="s">
        <v>123</v>
      </c>
      <c r="AG105" s="142" t="s">
        <v>946</v>
      </c>
      <c r="AH105" s="142" t="s">
        <v>947</v>
      </c>
      <c r="AI105" s="142" t="s">
        <v>139</v>
      </c>
      <c r="AJ105" s="142">
        <v>93437</v>
      </c>
      <c r="AK105" s="142" t="s">
        <v>118</v>
      </c>
      <c r="AL105" s="142" t="s">
        <v>123</v>
      </c>
      <c r="AM105" s="10" t="str">
        <f>INDEX(CarrierDriverTBL!$B:$B,MATCH(Table1[[#This Row],[DriverID]],CarrierDriverTBL!$A:$A,0))</f>
        <v>UBTrucking</v>
      </c>
      <c r="AN105" s="10" t="s">
        <v>192</v>
      </c>
      <c r="AO105" s="10" t="str">
        <f>INDEX(CarrierDriverTBL!$C:$C,MATCH(Table1[[#This Row],[DriverID]],CarrierDriverTBL!$A:$A,0))</f>
        <v>Albel</v>
      </c>
      <c r="AP105" s="142" t="str">
        <f>INDEX(CarrierDriverTBL!$D:$D,MATCH(Table1[[#This Row],[DriverID]],CarrierDriverTBL!$A:$A,0))</f>
        <v>Chahil</v>
      </c>
      <c r="AQ105" s="142" t="str">
        <f>INDEX(CarrierDriverTBL!$X:$X,MATCH(Table1[[#This Row],[DriverID]],CarrierDriverTBL!$A:$A,0))</f>
        <v>A8390649</v>
      </c>
      <c r="AR105" s="160">
        <f>INDEX(CarrierDriverTBL!$Y:$Y,MATCH(Table1[[#This Row],[DriverID]],CarrierDriverTBL!$A:$A,0))</f>
        <v>42402</v>
      </c>
      <c r="AS105" s="142" t="str">
        <f t="shared" si="35"/>
        <v>GOOD</v>
      </c>
      <c r="AT105" s="160">
        <f>INDEX(CarrierDriverTBL!$E:$E,MATCH(Table1[[#This Row],[DriverID]],CarrierDriverTBL!$A:$A,0))</f>
        <v>22314</v>
      </c>
      <c r="AU105" s="163">
        <f ca="1">INDEX(CarrierDriverTBL!$F:$F,MATCH(Table1[[#This Row],[DriverID]],CarrierDriverTBL!$A:$A,0))</f>
        <v>55.512328767123286</v>
      </c>
      <c r="AV105" s="142" t="str">
        <f>INDEX(CarrierDriverTBL!$K:$K,MATCH(Table1[[#This Row],[DriverID]],CarrierDriverTBL!$A:$A,0))</f>
        <v>510-773-9450</v>
      </c>
      <c r="AW105" s="142" t="str">
        <f>INDEX(CarrierDriverTBL!$M:$M,MATCH(Table1[[#This Row],[DriverID]],CarrierDriverTBL!$A:$A,0))</f>
        <v>3124 Cynthia CT</v>
      </c>
      <c r="AX105" s="142" t="str">
        <f>INDEX(CarrierDriverTBL!$N:$N,MATCH(Table1[[#This Row],[DriverID]],CarrierDriverTBL!$A:$A,0))</f>
        <v>Tracy</v>
      </c>
      <c r="AY105" s="142" t="str">
        <f>INDEX(CarrierDriverTBL!$O:$O,MATCH(Table1[[#This Row],[DriverID]],CarrierDriverTBL!$A:$A,0))</f>
        <v>CA</v>
      </c>
      <c r="AZ105" s="142">
        <f>INDEX(CarrierDriverTBL!$P:$P,MATCH(Table1[[#This Row],[DriverID]],CarrierDriverTBL!$A:$A,0))</f>
        <v>95377</v>
      </c>
      <c r="BA105" s="142" t="str">
        <f>INDEX(CarrierDriverTBL!$Q:$Q,MATCH(Table1[[#This Row],[DriverID]],CarrierDriverTBL!$A:$A,0))</f>
        <v>US</v>
      </c>
      <c r="BB105" s="176" t="str">
        <f>INDEX(CarrierDriverTBL!$R:$R,MATCH(Table1[[#This Row],[DriverID]],CarrierDriverTBL!$A:$A,0))</f>
        <v>ubgollc@gmail.com</v>
      </c>
      <c r="BC105" s="160">
        <f>INDEX(CarrierDriverTBL!$AB:$AB,MATCH(Table1[[#This Row],[DriverID]],CarrierDriverTBL!$A:$A,0))</f>
        <v>42167</v>
      </c>
      <c r="BD105" s="142" t="str">
        <f ca="1">INDEX(CarrierDriverTBL!$AD:$AD,MATCH(LoadMaster!$AN:$AN,CarrierDriverTBL!$A:$A,0))</f>
        <v>MISSING</v>
      </c>
      <c r="BE105" s="142">
        <f>INDEX(CarrierDriverTBL!$AE:$AE,MATCH(Table1[DriverID],CarrierDriverTBL!$A:$A,0))</f>
        <v>913971</v>
      </c>
      <c r="BF105" s="142">
        <f>INDEX(CarrierDriverTBL!$AF:$AF,MATCH(Table1[DriverID],CarrierDriverTBL!$A:$A,0))</f>
        <v>2627544</v>
      </c>
      <c r="BG105" s="142">
        <f>INDEX(CarrierDriverTBL!$AG:$AG,MATCH(Table1[DriverID],CarrierDriverTBL!$A:$A,0))</f>
        <v>466133</v>
      </c>
      <c r="BH105" s="142" t="str">
        <f>INDEX(CarrierDriverTBL!$AH:$AH,MATCH(Table1[DriverID],CarrierDriverTBL!$A:$A,0))</f>
        <v>GM Lawrence Ins</v>
      </c>
      <c r="BI105" s="142" t="str">
        <f>INDEX(CarrierDriverTBL!$AI:$AI,MATCH(Table1[DriverID],CarrierDriverTBL!$A:$A,0))</f>
        <v>DSK2842P160210</v>
      </c>
      <c r="BJ105" s="160">
        <f>INDEX(CarrierDriverTBL!$AJ:$AJ,MATCH(Table1[[#This Row],[DriverID]],CarrierDriverTBL!$A:$A,0))</f>
        <v>42778</v>
      </c>
      <c r="BK105" s="10">
        <f t="shared" si="36"/>
        <v>502</v>
      </c>
      <c r="BL105" s="64">
        <v>150</v>
      </c>
      <c r="BN105" s="159"/>
      <c r="BO105" s="134">
        <v>125</v>
      </c>
      <c r="BP105" s="159"/>
      <c r="BQ105" s="133"/>
      <c r="BR105" s="166"/>
      <c r="BS105" s="167">
        <f t="shared" si="37"/>
        <v>0</v>
      </c>
      <c r="BT105" s="159">
        <f t="shared" si="38"/>
        <v>0</v>
      </c>
      <c r="BU105" s="10" t="str">
        <f t="shared" si="39"/>
        <v>Ch Robinson</v>
      </c>
      <c r="BV105" s="4"/>
      <c r="BW105" s="4" t="str">
        <f>Table1[[#This Row],[BrokerAddress]]</f>
        <v>P.O. Box 3474</v>
      </c>
      <c r="BX105" s="4" t="str">
        <f t="shared" si="40"/>
        <v>Chicago</v>
      </c>
      <c r="BY105" s="4" t="str">
        <f t="shared" si="41"/>
        <v>Il</v>
      </c>
      <c r="BZ105" s="4">
        <f t="shared" si="42"/>
        <v>60654</v>
      </c>
      <c r="CA105" s="10" t="str">
        <f t="shared" si="43"/>
        <v>US</v>
      </c>
      <c r="CB105" s="15" t="s">
        <v>131</v>
      </c>
      <c r="CC105" s="62"/>
      <c r="CD105" s="15" t="s">
        <v>132</v>
      </c>
      <c r="CE105" s="64">
        <v>0</v>
      </c>
      <c r="CF105" s="4">
        <v>0</v>
      </c>
      <c r="CG105" s="132">
        <f t="shared" si="44"/>
        <v>0</v>
      </c>
      <c r="CH105" s="4" t="s">
        <v>132</v>
      </c>
      <c r="CI105" s="5">
        <v>0</v>
      </c>
      <c r="CJ105" s="4">
        <v>0</v>
      </c>
      <c r="CK105" s="132">
        <f t="shared" si="45"/>
        <v>0</v>
      </c>
      <c r="CL105" s="4" t="s">
        <v>132</v>
      </c>
      <c r="CM105" s="5">
        <v>0</v>
      </c>
      <c r="CN105" s="4">
        <v>0</v>
      </c>
      <c r="CO105" s="132">
        <f t="shared" si="46"/>
        <v>0</v>
      </c>
      <c r="CP105" s="4" t="s">
        <v>132</v>
      </c>
      <c r="CQ105" s="5">
        <v>0</v>
      </c>
      <c r="CR105" s="4">
        <v>0</v>
      </c>
      <c r="CS105" s="132">
        <f t="shared" si="47"/>
        <v>0</v>
      </c>
      <c r="CT105" s="159">
        <f t="shared" si="48"/>
        <v>0</v>
      </c>
      <c r="CU105" s="168">
        <f t="shared" si="49"/>
        <v>150</v>
      </c>
      <c r="CV105" s="183">
        <f t="shared" si="56"/>
        <v>0</v>
      </c>
      <c r="CW105" s="82">
        <f t="shared" si="57"/>
        <v>125</v>
      </c>
      <c r="CX105" s="79">
        <f>IF(ISBLANK(E105),"AddQuickPay",IF(E105=2,CU105*0.98,IF(E105=2.4,CU105*0.976,IF(E105=3,CU105*0.97,IF(E105=5,CU105*0.95,IF(E105=1.5,CU105*0.985,IF(E105=2.5,CU105*0.975,IF(E105=1.3,CU105*0.987,IF(E105=1,CU105*0.99,IF(E105=4,CU105*0.96,CU105*1))))))))))-Table1[[#This Row],[ComCheck+QuickPayFee]]</f>
        <v>147</v>
      </c>
      <c r="CY105" s="5">
        <f t="shared" si="50"/>
        <v>25</v>
      </c>
      <c r="CZ105" s="5">
        <f t="shared" si="51"/>
        <v>3</v>
      </c>
      <c r="DA105" s="258">
        <f>Table1[[#This Row],[OriginalDispatch]]-Table1[[#This Row],[QuickPayCharge]]</f>
        <v>22</v>
      </c>
      <c r="DB105" s="5">
        <v>0</v>
      </c>
      <c r="DC105" s="5" t="s">
        <v>133</v>
      </c>
      <c r="DD105" s="104">
        <f t="shared" si="52"/>
        <v>42279</v>
      </c>
      <c r="DE105" s="15">
        <f>MONTH(Table1[[#This Row],[Weekending]])</f>
        <v>10</v>
      </c>
      <c r="DF105" s="15">
        <f>YEAR(Table1[[#This Row],[Weekending]])</f>
        <v>2015</v>
      </c>
      <c r="DG105" s="4" t="s">
        <v>950</v>
      </c>
    </row>
    <row r="106" spans="1:111">
      <c r="A106" s="20" t="str">
        <f t="shared" si="34"/>
        <v>26333388</v>
      </c>
      <c r="B106" s="160">
        <v>42276</v>
      </c>
      <c r="C106" s="144">
        <v>261200339740126</v>
      </c>
      <c r="D106" s="298" t="s">
        <v>951</v>
      </c>
      <c r="E106" s="298">
        <v>2</v>
      </c>
      <c r="F106" s="298" t="str">
        <f>INDEX(BrokerTBL!$B:$B,MATCH(D106,BrokerTBL!$A:$A,0))</f>
        <v>2000 Clearwater Drive</v>
      </c>
      <c r="G106" s="298" t="str">
        <f>INDEX(BrokerTBL!$C:$C,MATCH(D106,BrokerTBL!$A:$A,0))</f>
        <v>Oak Brook</v>
      </c>
      <c r="H106" s="298" t="str">
        <f>INDEX(BrokerTBL!$D:$D,MATCH(D106,BrokerTBL!$A:$A,0))</f>
        <v>Il</v>
      </c>
      <c r="I106" s="298" t="str">
        <f>INDEX(BrokerTBL!$E:$E,MATCH(D106,BrokerTBL!$A:$A,0))</f>
        <v>US</v>
      </c>
      <c r="J106" s="298">
        <f>INDEX(BrokerTBL!$F:$F,MATCH(D106,BrokerTBL!$A:$A,0))</f>
        <v>60523</v>
      </c>
      <c r="K106" s="298" t="s">
        <v>952</v>
      </c>
      <c r="L106" s="145">
        <v>3748990733</v>
      </c>
      <c r="M106" s="146">
        <v>42276</v>
      </c>
      <c r="N106" s="146" t="s">
        <v>953</v>
      </c>
      <c r="O106" s="298" t="s">
        <v>954</v>
      </c>
      <c r="P106" s="298" t="s">
        <v>634</v>
      </c>
      <c r="Q106" s="298" t="s">
        <v>139</v>
      </c>
      <c r="R106" s="298">
        <v>93455</v>
      </c>
      <c r="S106" s="298" t="s">
        <v>118</v>
      </c>
      <c r="T106" s="298" t="s">
        <v>955</v>
      </c>
      <c r="U106" s="298" t="s">
        <v>120</v>
      </c>
      <c r="V106" s="298">
        <v>53</v>
      </c>
      <c r="W106" s="298" t="s">
        <v>136</v>
      </c>
      <c r="X106" s="144">
        <v>20223</v>
      </c>
      <c r="Y106" s="298" t="s">
        <v>566</v>
      </c>
      <c r="Z106" s="298">
        <v>300</v>
      </c>
      <c r="AA106" s="298" t="s">
        <v>123</v>
      </c>
      <c r="AB106" s="298" t="s">
        <v>123</v>
      </c>
      <c r="AC106" s="298" t="s">
        <v>956</v>
      </c>
      <c r="AD106" s="145">
        <v>50119233</v>
      </c>
      <c r="AE106" s="146">
        <v>42276</v>
      </c>
      <c r="AF106" s="182">
        <v>0.20833333333333301</v>
      </c>
      <c r="AG106" s="298" t="s">
        <v>957</v>
      </c>
      <c r="AH106" s="298" t="s">
        <v>214</v>
      </c>
      <c r="AI106" s="142" t="s">
        <v>139</v>
      </c>
      <c r="AJ106" s="298">
        <v>93725</v>
      </c>
      <c r="AK106" s="298" t="s">
        <v>118</v>
      </c>
      <c r="AL106" s="298" t="s">
        <v>123</v>
      </c>
      <c r="AM106" s="142" t="str">
        <f>INDEX(CarrierDriverTBL!$B:$B,MATCH(Table1[[#This Row],[DriverID]],CarrierDriverTBL!$A:$A,0))</f>
        <v>UBTrucking</v>
      </c>
      <c r="AN106" s="10" t="s">
        <v>948</v>
      </c>
      <c r="AO106" s="10" t="str">
        <f>INDEX(CarrierDriverTBL!$C:$C,MATCH(Table1[[#This Row],[DriverID]],CarrierDriverTBL!$A:$A,0))</f>
        <v>Wesley</v>
      </c>
      <c r="AP106" s="10" t="str">
        <f>INDEX(CarrierDriverTBL!$D:$D,MATCH(Table1[[#This Row],[DriverID]],CarrierDriverTBL!$A:$A,0))</f>
        <v>Cousain</v>
      </c>
      <c r="AQ106" s="10" t="str">
        <f>INDEX(CarrierDriverTBL!$X:$X,MATCH(Table1[[#This Row],[DriverID]],CarrierDriverTBL!$A:$A,0))</f>
        <v>D4903588</v>
      </c>
      <c r="AR106" s="11">
        <f>INDEX(CarrierDriverTBL!$Y:$Y,MATCH(Table1[[#This Row],[DriverID]],CarrierDriverTBL!$A:$A,0))</f>
        <v>43458</v>
      </c>
      <c r="AS106" s="142" t="str">
        <f t="shared" si="35"/>
        <v>GOOD</v>
      </c>
      <c r="AT106" s="11">
        <f>INDEX(CarrierDriverTBL!$E:$E,MATCH(Table1[[#This Row],[DriverID]],CarrierDriverTBL!$A:$A,0))</f>
        <v>31405</v>
      </c>
      <c r="AU106" s="163">
        <f ca="1">INDEX(CarrierDriverTBL!$F:$F,MATCH(Table1[[#This Row],[DriverID]],CarrierDriverTBL!$A:$A,0))</f>
        <v>30.605479452054794</v>
      </c>
      <c r="AV106" s="10" t="str">
        <f>INDEX(CarrierDriverTBL!$K:$K,MATCH(Table1[[#This Row],[DriverID]],CarrierDriverTBL!$A:$A,0))</f>
        <v>925-383-5364</v>
      </c>
      <c r="AW106" s="10" t="str">
        <f>INDEX(CarrierDriverTBL!$M:$M,MATCH(Table1[[#This Row],[DriverID]],CarrierDriverTBL!$A:$A,0))</f>
        <v>110 Cordova Ln</v>
      </c>
      <c r="AX106" s="10" t="str">
        <f>INDEX(CarrierDriverTBL!$N:$N,MATCH(Table1[[#This Row],[DriverID]],CarrierDriverTBL!$A:$A,0))</f>
        <v>Stockton</v>
      </c>
      <c r="AY106" s="10" t="str">
        <f>INDEX(CarrierDriverTBL!$O:$O,MATCH(Table1[[#This Row],[DriverID]],CarrierDriverTBL!$A:$A,0))</f>
        <v>CA</v>
      </c>
      <c r="AZ106" s="10">
        <f>INDEX(CarrierDriverTBL!$P:$P,MATCH(Table1[[#This Row],[DriverID]],CarrierDriverTBL!$A:$A,0))</f>
        <v>95207</v>
      </c>
      <c r="BA106" s="10" t="str">
        <f>INDEX(CarrierDriverTBL!$Q:$Q,MATCH(Table1[[#This Row],[DriverID]],CarrierDriverTBL!$A:$A,0))</f>
        <v>US</v>
      </c>
      <c r="BB106" s="173" t="str">
        <f>INDEX(CarrierDriverTBL!$R:$R,MATCH(Table1[[#This Row],[DriverID]],CarrierDriverTBL!$A:$A,0))</f>
        <v>wesleycousain1@gmail.com</v>
      </c>
      <c r="BC106" s="160">
        <f>INDEX(CarrierDriverTBL!$AB:$AB,MATCH(Table1[[#This Row],[DriverID]],CarrierDriverTBL!$A:$A,0))</f>
        <v>42271</v>
      </c>
      <c r="BD106" s="142" t="str">
        <f ca="1">INDEX(CarrierDriverTBL!$AD:$AD,MATCH(LoadMaster!$AN:$AN,CarrierDriverTBL!$A:$A,0))</f>
        <v>MISSING</v>
      </c>
      <c r="BE106" s="142">
        <f>INDEX(CarrierDriverTBL!$AE:$AE,MATCH(Table1[DriverID],CarrierDriverTBL!$A:$A,0))</f>
        <v>913971</v>
      </c>
      <c r="BF106" s="142">
        <f>INDEX(CarrierDriverTBL!$AF:$AF,MATCH(Table1[DriverID],CarrierDriverTBL!$A:$A,0))</f>
        <v>2627544</v>
      </c>
      <c r="BG106" s="142">
        <f>INDEX(CarrierDriverTBL!$AG:$AG,MATCH(Table1[DriverID],CarrierDriverTBL!$A:$A,0))</f>
        <v>466133</v>
      </c>
      <c r="BH106" s="142" t="str">
        <f>INDEX(CarrierDriverTBL!$AH:$AH,MATCH(Table1[DriverID],CarrierDriverTBL!$A:$A,0))</f>
        <v>GM Lawrence Ins</v>
      </c>
      <c r="BI106" s="142" t="str">
        <f>INDEX(CarrierDriverTBL!$AI:$AI,MATCH(Table1[DriverID],CarrierDriverTBL!$A:$A,0))</f>
        <v>DSK2842P160210</v>
      </c>
      <c r="BJ106" s="160">
        <f>INDEX(CarrierDriverTBL!$AJ:$AJ,MATCH(Table1[[#This Row],[DriverID]],CarrierDriverTBL!$A:$A,0))</f>
        <v>42778</v>
      </c>
      <c r="BK106" s="10">
        <f t="shared" si="36"/>
        <v>502</v>
      </c>
      <c r="BL106" s="174">
        <v>500</v>
      </c>
      <c r="BM106" s="144">
        <v>170</v>
      </c>
      <c r="BN106" s="159">
        <f>BL106/BM106</f>
        <v>2.9411764705882355</v>
      </c>
      <c r="BO106" s="167">
        <v>465</v>
      </c>
      <c r="BP106" s="159">
        <f>BO106/BM106</f>
        <v>2.7352941176470589</v>
      </c>
      <c r="BQ106" s="133">
        <v>2.7989999999999999</v>
      </c>
      <c r="BR106" s="166">
        <f>(BQ106-1.9)/6</f>
        <v>0.14983333333333335</v>
      </c>
      <c r="BS106" s="167">
        <f t="shared" si="37"/>
        <v>2.5854607843137254</v>
      </c>
      <c r="BT106" s="159">
        <f t="shared" si="38"/>
        <v>25.471666666666668</v>
      </c>
      <c r="BU106" s="10" t="str">
        <f t="shared" si="39"/>
        <v>Hub Group Inc</v>
      </c>
      <c r="BV106" s="15"/>
      <c r="BW106" s="4" t="str">
        <f>Table1[[#This Row],[BrokerAddress]]</f>
        <v>2000 Clearwater Drive</v>
      </c>
      <c r="BX106" s="4" t="str">
        <f t="shared" si="40"/>
        <v>Oak Brook</v>
      </c>
      <c r="BY106" s="4" t="str">
        <f t="shared" si="41"/>
        <v>Il</v>
      </c>
      <c r="BZ106" s="4">
        <f t="shared" si="42"/>
        <v>60523</v>
      </c>
      <c r="CA106" s="10" t="str">
        <f t="shared" si="43"/>
        <v>US</v>
      </c>
      <c r="CB106" s="15" t="s">
        <v>131</v>
      </c>
      <c r="CC106" s="62"/>
      <c r="CD106" s="15" t="s">
        <v>132</v>
      </c>
      <c r="CE106" s="64">
        <v>0</v>
      </c>
      <c r="CF106" s="4">
        <v>0</v>
      </c>
      <c r="CG106" s="132">
        <f t="shared" si="44"/>
        <v>0</v>
      </c>
      <c r="CH106" s="4" t="s">
        <v>132</v>
      </c>
      <c r="CI106" s="5">
        <v>0</v>
      </c>
      <c r="CJ106" s="4">
        <v>0</v>
      </c>
      <c r="CK106" s="132">
        <f t="shared" si="45"/>
        <v>0</v>
      </c>
      <c r="CL106" s="4" t="s">
        <v>132</v>
      </c>
      <c r="CM106" s="5">
        <v>0</v>
      </c>
      <c r="CN106" s="4">
        <v>0</v>
      </c>
      <c r="CO106" s="132">
        <f t="shared" si="46"/>
        <v>0</v>
      </c>
      <c r="CP106" s="4" t="s">
        <v>132</v>
      </c>
      <c r="CQ106" s="5">
        <v>0</v>
      </c>
      <c r="CR106" s="4">
        <v>0</v>
      </c>
      <c r="CS106" s="132">
        <f t="shared" si="47"/>
        <v>0</v>
      </c>
      <c r="CT106" s="159">
        <f t="shared" si="48"/>
        <v>0</v>
      </c>
      <c r="CU106" s="168">
        <f t="shared" si="49"/>
        <v>500</v>
      </c>
      <c r="CV106" s="183">
        <f t="shared" si="56"/>
        <v>0</v>
      </c>
      <c r="CW106" s="82">
        <f t="shared" si="57"/>
        <v>465</v>
      </c>
      <c r="CX106" s="79">
        <f>IF(ISBLANK(E106),"AddQuickPay",IF(E106=2,CU106*0.98,IF(E106=2.4,CU106*0.976,IF(E106=3,CU106*0.97,IF(E106=5,CU106*0.95,IF(E106=1.5,CU106*0.985,IF(E106=2.5,CU106*0.975,IF(E106=1.3,CU106*0.987,IF(E106=1,CU106*0.99,IF(E106=4,CU106*0.96,CU106*1))))))))))-Table1[[#This Row],[ComCheck+QuickPayFee]]</f>
        <v>490</v>
      </c>
      <c r="CY106" s="5">
        <f t="shared" si="50"/>
        <v>35</v>
      </c>
      <c r="CZ106" s="5">
        <f t="shared" si="51"/>
        <v>10</v>
      </c>
      <c r="DA106" s="258">
        <f>Table1[[#This Row],[OriginalDispatch]]-Table1[[#This Row],[QuickPayCharge]]</f>
        <v>25</v>
      </c>
      <c r="DB106" s="5">
        <v>0</v>
      </c>
      <c r="DC106" s="5" t="s">
        <v>133</v>
      </c>
      <c r="DD106" s="104">
        <f t="shared" si="52"/>
        <v>42279</v>
      </c>
      <c r="DE106" s="15">
        <f>MONTH(Table1[[#This Row],[Weekending]])</f>
        <v>10</v>
      </c>
      <c r="DF106" s="15">
        <f>YEAR(Table1[[#This Row],[Weekending]])</f>
        <v>2015</v>
      </c>
      <c r="DG106" s="4"/>
    </row>
    <row r="107" spans="1:111">
      <c r="A107" s="20" t="str">
        <f t="shared" si="34"/>
        <v>58122988</v>
      </c>
      <c r="B107" s="160">
        <v>42276</v>
      </c>
      <c r="C107" s="162">
        <v>182735358</v>
      </c>
      <c r="D107" s="142" t="s">
        <v>111</v>
      </c>
      <c r="E107" s="142">
        <v>2</v>
      </c>
      <c r="F107" s="142" t="str">
        <f>INDEX(BrokerTBL!$B:$B,MATCH(D107,BrokerTBL!$A:$A,0))</f>
        <v>P.O. Box 3474</v>
      </c>
      <c r="G107" s="142" t="str">
        <f>INDEX(BrokerTBL!$C:$C,MATCH(D107,BrokerTBL!$A:$A,0))</f>
        <v>Chicago</v>
      </c>
      <c r="H107" s="142" t="str">
        <f>INDEX(BrokerTBL!$D:$D,MATCH(D107,BrokerTBL!$A:$A,0))</f>
        <v>Il</v>
      </c>
      <c r="I107" s="142" t="str">
        <f>INDEX(BrokerTBL!$E:$E,MATCH(D107,BrokerTBL!$A:$A,0))</f>
        <v>US</v>
      </c>
      <c r="J107" s="142">
        <f>INDEX(BrokerTBL!$F:$F,MATCH(D107,BrokerTBL!$A:$A,0))</f>
        <v>60654</v>
      </c>
      <c r="K107" s="142" t="s">
        <v>958</v>
      </c>
      <c r="L107" s="161" t="s">
        <v>959</v>
      </c>
      <c r="M107" s="160">
        <v>42276</v>
      </c>
      <c r="N107" s="162" t="s">
        <v>427</v>
      </c>
      <c r="O107" s="142" t="s">
        <v>960</v>
      </c>
      <c r="P107" s="142" t="s">
        <v>961</v>
      </c>
      <c r="Q107" s="142" t="s">
        <v>139</v>
      </c>
      <c r="R107" s="142">
        <v>95652</v>
      </c>
      <c r="S107" s="142" t="s">
        <v>118</v>
      </c>
      <c r="T107" s="142">
        <v>9164372815</v>
      </c>
      <c r="U107" s="142" t="s">
        <v>120</v>
      </c>
      <c r="V107" s="142">
        <v>53</v>
      </c>
      <c r="W107" s="142" t="s">
        <v>962</v>
      </c>
      <c r="X107" s="162">
        <v>37000</v>
      </c>
      <c r="Y107" s="142" t="s">
        <v>963</v>
      </c>
      <c r="Z107" s="142">
        <v>29</v>
      </c>
      <c r="AA107" s="142" t="s">
        <v>123</v>
      </c>
      <c r="AB107" s="142" t="s">
        <v>123</v>
      </c>
      <c r="AC107" s="142" t="s">
        <v>964</v>
      </c>
      <c r="AD107" s="161">
        <v>599829</v>
      </c>
      <c r="AE107" s="160">
        <v>42277</v>
      </c>
      <c r="AF107" s="142" t="s">
        <v>629</v>
      </c>
      <c r="AG107" s="142" t="s">
        <v>965</v>
      </c>
      <c r="AH107" s="142" t="s">
        <v>966</v>
      </c>
      <c r="AI107" s="142" t="s">
        <v>139</v>
      </c>
      <c r="AJ107" s="142">
        <v>92301</v>
      </c>
      <c r="AK107" s="142" t="s">
        <v>118</v>
      </c>
      <c r="AL107" s="142" t="s">
        <v>123</v>
      </c>
      <c r="AM107" s="142" t="str">
        <f>INDEX(CarrierDriverTBL!$B:$B,MATCH(Table1[[#This Row],[DriverID]],CarrierDriverTBL!$A:$A,0))</f>
        <v>UBTrucking</v>
      </c>
      <c r="AN107" s="10" t="s">
        <v>948</v>
      </c>
      <c r="AO107" s="10" t="str">
        <f>INDEX(CarrierDriverTBL!$C:$C,MATCH(Table1[[#This Row],[DriverID]],CarrierDriverTBL!$A:$A,0))</f>
        <v>Wesley</v>
      </c>
      <c r="AP107" s="10" t="str">
        <f>INDEX(CarrierDriverTBL!$D:$D,MATCH(Table1[[#This Row],[DriverID]],CarrierDriverTBL!$A:$A,0))</f>
        <v>Cousain</v>
      </c>
      <c r="AQ107" s="10" t="str">
        <f>INDEX(CarrierDriverTBL!$X:$X,MATCH(Table1[[#This Row],[DriverID]],CarrierDriverTBL!$A:$A,0))</f>
        <v>D4903588</v>
      </c>
      <c r="AR107" s="11">
        <f>INDEX(CarrierDriverTBL!$Y:$Y,MATCH(Table1[[#This Row],[DriverID]],CarrierDriverTBL!$A:$A,0))</f>
        <v>43458</v>
      </c>
      <c r="AS107" s="142" t="str">
        <f t="shared" si="35"/>
        <v>GOOD</v>
      </c>
      <c r="AT107" s="11">
        <f>INDEX(CarrierDriverTBL!$E:$E,MATCH(Table1[[#This Row],[DriverID]],CarrierDriverTBL!$A:$A,0))</f>
        <v>31405</v>
      </c>
      <c r="AU107" s="163">
        <f ca="1">INDEX(CarrierDriverTBL!$F:$F,MATCH(Table1[[#This Row],[DriverID]],CarrierDriverTBL!$A:$A,0))</f>
        <v>30.605479452054794</v>
      </c>
      <c r="AV107" s="10" t="str">
        <f>INDEX(CarrierDriverTBL!$K:$K,MATCH(Table1[[#This Row],[DriverID]],CarrierDriverTBL!$A:$A,0))</f>
        <v>925-383-5364</v>
      </c>
      <c r="AW107" s="10" t="str">
        <f>INDEX(CarrierDriverTBL!$M:$M,MATCH(Table1[[#This Row],[DriverID]],CarrierDriverTBL!$A:$A,0))</f>
        <v>110 Cordova Ln</v>
      </c>
      <c r="AX107" s="10" t="str">
        <f>INDEX(CarrierDriverTBL!$N:$N,MATCH(Table1[[#This Row],[DriverID]],CarrierDriverTBL!$A:$A,0))</f>
        <v>Stockton</v>
      </c>
      <c r="AY107" s="10" t="str">
        <f>INDEX(CarrierDriverTBL!$O:$O,MATCH(Table1[[#This Row],[DriverID]],CarrierDriverTBL!$A:$A,0))</f>
        <v>CA</v>
      </c>
      <c r="AZ107" s="10">
        <f>INDEX(CarrierDriverTBL!$P:$P,MATCH(Table1[[#This Row],[DriverID]],CarrierDriverTBL!$A:$A,0))</f>
        <v>95207</v>
      </c>
      <c r="BA107" s="10" t="str">
        <f>INDEX(CarrierDriverTBL!$Q:$Q,MATCH(Table1[[#This Row],[DriverID]],CarrierDriverTBL!$A:$A,0))</f>
        <v>US</v>
      </c>
      <c r="BB107" s="173" t="str">
        <f>INDEX(CarrierDriverTBL!$R:$R,MATCH(Table1[[#This Row],[DriverID]],CarrierDriverTBL!$A:$A,0))</f>
        <v>wesleycousain1@gmail.com</v>
      </c>
      <c r="BC107" s="160">
        <f>INDEX(CarrierDriverTBL!$AB:$AB,MATCH(Table1[[#This Row],[DriverID]],CarrierDriverTBL!$A:$A,0))</f>
        <v>42271</v>
      </c>
      <c r="BD107" s="142" t="str">
        <f ca="1">INDEX(CarrierDriverTBL!$AD:$AD,MATCH(LoadMaster!$AN:$AN,CarrierDriverTBL!$A:$A,0))</f>
        <v>MISSING</v>
      </c>
      <c r="BE107" s="142">
        <f>INDEX(CarrierDriverTBL!$AE:$AE,MATCH(Table1[DriverID],CarrierDriverTBL!$A:$A,0))</f>
        <v>913971</v>
      </c>
      <c r="BF107" s="142">
        <f>INDEX(CarrierDriverTBL!$AF:$AF,MATCH(Table1[DriverID],CarrierDriverTBL!$A:$A,0))</f>
        <v>2627544</v>
      </c>
      <c r="BG107" s="142">
        <f>INDEX(CarrierDriverTBL!$AG:$AG,MATCH(Table1[DriverID],CarrierDriverTBL!$A:$A,0))</f>
        <v>466133</v>
      </c>
      <c r="BH107" s="142" t="str">
        <f>INDEX(CarrierDriverTBL!$AH:$AH,MATCH(Table1[DriverID],CarrierDriverTBL!$A:$A,0))</f>
        <v>GM Lawrence Ins</v>
      </c>
      <c r="BI107" s="142" t="str">
        <f>INDEX(CarrierDriverTBL!$AI:$AI,MATCH(Table1[DriverID],CarrierDriverTBL!$A:$A,0))</f>
        <v>DSK2842P160210</v>
      </c>
      <c r="BJ107" s="160">
        <f>INDEX(CarrierDriverTBL!$AJ:$AJ,MATCH(Table1[[#This Row],[DriverID]],CarrierDriverTBL!$A:$A,0))</f>
        <v>42778</v>
      </c>
      <c r="BK107" s="10">
        <f t="shared" si="36"/>
        <v>502</v>
      </c>
      <c r="BL107" s="5">
        <v>1000</v>
      </c>
      <c r="BM107" s="10">
        <v>414</v>
      </c>
      <c r="BN107" s="159">
        <f>BL107/BM107</f>
        <v>2.4154589371980677</v>
      </c>
      <c r="BO107" s="134">
        <v>944</v>
      </c>
      <c r="BP107" s="159">
        <f>BO107/BM107</f>
        <v>2.2801932367149758</v>
      </c>
      <c r="BQ107" s="134">
        <v>2.7989999999999999</v>
      </c>
      <c r="BR107" s="166">
        <f>(BQ107-1.9)/6</f>
        <v>0.14983333333333335</v>
      </c>
      <c r="BS107" s="167">
        <f t="shared" si="37"/>
        <v>2.1303599033816423</v>
      </c>
      <c r="BT107" s="159">
        <f t="shared" si="38"/>
        <v>62.031000000000006</v>
      </c>
      <c r="BU107" s="10" t="str">
        <f t="shared" si="39"/>
        <v>Ch Robinson</v>
      </c>
      <c r="BV107" s="4"/>
      <c r="BW107" s="4" t="str">
        <f>Table1[[#This Row],[BrokerAddress]]</f>
        <v>P.O. Box 3474</v>
      </c>
      <c r="BX107" s="4" t="str">
        <f t="shared" si="40"/>
        <v>Chicago</v>
      </c>
      <c r="BY107" s="4" t="str">
        <f t="shared" si="41"/>
        <v>Il</v>
      </c>
      <c r="BZ107" s="4">
        <f t="shared" si="42"/>
        <v>60654</v>
      </c>
      <c r="CA107" s="10" t="str">
        <f t="shared" si="43"/>
        <v>US</v>
      </c>
      <c r="CB107" s="15" t="s">
        <v>131</v>
      </c>
      <c r="CC107" s="61"/>
      <c r="CD107" s="4" t="s">
        <v>132</v>
      </c>
      <c r="CE107" s="5">
        <v>0</v>
      </c>
      <c r="CF107" s="4">
        <v>0</v>
      </c>
      <c r="CG107" s="132">
        <f t="shared" si="44"/>
        <v>0</v>
      </c>
      <c r="CH107" s="4" t="s">
        <v>132</v>
      </c>
      <c r="CI107" s="5">
        <v>0</v>
      </c>
      <c r="CJ107" s="4">
        <v>0</v>
      </c>
      <c r="CK107" s="132">
        <f t="shared" si="45"/>
        <v>0</v>
      </c>
      <c r="CL107" s="4" t="s">
        <v>132</v>
      </c>
      <c r="CM107" s="5">
        <v>0</v>
      </c>
      <c r="CN107" s="4">
        <v>0</v>
      </c>
      <c r="CO107" s="132">
        <f t="shared" si="46"/>
        <v>0</v>
      </c>
      <c r="CP107" s="4" t="s">
        <v>132</v>
      </c>
      <c r="CQ107" s="5">
        <v>0</v>
      </c>
      <c r="CR107" s="4">
        <v>0</v>
      </c>
      <c r="CS107" s="132">
        <f t="shared" si="47"/>
        <v>0</v>
      </c>
      <c r="CT107" s="159">
        <f t="shared" si="48"/>
        <v>0</v>
      </c>
      <c r="CU107" s="168">
        <f t="shared" si="49"/>
        <v>1000</v>
      </c>
      <c r="CV107" s="183">
        <f t="shared" si="56"/>
        <v>0</v>
      </c>
      <c r="CW107" s="82">
        <f t="shared" si="57"/>
        <v>944</v>
      </c>
      <c r="CX107" s="79">
        <f>IF(ISBLANK(E107),"AddQuickPay",IF(E107=2,CU107*0.98,IF(E107=2.4,CU107*0.976,IF(E107=3,CU107*0.97,IF(E107=5,CU107*0.95,IF(E107=1.5,CU107*0.985,IF(E107=2.5,CU107*0.975,IF(E107=1.3,CU107*0.987,IF(E107=1,CU107*0.99,IF(E107=4,CU107*0.96,CU107*1))))))))))-Table1[[#This Row],[ComCheck+QuickPayFee]]</f>
        <v>980</v>
      </c>
      <c r="CY107" s="5">
        <f t="shared" si="50"/>
        <v>56</v>
      </c>
      <c r="CZ107" s="5">
        <f t="shared" si="51"/>
        <v>20</v>
      </c>
      <c r="DA107" s="258">
        <f>Table1[[#This Row],[OriginalDispatch]]-Table1[[#This Row],[QuickPayCharge]]</f>
        <v>36</v>
      </c>
      <c r="DB107" s="5">
        <v>0</v>
      </c>
      <c r="DC107" s="5" t="s">
        <v>133</v>
      </c>
      <c r="DD107" s="104">
        <f t="shared" si="52"/>
        <v>42279</v>
      </c>
      <c r="DE107" s="15">
        <f>MONTH(Table1[[#This Row],[Weekending]])</f>
        <v>10</v>
      </c>
      <c r="DF107" s="15">
        <f>YEAR(Table1[[#This Row],[Weekending]])</f>
        <v>2015</v>
      </c>
      <c r="DG107" s="4" t="s">
        <v>967</v>
      </c>
    </row>
    <row r="108" spans="1:111">
      <c r="A108" s="20" t="str">
        <f t="shared" si="34"/>
        <v>6626fs49</v>
      </c>
      <c r="B108" s="146">
        <v>42277</v>
      </c>
      <c r="C108" s="144">
        <v>6120366</v>
      </c>
      <c r="D108" s="298" t="s">
        <v>555</v>
      </c>
      <c r="E108" s="298">
        <v>3</v>
      </c>
      <c r="F108" s="298" t="str">
        <f>INDEX(BrokerTBL!$B:$B,MATCH(D108,BrokerTBL!$A:$A,0))</f>
        <v>P.O. Box 799</v>
      </c>
      <c r="G108" s="298" t="str">
        <f>INDEX(BrokerTBL!$C:$C,MATCH(D108,BrokerTBL!$A:$A,0))</f>
        <v>Milford</v>
      </c>
      <c r="H108" s="298" t="str">
        <f>INDEX(BrokerTBL!$D:$D,MATCH(D108,BrokerTBL!$A:$A,0))</f>
        <v>Ohio</v>
      </c>
      <c r="I108" s="298" t="str">
        <f>INDEX(BrokerTBL!$E:$E,MATCH(D108,BrokerTBL!$A:$A,0))</f>
        <v>US</v>
      </c>
      <c r="J108" s="298">
        <f>INDEX(BrokerTBL!$F:$F,MATCH(D108,BrokerTBL!$A:$A,0))</f>
        <v>45150</v>
      </c>
      <c r="K108" s="298" t="s">
        <v>968</v>
      </c>
      <c r="L108" s="145">
        <v>2501226</v>
      </c>
      <c r="M108" s="146">
        <v>42277</v>
      </c>
      <c r="N108" s="182">
        <v>0.41666666666666702</v>
      </c>
      <c r="O108" s="298" t="s">
        <v>969</v>
      </c>
      <c r="P108" s="298" t="s">
        <v>228</v>
      </c>
      <c r="Q108" s="298" t="s">
        <v>139</v>
      </c>
      <c r="R108" s="298">
        <v>94545</v>
      </c>
      <c r="S108" s="298" t="s">
        <v>118</v>
      </c>
      <c r="T108" s="298" t="s">
        <v>136</v>
      </c>
      <c r="U108" s="298" t="s">
        <v>120</v>
      </c>
      <c r="V108" s="298">
        <v>53</v>
      </c>
      <c r="W108" s="298" t="s">
        <v>970</v>
      </c>
      <c r="X108" s="144" t="s">
        <v>136</v>
      </c>
      <c r="Y108" s="298" t="s">
        <v>123</v>
      </c>
      <c r="Z108" s="298" t="s">
        <v>123</v>
      </c>
      <c r="AA108" s="298" t="s">
        <v>123</v>
      </c>
      <c r="AB108" s="298" t="s">
        <v>123</v>
      </c>
      <c r="AC108" s="298" t="s">
        <v>971</v>
      </c>
      <c r="AD108" s="145" t="s">
        <v>972</v>
      </c>
      <c r="AE108" s="160">
        <v>42277</v>
      </c>
      <c r="AF108" s="298" t="s">
        <v>973</v>
      </c>
      <c r="AG108" s="298" t="s">
        <v>974</v>
      </c>
      <c r="AH108" s="298" t="s">
        <v>429</v>
      </c>
      <c r="AI108" s="298" t="s">
        <v>139</v>
      </c>
      <c r="AJ108" s="298">
        <v>93446</v>
      </c>
      <c r="AK108" s="298" t="s">
        <v>118</v>
      </c>
      <c r="AL108" s="298" t="s">
        <v>123</v>
      </c>
      <c r="AM108" s="10" t="str">
        <f>INDEX(CarrierDriverTBL!$B:$B,MATCH(Table1[[#This Row],[DriverID]],CarrierDriverTBL!$A:$A,0))</f>
        <v>UBTrucking</v>
      </c>
      <c r="AN108" s="10" t="s">
        <v>192</v>
      </c>
      <c r="AO108" s="10" t="str">
        <f>INDEX(CarrierDriverTBL!$C:$C,MATCH(Table1[[#This Row],[DriverID]],CarrierDriverTBL!$A:$A,0))</f>
        <v>Albel</v>
      </c>
      <c r="AP108" s="142" t="str">
        <f>INDEX(CarrierDriverTBL!$D:$D,MATCH(Table1[[#This Row],[DriverID]],CarrierDriverTBL!$A:$A,0))</f>
        <v>Chahil</v>
      </c>
      <c r="AQ108" s="142" t="str">
        <f>INDEX(CarrierDriverTBL!$X:$X,MATCH(Table1[[#This Row],[DriverID]],CarrierDriverTBL!$A:$A,0))</f>
        <v>A8390649</v>
      </c>
      <c r="AR108" s="160">
        <f>INDEX(CarrierDriverTBL!$Y:$Y,MATCH(Table1[[#This Row],[DriverID]],CarrierDriverTBL!$A:$A,0))</f>
        <v>42402</v>
      </c>
      <c r="AS108" s="142" t="str">
        <f t="shared" si="35"/>
        <v>GOOD</v>
      </c>
      <c r="AT108" s="160">
        <f>INDEX(CarrierDriverTBL!$E:$E,MATCH(Table1[[#This Row],[DriverID]],CarrierDriverTBL!$A:$A,0))</f>
        <v>22314</v>
      </c>
      <c r="AU108" s="163">
        <f ca="1">INDEX(CarrierDriverTBL!$F:$F,MATCH(Table1[[#This Row],[DriverID]],CarrierDriverTBL!$A:$A,0))</f>
        <v>55.512328767123286</v>
      </c>
      <c r="AV108" s="142" t="str">
        <f>INDEX(CarrierDriverTBL!$K:$K,MATCH(Table1[[#This Row],[DriverID]],CarrierDriverTBL!$A:$A,0))</f>
        <v>510-773-9450</v>
      </c>
      <c r="AW108" s="142" t="str">
        <f>INDEX(CarrierDriverTBL!$M:$M,MATCH(Table1[[#This Row],[DriverID]],CarrierDriverTBL!$A:$A,0))</f>
        <v>3124 Cynthia CT</v>
      </c>
      <c r="AX108" s="142" t="str">
        <f>INDEX(CarrierDriverTBL!$N:$N,MATCH(Table1[[#This Row],[DriverID]],CarrierDriverTBL!$A:$A,0))</f>
        <v>Tracy</v>
      </c>
      <c r="AY108" s="142" t="str">
        <f>INDEX(CarrierDriverTBL!$O:$O,MATCH(Table1[[#This Row],[DriverID]],CarrierDriverTBL!$A:$A,0))</f>
        <v>CA</v>
      </c>
      <c r="AZ108" s="142">
        <f>INDEX(CarrierDriverTBL!$P:$P,MATCH(Table1[[#This Row],[DriverID]],CarrierDriverTBL!$A:$A,0))</f>
        <v>95377</v>
      </c>
      <c r="BA108" s="142" t="str">
        <f>INDEX(CarrierDriverTBL!$Q:$Q,MATCH(Table1[[#This Row],[DriverID]],CarrierDriverTBL!$A:$A,0))</f>
        <v>US</v>
      </c>
      <c r="BB108" s="176" t="str">
        <f>INDEX(CarrierDriverTBL!$R:$R,MATCH(Table1[[#This Row],[DriverID]],CarrierDriverTBL!$A:$A,0))</f>
        <v>ubgollc@gmail.com</v>
      </c>
      <c r="BC108" s="160">
        <f>INDEX(CarrierDriverTBL!$AB:$AB,MATCH(Table1[[#This Row],[DriverID]],CarrierDriverTBL!$A:$A,0))</f>
        <v>42167</v>
      </c>
      <c r="BD108" s="142" t="str">
        <f ca="1">INDEX(CarrierDriverTBL!$AD:$AD,MATCH(LoadMaster!$AN:$AN,CarrierDriverTBL!$A:$A,0))</f>
        <v>MISSING</v>
      </c>
      <c r="BE108" s="142">
        <f>INDEX(CarrierDriverTBL!$AE:$AE,MATCH(Table1[DriverID],CarrierDriverTBL!$A:$A,0))</f>
        <v>913971</v>
      </c>
      <c r="BF108" s="142">
        <f>INDEX(CarrierDriverTBL!$AF:$AF,MATCH(Table1[DriverID],CarrierDriverTBL!$A:$A,0))</f>
        <v>2627544</v>
      </c>
      <c r="BG108" s="142">
        <f>INDEX(CarrierDriverTBL!$AG:$AG,MATCH(Table1[DriverID],CarrierDriverTBL!$A:$A,0))</f>
        <v>466133</v>
      </c>
      <c r="BH108" s="142" t="str">
        <f>INDEX(CarrierDriverTBL!$AH:$AH,MATCH(Table1[DriverID],CarrierDriverTBL!$A:$A,0))</f>
        <v>GM Lawrence Ins</v>
      </c>
      <c r="BI108" s="142" t="str">
        <f>INDEX(CarrierDriverTBL!$AI:$AI,MATCH(Table1[DriverID],CarrierDriverTBL!$A:$A,0))</f>
        <v>DSK2842P160210</v>
      </c>
      <c r="BJ108" s="160">
        <f>INDEX(CarrierDriverTBL!$AJ:$AJ,MATCH(Table1[[#This Row],[DriverID]],CarrierDriverTBL!$A:$A,0))</f>
        <v>42778</v>
      </c>
      <c r="BK108" s="10">
        <f t="shared" si="36"/>
        <v>501</v>
      </c>
      <c r="BL108" s="174">
        <v>600</v>
      </c>
      <c r="BM108" s="144">
        <v>249</v>
      </c>
      <c r="BN108" s="159">
        <f>BL108/BM108</f>
        <v>2.4096385542168677</v>
      </c>
      <c r="BO108" s="167">
        <v>550</v>
      </c>
      <c r="BP108" s="159">
        <f>BO108/BM108</f>
        <v>2.2088353413654618</v>
      </c>
      <c r="BQ108" s="133">
        <v>2.7989999999999999</v>
      </c>
      <c r="BR108" s="166">
        <f>(BQ108-1.9)/6</f>
        <v>0.14983333333333335</v>
      </c>
      <c r="BS108" s="167">
        <f t="shared" si="37"/>
        <v>2.0590020080321283</v>
      </c>
      <c r="BT108" s="159">
        <f t="shared" si="38"/>
        <v>37.308500000000002</v>
      </c>
      <c r="BU108" s="10" t="str">
        <f t="shared" si="39"/>
        <v>Tql</v>
      </c>
      <c r="BV108" s="15"/>
      <c r="BW108" s="4" t="str">
        <f>Table1[[#This Row],[BrokerAddress]]</f>
        <v>P.O. Box 799</v>
      </c>
      <c r="BX108" s="4" t="str">
        <f t="shared" si="40"/>
        <v>Milford</v>
      </c>
      <c r="BY108" s="4" t="str">
        <f t="shared" si="41"/>
        <v>Ohio</v>
      </c>
      <c r="BZ108" s="4">
        <f t="shared" si="42"/>
        <v>45150</v>
      </c>
      <c r="CA108" s="10" t="str">
        <f t="shared" si="43"/>
        <v>US</v>
      </c>
      <c r="CB108" s="15" t="s">
        <v>131</v>
      </c>
      <c r="CC108" s="62"/>
      <c r="CD108" s="15" t="s">
        <v>149</v>
      </c>
      <c r="CE108" s="64">
        <v>50</v>
      </c>
      <c r="CF108" s="4">
        <v>1</v>
      </c>
      <c r="CG108" s="132">
        <f t="shared" si="44"/>
        <v>50</v>
      </c>
      <c r="CH108" s="4" t="s">
        <v>132</v>
      </c>
      <c r="CI108" s="5">
        <v>0</v>
      </c>
      <c r="CJ108" s="4">
        <v>0</v>
      </c>
      <c r="CK108" s="132">
        <f t="shared" si="45"/>
        <v>0</v>
      </c>
      <c r="CL108" s="4" t="s">
        <v>132</v>
      </c>
      <c r="CM108" s="5">
        <v>0</v>
      </c>
      <c r="CN108" s="4">
        <v>0</v>
      </c>
      <c r="CO108" s="132">
        <f t="shared" si="46"/>
        <v>0</v>
      </c>
      <c r="CP108" s="4" t="s">
        <v>132</v>
      </c>
      <c r="CQ108" s="5">
        <v>0</v>
      </c>
      <c r="CR108" s="4">
        <v>0</v>
      </c>
      <c r="CS108" s="132">
        <f t="shared" si="47"/>
        <v>0</v>
      </c>
      <c r="CT108" s="159">
        <f t="shared" si="48"/>
        <v>50</v>
      </c>
      <c r="CU108" s="168">
        <f t="shared" si="49"/>
        <v>650</v>
      </c>
      <c r="CV108" s="183">
        <f t="shared" si="56"/>
        <v>50</v>
      </c>
      <c r="CW108" s="82">
        <f t="shared" si="57"/>
        <v>600</v>
      </c>
      <c r="CX108" s="79">
        <f>IF(ISBLANK(E108),"AddQuickPay",IF(E108=2,CU108*0.98,IF(E108=2.4,CU108*0.976,IF(E108=3,CU108*0.97,IF(E108=5,CU108*0.95,IF(E108=1.5,CU108*0.985,IF(E108=2.5,CU108*0.975,IF(E108=1.3,CU108*0.987,IF(E108=1,CU108*0.99,IF(E108=4,CU108*0.96,CU108*1))))))))))-Table1[[#This Row],[ComCheck+QuickPayFee]]</f>
        <v>630.5</v>
      </c>
      <c r="CY108" s="5">
        <f t="shared" si="50"/>
        <v>50</v>
      </c>
      <c r="CZ108" s="5">
        <f t="shared" si="51"/>
        <v>19.5</v>
      </c>
      <c r="DA108" s="258">
        <f>Table1[[#This Row],[OriginalDispatch]]-Table1[[#This Row],[QuickPayCharge]]</f>
        <v>30.5</v>
      </c>
      <c r="DB108" s="5">
        <v>0</v>
      </c>
      <c r="DC108" s="5" t="s">
        <v>133</v>
      </c>
      <c r="DD108" s="104">
        <f t="shared" si="52"/>
        <v>42279</v>
      </c>
      <c r="DE108" s="15">
        <f>MONTH(Table1[[#This Row],[Weekending]])</f>
        <v>10</v>
      </c>
      <c r="DF108" s="15">
        <f>YEAR(Table1[[#This Row],[Weekending]])</f>
        <v>2015</v>
      </c>
      <c r="DG108" s="4"/>
    </row>
    <row r="109" spans="1:111">
      <c r="A109" s="20" t="str">
        <f t="shared" si="34"/>
        <v>30nunu49</v>
      </c>
      <c r="B109" s="160">
        <v>42278</v>
      </c>
      <c r="C109" s="162">
        <v>182872930</v>
      </c>
      <c r="D109" s="142" t="s">
        <v>111</v>
      </c>
      <c r="E109" s="142">
        <v>2</v>
      </c>
      <c r="F109" s="142" t="str">
        <f>INDEX(BrokerTBL!$B:$B,MATCH(D109,BrokerTBL!$A:$A,0))</f>
        <v>P.O. Box 3474</v>
      </c>
      <c r="G109" s="142" t="str">
        <f>INDEX(BrokerTBL!$C:$C,MATCH(D109,BrokerTBL!$A:$A,0))</f>
        <v>Chicago</v>
      </c>
      <c r="H109" s="142" t="str">
        <f>INDEX(BrokerTBL!$D:$D,MATCH(D109,BrokerTBL!$A:$A,0))</f>
        <v>Il</v>
      </c>
      <c r="I109" s="142" t="str">
        <f>INDEX(BrokerTBL!$E:$E,MATCH(D109,BrokerTBL!$A:$A,0))</f>
        <v>US</v>
      </c>
      <c r="J109" s="142">
        <f>INDEX(BrokerTBL!$F:$F,MATCH(D109,BrokerTBL!$A:$A,0))</f>
        <v>60654</v>
      </c>
      <c r="K109" s="142" t="s">
        <v>975</v>
      </c>
      <c r="L109" s="161" t="s">
        <v>976</v>
      </c>
      <c r="M109" s="160">
        <v>42277</v>
      </c>
      <c r="N109" s="162" t="s">
        <v>977</v>
      </c>
      <c r="O109" s="142" t="s">
        <v>978</v>
      </c>
      <c r="P109" s="142" t="s">
        <v>429</v>
      </c>
      <c r="Q109" s="142" t="s">
        <v>139</v>
      </c>
      <c r="R109" s="142">
        <v>93446</v>
      </c>
      <c r="S109" s="142" t="s">
        <v>118</v>
      </c>
      <c r="T109" s="298" t="s">
        <v>136</v>
      </c>
      <c r="U109" s="142" t="s">
        <v>120</v>
      </c>
      <c r="V109" s="142">
        <v>53</v>
      </c>
      <c r="W109" s="142" t="s">
        <v>979</v>
      </c>
      <c r="X109" s="162">
        <v>2084</v>
      </c>
      <c r="Y109" s="142" t="s">
        <v>26</v>
      </c>
      <c r="Z109" s="142">
        <v>1</v>
      </c>
      <c r="AA109" s="142">
        <v>1</v>
      </c>
      <c r="AB109" s="142" t="s">
        <v>123</v>
      </c>
      <c r="AC109" s="142" t="s">
        <v>980</v>
      </c>
      <c r="AD109" s="161" t="s">
        <v>976</v>
      </c>
      <c r="AE109" s="160">
        <v>42278</v>
      </c>
      <c r="AF109" s="142" t="s">
        <v>981</v>
      </c>
      <c r="AG109" s="142" t="s">
        <v>982</v>
      </c>
      <c r="AH109" s="142" t="s">
        <v>983</v>
      </c>
      <c r="AI109" s="142" t="s">
        <v>139</v>
      </c>
      <c r="AJ109" s="142">
        <v>94503</v>
      </c>
      <c r="AK109" s="142" t="s">
        <v>118</v>
      </c>
      <c r="AL109" s="142" t="s">
        <v>123</v>
      </c>
      <c r="AM109" s="10" t="str">
        <f>INDEX(CarrierDriverTBL!$B:$B,MATCH(Table1[[#This Row],[DriverID]],CarrierDriverTBL!$A:$A,0))</f>
        <v>UBTrucking</v>
      </c>
      <c r="AN109" s="10" t="s">
        <v>192</v>
      </c>
      <c r="AO109" s="10" t="str">
        <f>INDEX(CarrierDriverTBL!$C:$C,MATCH(Table1[[#This Row],[DriverID]],CarrierDriverTBL!$A:$A,0))</f>
        <v>Albel</v>
      </c>
      <c r="AP109" s="142" t="str">
        <f>INDEX(CarrierDriverTBL!$D:$D,MATCH(Table1[[#This Row],[DriverID]],CarrierDriverTBL!$A:$A,0))</f>
        <v>Chahil</v>
      </c>
      <c r="AQ109" s="142" t="str">
        <f>INDEX(CarrierDriverTBL!$X:$X,MATCH(Table1[[#This Row],[DriverID]],CarrierDriverTBL!$A:$A,0))</f>
        <v>A8390649</v>
      </c>
      <c r="AR109" s="160">
        <f>INDEX(CarrierDriverTBL!$Y:$Y,MATCH(Table1[[#This Row],[DriverID]],CarrierDriverTBL!$A:$A,0))</f>
        <v>42402</v>
      </c>
      <c r="AS109" s="142" t="str">
        <f t="shared" si="35"/>
        <v>GOOD</v>
      </c>
      <c r="AT109" s="160">
        <f>INDEX(CarrierDriverTBL!$E:$E,MATCH(Table1[[#This Row],[DriverID]],CarrierDriverTBL!$A:$A,0))</f>
        <v>22314</v>
      </c>
      <c r="AU109" s="163">
        <f ca="1">INDEX(CarrierDriverTBL!$F:$F,MATCH(Table1[[#This Row],[DriverID]],CarrierDriverTBL!$A:$A,0))</f>
        <v>55.512328767123286</v>
      </c>
      <c r="AV109" s="142" t="str">
        <f>INDEX(CarrierDriverTBL!$K:$K,MATCH(Table1[[#This Row],[DriverID]],CarrierDriverTBL!$A:$A,0))</f>
        <v>510-773-9450</v>
      </c>
      <c r="AW109" s="142" t="str">
        <f>INDEX(CarrierDriverTBL!$M:$M,MATCH(Table1[[#This Row],[DriverID]],CarrierDriverTBL!$A:$A,0))</f>
        <v>3124 Cynthia CT</v>
      </c>
      <c r="AX109" s="142" t="str">
        <f>INDEX(CarrierDriverTBL!$N:$N,MATCH(Table1[[#This Row],[DriverID]],CarrierDriverTBL!$A:$A,0))</f>
        <v>Tracy</v>
      </c>
      <c r="AY109" s="142" t="str">
        <f>INDEX(CarrierDriverTBL!$O:$O,MATCH(Table1[[#This Row],[DriverID]],CarrierDriverTBL!$A:$A,0))</f>
        <v>CA</v>
      </c>
      <c r="AZ109" s="142">
        <f>INDEX(CarrierDriverTBL!$P:$P,MATCH(Table1[[#This Row],[DriverID]],CarrierDriverTBL!$A:$A,0))</f>
        <v>95377</v>
      </c>
      <c r="BA109" s="142" t="str">
        <f>INDEX(CarrierDriverTBL!$Q:$Q,MATCH(Table1[[#This Row],[DriverID]],CarrierDriverTBL!$A:$A,0))</f>
        <v>US</v>
      </c>
      <c r="BB109" s="176" t="str">
        <f>INDEX(CarrierDriverTBL!$R:$R,MATCH(Table1[[#This Row],[DriverID]],CarrierDriverTBL!$A:$A,0))</f>
        <v>ubgollc@gmail.com</v>
      </c>
      <c r="BC109" s="160">
        <f>INDEX(CarrierDriverTBL!$AB:$AB,MATCH(Table1[[#This Row],[DriverID]],CarrierDriverTBL!$A:$A,0))</f>
        <v>42167</v>
      </c>
      <c r="BD109" s="142" t="str">
        <f ca="1">INDEX(CarrierDriverTBL!$AD:$AD,MATCH(LoadMaster!$AN:$AN,CarrierDriverTBL!$A:$A,0))</f>
        <v>MISSING</v>
      </c>
      <c r="BE109" s="142">
        <f>INDEX(CarrierDriverTBL!$AE:$AE,MATCH(Table1[DriverID],CarrierDriverTBL!$A:$A,0))</f>
        <v>913971</v>
      </c>
      <c r="BF109" s="142">
        <f>INDEX(CarrierDriverTBL!$AF:$AF,MATCH(Table1[DriverID],CarrierDriverTBL!$A:$A,0))</f>
        <v>2627544</v>
      </c>
      <c r="BG109" s="142">
        <f>INDEX(CarrierDriverTBL!$AG:$AG,MATCH(Table1[DriverID],CarrierDriverTBL!$A:$A,0))</f>
        <v>466133</v>
      </c>
      <c r="BH109" s="142" t="str">
        <f>INDEX(CarrierDriverTBL!$AH:$AH,MATCH(Table1[DriverID],CarrierDriverTBL!$A:$A,0))</f>
        <v>GM Lawrence Ins</v>
      </c>
      <c r="BI109" s="142" t="str">
        <f>INDEX(CarrierDriverTBL!$AI:$AI,MATCH(Table1[DriverID],CarrierDriverTBL!$A:$A,0))</f>
        <v>DSK2842P160210</v>
      </c>
      <c r="BJ109" s="160">
        <f>INDEX(CarrierDriverTBL!$AJ:$AJ,MATCH(Table1[[#This Row],[DriverID]],CarrierDriverTBL!$A:$A,0))</f>
        <v>42778</v>
      </c>
      <c r="BK109" s="10">
        <f t="shared" si="36"/>
        <v>501</v>
      </c>
      <c r="BL109" s="5">
        <v>150</v>
      </c>
      <c r="BM109" s="10"/>
      <c r="BN109" s="159"/>
      <c r="BO109" s="134">
        <v>125</v>
      </c>
      <c r="BP109" s="159"/>
      <c r="BQ109" s="134"/>
      <c r="BR109" s="166"/>
      <c r="BS109" s="167">
        <f t="shared" si="37"/>
        <v>0</v>
      </c>
      <c r="BT109" s="159">
        <f t="shared" si="38"/>
        <v>0</v>
      </c>
      <c r="BU109" s="10" t="str">
        <f t="shared" si="39"/>
        <v>Ch Robinson</v>
      </c>
      <c r="BV109" s="4"/>
      <c r="BW109" s="4" t="str">
        <f>Table1[[#This Row],[BrokerAddress]]</f>
        <v>P.O. Box 3474</v>
      </c>
      <c r="BX109" s="4" t="str">
        <f t="shared" si="40"/>
        <v>Chicago</v>
      </c>
      <c r="BY109" s="4" t="str">
        <f t="shared" si="41"/>
        <v>Il</v>
      </c>
      <c r="BZ109" s="4">
        <f t="shared" si="42"/>
        <v>60654</v>
      </c>
      <c r="CA109" s="10" t="str">
        <f t="shared" si="43"/>
        <v>US</v>
      </c>
      <c r="CB109" s="15" t="s">
        <v>131</v>
      </c>
      <c r="CC109" s="61"/>
      <c r="CD109" s="4" t="s">
        <v>132</v>
      </c>
      <c r="CE109" s="5">
        <v>0</v>
      </c>
      <c r="CF109" s="4">
        <v>0</v>
      </c>
      <c r="CG109" s="132">
        <f t="shared" si="44"/>
        <v>0</v>
      </c>
      <c r="CH109" s="4" t="s">
        <v>132</v>
      </c>
      <c r="CI109" s="5">
        <v>0</v>
      </c>
      <c r="CJ109" s="4">
        <v>0</v>
      </c>
      <c r="CK109" s="132">
        <f t="shared" si="45"/>
        <v>0</v>
      </c>
      <c r="CL109" s="4" t="s">
        <v>132</v>
      </c>
      <c r="CM109" s="5">
        <v>0</v>
      </c>
      <c r="CN109" s="4">
        <v>0</v>
      </c>
      <c r="CO109" s="132">
        <f t="shared" si="46"/>
        <v>0</v>
      </c>
      <c r="CP109" s="4" t="s">
        <v>132</v>
      </c>
      <c r="CQ109" s="5">
        <v>0</v>
      </c>
      <c r="CR109" s="4">
        <v>0</v>
      </c>
      <c r="CS109" s="132">
        <f t="shared" si="47"/>
        <v>0</v>
      </c>
      <c r="CT109" s="159">
        <f t="shared" si="48"/>
        <v>0</v>
      </c>
      <c r="CU109" s="168">
        <f t="shared" si="49"/>
        <v>150</v>
      </c>
      <c r="CV109" s="183">
        <f t="shared" si="56"/>
        <v>0</v>
      </c>
      <c r="CW109" s="82">
        <f t="shared" si="57"/>
        <v>125</v>
      </c>
      <c r="CX109" s="79">
        <f>IF(ISBLANK(E109),"AddQuickPay",IF(E109=2,CU109*0.98,IF(E109=2.4,CU109*0.976,IF(E109=3,CU109*0.97,IF(E109=5,CU109*0.95,IF(E109=1.5,CU109*0.985,IF(E109=2.5,CU109*0.975,IF(E109=1.3,CU109*0.987,IF(E109=1,CU109*0.99,IF(E109=4,CU109*0.96,CU109*1))))))))))-Table1[[#This Row],[ComCheck+QuickPayFee]]</f>
        <v>147</v>
      </c>
      <c r="CY109" s="5">
        <f t="shared" si="50"/>
        <v>25</v>
      </c>
      <c r="CZ109" s="5">
        <f t="shared" si="51"/>
        <v>3</v>
      </c>
      <c r="DA109" s="258">
        <f>Table1[[#This Row],[OriginalDispatch]]-Table1[[#This Row],[QuickPayCharge]]</f>
        <v>22</v>
      </c>
      <c r="DB109" s="5">
        <v>0</v>
      </c>
      <c r="DC109" s="5" t="s">
        <v>133</v>
      </c>
      <c r="DD109" s="104">
        <f t="shared" si="52"/>
        <v>42279</v>
      </c>
      <c r="DE109" s="15">
        <f>MONTH(Table1[[#This Row],[Weekending]])</f>
        <v>10</v>
      </c>
      <c r="DF109" s="15">
        <f>YEAR(Table1[[#This Row],[Weekending]])</f>
        <v>2015</v>
      </c>
      <c r="DG109" s="4"/>
    </row>
    <row r="110" spans="1:111">
      <c r="A110" s="20" t="str">
        <f t="shared" si="34"/>
        <v>882049</v>
      </c>
      <c r="B110" s="146">
        <v>42278</v>
      </c>
      <c r="C110" s="144">
        <v>10736088</v>
      </c>
      <c r="D110" s="298" t="s">
        <v>984</v>
      </c>
      <c r="E110" s="298">
        <v>4</v>
      </c>
      <c r="F110" s="298" t="str">
        <f>INDEX(BrokerTBL!$B:$B,MATCH(D110,BrokerTBL!$A:$A,0))</f>
        <v>P O Box 30130</v>
      </c>
      <c r="G110" s="298" t="str">
        <f>INDEX(BrokerTBL!$C:$C,MATCH(D110,BrokerTBL!$A:$A,0))</f>
        <v>Salt Lake City</v>
      </c>
      <c r="H110" s="298" t="str">
        <f>INDEX(BrokerTBL!$D:$D,MATCH(D110,BrokerTBL!$A:$A,0))</f>
        <v>Ut</v>
      </c>
      <c r="I110" s="298" t="str">
        <f>INDEX(BrokerTBL!$E:$E,MATCH(D110,BrokerTBL!$A:$A,0))</f>
        <v>US</v>
      </c>
      <c r="J110" s="298">
        <f>INDEX(BrokerTBL!$F:$F,MATCH(D110,BrokerTBL!$A:$A,0))</f>
        <v>84130</v>
      </c>
      <c r="K110" s="298" t="s">
        <v>985</v>
      </c>
      <c r="L110" s="145">
        <v>125620</v>
      </c>
      <c r="M110" s="146">
        <v>42278</v>
      </c>
      <c r="N110" s="146" t="s">
        <v>973</v>
      </c>
      <c r="O110" s="298" t="s">
        <v>986</v>
      </c>
      <c r="P110" s="298" t="s">
        <v>987</v>
      </c>
      <c r="Q110" s="298" t="s">
        <v>139</v>
      </c>
      <c r="R110" s="298">
        <v>94503</v>
      </c>
      <c r="S110" s="298" t="s">
        <v>118</v>
      </c>
      <c r="T110" s="298" t="s">
        <v>988</v>
      </c>
      <c r="U110" s="298" t="s">
        <v>120</v>
      </c>
      <c r="V110" s="298">
        <v>53</v>
      </c>
      <c r="W110" s="185" t="s">
        <v>989</v>
      </c>
      <c r="X110" s="144">
        <v>43740</v>
      </c>
      <c r="Y110" s="298" t="s">
        <v>740</v>
      </c>
      <c r="Z110" s="298">
        <v>20</v>
      </c>
      <c r="AA110" s="298" t="s">
        <v>123</v>
      </c>
      <c r="AB110" s="298" t="s">
        <v>123</v>
      </c>
      <c r="AC110" s="298" t="s">
        <v>990</v>
      </c>
      <c r="AD110" s="145"/>
      <c r="AE110" s="146">
        <v>42278</v>
      </c>
      <c r="AF110" s="182">
        <v>0.58333333333333304</v>
      </c>
      <c r="AG110" s="298" t="s">
        <v>991</v>
      </c>
      <c r="AH110" s="298" t="s">
        <v>184</v>
      </c>
      <c r="AI110" s="298" t="s">
        <v>139</v>
      </c>
      <c r="AJ110" s="298">
        <v>95215</v>
      </c>
      <c r="AK110" s="298" t="s">
        <v>118</v>
      </c>
      <c r="AL110" s="298" t="s">
        <v>123</v>
      </c>
      <c r="AM110" s="10" t="str">
        <f>INDEX(CarrierDriverTBL!$B:$B,MATCH(Table1[[#This Row],[DriverID]],CarrierDriverTBL!$A:$A,0))</f>
        <v>UBTrucking</v>
      </c>
      <c r="AN110" s="10" t="s">
        <v>192</v>
      </c>
      <c r="AO110" s="10" t="str">
        <f>INDEX(CarrierDriverTBL!$C:$C,MATCH(Table1[[#This Row],[DriverID]],CarrierDriverTBL!$A:$A,0))</f>
        <v>Albel</v>
      </c>
      <c r="AP110" s="142" t="str">
        <f>INDEX(CarrierDriverTBL!$D:$D,MATCH(Table1[[#This Row],[DriverID]],CarrierDriverTBL!$A:$A,0))</f>
        <v>Chahil</v>
      </c>
      <c r="AQ110" s="142" t="str">
        <f>INDEX(CarrierDriverTBL!$X:$X,MATCH(Table1[[#This Row],[DriverID]],CarrierDriverTBL!$A:$A,0))</f>
        <v>A8390649</v>
      </c>
      <c r="AR110" s="160">
        <f>INDEX(CarrierDriverTBL!$Y:$Y,MATCH(Table1[[#This Row],[DriverID]],CarrierDriverTBL!$A:$A,0))</f>
        <v>42402</v>
      </c>
      <c r="AS110" s="142" t="str">
        <f t="shared" si="35"/>
        <v>GOOD</v>
      </c>
      <c r="AT110" s="160">
        <f>INDEX(CarrierDriverTBL!$E:$E,MATCH(Table1[[#This Row],[DriverID]],CarrierDriverTBL!$A:$A,0))</f>
        <v>22314</v>
      </c>
      <c r="AU110" s="163">
        <f ca="1">INDEX(CarrierDriverTBL!$F:$F,MATCH(Table1[[#This Row],[DriverID]],CarrierDriverTBL!$A:$A,0))</f>
        <v>55.512328767123286</v>
      </c>
      <c r="AV110" s="142" t="str">
        <f>INDEX(CarrierDriverTBL!$K:$K,MATCH(Table1[[#This Row],[DriverID]],CarrierDriverTBL!$A:$A,0))</f>
        <v>510-773-9450</v>
      </c>
      <c r="AW110" s="142" t="str">
        <f>INDEX(CarrierDriverTBL!$M:$M,MATCH(Table1[[#This Row],[DriverID]],CarrierDriverTBL!$A:$A,0))</f>
        <v>3124 Cynthia CT</v>
      </c>
      <c r="AX110" s="142" t="str">
        <f>INDEX(CarrierDriverTBL!$N:$N,MATCH(Table1[[#This Row],[DriverID]],CarrierDriverTBL!$A:$A,0))</f>
        <v>Tracy</v>
      </c>
      <c r="AY110" s="142" t="str">
        <f>INDEX(CarrierDriverTBL!$O:$O,MATCH(Table1[[#This Row],[DriverID]],CarrierDriverTBL!$A:$A,0))</f>
        <v>CA</v>
      </c>
      <c r="AZ110" s="142">
        <f>INDEX(CarrierDriverTBL!$P:$P,MATCH(Table1[[#This Row],[DriverID]],CarrierDriverTBL!$A:$A,0))</f>
        <v>95377</v>
      </c>
      <c r="BA110" s="142" t="str">
        <f>INDEX(CarrierDriverTBL!$Q:$Q,MATCH(Table1[[#This Row],[DriverID]],CarrierDriverTBL!$A:$A,0))</f>
        <v>US</v>
      </c>
      <c r="BB110" s="176" t="str">
        <f>INDEX(CarrierDriverTBL!$R:$R,MATCH(Table1[[#This Row],[DriverID]],CarrierDriverTBL!$A:$A,0))</f>
        <v>ubgollc@gmail.com</v>
      </c>
      <c r="BC110" s="160">
        <f>INDEX(CarrierDriverTBL!$AB:$AB,MATCH(Table1[[#This Row],[DriverID]],CarrierDriverTBL!$A:$A,0))</f>
        <v>42167</v>
      </c>
      <c r="BD110" s="142" t="str">
        <f ca="1">INDEX(CarrierDriverTBL!$AD:$AD,MATCH(LoadMaster!$AN:$AN,CarrierDriverTBL!$A:$A,0))</f>
        <v>MISSING</v>
      </c>
      <c r="BE110" s="142">
        <f>INDEX(CarrierDriverTBL!$AE:$AE,MATCH(Table1[DriverID],CarrierDriverTBL!$A:$A,0))</f>
        <v>913971</v>
      </c>
      <c r="BF110" s="142">
        <f>INDEX(CarrierDriverTBL!$AF:$AF,MATCH(Table1[DriverID],CarrierDriverTBL!$A:$A,0))</f>
        <v>2627544</v>
      </c>
      <c r="BG110" s="142">
        <f>INDEX(CarrierDriverTBL!$AG:$AG,MATCH(Table1[DriverID],CarrierDriverTBL!$A:$A,0))</f>
        <v>466133</v>
      </c>
      <c r="BH110" s="142" t="str">
        <f>INDEX(CarrierDriverTBL!$AH:$AH,MATCH(Table1[DriverID],CarrierDriverTBL!$A:$A,0))</f>
        <v>GM Lawrence Ins</v>
      </c>
      <c r="BI110" s="142" t="str">
        <f>INDEX(CarrierDriverTBL!$AI:$AI,MATCH(Table1[DriverID],CarrierDriverTBL!$A:$A,0))</f>
        <v>DSK2842P160210</v>
      </c>
      <c r="BJ110" s="160">
        <f>INDEX(CarrierDriverTBL!$AJ:$AJ,MATCH(Table1[[#This Row],[DriverID]],CarrierDriverTBL!$A:$A,0))</f>
        <v>42778</v>
      </c>
      <c r="BK110" s="10">
        <f t="shared" si="36"/>
        <v>500</v>
      </c>
      <c r="BL110" s="174">
        <v>315</v>
      </c>
      <c r="BM110" s="144">
        <v>76</v>
      </c>
      <c r="BN110" s="159">
        <f t="shared" ref="BN110:BN141" si="61">BL110/BM110</f>
        <v>4.1447368421052628</v>
      </c>
      <c r="BO110" s="167">
        <v>275</v>
      </c>
      <c r="BP110" s="159">
        <f t="shared" ref="BP110:BP141" si="62">BO110/BM110</f>
        <v>3.6184210526315788</v>
      </c>
      <c r="BQ110" s="133">
        <v>2.7989999999999999</v>
      </c>
      <c r="BR110" s="166">
        <f t="shared" ref="BR110:BR141" si="63">(BQ110-1.9)/6</f>
        <v>0.14983333333333335</v>
      </c>
      <c r="BS110" s="167">
        <f t="shared" si="37"/>
        <v>3.4685877192982453</v>
      </c>
      <c r="BT110" s="159">
        <f t="shared" si="38"/>
        <v>11.387333333333334</v>
      </c>
      <c r="BU110" s="10" t="str">
        <f t="shared" si="39"/>
        <v>England Logistics, Inc.</v>
      </c>
      <c r="BV110" s="15"/>
      <c r="BW110" s="4" t="str">
        <f>Table1[[#This Row],[BrokerAddress]]</f>
        <v>P O Box 30130</v>
      </c>
      <c r="BX110" s="4" t="str">
        <f t="shared" si="40"/>
        <v>Salt Lake City</v>
      </c>
      <c r="BY110" s="4" t="str">
        <f t="shared" si="41"/>
        <v>Ut</v>
      </c>
      <c r="BZ110" s="4">
        <f t="shared" si="42"/>
        <v>84130</v>
      </c>
      <c r="CA110" s="10" t="str">
        <f t="shared" si="43"/>
        <v>US</v>
      </c>
      <c r="CB110" s="15" t="s">
        <v>131</v>
      </c>
      <c r="CC110" s="62"/>
      <c r="CD110" s="15" t="s">
        <v>132</v>
      </c>
      <c r="CE110" s="64">
        <v>0</v>
      </c>
      <c r="CF110" s="4">
        <v>0</v>
      </c>
      <c r="CG110" s="132">
        <f t="shared" si="44"/>
        <v>0</v>
      </c>
      <c r="CH110" s="4" t="s">
        <v>132</v>
      </c>
      <c r="CI110" s="5">
        <v>0</v>
      </c>
      <c r="CJ110" s="4">
        <v>0</v>
      </c>
      <c r="CK110" s="132">
        <f t="shared" si="45"/>
        <v>0</v>
      </c>
      <c r="CL110" s="4" t="s">
        <v>132</v>
      </c>
      <c r="CM110" s="5">
        <v>0</v>
      </c>
      <c r="CN110" s="4">
        <v>0</v>
      </c>
      <c r="CO110" s="132">
        <f t="shared" si="46"/>
        <v>0</v>
      </c>
      <c r="CP110" s="4" t="s">
        <v>132</v>
      </c>
      <c r="CQ110" s="5">
        <v>0</v>
      </c>
      <c r="CR110" s="4">
        <v>0</v>
      </c>
      <c r="CS110" s="132">
        <f t="shared" si="47"/>
        <v>0</v>
      </c>
      <c r="CT110" s="159">
        <f t="shared" si="48"/>
        <v>0</v>
      </c>
      <c r="CU110" s="168">
        <f t="shared" si="49"/>
        <v>315</v>
      </c>
      <c r="CV110" s="183">
        <f t="shared" si="56"/>
        <v>0</v>
      </c>
      <c r="CW110" s="82">
        <f t="shared" si="57"/>
        <v>275</v>
      </c>
      <c r="CX110" s="79">
        <f>IF(ISBLANK(E110),"AddQuickPay",IF(E110=2,CU110*0.98,IF(E110=2.4,CU110*0.976,IF(E110=3,CU110*0.97,IF(E110=5,CU110*0.95,IF(E110=1.5,CU110*0.985,IF(E110=2.5,CU110*0.975,IF(E110=1.3,CU110*0.987,IF(E110=1,CU110*0.99,IF(E110=4,CU110*0.96,CU110*1))))))))))-Table1[[#This Row],[ComCheck+QuickPayFee]]</f>
        <v>302.39999999999998</v>
      </c>
      <c r="CY110" s="5">
        <f t="shared" si="50"/>
        <v>40</v>
      </c>
      <c r="CZ110" s="5">
        <f t="shared" si="51"/>
        <v>12.6</v>
      </c>
      <c r="DA110" s="258">
        <f>Table1[[#This Row],[OriginalDispatch]]-Table1[[#This Row],[QuickPayCharge]]</f>
        <v>27.4</v>
      </c>
      <c r="DB110" s="5">
        <v>0</v>
      </c>
      <c r="DC110" s="5" t="s">
        <v>133</v>
      </c>
      <c r="DD110" s="104">
        <f t="shared" si="52"/>
        <v>42279</v>
      </c>
      <c r="DE110" s="15">
        <f>MONTH(Table1[[#This Row],[Weekending]])</f>
        <v>10</v>
      </c>
      <c r="DF110" s="15">
        <f>YEAR(Table1[[#This Row],[Weekending]])</f>
        <v>2015</v>
      </c>
      <c r="DG110" s="4"/>
    </row>
    <row r="111" spans="1:111">
      <c r="A111" s="20" t="str">
        <f t="shared" si="34"/>
        <v>11949449</v>
      </c>
      <c r="B111" s="146">
        <v>42278</v>
      </c>
      <c r="C111" s="144">
        <v>94911</v>
      </c>
      <c r="D111" s="298" t="s">
        <v>455</v>
      </c>
      <c r="E111" s="144">
        <v>2.5</v>
      </c>
      <c r="F111" s="15" t="str">
        <f>INDEX(BrokerTBL!$B:$B,MATCH(D111,BrokerTBL!$A:$A,0))</f>
        <v>5600 Headquarters Drive C2D11</v>
      </c>
      <c r="G111" s="298" t="str">
        <f>INDEX(BrokerTBL!$C:$C,MATCH(D111,BrokerTBL!$A:$A,0))</f>
        <v>Plano</v>
      </c>
      <c r="H111" s="298" t="str">
        <f>INDEX(BrokerTBL!$D:$D,MATCH(D111,BrokerTBL!$A:$A,0))</f>
        <v>Tx</v>
      </c>
      <c r="I111" s="298" t="str">
        <f>INDEX(BrokerTBL!$E:$E,MATCH(D111,BrokerTBL!$A:$A,0))</f>
        <v>US</v>
      </c>
      <c r="J111" s="298">
        <f>INDEX(BrokerTBL!$F:$F,MATCH(D111,BrokerTBL!$A:$A,0))</f>
        <v>75024</v>
      </c>
      <c r="K111" s="298" t="s">
        <v>992</v>
      </c>
      <c r="L111" s="145">
        <v>1790610594</v>
      </c>
      <c r="M111" s="146">
        <v>42278</v>
      </c>
      <c r="N111" s="182">
        <v>0.54166666666666696</v>
      </c>
      <c r="O111" s="298" t="s">
        <v>993</v>
      </c>
      <c r="P111" s="298" t="s">
        <v>160</v>
      </c>
      <c r="Q111" s="298" t="s">
        <v>139</v>
      </c>
      <c r="R111" s="298">
        <v>94533</v>
      </c>
      <c r="S111" s="298" t="s">
        <v>118</v>
      </c>
      <c r="T111" s="298" t="s">
        <v>994</v>
      </c>
      <c r="U111" s="298" t="s">
        <v>120</v>
      </c>
      <c r="V111" s="298">
        <v>53</v>
      </c>
      <c r="W111" s="298" t="s">
        <v>995</v>
      </c>
      <c r="X111" s="144" t="s">
        <v>136</v>
      </c>
      <c r="Y111" s="298" t="s">
        <v>123</v>
      </c>
      <c r="Z111" s="298" t="s">
        <v>123</v>
      </c>
      <c r="AA111" s="298" t="s">
        <v>123</v>
      </c>
      <c r="AB111" s="298" t="s">
        <v>123</v>
      </c>
      <c r="AC111" s="298" t="s">
        <v>996</v>
      </c>
      <c r="AD111" s="145">
        <v>1790610594</v>
      </c>
      <c r="AE111" s="146">
        <v>42279</v>
      </c>
      <c r="AF111" s="182">
        <v>0.52083333333333304</v>
      </c>
      <c r="AG111" s="298" t="s">
        <v>997</v>
      </c>
      <c r="AH111" s="298" t="s">
        <v>380</v>
      </c>
      <c r="AI111" s="298" t="s">
        <v>139</v>
      </c>
      <c r="AJ111" s="298">
        <v>94377</v>
      </c>
      <c r="AK111" s="298" t="s">
        <v>118</v>
      </c>
      <c r="AL111" s="298" t="s">
        <v>998</v>
      </c>
      <c r="AM111" s="10" t="str">
        <f>INDEX(CarrierDriverTBL!$B:$B,MATCH(Table1[[#This Row],[DriverID]],CarrierDriverTBL!$A:$A,0))</f>
        <v>UBTrucking</v>
      </c>
      <c r="AN111" s="10" t="s">
        <v>192</v>
      </c>
      <c r="AO111" s="10" t="str">
        <f>INDEX(CarrierDriverTBL!$C:$C,MATCH(Table1[[#This Row],[DriverID]],CarrierDriverTBL!$A:$A,0))</f>
        <v>Albel</v>
      </c>
      <c r="AP111" s="142" t="str">
        <f>INDEX(CarrierDriverTBL!$D:$D,MATCH(Table1[[#This Row],[DriverID]],CarrierDriverTBL!$A:$A,0))</f>
        <v>Chahil</v>
      </c>
      <c r="AQ111" s="142" t="str">
        <f>INDEX(CarrierDriverTBL!$X:$X,MATCH(Table1[[#This Row],[DriverID]],CarrierDriverTBL!$A:$A,0))</f>
        <v>A8390649</v>
      </c>
      <c r="AR111" s="160">
        <f>INDEX(CarrierDriverTBL!$Y:$Y,MATCH(Table1[[#This Row],[DriverID]],CarrierDriverTBL!$A:$A,0))</f>
        <v>42402</v>
      </c>
      <c r="AS111" s="142" t="str">
        <f t="shared" si="35"/>
        <v>GOOD</v>
      </c>
      <c r="AT111" s="160">
        <f>INDEX(CarrierDriverTBL!$E:$E,MATCH(Table1[[#This Row],[DriverID]],CarrierDriverTBL!$A:$A,0))</f>
        <v>22314</v>
      </c>
      <c r="AU111" s="163">
        <f ca="1">INDEX(CarrierDriverTBL!$F:$F,MATCH(Table1[[#This Row],[DriverID]],CarrierDriverTBL!$A:$A,0))</f>
        <v>55.512328767123286</v>
      </c>
      <c r="AV111" s="142" t="str">
        <f>INDEX(CarrierDriverTBL!$K:$K,MATCH(Table1[[#This Row],[DriverID]],CarrierDriverTBL!$A:$A,0))</f>
        <v>510-773-9450</v>
      </c>
      <c r="AW111" s="142" t="str">
        <f>INDEX(CarrierDriverTBL!$M:$M,MATCH(Table1[[#This Row],[DriverID]],CarrierDriverTBL!$A:$A,0))</f>
        <v>3124 Cynthia CT</v>
      </c>
      <c r="AX111" s="142" t="str">
        <f>INDEX(CarrierDriverTBL!$N:$N,MATCH(Table1[[#This Row],[DriverID]],CarrierDriverTBL!$A:$A,0))</f>
        <v>Tracy</v>
      </c>
      <c r="AY111" s="142" t="str">
        <f>INDEX(CarrierDriverTBL!$O:$O,MATCH(Table1[[#This Row],[DriverID]],CarrierDriverTBL!$A:$A,0))</f>
        <v>CA</v>
      </c>
      <c r="AZ111" s="142">
        <f>INDEX(CarrierDriverTBL!$P:$P,MATCH(Table1[[#This Row],[DriverID]],CarrierDriverTBL!$A:$A,0))</f>
        <v>95377</v>
      </c>
      <c r="BA111" s="142" t="str">
        <f>INDEX(CarrierDriverTBL!$Q:$Q,MATCH(Table1[[#This Row],[DriverID]],CarrierDriverTBL!$A:$A,0))</f>
        <v>US</v>
      </c>
      <c r="BB111" s="176" t="str">
        <f>INDEX(CarrierDriverTBL!$R:$R,MATCH(Table1[[#This Row],[DriverID]],CarrierDriverTBL!$A:$A,0))</f>
        <v>ubgollc@gmail.com</v>
      </c>
      <c r="BC111" s="160">
        <f>INDEX(CarrierDriverTBL!$AB:$AB,MATCH(Table1[[#This Row],[DriverID]],CarrierDriverTBL!$A:$A,0))</f>
        <v>42167</v>
      </c>
      <c r="BD111" s="142" t="str">
        <f ca="1">INDEX(CarrierDriverTBL!$AD:$AD,MATCH(LoadMaster!$AN:$AN,CarrierDriverTBL!$A:$A,0))</f>
        <v>MISSING</v>
      </c>
      <c r="BE111" s="142">
        <f>INDEX(CarrierDriverTBL!$AE:$AE,MATCH(Table1[DriverID],CarrierDriverTBL!$A:$A,0))</f>
        <v>913971</v>
      </c>
      <c r="BF111" s="142">
        <f>INDEX(CarrierDriverTBL!$AF:$AF,MATCH(Table1[DriverID],CarrierDriverTBL!$A:$A,0))</f>
        <v>2627544</v>
      </c>
      <c r="BG111" s="142">
        <f>INDEX(CarrierDriverTBL!$AG:$AG,MATCH(Table1[DriverID],CarrierDriverTBL!$A:$A,0))</f>
        <v>466133</v>
      </c>
      <c r="BH111" s="142" t="str">
        <f>INDEX(CarrierDriverTBL!$AH:$AH,MATCH(Table1[DriverID],CarrierDriverTBL!$A:$A,0))</f>
        <v>GM Lawrence Ins</v>
      </c>
      <c r="BI111" s="142" t="str">
        <f>INDEX(CarrierDriverTBL!$AI:$AI,MATCH(Table1[DriverID],CarrierDriverTBL!$A:$A,0))</f>
        <v>DSK2842P160210</v>
      </c>
      <c r="BJ111" s="160">
        <f>INDEX(CarrierDriverTBL!$AJ:$AJ,MATCH(Table1[[#This Row],[DriverID]],CarrierDriverTBL!$A:$A,0))</f>
        <v>42778</v>
      </c>
      <c r="BK111" s="10">
        <f t="shared" si="36"/>
        <v>500</v>
      </c>
      <c r="BL111" s="174">
        <v>500</v>
      </c>
      <c r="BM111" s="144">
        <v>76</v>
      </c>
      <c r="BN111" s="159">
        <f t="shared" si="61"/>
        <v>6.5789473684210522</v>
      </c>
      <c r="BO111" s="167">
        <v>450</v>
      </c>
      <c r="BP111" s="159">
        <f t="shared" si="62"/>
        <v>5.9210526315789478</v>
      </c>
      <c r="BQ111" s="133">
        <v>2.7989999999999999</v>
      </c>
      <c r="BR111" s="166">
        <f t="shared" si="63"/>
        <v>0.14983333333333335</v>
      </c>
      <c r="BS111" s="167">
        <f t="shared" si="37"/>
        <v>5.7712192982456143</v>
      </c>
      <c r="BT111" s="159">
        <f t="shared" si="38"/>
        <v>11.387333333333334</v>
      </c>
      <c r="BU111" s="10" t="str">
        <f t="shared" si="39"/>
        <v>Pepsi Logistics Company Inc</v>
      </c>
      <c r="BV111" s="15"/>
      <c r="BW111" s="4" t="str">
        <f>Table1[[#This Row],[BrokerAddress]]</f>
        <v>5600 Headquarters Drive C2D11</v>
      </c>
      <c r="BX111" s="4" t="str">
        <f t="shared" si="40"/>
        <v>Plano</v>
      </c>
      <c r="BY111" s="4" t="str">
        <f t="shared" si="41"/>
        <v>Tx</v>
      </c>
      <c r="BZ111" s="4">
        <f t="shared" si="42"/>
        <v>75024</v>
      </c>
      <c r="CA111" s="10" t="str">
        <f t="shared" si="43"/>
        <v>US</v>
      </c>
      <c r="CB111" s="15" t="s">
        <v>131</v>
      </c>
      <c r="CC111" s="62"/>
      <c r="CD111" s="15" t="s">
        <v>132</v>
      </c>
      <c r="CE111" s="64">
        <v>0</v>
      </c>
      <c r="CF111" s="4">
        <v>0</v>
      </c>
      <c r="CG111" s="132">
        <f t="shared" si="44"/>
        <v>0</v>
      </c>
      <c r="CH111" s="4" t="s">
        <v>132</v>
      </c>
      <c r="CI111" s="5">
        <v>0</v>
      </c>
      <c r="CJ111" s="4">
        <v>0</v>
      </c>
      <c r="CK111" s="132">
        <f t="shared" si="45"/>
        <v>0</v>
      </c>
      <c r="CL111" s="4" t="s">
        <v>132</v>
      </c>
      <c r="CM111" s="5">
        <v>0</v>
      </c>
      <c r="CN111" s="4">
        <v>0</v>
      </c>
      <c r="CO111" s="132">
        <f t="shared" si="46"/>
        <v>0</v>
      </c>
      <c r="CP111" s="4" t="s">
        <v>132</v>
      </c>
      <c r="CQ111" s="5">
        <v>0</v>
      </c>
      <c r="CR111" s="4">
        <v>0</v>
      </c>
      <c r="CS111" s="132">
        <f t="shared" si="47"/>
        <v>0</v>
      </c>
      <c r="CT111" s="159">
        <f t="shared" si="48"/>
        <v>0</v>
      </c>
      <c r="CU111" s="168">
        <f t="shared" si="49"/>
        <v>500</v>
      </c>
      <c r="CV111" s="183">
        <f t="shared" si="56"/>
        <v>0</v>
      </c>
      <c r="CW111" s="82">
        <f t="shared" si="57"/>
        <v>450</v>
      </c>
      <c r="CX111" s="79">
        <f>IF(ISBLANK(E111),"AddQuickPay",IF(E111=2,CU111*0.98,IF(E111=2.4,CU111*0.976,IF(E111=3,CU111*0.97,IF(E111=5,CU111*0.95,IF(E111=1.5,CU111*0.985,IF(E111=2.5,CU111*0.975,IF(E111=1.3,CU111*0.987,IF(E111=1,CU111*0.99,IF(E111=4,CU111*0.96,CU111*1))))))))))-Table1[[#This Row],[ComCheck+QuickPayFee]]</f>
        <v>487.5</v>
      </c>
      <c r="CY111" s="5">
        <f t="shared" si="50"/>
        <v>50</v>
      </c>
      <c r="CZ111" s="5">
        <f t="shared" si="51"/>
        <v>12.5</v>
      </c>
      <c r="DA111" s="258">
        <f>Table1[[#This Row],[OriginalDispatch]]-Table1[[#This Row],[QuickPayCharge]]</f>
        <v>37.5</v>
      </c>
      <c r="DB111" s="5">
        <v>0</v>
      </c>
      <c r="DC111" s="5" t="s">
        <v>133</v>
      </c>
      <c r="DD111" s="104">
        <f t="shared" si="52"/>
        <v>42279</v>
      </c>
      <c r="DE111" s="15">
        <f>MONTH(Table1[[#This Row],[Weekending]])</f>
        <v>10</v>
      </c>
      <c r="DF111" s="15">
        <f>YEAR(Table1[[#This Row],[Weekending]])</f>
        <v>2015</v>
      </c>
      <c r="DG111" s="4"/>
    </row>
    <row r="112" spans="1:111">
      <c r="A112" s="20" t="str">
        <f t="shared" si="34"/>
        <v>26nene49</v>
      </c>
      <c r="B112" s="160">
        <v>42278</v>
      </c>
      <c r="C112" s="162">
        <v>182804926</v>
      </c>
      <c r="D112" s="142" t="s">
        <v>111</v>
      </c>
      <c r="E112" s="142">
        <v>2</v>
      </c>
      <c r="F112" s="142" t="str">
        <f>INDEX(BrokerTBL!$B:$B,MATCH(D112,BrokerTBL!$A:$A,0))</f>
        <v>P.O. Box 3474</v>
      </c>
      <c r="G112" s="142" t="str">
        <f>INDEX(BrokerTBL!$C:$C,MATCH(D112,BrokerTBL!$A:$A,0))</f>
        <v>Chicago</v>
      </c>
      <c r="H112" s="142" t="str">
        <f>INDEX(BrokerTBL!$D:$D,MATCH(D112,BrokerTBL!$A:$A,0))</f>
        <v>Il</v>
      </c>
      <c r="I112" s="142" t="str">
        <f>INDEX(BrokerTBL!$E:$E,MATCH(D112,BrokerTBL!$A:$A,0))</f>
        <v>US</v>
      </c>
      <c r="J112" s="142">
        <f>INDEX(BrokerTBL!$F:$F,MATCH(D112,BrokerTBL!$A:$A,0))</f>
        <v>60654</v>
      </c>
      <c r="K112" s="142" t="s">
        <v>999</v>
      </c>
      <c r="L112" s="161" t="s">
        <v>132</v>
      </c>
      <c r="M112" s="160">
        <v>42278</v>
      </c>
      <c r="N112" s="162" t="s">
        <v>1000</v>
      </c>
      <c r="O112" s="142" t="s">
        <v>1001</v>
      </c>
      <c r="P112" s="142" t="s">
        <v>429</v>
      </c>
      <c r="Q112" s="142" t="s">
        <v>139</v>
      </c>
      <c r="R112" s="142">
        <v>93446</v>
      </c>
      <c r="S112" s="142" t="s">
        <v>118</v>
      </c>
      <c r="T112" s="298" t="s">
        <v>136</v>
      </c>
      <c r="U112" s="142" t="s">
        <v>120</v>
      </c>
      <c r="V112" s="142">
        <v>53</v>
      </c>
      <c r="W112" s="186" t="s">
        <v>376</v>
      </c>
      <c r="X112" s="162">
        <v>2232</v>
      </c>
      <c r="Y112" s="142" t="s">
        <v>26</v>
      </c>
      <c r="Z112" s="142">
        <v>64</v>
      </c>
      <c r="AA112" s="142">
        <v>1</v>
      </c>
      <c r="AB112" s="142" t="s">
        <v>123</v>
      </c>
      <c r="AC112" s="142" t="s">
        <v>980</v>
      </c>
      <c r="AD112" s="161" t="s">
        <v>132</v>
      </c>
      <c r="AE112" s="160">
        <v>42279</v>
      </c>
      <c r="AF112" s="142" t="s">
        <v>1002</v>
      </c>
      <c r="AG112" s="142" t="s">
        <v>982</v>
      </c>
      <c r="AH112" s="142" t="s">
        <v>983</v>
      </c>
      <c r="AI112" s="142" t="s">
        <v>139</v>
      </c>
      <c r="AJ112" s="142">
        <v>94503</v>
      </c>
      <c r="AK112" s="142" t="s">
        <v>118</v>
      </c>
      <c r="AL112" s="142" t="s">
        <v>123</v>
      </c>
      <c r="AM112" s="10" t="str">
        <f>INDEX(CarrierDriverTBL!$B:$B,MATCH(Table1[[#This Row],[DriverID]],CarrierDriverTBL!$A:$A,0))</f>
        <v>UBTrucking</v>
      </c>
      <c r="AN112" s="10" t="s">
        <v>192</v>
      </c>
      <c r="AO112" s="10" t="str">
        <f>INDEX(CarrierDriverTBL!$C:$C,MATCH(Table1[[#This Row],[DriverID]],CarrierDriverTBL!$A:$A,0))</f>
        <v>Albel</v>
      </c>
      <c r="AP112" s="142" t="str">
        <f>INDEX(CarrierDriverTBL!$D:$D,MATCH(Table1[[#This Row],[DriverID]],CarrierDriverTBL!$A:$A,0))</f>
        <v>Chahil</v>
      </c>
      <c r="AQ112" s="142" t="str">
        <f>INDEX(CarrierDriverTBL!$X:$X,MATCH(Table1[[#This Row],[DriverID]],CarrierDriverTBL!$A:$A,0))</f>
        <v>A8390649</v>
      </c>
      <c r="AR112" s="160">
        <f>INDEX(CarrierDriverTBL!$Y:$Y,MATCH(Table1[[#This Row],[DriverID]],CarrierDriverTBL!$A:$A,0))</f>
        <v>42402</v>
      </c>
      <c r="AS112" s="142" t="str">
        <f t="shared" si="35"/>
        <v>GOOD</v>
      </c>
      <c r="AT112" s="160">
        <f>INDEX(CarrierDriverTBL!$E:$E,MATCH(Table1[[#This Row],[DriverID]],CarrierDriverTBL!$A:$A,0))</f>
        <v>22314</v>
      </c>
      <c r="AU112" s="163">
        <f ca="1">INDEX(CarrierDriverTBL!$F:$F,MATCH(Table1[[#This Row],[DriverID]],CarrierDriverTBL!$A:$A,0))</f>
        <v>55.512328767123286</v>
      </c>
      <c r="AV112" s="142" t="str">
        <f>INDEX(CarrierDriverTBL!$K:$K,MATCH(Table1[[#This Row],[DriverID]],CarrierDriverTBL!$A:$A,0))</f>
        <v>510-773-9450</v>
      </c>
      <c r="AW112" s="142" t="str">
        <f>INDEX(CarrierDriverTBL!$M:$M,MATCH(Table1[[#This Row],[DriverID]],CarrierDriverTBL!$A:$A,0))</f>
        <v>3124 Cynthia CT</v>
      </c>
      <c r="AX112" s="142" t="str">
        <f>INDEX(CarrierDriverTBL!$N:$N,MATCH(Table1[[#This Row],[DriverID]],CarrierDriverTBL!$A:$A,0))</f>
        <v>Tracy</v>
      </c>
      <c r="AY112" s="142" t="str">
        <f>INDEX(CarrierDriverTBL!$O:$O,MATCH(Table1[[#This Row],[DriverID]],CarrierDriverTBL!$A:$A,0))</f>
        <v>CA</v>
      </c>
      <c r="AZ112" s="142">
        <f>INDEX(CarrierDriverTBL!$P:$P,MATCH(Table1[[#This Row],[DriverID]],CarrierDriverTBL!$A:$A,0))</f>
        <v>95377</v>
      </c>
      <c r="BA112" s="142" t="str">
        <f>INDEX(CarrierDriverTBL!$Q:$Q,MATCH(Table1[[#This Row],[DriverID]],CarrierDriverTBL!$A:$A,0))</f>
        <v>US</v>
      </c>
      <c r="BB112" s="176" t="str">
        <f>INDEX(CarrierDriverTBL!$R:$R,MATCH(Table1[[#This Row],[DriverID]],CarrierDriverTBL!$A:$A,0))</f>
        <v>ubgollc@gmail.com</v>
      </c>
      <c r="BC112" s="160">
        <f>INDEX(CarrierDriverTBL!$AB:$AB,MATCH(Table1[[#This Row],[DriverID]],CarrierDriverTBL!$A:$A,0))</f>
        <v>42167</v>
      </c>
      <c r="BD112" s="142" t="str">
        <f ca="1">INDEX(CarrierDriverTBL!$AD:$AD,MATCH(LoadMaster!$AN:$AN,CarrierDriverTBL!$A:$A,0))</f>
        <v>MISSING</v>
      </c>
      <c r="BE112" s="142">
        <f>INDEX(CarrierDriverTBL!$AE:$AE,MATCH(Table1[DriverID],CarrierDriverTBL!$A:$A,0))</f>
        <v>913971</v>
      </c>
      <c r="BF112" s="142">
        <f>INDEX(CarrierDriverTBL!$AF:$AF,MATCH(Table1[DriverID],CarrierDriverTBL!$A:$A,0))</f>
        <v>2627544</v>
      </c>
      <c r="BG112" s="142">
        <f>INDEX(CarrierDriverTBL!$AG:$AG,MATCH(Table1[DriverID],CarrierDriverTBL!$A:$A,0))</f>
        <v>466133</v>
      </c>
      <c r="BH112" s="142" t="str">
        <f>INDEX(CarrierDriverTBL!$AH:$AH,MATCH(Table1[DriverID],CarrierDriverTBL!$A:$A,0))</f>
        <v>GM Lawrence Ins</v>
      </c>
      <c r="BI112" s="142" t="str">
        <f>INDEX(CarrierDriverTBL!$AI:$AI,MATCH(Table1[DriverID],CarrierDriverTBL!$A:$A,0))</f>
        <v>DSK2842P160210</v>
      </c>
      <c r="BJ112" s="160">
        <f>INDEX(CarrierDriverTBL!$AJ:$AJ,MATCH(Table1[[#This Row],[DriverID]],CarrierDriverTBL!$A:$A,0))</f>
        <v>42778</v>
      </c>
      <c r="BK112" s="10">
        <f t="shared" si="36"/>
        <v>500</v>
      </c>
      <c r="BL112" s="167">
        <v>550</v>
      </c>
      <c r="BM112" s="162">
        <v>305</v>
      </c>
      <c r="BN112" s="159">
        <f t="shared" si="61"/>
        <v>1.8032786885245902</v>
      </c>
      <c r="BO112" s="167">
        <v>500</v>
      </c>
      <c r="BP112" s="159">
        <f t="shared" si="62"/>
        <v>1.639344262295082</v>
      </c>
      <c r="BQ112" s="134">
        <v>2.7989999999999999</v>
      </c>
      <c r="BR112" s="166">
        <f t="shared" si="63"/>
        <v>0.14983333333333335</v>
      </c>
      <c r="BS112" s="167">
        <f t="shared" si="37"/>
        <v>1.4895109289617487</v>
      </c>
      <c r="BT112" s="159">
        <f t="shared" si="38"/>
        <v>45.69916666666667</v>
      </c>
      <c r="BU112" s="10" t="str">
        <f t="shared" si="39"/>
        <v>Ch Robinson</v>
      </c>
      <c r="BV112" s="4"/>
      <c r="BW112" s="4" t="str">
        <f>Table1[[#This Row],[BrokerAddress]]</f>
        <v>P.O. Box 3474</v>
      </c>
      <c r="BX112" s="4" t="str">
        <f t="shared" si="40"/>
        <v>Chicago</v>
      </c>
      <c r="BY112" s="4" t="str">
        <f t="shared" si="41"/>
        <v>Il</v>
      </c>
      <c r="BZ112" s="4">
        <f t="shared" si="42"/>
        <v>60654</v>
      </c>
      <c r="CA112" s="10" t="str">
        <f t="shared" si="43"/>
        <v>US</v>
      </c>
      <c r="CB112" s="15" t="s">
        <v>131</v>
      </c>
      <c r="CC112" s="61"/>
      <c r="CD112" s="4" t="s">
        <v>132</v>
      </c>
      <c r="CE112" s="5">
        <v>0</v>
      </c>
      <c r="CF112" s="4">
        <v>0</v>
      </c>
      <c r="CG112" s="132">
        <f t="shared" si="44"/>
        <v>0</v>
      </c>
      <c r="CH112" s="4" t="s">
        <v>132</v>
      </c>
      <c r="CI112" s="5">
        <v>0</v>
      </c>
      <c r="CJ112" s="4">
        <v>0</v>
      </c>
      <c r="CK112" s="132">
        <f t="shared" si="45"/>
        <v>0</v>
      </c>
      <c r="CL112" s="4" t="s">
        <v>132</v>
      </c>
      <c r="CM112" s="5">
        <v>0</v>
      </c>
      <c r="CN112" s="4">
        <v>0</v>
      </c>
      <c r="CO112" s="132">
        <f t="shared" si="46"/>
        <v>0</v>
      </c>
      <c r="CP112" s="4" t="s">
        <v>132</v>
      </c>
      <c r="CQ112" s="5">
        <v>0</v>
      </c>
      <c r="CR112" s="4">
        <v>0</v>
      </c>
      <c r="CS112" s="132">
        <f t="shared" si="47"/>
        <v>0</v>
      </c>
      <c r="CT112" s="159">
        <f t="shared" si="48"/>
        <v>0</v>
      </c>
      <c r="CU112" s="168">
        <f t="shared" si="49"/>
        <v>550</v>
      </c>
      <c r="CV112" s="183">
        <f t="shared" si="56"/>
        <v>0</v>
      </c>
      <c r="CW112" s="82">
        <f t="shared" si="57"/>
        <v>500</v>
      </c>
      <c r="CX112" s="79">
        <f>IF(ISBLANK(E112),"AddQuickPay",IF(E112=2,CU112*0.98,IF(E112=2.4,CU112*0.976,IF(E112=3,CU112*0.97,IF(E112=5,CU112*0.95,IF(E112=1.5,CU112*0.985,IF(E112=2.5,CU112*0.975,IF(E112=1.3,CU112*0.987,IF(E112=1,CU112*0.99,IF(E112=4,CU112*0.96,CU112*1))))))))))-Table1[[#This Row],[ComCheck+QuickPayFee]]</f>
        <v>539</v>
      </c>
      <c r="CY112" s="5">
        <f t="shared" si="50"/>
        <v>50</v>
      </c>
      <c r="CZ112" s="5">
        <f t="shared" si="51"/>
        <v>11</v>
      </c>
      <c r="DA112" s="258">
        <f>Table1[[#This Row],[OriginalDispatch]]-Table1[[#This Row],[QuickPayCharge]]</f>
        <v>39</v>
      </c>
      <c r="DB112" s="5">
        <v>0</v>
      </c>
      <c r="DC112" s="5" t="s">
        <v>133</v>
      </c>
      <c r="DD112" s="104">
        <f t="shared" si="52"/>
        <v>42279</v>
      </c>
      <c r="DE112" s="15">
        <f>MONTH(Table1[[#This Row],[Weekending]])</f>
        <v>10</v>
      </c>
      <c r="DF112" s="15">
        <f>YEAR(Table1[[#This Row],[Weekending]])</f>
        <v>2015</v>
      </c>
      <c r="DG112" s="4"/>
    </row>
    <row r="113" spans="1:111">
      <c r="A113" s="20" t="str">
        <f t="shared" si="34"/>
        <v>39888888</v>
      </c>
      <c r="B113" s="146">
        <v>42278</v>
      </c>
      <c r="C113" s="144">
        <v>182118939</v>
      </c>
      <c r="D113" s="142" t="s">
        <v>111</v>
      </c>
      <c r="E113" s="142">
        <v>2</v>
      </c>
      <c r="F113" s="142" t="str">
        <f>INDEX(BrokerTBL!$B:$B,MATCH(D113,BrokerTBL!$A:$A,0))</f>
        <v>P.O. Box 3474</v>
      </c>
      <c r="G113" s="142" t="str">
        <f>INDEX(BrokerTBL!$C:$C,MATCH(D113,BrokerTBL!$A:$A,0))</f>
        <v>Chicago</v>
      </c>
      <c r="H113" s="142" t="str">
        <f>INDEX(BrokerTBL!$D:$D,MATCH(D113,BrokerTBL!$A:$A,0))</f>
        <v>Il</v>
      </c>
      <c r="I113" s="142" t="str">
        <f>INDEX(BrokerTBL!$E:$E,MATCH(D113,BrokerTBL!$A:$A,0))</f>
        <v>US</v>
      </c>
      <c r="J113" s="142">
        <f>INDEX(BrokerTBL!$F:$F,MATCH(D113,BrokerTBL!$A:$A,0))</f>
        <v>60654</v>
      </c>
      <c r="K113" s="298" t="s">
        <v>700</v>
      </c>
      <c r="L113" s="145">
        <v>305336188</v>
      </c>
      <c r="M113" s="146">
        <v>42278</v>
      </c>
      <c r="N113" s="144" t="s">
        <v>1003</v>
      </c>
      <c r="O113" s="298" t="s">
        <v>702</v>
      </c>
      <c r="P113" s="298" t="s">
        <v>703</v>
      </c>
      <c r="Q113" s="298" t="s">
        <v>139</v>
      </c>
      <c r="R113" s="298">
        <v>93030</v>
      </c>
      <c r="S113" s="298" t="s">
        <v>118</v>
      </c>
      <c r="T113" s="298" t="s">
        <v>1004</v>
      </c>
      <c r="U113" s="298" t="s">
        <v>120</v>
      </c>
      <c r="V113" s="298">
        <v>53</v>
      </c>
      <c r="W113" s="298" t="s">
        <v>136</v>
      </c>
      <c r="X113" s="144">
        <v>19315</v>
      </c>
      <c r="Y113" s="298" t="s">
        <v>740</v>
      </c>
      <c r="Z113" s="298">
        <v>1644</v>
      </c>
      <c r="AA113" s="298">
        <v>40</v>
      </c>
      <c r="AB113" s="298" t="s">
        <v>123</v>
      </c>
      <c r="AC113" s="298" t="s">
        <v>1005</v>
      </c>
      <c r="AD113" s="145">
        <v>305336188</v>
      </c>
      <c r="AE113" s="146">
        <v>42279</v>
      </c>
      <c r="AF113" s="416" t="s">
        <v>123</v>
      </c>
      <c r="AG113" s="298" t="s">
        <v>1006</v>
      </c>
      <c r="AH113" s="298" t="s">
        <v>228</v>
      </c>
      <c r="AI113" s="298" t="s">
        <v>139</v>
      </c>
      <c r="AJ113" s="298">
        <v>94545</v>
      </c>
      <c r="AK113" s="298" t="s">
        <v>118</v>
      </c>
      <c r="AL113" s="298" t="s">
        <v>1007</v>
      </c>
      <c r="AM113" s="142" t="str">
        <f>INDEX(CarrierDriverTBL!$B:$B,MATCH(Table1[[#This Row],[DriverID]],CarrierDriverTBL!$A:$A,0))</f>
        <v>UBTrucking</v>
      </c>
      <c r="AN113" s="10" t="s">
        <v>948</v>
      </c>
      <c r="AO113" s="10" t="str">
        <f>INDEX(CarrierDriverTBL!$C:$C,MATCH(Table1[[#This Row],[DriverID]],CarrierDriverTBL!$A:$A,0))</f>
        <v>Wesley</v>
      </c>
      <c r="AP113" s="10" t="str">
        <f>INDEX(CarrierDriverTBL!$D:$D,MATCH(Table1[[#This Row],[DriverID]],CarrierDriverTBL!$A:$A,0))</f>
        <v>Cousain</v>
      </c>
      <c r="AQ113" s="10" t="str">
        <f>INDEX(CarrierDriverTBL!$X:$X,MATCH(Table1[[#This Row],[DriverID]],CarrierDriverTBL!$A:$A,0))</f>
        <v>D4903588</v>
      </c>
      <c r="AR113" s="11">
        <f>INDEX(CarrierDriverTBL!$Y:$Y,MATCH(Table1[[#This Row],[DriverID]],CarrierDriverTBL!$A:$A,0))</f>
        <v>43458</v>
      </c>
      <c r="AS113" s="142" t="str">
        <f t="shared" si="35"/>
        <v>GOOD</v>
      </c>
      <c r="AT113" s="11">
        <f>INDEX(CarrierDriverTBL!$E:$E,MATCH(Table1[[#This Row],[DriverID]],CarrierDriverTBL!$A:$A,0))</f>
        <v>31405</v>
      </c>
      <c r="AU113" s="163">
        <f ca="1">INDEX(CarrierDriverTBL!$F:$F,MATCH(Table1[[#This Row],[DriverID]],CarrierDriverTBL!$A:$A,0))</f>
        <v>30.605479452054794</v>
      </c>
      <c r="AV113" s="10" t="str">
        <f>INDEX(CarrierDriverTBL!$K:$K,MATCH(Table1[[#This Row],[DriverID]],CarrierDriverTBL!$A:$A,0))</f>
        <v>925-383-5364</v>
      </c>
      <c r="AW113" s="10" t="str">
        <f>INDEX(CarrierDriverTBL!$M:$M,MATCH(Table1[[#This Row],[DriverID]],CarrierDriverTBL!$A:$A,0))</f>
        <v>110 Cordova Ln</v>
      </c>
      <c r="AX113" s="10" t="str">
        <f>INDEX(CarrierDriverTBL!$N:$N,MATCH(Table1[[#This Row],[DriverID]],CarrierDriverTBL!$A:$A,0))</f>
        <v>Stockton</v>
      </c>
      <c r="AY113" s="10" t="str">
        <f>INDEX(CarrierDriverTBL!$O:$O,MATCH(Table1[[#This Row],[DriverID]],CarrierDriverTBL!$A:$A,0))</f>
        <v>CA</v>
      </c>
      <c r="AZ113" s="10">
        <f>INDEX(CarrierDriverTBL!$P:$P,MATCH(Table1[[#This Row],[DriverID]],CarrierDriverTBL!$A:$A,0))</f>
        <v>95207</v>
      </c>
      <c r="BA113" s="10" t="str">
        <f>INDEX(CarrierDriverTBL!$Q:$Q,MATCH(Table1[[#This Row],[DriverID]],CarrierDriverTBL!$A:$A,0))</f>
        <v>US</v>
      </c>
      <c r="BB113" s="173" t="str">
        <f>INDEX(CarrierDriverTBL!$R:$R,MATCH(Table1[[#This Row],[DriverID]],CarrierDriverTBL!$A:$A,0))</f>
        <v>wesleycousain1@gmail.com</v>
      </c>
      <c r="BC113" s="160">
        <f>INDEX(CarrierDriverTBL!$AB:$AB,MATCH(Table1[[#This Row],[DriverID]],CarrierDriverTBL!$A:$A,0))</f>
        <v>42271</v>
      </c>
      <c r="BD113" s="142" t="str">
        <f ca="1">INDEX(CarrierDriverTBL!$AD:$AD,MATCH(LoadMaster!$AN:$AN,CarrierDriverTBL!$A:$A,0))</f>
        <v>MISSING</v>
      </c>
      <c r="BE113" s="142">
        <f>INDEX(CarrierDriverTBL!$AE:$AE,MATCH(Table1[DriverID],CarrierDriverTBL!$A:$A,0))</f>
        <v>913971</v>
      </c>
      <c r="BF113" s="142">
        <f>INDEX(CarrierDriverTBL!$AF:$AF,MATCH(Table1[DriverID],CarrierDriverTBL!$A:$A,0))</f>
        <v>2627544</v>
      </c>
      <c r="BG113" s="142">
        <f>INDEX(CarrierDriverTBL!$AG:$AG,MATCH(Table1[DriverID],CarrierDriverTBL!$A:$A,0))</f>
        <v>466133</v>
      </c>
      <c r="BH113" s="142" t="str">
        <f>INDEX(CarrierDriverTBL!$AH:$AH,MATCH(Table1[DriverID],CarrierDriverTBL!$A:$A,0))</f>
        <v>GM Lawrence Ins</v>
      </c>
      <c r="BI113" s="142" t="str">
        <f>INDEX(CarrierDriverTBL!$AI:$AI,MATCH(Table1[DriverID],CarrierDriverTBL!$A:$A,0))</f>
        <v>DSK2842P160210</v>
      </c>
      <c r="BJ113" s="160">
        <f>INDEX(CarrierDriverTBL!$AJ:$AJ,MATCH(Table1[[#This Row],[DriverID]],CarrierDriverTBL!$A:$A,0))</f>
        <v>42778</v>
      </c>
      <c r="BK113" s="10">
        <f t="shared" si="36"/>
        <v>500</v>
      </c>
      <c r="BL113" s="174">
        <v>1100</v>
      </c>
      <c r="BM113" s="144">
        <v>449</v>
      </c>
      <c r="BN113" s="159">
        <f t="shared" si="61"/>
        <v>2.4498886414253898</v>
      </c>
      <c r="BO113" s="167">
        <v>1023</v>
      </c>
      <c r="BP113" s="159">
        <f t="shared" si="62"/>
        <v>2.2783964365256124</v>
      </c>
      <c r="BQ113" s="133">
        <v>2.7989999999999999</v>
      </c>
      <c r="BR113" s="166">
        <f t="shared" si="63"/>
        <v>0.14983333333333335</v>
      </c>
      <c r="BS113" s="167">
        <f t="shared" si="37"/>
        <v>2.1285631031922789</v>
      </c>
      <c r="BT113" s="159">
        <f t="shared" si="38"/>
        <v>67.275166666666678</v>
      </c>
      <c r="BU113" s="10" t="str">
        <f t="shared" si="39"/>
        <v>Ch Robinson</v>
      </c>
      <c r="BV113" s="4"/>
      <c r="BW113" s="4" t="str">
        <f>Table1[[#This Row],[BrokerAddress]]</f>
        <v>P.O. Box 3474</v>
      </c>
      <c r="BX113" s="4" t="str">
        <f t="shared" si="40"/>
        <v>Chicago</v>
      </c>
      <c r="BY113" s="4" t="str">
        <f t="shared" si="41"/>
        <v>Il</v>
      </c>
      <c r="BZ113" s="4">
        <f t="shared" si="42"/>
        <v>60654</v>
      </c>
      <c r="CA113" s="10" t="str">
        <f t="shared" si="43"/>
        <v>US</v>
      </c>
      <c r="CB113" s="15" t="s">
        <v>131</v>
      </c>
      <c r="CC113" s="62"/>
      <c r="CD113" s="15" t="s">
        <v>132</v>
      </c>
      <c r="CE113" s="64">
        <v>0</v>
      </c>
      <c r="CF113" s="4">
        <v>0</v>
      </c>
      <c r="CG113" s="132">
        <f t="shared" si="44"/>
        <v>0</v>
      </c>
      <c r="CH113" s="4" t="s">
        <v>132</v>
      </c>
      <c r="CI113" s="5">
        <v>0</v>
      </c>
      <c r="CJ113" s="4">
        <v>0</v>
      </c>
      <c r="CK113" s="132">
        <f t="shared" si="45"/>
        <v>0</v>
      </c>
      <c r="CL113" s="4" t="s">
        <v>132</v>
      </c>
      <c r="CM113" s="5">
        <v>0</v>
      </c>
      <c r="CN113" s="4">
        <v>0</v>
      </c>
      <c r="CO113" s="132">
        <f t="shared" si="46"/>
        <v>0</v>
      </c>
      <c r="CP113" s="4" t="s">
        <v>132</v>
      </c>
      <c r="CQ113" s="5">
        <v>0</v>
      </c>
      <c r="CR113" s="4">
        <v>0</v>
      </c>
      <c r="CS113" s="132">
        <f t="shared" si="47"/>
        <v>0</v>
      </c>
      <c r="CT113" s="159">
        <f t="shared" si="48"/>
        <v>0</v>
      </c>
      <c r="CU113" s="168">
        <f t="shared" si="49"/>
        <v>1100</v>
      </c>
      <c r="CV113" s="183">
        <f t="shared" si="56"/>
        <v>0</v>
      </c>
      <c r="CW113" s="82">
        <f t="shared" si="57"/>
        <v>1023</v>
      </c>
      <c r="CX113" s="79">
        <f>IF(ISBLANK(E113),"AddQuickPay",IF(E113=2,CU113*0.98,IF(E113=2.4,CU113*0.976,IF(E113=3,CU113*0.97,IF(E113=5,CU113*0.95,IF(E113=1.5,CU113*0.985,IF(E113=2.5,CU113*0.975,IF(E113=1.3,CU113*0.987,IF(E113=1,CU113*0.99,IF(E113=4,CU113*0.96,CU113*1))))))))))-Table1[[#This Row],[ComCheck+QuickPayFee]]</f>
        <v>1078</v>
      </c>
      <c r="CY113" s="5">
        <f t="shared" si="50"/>
        <v>77</v>
      </c>
      <c r="CZ113" s="5">
        <f t="shared" si="51"/>
        <v>22</v>
      </c>
      <c r="DA113" s="258">
        <f>Table1[[#This Row],[OriginalDispatch]]-Table1[[#This Row],[QuickPayCharge]]</f>
        <v>55</v>
      </c>
      <c r="DB113" s="5">
        <v>0</v>
      </c>
      <c r="DC113" s="5" t="s">
        <v>133</v>
      </c>
      <c r="DD113" s="104">
        <f t="shared" si="52"/>
        <v>42279</v>
      </c>
      <c r="DE113" s="15">
        <f>MONTH(Table1[[#This Row],[Weekending]])</f>
        <v>10</v>
      </c>
      <c r="DF113" s="15">
        <f>YEAR(Table1[[#This Row],[Weekending]])</f>
        <v>2015</v>
      </c>
      <c r="DG113" s="4"/>
    </row>
    <row r="114" spans="1:111">
      <c r="A114" s="20" t="str">
        <f t="shared" si="34"/>
        <v>048588</v>
      </c>
      <c r="B114" s="146">
        <v>42282</v>
      </c>
      <c r="C114" s="144">
        <v>183125704</v>
      </c>
      <c r="D114" s="142" t="s">
        <v>111</v>
      </c>
      <c r="E114" s="142">
        <v>2</v>
      </c>
      <c r="F114" s="142" t="str">
        <f>INDEX(BrokerTBL!$B:$B,MATCH(D114,BrokerTBL!$A:$A,0))</f>
        <v>P.O. Box 3474</v>
      </c>
      <c r="G114" s="142" t="str">
        <f>INDEX(BrokerTBL!$C:$C,MATCH(D114,BrokerTBL!$A:$A,0))</f>
        <v>Chicago</v>
      </c>
      <c r="H114" s="142" t="str">
        <f>INDEX(BrokerTBL!$D:$D,MATCH(D114,BrokerTBL!$A:$A,0))</f>
        <v>Il</v>
      </c>
      <c r="I114" s="142" t="str">
        <f>INDEX(BrokerTBL!$E:$E,MATCH(D114,BrokerTBL!$A:$A,0))</f>
        <v>US</v>
      </c>
      <c r="J114" s="142">
        <f>INDEX(BrokerTBL!$F:$F,MATCH(D114,BrokerTBL!$A:$A,0))</f>
        <v>60654</v>
      </c>
      <c r="K114" s="298" t="s">
        <v>1008</v>
      </c>
      <c r="L114" s="145" t="s">
        <v>1009</v>
      </c>
      <c r="M114" s="146">
        <v>42282</v>
      </c>
      <c r="N114" s="144" t="s">
        <v>1010</v>
      </c>
      <c r="O114" s="298" t="s">
        <v>1011</v>
      </c>
      <c r="P114" s="298" t="s">
        <v>1012</v>
      </c>
      <c r="Q114" s="298" t="s">
        <v>139</v>
      </c>
      <c r="R114" s="298">
        <v>94565</v>
      </c>
      <c r="S114" s="298" t="s">
        <v>118</v>
      </c>
      <c r="T114" s="298" t="s">
        <v>136</v>
      </c>
      <c r="U114" s="298" t="s">
        <v>120</v>
      </c>
      <c r="V114" s="298">
        <v>53</v>
      </c>
      <c r="W114" s="185" t="s">
        <v>1013</v>
      </c>
      <c r="X114" s="144">
        <v>43000</v>
      </c>
      <c r="Y114" s="298" t="s">
        <v>26</v>
      </c>
      <c r="Z114" s="298" t="s">
        <v>123</v>
      </c>
      <c r="AA114" s="298">
        <v>32</v>
      </c>
      <c r="AB114" s="298" t="s">
        <v>123</v>
      </c>
      <c r="AC114" s="298" t="s">
        <v>1014</v>
      </c>
      <c r="AD114" s="145"/>
      <c r="AE114" s="146">
        <v>42283</v>
      </c>
      <c r="AF114" s="298" t="s">
        <v>1015</v>
      </c>
      <c r="AG114" s="298" t="s">
        <v>1016</v>
      </c>
      <c r="AH114" s="298" t="s">
        <v>1017</v>
      </c>
      <c r="AI114" s="298" t="s">
        <v>139</v>
      </c>
      <c r="AJ114" s="298">
        <v>91752</v>
      </c>
      <c r="AK114" s="298" t="s">
        <v>118</v>
      </c>
      <c r="AL114" s="298" t="s">
        <v>123</v>
      </c>
      <c r="AM114" s="142" t="str">
        <f>INDEX(CarrierDriverTBL!$B:$B,MATCH(Table1[[#This Row],[DriverID]],CarrierDriverTBL!$A:$A,0))</f>
        <v>UBTrucking</v>
      </c>
      <c r="AN114" s="10" t="s">
        <v>948</v>
      </c>
      <c r="AO114" s="10" t="str">
        <f>INDEX(CarrierDriverTBL!$C:$C,MATCH(Table1[[#This Row],[DriverID]],CarrierDriverTBL!$A:$A,0))</f>
        <v>Wesley</v>
      </c>
      <c r="AP114" s="10" t="str">
        <f>INDEX(CarrierDriverTBL!$D:$D,MATCH(Table1[[#This Row],[DriverID]],CarrierDriverTBL!$A:$A,0))</f>
        <v>Cousain</v>
      </c>
      <c r="AQ114" s="10" t="str">
        <f>INDEX(CarrierDriverTBL!$X:$X,MATCH(Table1[[#This Row],[DriverID]],CarrierDriverTBL!$A:$A,0))</f>
        <v>D4903588</v>
      </c>
      <c r="AR114" s="11">
        <f>INDEX(CarrierDriverTBL!$Y:$Y,MATCH(Table1[[#This Row],[DriverID]],CarrierDriverTBL!$A:$A,0))</f>
        <v>43458</v>
      </c>
      <c r="AS114" s="142" t="str">
        <f t="shared" si="35"/>
        <v>GOOD</v>
      </c>
      <c r="AT114" s="11">
        <f>INDEX(CarrierDriverTBL!$E:$E,MATCH(Table1[[#This Row],[DriverID]],CarrierDriverTBL!$A:$A,0))</f>
        <v>31405</v>
      </c>
      <c r="AU114" s="163">
        <f ca="1">INDEX(CarrierDriverTBL!$F:$F,MATCH(Table1[[#This Row],[DriverID]],CarrierDriverTBL!$A:$A,0))</f>
        <v>30.605479452054794</v>
      </c>
      <c r="AV114" s="10" t="str">
        <f>INDEX(CarrierDriverTBL!$K:$K,MATCH(Table1[[#This Row],[DriverID]],CarrierDriverTBL!$A:$A,0))</f>
        <v>925-383-5364</v>
      </c>
      <c r="AW114" s="10" t="str">
        <f>INDEX(CarrierDriverTBL!$M:$M,MATCH(Table1[[#This Row],[DriverID]],CarrierDriverTBL!$A:$A,0))</f>
        <v>110 Cordova Ln</v>
      </c>
      <c r="AX114" s="10" t="str">
        <f>INDEX(CarrierDriverTBL!$N:$N,MATCH(Table1[[#This Row],[DriverID]],CarrierDriverTBL!$A:$A,0))</f>
        <v>Stockton</v>
      </c>
      <c r="AY114" s="10" t="str">
        <f>INDEX(CarrierDriverTBL!$O:$O,MATCH(Table1[[#This Row],[DriverID]],CarrierDriverTBL!$A:$A,0))</f>
        <v>CA</v>
      </c>
      <c r="AZ114" s="10">
        <f>INDEX(CarrierDriverTBL!$P:$P,MATCH(Table1[[#This Row],[DriverID]],CarrierDriverTBL!$A:$A,0))</f>
        <v>95207</v>
      </c>
      <c r="BA114" s="10" t="str">
        <f>INDEX(CarrierDriverTBL!$Q:$Q,MATCH(Table1[[#This Row],[DriverID]],CarrierDriverTBL!$A:$A,0))</f>
        <v>US</v>
      </c>
      <c r="BB114" s="173" t="str">
        <f>INDEX(CarrierDriverTBL!$R:$R,MATCH(Table1[[#This Row],[DriverID]],CarrierDriverTBL!$A:$A,0))</f>
        <v>wesleycousain1@gmail.com</v>
      </c>
      <c r="BC114" s="160">
        <f>INDEX(CarrierDriverTBL!$AB:$AB,MATCH(Table1[[#This Row],[DriverID]],CarrierDriverTBL!$A:$A,0))</f>
        <v>42271</v>
      </c>
      <c r="BD114" s="142" t="str">
        <f ca="1">INDEX(CarrierDriverTBL!$AD:$AD,MATCH(LoadMaster!$AN:$AN,CarrierDriverTBL!$A:$A,0))</f>
        <v>MISSING</v>
      </c>
      <c r="BE114" s="142">
        <f>INDEX(CarrierDriverTBL!$AE:$AE,MATCH(Table1[DriverID],CarrierDriverTBL!$A:$A,0))</f>
        <v>913971</v>
      </c>
      <c r="BF114" s="142">
        <f>INDEX(CarrierDriverTBL!$AF:$AF,MATCH(Table1[DriverID],CarrierDriverTBL!$A:$A,0))</f>
        <v>2627544</v>
      </c>
      <c r="BG114" s="142">
        <f>INDEX(CarrierDriverTBL!$AG:$AG,MATCH(Table1[DriverID],CarrierDriverTBL!$A:$A,0))</f>
        <v>466133</v>
      </c>
      <c r="BH114" s="142" t="str">
        <f>INDEX(CarrierDriverTBL!$AH:$AH,MATCH(Table1[DriverID],CarrierDriverTBL!$A:$A,0))</f>
        <v>GM Lawrence Ins</v>
      </c>
      <c r="BI114" s="142" t="str">
        <f>INDEX(CarrierDriverTBL!$AI:$AI,MATCH(Table1[DriverID],CarrierDriverTBL!$A:$A,0))</f>
        <v>DSK2842P160210</v>
      </c>
      <c r="BJ114" s="160">
        <f>INDEX(CarrierDriverTBL!$AJ:$AJ,MATCH(Table1[[#This Row],[DriverID]],CarrierDriverTBL!$A:$A,0))</f>
        <v>42778</v>
      </c>
      <c r="BK114" s="10">
        <f t="shared" si="36"/>
        <v>496</v>
      </c>
      <c r="BL114" s="174">
        <v>600</v>
      </c>
      <c r="BM114" s="144">
        <v>402</v>
      </c>
      <c r="BN114" s="159">
        <f t="shared" si="61"/>
        <v>1.4925373134328359</v>
      </c>
      <c r="BO114" s="167">
        <v>558</v>
      </c>
      <c r="BP114" s="159">
        <f t="shared" si="62"/>
        <v>1.3880597014925373</v>
      </c>
      <c r="BQ114" s="133">
        <v>2.7989999999999999</v>
      </c>
      <c r="BR114" s="166">
        <f t="shared" si="63"/>
        <v>0.14983333333333335</v>
      </c>
      <c r="BS114" s="167">
        <f t="shared" si="37"/>
        <v>1.2382263681592041</v>
      </c>
      <c r="BT114" s="159">
        <f t="shared" si="38"/>
        <v>60.233000000000004</v>
      </c>
      <c r="BU114" s="10" t="str">
        <f t="shared" si="39"/>
        <v>Ch Robinson</v>
      </c>
      <c r="BV114" s="4"/>
      <c r="BW114" s="4" t="str">
        <f>Table1[[#This Row],[BrokerAddress]]</f>
        <v>P.O. Box 3474</v>
      </c>
      <c r="BX114" s="4" t="str">
        <f t="shared" si="40"/>
        <v>Chicago</v>
      </c>
      <c r="BY114" s="4" t="str">
        <f t="shared" si="41"/>
        <v>Il</v>
      </c>
      <c r="BZ114" s="4">
        <f t="shared" si="42"/>
        <v>60654</v>
      </c>
      <c r="CA114" s="10" t="str">
        <f t="shared" si="43"/>
        <v>US</v>
      </c>
      <c r="CB114" s="15" t="s">
        <v>131</v>
      </c>
      <c r="CC114" s="62"/>
      <c r="CD114" s="15" t="s">
        <v>132</v>
      </c>
      <c r="CE114" s="64">
        <v>0</v>
      </c>
      <c r="CF114" s="4">
        <v>0</v>
      </c>
      <c r="CG114" s="132">
        <f t="shared" si="44"/>
        <v>0</v>
      </c>
      <c r="CH114" s="4" t="s">
        <v>132</v>
      </c>
      <c r="CI114" s="5">
        <v>0</v>
      </c>
      <c r="CJ114" s="4">
        <v>0</v>
      </c>
      <c r="CK114" s="132">
        <f t="shared" si="45"/>
        <v>0</v>
      </c>
      <c r="CL114" s="4" t="s">
        <v>132</v>
      </c>
      <c r="CM114" s="5">
        <v>0</v>
      </c>
      <c r="CN114" s="4">
        <v>0</v>
      </c>
      <c r="CO114" s="132">
        <f t="shared" si="46"/>
        <v>0</v>
      </c>
      <c r="CP114" s="4" t="s">
        <v>132</v>
      </c>
      <c r="CQ114" s="5">
        <v>0</v>
      </c>
      <c r="CR114" s="4">
        <v>0</v>
      </c>
      <c r="CS114" s="132">
        <f t="shared" si="47"/>
        <v>0</v>
      </c>
      <c r="CT114" s="159">
        <f t="shared" si="48"/>
        <v>0</v>
      </c>
      <c r="CU114" s="168">
        <f t="shared" si="49"/>
        <v>600</v>
      </c>
      <c r="CV114" s="183">
        <f t="shared" si="56"/>
        <v>0</v>
      </c>
      <c r="CW114" s="82">
        <f t="shared" si="57"/>
        <v>558</v>
      </c>
      <c r="CX114" s="79">
        <f>IF(ISBLANK(E114),"AddQuickPay",IF(E114=2,CU114*0.98,IF(E114=2.4,CU114*0.976,IF(E114=3,CU114*0.97,IF(E114=5,CU114*0.95,IF(E114=1.5,CU114*0.985,IF(E114=2.5,CU114*0.975,IF(E114=1.3,CU114*0.987,IF(E114=1,CU114*0.99,IF(E114=4,CU114*0.96,CU114*1))))))))))-Table1[[#This Row],[ComCheck+QuickPayFee]]</f>
        <v>588</v>
      </c>
      <c r="CY114" s="5">
        <f t="shared" si="50"/>
        <v>42</v>
      </c>
      <c r="CZ114" s="5">
        <f t="shared" si="51"/>
        <v>12</v>
      </c>
      <c r="DA114" s="258">
        <f>Table1[[#This Row],[OriginalDispatch]]-Table1[[#This Row],[QuickPayCharge]]</f>
        <v>30</v>
      </c>
      <c r="DB114" s="5">
        <v>0</v>
      </c>
      <c r="DC114" s="5" t="s">
        <v>133</v>
      </c>
      <c r="DD114" s="104">
        <f t="shared" si="52"/>
        <v>42286</v>
      </c>
      <c r="DE114" s="15">
        <f>MONTH(Table1[[#This Row],[Weekending]])</f>
        <v>10</v>
      </c>
      <c r="DF114" s="15">
        <f>YEAR(Table1[[#This Row],[Weekending]])</f>
        <v>2015</v>
      </c>
      <c r="DG114" s="4"/>
    </row>
    <row r="115" spans="1:111">
      <c r="A115" s="20" t="str">
        <f t="shared" si="34"/>
        <v>66563449</v>
      </c>
      <c r="B115" s="146">
        <v>42282</v>
      </c>
      <c r="C115" s="144">
        <v>6259066</v>
      </c>
      <c r="D115" s="298" t="s">
        <v>445</v>
      </c>
      <c r="E115" s="298">
        <v>3</v>
      </c>
      <c r="F115" s="298" t="str">
        <f>INDEX(BrokerTBL!$B:$B,MATCH(D115,BrokerTBL!$A:$A,0))</f>
        <v>960 Northpoint Parkway Suite 150</v>
      </c>
      <c r="G115" s="298" t="str">
        <f>INDEX(BrokerTBL!$C:$C,MATCH(D115,BrokerTBL!$A:$A,0))</f>
        <v>Alpharetta</v>
      </c>
      <c r="H115" s="298" t="str">
        <f>INDEX(BrokerTBL!$D:$D,MATCH(D115,BrokerTBL!$A:$A,0))</f>
        <v>Ga</v>
      </c>
      <c r="I115" s="298" t="str">
        <f>INDEX(BrokerTBL!$E:$E,MATCH(D115,BrokerTBL!$A:$A,0))</f>
        <v>US</v>
      </c>
      <c r="J115" s="298">
        <f>INDEX(BrokerTBL!$F:$F,MATCH(D115,BrokerTBL!$A:$A,0))</f>
        <v>30005</v>
      </c>
      <c r="K115" s="298" t="s">
        <v>1018</v>
      </c>
      <c r="L115" s="145" t="s">
        <v>1019</v>
      </c>
      <c r="M115" s="146">
        <v>42282</v>
      </c>
      <c r="N115" s="144" t="s">
        <v>1020</v>
      </c>
      <c r="O115" s="298" t="s">
        <v>1021</v>
      </c>
      <c r="P115" s="298" t="s">
        <v>983</v>
      </c>
      <c r="Q115" s="298" t="s">
        <v>139</v>
      </c>
      <c r="R115" s="298">
        <v>94503</v>
      </c>
      <c r="S115" s="298" t="s">
        <v>118</v>
      </c>
      <c r="T115" s="298" t="s">
        <v>136</v>
      </c>
      <c r="U115" s="298" t="s">
        <v>120</v>
      </c>
      <c r="V115" s="298">
        <v>53</v>
      </c>
      <c r="W115" s="298" t="s">
        <v>136</v>
      </c>
      <c r="X115" s="144">
        <v>18955</v>
      </c>
      <c r="Y115" s="298" t="s">
        <v>26</v>
      </c>
      <c r="Z115" s="298">
        <v>532</v>
      </c>
      <c r="AA115" s="298">
        <v>9</v>
      </c>
      <c r="AB115" s="298" t="s">
        <v>123</v>
      </c>
      <c r="AC115" s="298" t="s">
        <v>1022</v>
      </c>
      <c r="AD115" s="145" t="s">
        <v>1023</v>
      </c>
      <c r="AE115" s="146">
        <v>42283</v>
      </c>
      <c r="AF115" s="182">
        <v>0.45833333333333298</v>
      </c>
      <c r="AG115" s="298" t="s">
        <v>1024</v>
      </c>
      <c r="AH115" s="298" t="s">
        <v>1025</v>
      </c>
      <c r="AI115" s="298" t="s">
        <v>139</v>
      </c>
      <c r="AJ115" s="298">
        <v>95037</v>
      </c>
      <c r="AK115" s="298" t="s">
        <v>118</v>
      </c>
      <c r="AL115" s="298" t="s">
        <v>123</v>
      </c>
      <c r="AM115" s="10" t="str">
        <f>INDEX(CarrierDriverTBL!$B:$B,MATCH(Table1[[#This Row],[DriverID]],CarrierDriverTBL!$A:$A,0))</f>
        <v>UBTrucking</v>
      </c>
      <c r="AN115" s="10" t="s">
        <v>192</v>
      </c>
      <c r="AO115" s="10" t="str">
        <f>INDEX(CarrierDriverTBL!$C:$C,MATCH(Table1[[#This Row],[DriverID]],CarrierDriverTBL!$A:$A,0))</f>
        <v>Albel</v>
      </c>
      <c r="AP115" s="142" t="str">
        <f>INDEX(CarrierDriverTBL!$D:$D,MATCH(Table1[[#This Row],[DriverID]],CarrierDriverTBL!$A:$A,0))</f>
        <v>Chahil</v>
      </c>
      <c r="AQ115" s="142" t="str">
        <f>INDEX(CarrierDriverTBL!$X:$X,MATCH(Table1[[#This Row],[DriverID]],CarrierDriverTBL!$A:$A,0))</f>
        <v>A8390649</v>
      </c>
      <c r="AR115" s="160">
        <f>INDEX(CarrierDriverTBL!$Y:$Y,MATCH(Table1[[#This Row],[DriverID]],CarrierDriverTBL!$A:$A,0))</f>
        <v>42402</v>
      </c>
      <c r="AS115" s="142" t="str">
        <f t="shared" si="35"/>
        <v>GOOD</v>
      </c>
      <c r="AT115" s="160">
        <f>INDEX(CarrierDriverTBL!$E:$E,MATCH(Table1[[#This Row],[DriverID]],CarrierDriverTBL!$A:$A,0))</f>
        <v>22314</v>
      </c>
      <c r="AU115" s="163">
        <f ca="1">INDEX(CarrierDriverTBL!$F:$F,MATCH(Table1[[#This Row],[DriverID]],CarrierDriverTBL!$A:$A,0))</f>
        <v>55.512328767123286</v>
      </c>
      <c r="AV115" s="142" t="str">
        <f>INDEX(CarrierDriverTBL!$K:$K,MATCH(Table1[[#This Row],[DriverID]],CarrierDriverTBL!$A:$A,0))</f>
        <v>510-773-9450</v>
      </c>
      <c r="AW115" s="142" t="str">
        <f>INDEX(CarrierDriverTBL!$M:$M,MATCH(Table1[[#This Row],[DriverID]],CarrierDriverTBL!$A:$A,0))</f>
        <v>3124 Cynthia CT</v>
      </c>
      <c r="AX115" s="142" t="str">
        <f>INDEX(CarrierDriverTBL!$N:$N,MATCH(Table1[[#This Row],[DriverID]],CarrierDriverTBL!$A:$A,0))</f>
        <v>Tracy</v>
      </c>
      <c r="AY115" s="142" t="str">
        <f>INDEX(CarrierDriverTBL!$O:$O,MATCH(Table1[[#This Row],[DriverID]],CarrierDriverTBL!$A:$A,0))</f>
        <v>CA</v>
      </c>
      <c r="AZ115" s="142">
        <f>INDEX(CarrierDriverTBL!$P:$P,MATCH(Table1[[#This Row],[DriverID]],CarrierDriverTBL!$A:$A,0))</f>
        <v>95377</v>
      </c>
      <c r="BA115" s="142" t="str">
        <f>INDEX(CarrierDriverTBL!$Q:$Q,MATCH(Table1[[#This Row],[DriverID]],CarrierDriverTBL!$A:$A,0))</f>
        <v>US</v>
      </c>
      <c r="BB115" s="176" t="str">
        <f>INDEX(CarrierDriverTBL!$R:$R,MATCH(Table1[[#This Row],[DriverID]],CarrierDriverTBL!$A:$A,0))</f>
        <v>ubgollc@gmail.com</v>
      </c>
      <c r="BC115" s="160">
        <f>INDEX(CarrierDriverTBL!$AB:$AB,MATCH(Table1[[#This Row],[DriverID]],CarrierDriverTBL!$A:$A,0))</f>
        <v>42167</v>
      </c>
      <c r="BD115" s="142" t="str">
        <f ca="1">INDEX(CarrierDriverTBL!$AD:$AD,MATCH(LoadMaster!$AN:$AN,CarrierDriverTBL!$A:$A,0))</f>
        <v>MISSING</v>
      </c>
      <c r="BE115" s="142">
        <f>INDEX(CarrierDriverTBL!$AE:$AE,MATCH(Table1[DriverID],CarrierDriverTBL!$A:$A,0))</f>
        <v>913971</v>
      </c>
      <c r="BF115" s="142">
        <f>INDEX(CarrierDriverTBL!$AF:$AF,MATCH(Table1[DriverID],CarrierDriverTBL!$A:$A,0))</f>
        <v>2627544</v>
      </c>
      <c r="BG115" s="142">
        <f>INDEX(CarrierDriverTBL!$AG:$AG,MATCH(Table1[DriverID],CarrierDriverTBL!$A:$A,0))</f>
        <v>466133</v>
      </c>
      <c r="BH115" s="142" t="str">
        <f>INDEX(CarrierDriverTBL!$AH:$AH,MATCH(Table1[DriverID],CarrierDriverTBL!$A:$A,0))</f>
        <v>GM Lawrence Ins</v>
      </c>
      <c r="BI115" s="142" t="str">
        <f>INDEX(CarrierDriverTBL!$AI:$AI,MATCH(Table1[DriverID],CarrierDriverTBL!$A:$A,0))</f>
        <v>DSK2842P160210</v>
      </c>
      <c r="BJ115" s="160">
        <f>INDEX(CarrierDriverTBL!$AJ:$AJ,MATCH(Table1[[#This Row],[DriverID]],CarrierDriverTBL!$A:$A,0))</f>
        <v>42778</v>
      </c>
      <c r="BK115" s="10">
        <f t="shared" si="36"/>
        <v>496</v>
      </c>
      <c r="BL115" s="174">
        <v>750</v>
      </c>
      <c r="BM115" s="144">
        <v>104</v>
      </c>
      <c r="BN115" s="159">
        <f t="shared" si="61"/>
        <v>7.2115384615384617</v>
      </c>
      <c r="BO115" s="167">
        <v>700</v>
      </c>
      <c r="BP115" s="159">
        <f t="shared" si="62"/>
        <v>6.7307692307692308</v>
      </c>
      <c r="BQ115" s="133">
        <v>2.7989999999999999</v>
      </c>
      <c r="BR115" s="166">
        <f t="shared" si="63"/>
        <v>0.14983333333333335</v>
      </c>
      <c r="BS115" s="167">
        <f t="shared" si="37"/>
        <v>6.5809358974358974</v>
      </c>
      <c r="BT115" s="159">
        <f t="shared" si="38"/>
        <v>15.582666666666668</v>
      </c>
      <c r="BU115" s="10" t="str">
        <f t="shared" si="39"/>
        <v>Coyote</v>
      </c>
      <c r="BV115" s="15"/>
      <c r="BW115" s="4" t="str">
        <f>Table1[[#This Row],[BrokerAddress]]</f>
        <v>960 Northpoint Parkway Suite 150</v>
      </c>
      <c r="BX115" s="4" t="str">
        <f t="shared" si="40"/>
        <v>Alpharetta</v>
      </c>
      <c r="BY115" s="4" t="str">
        <f t="shared" si="41"/>
        <v>Ga</v>
      </c>
      <c r="BZ115" s="4">
        <f t="shared" si="42"/>
        <v>30005</v>
      </c>
      <c r="CA115" s="10" t="str">
        <f t="shared" si="43"/>
        <v>US</v>
      </c>
      <c r="CB115" s="15" t="s">
        <v>131</v>
      </c>
      <c r="CC115" s="62"/>
      <c r="CD115" s="15" t="s">
        <v>132</v>
      </c>
      <c r="CE115" s="64">
        <v>0</v>
      </c>
      <c r="CF115" s="4">
        <v>0</v>
      </c>
      <c r="CG115" s="132">
        <f t="shared" si="44"/>
        <v>0</v>
      </c>
      <c r="CH115" s="4" t="s">
        <v>132</v>
      </c>
      <c r="CI115" s="5">
        <v>0</v>
      </c>
      <c r="CJ115" s="4">
        <v>0</v>
      </c>
      <c r="CK115" s="132">
        <f t="shared" si="45"/>
        <v>0</v>
      </c>
      <c r="CL115" s="4" t="s">
        <v>132</v>
      </c>
      <c r="CM115" s="5">
        <v>0</v>
      </c>
      <c r="CN115" s="4">
        <v>0</v>
      </c>
      <c r="CO115" s="132">
        <f t="shared" si="46"/>
        <v>0</v>
      </c>
      <c r="CP115" s="4" t="s">
        <v>132</v>
      </c>
      <c r="CQ115" s="5">
        <v>0</v>
      </c>
      <c r="CR115" s="4">
        <v>0</v>
      </c>
      <c r="CS115" s="132">
        <f t="shared" si="47"/>
        <v>0</v>
      </c>
      <c r="CT115" s="159">
        <f t="shared" si="48"/>
        <v>0</v>
      </c>
      <c r="CU115" s="168">
        <f t="shared" si="49"/>
        <v>750</v>
      </c>
      <c r="CV115" s="183">
        <f t="shared" si="56"/>
        <v>0</v>
      </c>
      <c r="CW115" s="82">
        <f t="shared" si="57"/>
        <v>700</v>
      </c>
      <c r="CX115" s="79">
        <f>IF(ISBLANK(E115),"AddQuickPay",IF(E115=2,CU115*0.98,IF(E115=2.4,CU115*0.976,IF(E115=3,CU115*0.97,IF(E115=5,CU115*0.95,IF(E115=1.5,CU115*0.985,IF(E115=2.5,CU115*0.975,IF(E115=1.3,CU115*0.987,IF(E115=1,CU115*0.99,IF(E115=4,CU115*0.96,CU115*1))))))))))-Table1[[#This Row],[ComCheck+QuickPayFee]]</f>
        <v>727.5</v>
      </c>
      <c r="CY115" s="5">
        <f t="shared" si="50"/>
        <v>50</v>
      </c>
      <c r="CZ115" s="5">
        <f t="shared" si="51"/>
        <v>22.5</v>
      </c>
      <c r="DA115" s="258">
        <f>Table1[[#This Row],[OriginalDispatch]]-Table1[[#This Row],[QuickPayCharge]]</f>
        <v>27.5</v>
      </c>
      <c r="DB115" s="5">
        <v>0</v>
      </c>
      <c r="DC115" s="5" t="s">
        <v>133</v>
      </c>
      <c r="DD115" s="104">
        <f t="shared" si="52"/>
        <v>42286</v>
      </c>
      <c r="DE115" s="15">
        <f>MONTH(Table1[[#This Row],[Weekending]])</f>
        <v>10</v>
      </c>
      <c r="DF115" s="15">
        <f>YEAR(Table1[[#This Row],[Weekending]])</f>
        <v>2015</v>
      </c>
      <c r="DG115" s="4"/>
    </row>
    <row r="116" spans="1:111">
      <c r="A116" s="20" t="str">
        <f t="shared" si="34"/>
        <v>44363649</v>
      </c>
      <c r="B116" s="146">
        <v>42282</v>
      </c>
      <c r="C116" s="144">
        <v>183261344</v>
      </c>
      <c r="D116" s="142" t="s">
        <v>111</v>
      </c>
      <c r="E116" s="142">
        <v>2</v>
      </c>
      <c r="F116" s="142" t="str">
        <f>INDEX(BrokerTBL!$B:$B,MATCH(D116,BrokerTBL!$A:$A,0))</f>
        <v>P.O. Box 3474</v>
      </c>
      <c r="G116" s="142" t="str">
        <f>INDEX(BrokerTBL!$C:$C,MATCH(D116,BrokerTBL!$A:$A,0))</f>
        <v>Chicago</v>
      </c>
      <c r="H116" s="142" t="str">
        <f>INDEX(BrokerTBL!$D:$D,MATCH(D116,BrokerTBL!$A:$A,0))</f>
        <v>Il</v>
      </c>
      <c r="I116" s="142" t="str">
        <f>INDEX(BrokerTBL!$E:$E,MATCH(D116,BrokerTBL!$A:$A,0))</f>
        <v>US</v>
      </c>
      <c r="J116" s="142">
        <f>INDEX(BrokerTBL!$F:$F,MATCH(D116,BrokerTBL!$A:$A,0))</f>
        <v>60654</v>
      </c>
      <c r="K116" s="298" t="s">
        <v>1026</v>
      </c>
      <c r="L116" s="145">
        <v>11936</v>
      </c>
      <c r="M116" s="146">
        <v>42283</v>
      </c>
      <c r="N116" s="144" t="s">
        <v>1027</v>
      </c>
      <c r="O116" s="298" t="s">
        <v>1028</v>
      </c>
      <c r="P116" s="298" t="s">
        <v>1029</v>
      </c>
      <c r="Q116" s="298" t="s">
        <v>139</v>
      </c>
      <c r="R116" s="298">
        <v>95023</v>
      </c>
      <c r="S116" s="298" t="s">
        <v>118</v>
      </c>
      <c r="T116" s="298" t="s">
        <v>1030</v>
      </c>
      <c r="U116" s="298" t="s">
        <v>120</v>
      </c>
      <c r="V116" s="298">
        <v>53</v>
      </c>
      <c r="W116" s="185" t="s">
        <v>450</v>
      </c>
      <c r="X116" s="144">
        <v>35000</v>
      </c>
      <c r="Y116" s="298" t="s">
        <v>26</v>
      </c>
      <c r="Z116" s="298" t="s">
        <v>123</v>
      </c>
      <c r="AA116" s="298" t="s">
        <v>123</v>
      </c>
      <c r="AB116" s="298" t="s">
        <v>123</v>
      </c>
      <c r="AC116" s="298" t="s">
        <v>1031</v>
      </c>
      <c r="AD116" s="145">
        <v>11936</v>
      </c>
      <c r="AE116" s="146">
        <v>42284</v>
      </c>
      <c r="AF116" s="298" t="s">
        <v>1032</v>
      </c>
      <c r="AG116" s="298" t="s">
        <v>1033</v>
      </c>
      <c r="AH116" s="298" t="s">
        <v>703</v>
      </c>
      <c r="AI116" s="298" t="s">
        <v>139</v>
      </c>
      <c r="AJ116" s="298">
        <v>93033</v>
      </c>
      <c r="AK116" s="298" t="s">
        <v>118</v>
      </c>
      <c r="AL116" s="298" t="s">
        <v>1034</v>
      </c>
      <c r="AM116" s="10" t="str">
        <f>INDEX(CarrierDriverTBL!$B:$B,MATCH(Table1[[#This Row],[DriverID]],CarrierDriverTBL!$A:$A,0))</f>
        <v>UBTrucking</v>
      </c>
      <c r="AN116" s="10" t="s">
        <v>192</v>
      </c>
      <c r="AO116" s="10" t="str">
        <f>INDEX(CarrierDriverTBL!$C:$C,MATCH(Table1[[#This Row],[DriverID]],CarrierDriverTBL!$A:$A,0))</f>
        <v>Albel</v>
      </c>
      <c r="AP116" s="142" t="str">
        <f>INDEX(CarrierDriverTBL!$D:$D,MATCH(Table1[[#This Row],[DriverID]],CarrierDriverTBL!$A:$A,0))</f>
        <v>Chahil</v>
      </c>
      <c r="AQ116" s="142" t="str">
        <f>INDEX(CarrierDriverTBL!$X:$X,MATCH(Table1[[#This Row],[DriverID]],CarrierDriverTBL!$A:$A,0))</f>
        <v>A8390649</v>
      </c>
      <c r="AR116" s="160">
        <f>INDEX(CarrierDriverTBL!$Y:$Y,MATCH(Table1[[#This Row],[DriverID]],CarrierDriverTBL!$A:$A,0))</f>
        <v>42402</v>
      </c>
      <c r="AS116" s="142" t="str">
        <f t="shared" si="35"/>
        <v>GOOD</v>
      </c>
      <c r="AT116" s="160">
        <f>INDEX(CarrierDriverTBL!$E:$E,MATCH(Table1[[#This Row],[DriverID]],CarrierDriverTBL!$A:$A,0))</f>
        <v>22314</v>
      </c>
      <c r="AU116" s="163">
        <f ca="1">INDEX(CarrierDriverTBL!$F:$F,MATCH(Table1[[#This Row],[DriverID]],CarrierDriverTBL!$A:$A,0))</f>
        <v>55.512328767123286</v>
      </c>
      <c r="AV116" s="142" t="str">
        <f>INDEX(CarrierDriverTBL!$K:$K,MATCH(Table1[[#This Row],[DriverID]],CarrierDriverTBL!$A:$A,0))</f>
        <v>510-773-9450</v>
      </c>
      <c r="AW116" s="142" t="str">
        <f>INDEX(CarrierDriverTBL!$M:$M,MATCH(Table1[[#This Row],[DriverID]],CarrierDriverTBL!$A:$A,0))</f>
        <v>3124 Cynthia CT</v>
      </c>
      <c r="AX116" s="142" t="str">
        <f>INDEX(CarrierDriverTBL!$N:$N,MATCH(Table1[[#This Row],[DriverID]],CarrierDriverTBL!$A:$A,0))</f>
        <v>Tracy</v>
      </c>
      <c r="AY116" s="142" t="str">
        <f>INDEX(CarrierDriverTBL!$O:$O,MATCH(Table1[[#This Row],[DriverID]],CarrierDriverTBL!$A:$A,0))</f>
        <v>CA</v>
      </c>
      <c r="AZ116" s="142">
        <f>INDEX(CarrierDriverTBL!$P:$P,MATCH(Table1[[#This Row],[DriverID]],CarrierDriverTBL!$A:$A,0))</f>
        <v>95377</v>
      </c>
      <c r="BA116" s="142" t="str">
        <f>INDEX(CarrierDriverTBL!$Q:$Q,MATCH(Table1[[#This Row],[DriverID]],CarrierDriverTBL!$A:$A,0))</f>
        <v>US</v>
      </c>
      <c r="BB116" s="176" t="str">
        <f>INDEX(CarrierDriverTBL!$R:$R,MATCH(Table1[[#This Row],[DriverID]],CarrierDriverTBL!$A:$A,0))</f>
        <v>ubgollc@gmail.com</v>
      </c>
      <c r="BC116" s="160">
        <f>INDEX(CarrierDriverTBL!$AB:$AB,MATCH(Table1[[#This Row],[DriverID]],CarrierDriverTBL!$A:$A,0))</f>
        <v>42167</v>
      </c>
      <c r="BD116" s="142" t="str">
        <f ca="1">INDEX(CarrierDriverTBL!$AD:$AD,MATCH(LoadMaster!$AN:$AN,CarrierDriverTBL!$A:$A,0))</f>
        <v>MISSING</v>
      </c>
      <c r="BE116" s="142">
        <f>INDEX(CarrierDriverTBL!$AE:$AE,MATCH(Table1[DriverID],CarrierDriverTBL!$A:$A,0))</f>
        <v>913971</v>
      </c>
      <c r="BF116" s="142">
        <f>INDEX(CarrierDriverTBL!$AF:$AF,MATCH(Table1[DriverID],CarrierDriverTBL!$A:$A,0))</f>
        <v>2627544</v>
      </c>
      <c r="BG116" s="142">
        <f>INDEX(CarrierDriverTBL!$AG:$AG,MATCH(Table1[DriverID],CarrierDriverTBL!$A:$A,0))</f>
        <v>466133</v>
      </c>
      <c r="BH116" s="142" t="str">
        <f>INDEX(CarrierDriverTBL!$AH:$AH,MATCH(Table1[DriverID],CarrierDriverTBL!$A:$A,0))</f>
        <v>GM Lawrence Ins</v>
      </c>
      <c r="BI116" s="142" t="str">
        <f>INDEX(CarrierDriverTBL!$AI:$AI,MATCH(Table1[DriverID],CarrierDriverTBL!$A:$A,0))</f>
        <v>DSK2842P160210</v>
      </c>
      <c r="BJ116" s="160">
        <f>INDEX(CarrierDriverTBL!$AJ:$AJ,MATCH(Table1[[#This Row],[DriverID]],CarrierDriverTBL!$A:$A,0))</f>
        <v>42778</v>
      </c>
      <c r="BK116" s="10">
        <f t="shared" si="36"/>
        <v>495</v>
      </c>
      <c r="BL116" s="174">
        <v>750</v>
      </c>
      <c r="BM116" s="144">
        <v>306</v>
      </c>
      <c r="BN116" s="159">
        <f t="shared" si="61"/>
        <v>2.4509803921568629</v>
      </c>
      <c r="BO116" s="167">
        <v>700</v>
      </c>
      <c r="BP116" s="159">
        <f t="shared" si="62"/>
        <v>2.2875816993464051</v>
      </c>
      <c r="BQ116" s="133">
        <v>2.7989999999999999</v>
      </c>
      <c r="BR116" s="166">
        <f t="shared" si="63"/>
        <v>0.14983333333333335</v>
      </c>
      <c r="BS116" s="167">
        <f t="shared" si="37"/>
        <v>2.1377483660130716</v>
      </c>
      <c r="BT116" s="159">
        <f t="shared" si="38"/>
        <v>45.849000000000004</v>
      </c>
      <c r="BU116" s="10" t="str">
        <f t="shared" si="39"/>
        <v>Ch Robinson</v>
      </c>
      <c r="BV116" s="4"/>
      <c r="BW116" s="4" t="str">
        <f>Table1[[#This Row],[BrokerAddress]]</f>
        <v>P.O. Box 3474</v>
      </c>
      <c r="BX116" s="4" t="str">
        <f t="shared" si="40"/>
        <v>Chicago</v>
      </c>
      <c r="BY116" s="4" t="str">
        <f t="shared" si="41"/>
        <v>Il</v>
      </c>
      <c r="BZ116" s="4">
        <f t="shared" si="42"/>
        <v>60654</v>
      </c>
      <c r="CA116" s="10" t="str">
        <f t="shared" si="43"/>
        <v>US</v>
      </c>
      <c r="CB116" s="15" t="s">
        <v>131</v>
      </c>
      <c r="CC116" s="62"/>
      <c r="CD116" s="15" t="s">
        <v>132</v>
      </c>
      <c r="CE116" s="64">
        <v>0</v>
      </c>
      <c r="CF116" s="4">
        <v>0</v>
      </c>
      <c r="CG116" s="132">
        <f t="shared" si="44"/>
        <v>0</v>
      </c>
      <c r="CH116" s="4" t="s">
        <v>132</v>
      </c>
      <c r="CI116" s="5">
        <v>0</v>
      </c>
      <c r="CJ116" s="4">
        <v>0</v>
      </c>
      <c r="CK116" s="132">
        <f t="shared" si="45"/>
        <v>0</v>
      </c>
      <c r="CL116" s="4" t="s">
        <v>132</v>
      </c>
      <c r="CM116" s="5">
        <v>0</v>
      </c>
      <c r="CN116" s="4">
        <v>0</v>
      </c>
      <c r="CO116" s="132">
        <f t="shared" si="46"/>
        <v>0</v>
      </c>
      <c r="CP116" s="4" t="s">
        <v>132</v>
      </c>
      <c r="CQ116" s="5">
        <v>0</v>
      </c>
      <c r="CR116" s="4">
        <v>0</v>
      </c>
      <c r="CS116" s="132">
        <f t="shared" si="47"/>
        <v>0</v>
      </c>
      <c r="CT116" s="159">
        <f t="shared" si="48"/>
        <v>0</v>
      </c>
      <c r="CU116" s="168">
        <f t="shared" si="49"/>
        <v>750</v>
      </c>
      <c r="CV116" s="183">
        <f t="shared" si="56"/>
        <v>0</v>
      </c>
      <c r="CW116" s="82">
        <f t="shared" si="57"/>
        <v>700</v>
      </c>
      <c r="CX116" s="79">
        <f>IF(ISBLANK(E116),"AddQuickPay",IF(E116=2,CU116*0.98,IF(E116=2.4,CU116*0.976,IF(E116=3,CU116*0.97,IF(E116=5,CU116*0.95,IF(E116=1.5,CU116*0.985,IF(E116=2.5,CU116*0.975,IF(E116=1.3,CU116*0.987,IF(E116=1,CU116*0.99,IF(E116=4,CU116*0.96,CU116*1))))))))))-Table1[[#This Row],[ComCheck+QuickPayFee]]</f>
        <v>735</v>
      </c>
      <c r="CY116" s="5">
        <f t="shared" si="50"/>
        <v>50</v>
      </c>
      <c r="CZ116" s="5">
        <f t="shared" si="51"/>
        <v>15</v>
      </c>
      <c r="DA116" s="258">
        <f>Table1[[#This Row],[OriginalDispatch]]-Table1[[#This Row],[QuickPayCharge]]</f>
        <v>35</v>
      </c>
      <c r="DB116" s="5">
        <v>0</v>
      </c>
      <c r="DC116" s="5" t="s">
        <v>133</v>
      </c>
      <c r="DD116" s="104">
        <f t="shared" si="52"/>
        <v>42286</v>
      </c>
      <c r="DE116" s="15">
        <f>MONTH(Table1[[#This Row],[Weekending]])</f>
        <v>10</v>
      </c>
      <c r="DF116" s="15">
        <f>YEAR(Table1[[#This Row],[Weekending]])</f>
        <v>2015</v>
      </c>
      <c r="DG116" s="4"/>
    </row>
    <row r="117" spans="1:111">
      <c r="A117" s="20" t="str">
        <f t="shared" si="34"/>
        <v>43182988</v>
      </c>
      <c r="B117" s="146">
        <v>42283</v>
      </c>
      <c r="C117" s="144">
        <v>182757343</v>
      </c>
      <c r="D117" s="142" t="s">
        <v>111</v>
      </c>
      <c r="E117" s="142">
        <v>2</v>
      </c>
      <c r="F117" s="142" t="str">
        <f>INDEX(BrokerTBL!$B:$B,MATCH(D117,BrokerTBL!$A:$A,0))</f>
        <v>P.O. Box 3474</v>
      </c>
      <c r="G117" s="142" t="str">
        <f>INDEX(BrokerTBL!$C:$C,MATCH(D117,BrokerTBL!$A:$A,0))</f>
        <v>Chicago</v>
      </c>
      <c r="H117" s="142" t="str">
        <f>INDEX(BrokerTBL!$D:$D,MATCH(D117,BrokerTBL!$A:$A,0))</f>
        <v>Il</v>
      </c>
      <c r="I117" s="142" t="str">
        <f>INDEX(BrokerTBL!$E:$E,MATCH(D117,BrokerTBL!$A:$A,0))</f>
        <v>US</v>
      </c>
      <c r="J117" s="142">
        <f>INDEX(BrokerTBL!$F:$F,MATCH(D117,BrokerTBL!$A:$A,0))</f>
        <v>60654</v>
      </c>
      <c r="K117" s="298" t="s">
        <v>1035</v>
      </c>
      <c r="L117" s="145">
        <v>5427418</v>
      </c>
      <c r="M117" s="146">
        <v>42283</v>
      </c>
      <c r="N117" s="144" t="s">
        <v>417</v>
      </c>
      <c r="O117" s="298" t="s">
        <v>1036</v>
      </c>
      <c r="P117" s="298" t="s">
        <v>1037</v>
      </c>
      <c r="Q117" s="298" t="s">
        <v>139</v>
      </c>
      <c r="R117" s="298">
        <v>90040</v>
      </c>
      <c r="S117" s="298" t="s">
        <v>118</v>
      </c>
      <c r="T117" s="298" t="s">
        <v>136</v>
      </c>
      <c r="U117" s="142" t="s">
        <v>120</v>
      </c>
      <c r="V117" s="142">
        <v>53</v>
      </c>
      <c r="W117" s="298" t="s">
        <v>136</v>
      </c>
      <c r="X117" s="144">
        <v>18552</v>
      </c>
      <c r="Y117" s="298" t="s">
        <v>26</v>
      </c>
      <c r="Z117" s="298">
        <v>835</v>
      </c>
      <c r="AA117" s="298" t="s">
        <v>123</v>
      </c>
      <c r="AB117" s="298" t="s">
        <v>123</v>
      </c>
      <c r="AC117" s="298" t="s">
        <v>1038</v>
      </c>
      <c r="AD117" s="145">
        <v>6097029</v>
      </c>
      <c r="AE117" s="146">
        <v>42284</v>
      </c>
      <c r="AF117" s="298" t="s">
        <v>1032</v>
      </c>
      <c r="AG117" s="298" t="s">
        <v>1039</v>
      </c>
      <c r="AH117" s="298" t="s">
        <v>208</v>
      </c>
      <c r="AI117" s="298" t="s">
        <v>139</v>
      </c>
      <c r="AJ117" s="298">
        <v>95826</v>
      </c>
      <c r="AK117" s="298" t="s">
        <v>118</v>
      </c>
      <c r="AL117" s="298" t="s">
        <v>123</v>
      </c>
      <c r="AM117" s="142" t="str">
        <f>INDEX(CarrierDriverTBL!$B:$B,MATCH(Table1[[#This Row],[DriverID]],CarrierDriverTBL!$A:$A,0))</f>
        <v>UBTrucking</v>
      </c>
      <c r="AN117" s="10" t="s">
        <v>948</v>
      </c>
      <c r="AO117" s="10" t="str">
        <f>INDEX(CarrierDriverTBL!$C:$C,MATCH(Table1[[#This Row],[DriverID]],CarrierDriverTBL!$A:$A,0))</f>
        <v>Wesley</v>
      </c>
      <c r="AP117" s="10" t="str">
        <f>INDEX(CarrierDriverTBL!$D:$D,MATCH(Table1[[#This Row],[DriverID]],CarrierDriverTBL!$A:$A,0))</f>
        <v>Cousain</v>
      </c>
      <c r="AQ117" s="10" t="str">
        <f>INDEX(CarrierDriverTBL!$X:$X,MATCH(Table1[[#This Row],[DriverID]],CarrierDriverTBL!$A:$A,0))</f>
        <v>D4903588</v>
      </c>
      <c r="AR117" s="11">
        <f>INDEX(CarrierDriverTBL!$Y:$Y,MATCH(Table1[[#This Row],[DriverID]],CarrierDriverTBL!$A:$A,0))</f>
        <v>43458</v>
      </c>
      <c r="AS117" s="142" t="str">
        <f t="shared" si="35"/>
        <v>GOOD</v>
      </c>
      <c r="AT117" s="11">
        <f>INDEX(CarrierDriverTBL!$E:$E,MATCH(Table1[[#This Row],[DriverID]],CarrierDriverTBL!$A:$A,0))</f>
        <v>31405</v>
      </c>
      <c r="AU117" s="163">
        <f ca="1">INDEX(CarrierDriverTBL!$F:$F,MATCH(Table1[[#This Row],[DriverID]],CarrierDriverTBL!$A:$A,0))</f>
        <v>30.605479452054794</v>
      </c>
      <c r="AV117" s="10" t="str">
        <f>INDEX(CarrierDriverTBL!$K:$K,MATCH(Table1[[#This Row],[DriverID]],CarrierDriverTBL!$A:$A,0))</f>
        <v>925-383-5364</v>
      </c>
      <c r="AW117" s="10" t="str">
        <f>INDEX(CarrierDriverTBL!$M:$M,MATCH(Table1[[#This Row],[DriverID]],CarrierDriverTBL!$A:$A,0))</f>
        <v>110 Cordova Ln</v>
      </c>
      <c r="AX117" s="10" t="str">
        <f>INDEX(CarrierDriverTBL!$N:$N,MATCH(Table1[[#This Row],[DriverID]],CarrierDriverTBL!$A:$A,0))</f>
        <v>Stockton</v>
      </c>
      <c r="AY117" s="10" t="str">
        <f>INDEX(CarrierDriverTBL!$O:$O,MATCH(Table1[[#This Row],[DriverID]],CarrierDriverTBL!$A:$A,0))</f>
        <v>CA</v>
      </c>
      <c r="AZ117" s="10">
        <f>INDEX(CarrierDriverTBL!$P:$P,MATCH(Table1[[#This Row],[DriverID]],CarrierDriverTBL!$A:$A,0))</f>
        <v>95207</v>
      </c>
      <c r="BA117" s="10" t="str">
        <f>INDEX(CarrierDriverTBL!$Q:$Q,MATCH(Table1[[#This Row],[DriverID]],CarrierDriverTBL!$A:$A,0))</f>
        <v>US</v>
      </c>
      <c r="BB117" s="173" t="str">
        <f>INDEX(CarrierDriverTBL!$R:$R,MATCH(Table1[[#This Row],[DriverID]],CarrierDriverTBL!$A:$A,0))</f>
        <v>wesleycousain1@gmail.com</v>
      </c>
      <c r="BC117" s="160">
        <f>INDEX(CarrierDriverTBL!$AB:$AB,MATCH(Table1[[#This Row],[DriverID]],CarrierDriverTBL!$A:$A,0))</f>
        <v>42271</v>
      </c>
      <c r="BD117" s="142" t="str">
        <f ca="1">INDEX(CarrierDriverTBL!$AD:$AD,MATCH(LoadMaster!$AN:$AN,CarrierDriverTBL!$A:$A,0))</f>
        <v>MISSING</v>
      </c>
      <c r="BE117" s="142">
        <f>INDEX(CarrierDriverTBL!$AE:$AE,MATCH(Table1[DriverID],CarrierDriverTBL!$A:$A,0))</f>
        <v>913971</v>
      </c>
      <c r="BF117" s="142">
        <f>INDEX(CarrierDriverTBL!$AF:$AF,MATCH(Table1[DriverID],CarrierDriverTBL!$A:$A,0))</f>
        <v>2627544</v>
      </c>
      <c r="BG117" s="142">
        <f>INDEX(CarrierDriverTBL!$AG:$AG,MATCH(Table1[DriverID],CarrierDriverTBL!$A:$A,0))</f>
        <v>466133</v>
      </c>
      <c r="BH117" s="142" t="str">
        <f>INDEX(CarrierDriverTBL!$AH:$AH,MATCH(Table1[DriverID],CarrierDriverTBL!$A:$A,0))</f>
        <v>GM Lawrence Ins</v>
      </c>
      <c r="BI117" s="142" t="str">
        <f>INDEX(CarrierDriverTBL!$AI:$AI,MATCH(Table1[DriverID],CarrierDriverTBL!$A:$A,0))</f>
        <v>DSK2842P160210</v>
      </c>
      <c r="BJ117" s="160">
        <f>INDEX(CarrierDriverTBL!$AJ:$AJ,MATCH(Table1[[#This Row],[DriverID]],CarrierDriverTBL!$A:$A,0))</f>
        <v>42778</v>
      </c>
      <c r="BK117" s="10">
        <f t="shared" si="36"/>
        <v>495</v>
      </c>
      <c r="BL117" s="174">
        <v>850</v>
      </c>
      <c r="BM117" s="144">
        <v>391</v>
      </c>
      <c r="BN117" s="159">
        <f t="shared" si="61"/>
        <v>2.1739130434782608</v>
      </c>
      <c r="BO117" s="167">
        <v>790.5</v>
      </c>
      <c r="BP117" s="159">
        <f t="shared" si="62"/>
        <v>2.0217391304347827</v>
      </c>
      <c r="BQ117" s="133">
        <v>2.7989999999999999</v>
      </c>
      <c r="BR117" s="166">
        <f t="shared" si="63"/>
        <v>0.14983333333333335</v>
      </c>
      <c r="BS117" s="167">
        <f t="shared" si="37"/>
        <v>1.8719057971014494</v>
      </c>
      <c r="BT117" s="159">
        <f t="shared" si="38"/>
        <v>58.584833333333336</v>
      </c>
      <c r="BU117" s="10" t="str">
        <f t="shared" si="39"/>
        <v>Ch Robinson</v>
      </c>
      <c r="BV117" s="4"/>
      <c r="BW117" s="4" t="str">
        <f>Table1[[#This Row],[BrokerAddress]]</f>
        <v>P.O. Box 3474</v>
      </c>
      <c r="BX117" s="4" t="str">
        <f t="shared" si="40"/>
        <v>Chicago</v>
      </c>
      <c r="BY117" s="4" t="str">
        <f t="shared" si="41"/>
        <v>Il</v>
      </c>
      <c r="BZ117" s="4">
        <f t="shared" si="42"/>
        <v>60654</v>
      </c>
      <c r="CA117" s="10" t="str">
        <f t="shared" si="43"/>
        <v>US</v>
      </c>
      <c r="CB117" s="15" t="s">
        <v>131</v>
      </c>
      <c r="CC117" s="62"/>
      <c r="CD117" s="15" t="s">
        <v>149</v>
      </c>
      <c r="CE117" s="64">
        <v>0</v>
      </c>
      <c r="CF117" s="4">
        <v>2.5</v>
      </c>
      <c r="CG117" s="132">
        <f t="shared" si="44"/>
        <v>0</v>
      </c>
      <c r="CH117" s="4" t="s">
        <v>132</v>
      </c>
      <c r="CI117" s="5">
        <v>0</v>
      </c>
      <c r="CJ117" s="4">
        <v>0</v>
      </c>
      <c r="CK117" s="132">
        <f t="shared" si="45"/>
        <v>0</v>
      </c>
      <c r="CL117" s="4" t="s">
        <v>132</v>
      </c>
      <c r="CM117" s="5">
        <v>0</v>
      </c>
      <c r="CN117" s="4">
        <v>0</v>
      </c>
      <c r="CO117" s="132">
        <f t="shared" si="46"/>
        <v>0</v>
      </c>
      <c r="CP117" s="4" t="s">
        <v>132</v>
      </c>
      <c r="CQ117" s="5">
        <v>0</v>
      </c>
      <c r="CR117" s="4">
        <v>0</v>
      </c>
      <c r="CS117" s="132">
        <f t="shared" si="47"/>
        <v>0</v>
      </c>
      <c r="CT117" s="159">
        <f t="shared" si="48"/>
        <v>0</v>
      </c>
      <c r="CU117" s="168">
        <f t="shared" si="49"/>
        <v>850</v>
      </c>
      <c r="CV117" s="183">
        <f t="shared" si="56"/>
        <v>0</v>
      </c>
      <c r="CW117" s="82">
        <f t="shared" si="57"/>
        <v>790.5</v>
      </c>
      <c r="CX117" s="79">
        <f>IF(ISBLANK(E117),"AddQuickPay",IF(E117=2,CU117*0.98,IF(E117=2.4,CU117*0.976,IF(E117=3,CU117*0.97,IF(E117=5,CU117*0.95,IF(E117=1.5,CU117*0.985,IF(E117=2.5,CU117*0.975,IF(E117=1.3,CU117*0.987,IF(E117=1,CU117*0.99,IF(E117=4,CU117*0.96,CU117*1))))))))))-Table1[[#This Row],[ComCheck+QuickPayFee]]</f>
        <v>833</v>
      </c>
      <c r="CY117" s="5">
        <f t="shared" si="50"/>
        <v>59.5</v>
      </c>
      <c r="CZ117" s="5">
        <f t="shared" si="51"/>
        <v>17</v>
      </c>
      <c r="DA117" s="258">
        <f>Table1[[#This Row],[OriginalDispatch]]-Table1[[#This Row],[QuickPayCharge]]</f>
        <v>42.5</v>
      </c>
      <c r="DB117" s="5">
        <v>0</v>
      </c>
      <c r="DC117" s="5" t="s">
        <v>133</v>
      </c>
      <c r="DD117" s="104">
        <f t="shared" si="52"/>
        <v>42286</v>
      </c>
      <c r="DE117" s="15">
        <f>MONTH(Table1[[#This Row],[Weekending]])</f>
        <v>10</v>
      </c>
      <c r="DF117" s="15">
        <f>YEAR(Table1[[#This Row],[Weekending]])</f>
        <v>2015</v>
      </c>
      <c r="DG117" s="4"/>
    </row>
    <row r="118" spans="1:111">
      <c r="A118" s="20" t="str">
        <f t="shared" si="34"/>
        <v>02737349</v>
      </c>
      <c r="B118" s="146">
        <v>42284</v>
      </c>
      <c r="C118" s="144">
        <v>183129702</v>
      </c>
      <c r="D118" s="142" t="s">
        <v>111</v>
      </c>
      <c r="E118" s="142">
        <v>2</v>
      </c>
      <c r="F118" s="142" t="str">
        <f>INDEX(BrokerTBL!$B:$B,MATCH(D118,BrokerTBL!$A:$A,0))</f>
        <v>P.O. Box 3474</v>
      </c>
      <c r="G118" s="142" t="str">
        <f>INDEX(BrokerTBL!$C:$C,MATCH(D118,BrokerTBL!$A:$A,0))</f>
        <v>Chicago</v>
      </c>
      <c r="H118" s="142" t="str">
        <f>INDEX(BrokerTBL!$D:$D,MATCH(D118,BrokerTBL!$A:$A,0))</f>
        <v>Il</v>
      </c>
      <c r="I118" s="142" t="str">
        <f>INDEX(BrokerTBL!$E:$E,MATCH(D118,BrokerTBL!$A:$A,0))</f>
        <v>US</v>
      </c>
      <c r="J118" s="142">
        <f>INDEX(BrokerTBL!$F:$F,MATCH(D118,BrokerTBL!$A:$A,0))</f>
        <v>60654</v>
      </c>
      <c r="K118" s="298" t="s">
        <v>1040</v>
      </c>
      <c r="L118" s="145">
        <v>40073</v>
      </c>
      <c r="M118" s="146">
        <v>42284</v>
      </c>
      <c r="N118" s="144" t="s">
        <v>1041</v>
      </c>
      <c r="O118" s="298" t="s">
        <v>1042</v>
      </c>
      <c r="P118" s="298" t="s">
        <v>892</v>
      </c>
      <c r="Q118" s="298" t="s">
        <v>139</v>
      </c>
      <c r="R118" s="298">
        <v>90670</v>
      </c>
      <c r="S118" s="298" t="s">
        <v>118</v>
      </c>
      <c r="T118" s="298" t="s">
        <v>136</v>
      </c>
      <c r="U118" s="298" t="s">
        <v>120</v>
      </c>
      <c r="V118" s="298">
        <v>53</v>
      </c>
      <c r="W118" s="185" t="s">
        <v>1043</v>
      </c>
      <c r="X118" s="144">
        <v>42523</v>
      </c>
      <c r="Y118" s="298" t="s">
        <v>740</v>
      </c>
      <c r="Z118" s="298" t="s">
        <v>123</v>
      </c>
      <c r="AA118" s="298" t="s">
        <v>123</v>
      </c>
      <c r="AB118" s="298" t="s">
        <v>123</v>
      </c>
      <c r="AC118" s="298" t="s">
        <v>1044</v>
      </c>
      <c r="AD118" s="145">
        <v>40073</v>
      </c>
      <c r="AE118" s="146">
        <v>42285</v>
      </c>
      <c r="AF118" s="298" t="s">
        <v>1045</v>
      </c>
      <c r="AG118" s="298" t="s">
        <v>1046</v>
      </c>
      <c r="AH118" s="298" t="s">
        <v>380</v>
      </c>
      <c r="AI118" s="298" t="s">
        <v>139</v>
      </c>
      <c r="AJ118" s="298">
        <v>95376</v>
      </c>
      <c r="AK118" s="298" t="s">
        <v>118</v>
      </c>
      <c r="AL118" s="298" t="s">
        <v>123</v>
      </c>
      <c r="AM118" s="142" t="str">
        <f>INDEX(CarrierDriverTBL!$B:$B,MATCH(Table1[[#This Row],[DriverID]],CarrierDriverTBL!$A:$A,0))</f>
        <v>UBTrucking</v>
      </c>
      <c r="AN118" s="10" t="s">
        <v>192</v>
      </c>
      <c r="AO118" s="10" t="str">
        <f>INDEX(CarrierDriverTBL!$C:$C,MATCH(Table1[[#This Row],[DriverID]],CarrierDriverTBL!$A:$A,0))</f>
        <v>Albel</v>
      </c>
      <c r="AP118" s="142" t="str">
        <f>INDEX(CarrierDriverTBL!$D:$D,MATCH(Table1[[#This Row],[DriverID]],CarrierDriverTBL!$A:$A,0))</f>
        <v>Chahil</v>
      </c>
      <c r="AQ118" s="142" t="str">
        <f>INDEX(CarrierDriverTBL!$X:$X,MATCH(Table1[[#This Row],[DriverID]],CarrierDriverTBL!$A:$A,0))</f>
        <v>A8390649</v>
      </c>
      <c r="AR118" s="160">
        <f>INDEX(CarrierDriverTBL!$Y:$Y,MATCH(Table1[[#This Row],[DriverID]],CarrierDriverTBL!$A:$A,0))</f>
        <v>42402</v>
      </c>
      <c r="AS118" s="142" t="str">
        <f t="shared" si="35"/>
        <v>GOOD</v>
      </c>
      <c r="AT118" s="160">
        <f>INDEX(CarrierDriverTBL!$E:$E,MATCH(Table1[[#This Row],[DriverID]],CarrierDriverTBL!$A:$A,0))</f>
        <v>22314</v>
      </c>
      <c r="AU118" s="163">
        <f ca="1">INDEX(CarrierDriverTBL!$F:$F,MATCH(Table1[[#This Row],[DriverID]],CarrierDriverTBL!$A:$A,0))</f>
        <v>55.512328767123286</v>
      </c>
      <c r="AV118" s="142" t="str">
        <f>INDEX(CarrierDriverTBL!$K:$K,MATCH(Table1[[#This Row],[DriverID]],CarrierDriverTBL!$A:$A,0))</f>
        <v>510-773-9450</v>
      </c>
      <c r="AW118" s="142" t="str">
        <f>INDEX(CarrierDriverTBL!$M:$M,MATCH(Table1[[#This Row],[DriverID]],CarrierDriverTBL!$A:$A,0))</f>
        <v>3124 Cynthia CT</v>
      </c>
      <c r="AX118" s="142" t="str">
        <f>INDEX(CarrierDriverTBL!$N:$N,MATCH(Table1[[#This Row],[DriverID]],CarrierDriverTBL!$A:$A,0))</f>
        <v>Tracy</v>
      </c>
      <c r="AY118" s="142" t="str">
        <f>INDEX(CarrierDriverTBL!$O:$O,MATCH(Table1[[#This Row],[DriverID]],CarrierDriverTBL!$A:$A,0))</f>
        <v>CA</v>
      </c>
      <c r="AZ118" s="142">
        <f>INDEX(CarrierDriverTBL!$P:$P,MATCH(Table1[[#This Row],[DriverID]],CarrierDriverTBL!$A:$A,0))</f>
        <v>95377</v>
      </c>
      <c r="BA118" s="142" t="str">
        <f>INDEX(CarrierDriverTBL!$Q:$Q,MATCH(Table1[[#This Row],[DriverID]],CarrierDriverTBL!$A:$A,0))</f>
        <v>US</v>
      </c>
      <c r="BB118" s="176" t="str">
        <f>INDEX(CarrierDriverTBL!$R:$R,MATCH(Table1[[#This Row],[DriverID]],CarrierDriverTBL!$A:$A,0))</f>
        <v>ubgollc@gmail.com</v>
      </c>
      <c r="BC118" s="160">
        <f>INDEX(CarrierDriverTBL!$AB:$AB,MATCH(Table1[[#This Row],[DriverID]],CarrierDriverTBL!$A:$A,0))</f>
        <v>42167</v>
      </c>
      <c r="BD118" s="142" t="str">
        <f ca="1">INDEX(CarrierDriverTBL!$AD:$AD,MATCH(LoadMaster!$AN:$AN,CarrierDriverTBL!$A:$A,0))</f>
        <v>MISSING</v>
      </c>
      <c r="BE118" s="142">
        <f>INDEX(CarrierDriverTBL!$AE:$AE,MATCH(Table1[DriverID],CarrierDriverTBL!$A:$A,0))</f>
        <v>913971</v>
      </c>
      <c r="BF118" s="142">
        <f>INDEX(CarrierDriverTBL!$AF:$AF,MATCH(Table1[DriverID],CarrierDriverTBL!$A:$A,0))</f>
        <v>2627544</v>
      </c>
      <c r="BG118" s="142">
        <f>INDEX(CarrierDriverTBL!$AG:$AG,MATCH(Table1[DriverID],CarrierDriverTBL!$A:$A,0))</f>
        <v>466133</v>
      </c>
      <c r="BH118" s="142" t="str">
        <f>INDEX(CarrierDriverTBL!$AH:$AH,MATCH(Table1[DriverID],CarrierDriverTBL!$A:$A,0))</f>
        <v>GM Lawrence Ins</v>
      </c>
      <c r="BI118" s="142" t="str">
        <f>INDEX(CarrierDriverTBL!$AI:$AI,MATCH(Table1[DriverID],CarrierDriverTBL!$A:$A,0))</f>
        <v>DSK2842P160210</v>
      </c>
      <c r="BJ118" s="160">
        <f>INDEX(CarrierDriverTBL!$AJ:$AJ,MATCH(Table1[[#This Row],[DriverID]],CarrierDriverTBL!$A:$A,0))</f>
        <v>42778</v>
      </c>
      <c r="BK118" s="10">
        <f t="shared" si="36"/>
        <v>494</v>
      </c>
      <c r="BL118" s="174">
        <v>700</v>
      </c>
      <c r="BM118" s="144">
        <v>340</v>
      </c>
      <c r="BN118" s="159">
        <f t="shared" si="61"/>
        <v>2.0588235294117645</v>
      </c>
      <c r="BO118" s="167">
        <v>650</v>
      </c>
      <c r="BP118" s="159">
        <f t="shared" si="62"/>
        <v>1.911764705882353</v>
      </c>
      <c r="BQ118" s="133">
        <v>2.7989999999999999</v>
      </c>
      <c r="BR118" s="166">
        <f t="shared" si="63"/>
        <v>0.14983333333333335</v>
      </c>
      <c r="BS118" s="167">
        <f t="shared" si="37"/>
        <v>1.7619313725490198</v>
      </c>
      <c r="BT118" s="159">
        <f t="shared" si="38"/>
        <v>50.943333333333335</v>
      </c>
      <c r="BU118" s="10" t="str">
        <f t="shared" si="39"/>
        <v>Ch Robinson</v>
      </c>
      <c r="BV118" s="4"/>
      <c r="BW118" s="4" t="str">
        <f>Table1[[#This Row],[BrokerAddress]]</f>
        <v>P.O. Box 3474</v>
      </c>
      <c r="BX118" s="4" t="str">
        <f t="shared" si="40"/>
        <v>Chicago</v>
      </c>
      <c r="BY118" s="4" t="str">
        <f t="shared" si="41"/>
        <v>Il</v>
      </c>
      <c r="BZ118" s="4">
        <f t="shared" si="42"/>
        <v>60654</v>
      </c>
      <c r="CA118" s="10" t="str">
        <f t="shared" si="43"/>
        <v>US</v>
      </c>
      <c r="CB118" s="15" t="s">
        <v>131</v>
      </c>
      <c r="CC118" s="62"/>
      <c r="CD118" s="15" t="s">
        <v>132</v>
      </c>
      <c r="CE118" s="64">
        <v>0</v>
      </c>
      <c r="CF118" s="4">
        <v>0</v>
      </c>
      <c r="CG118" s="132">
        <f t="shared" si="44"/>
        <v>0</v>
      </c>
      <c r="CH118" s="4" t="s">
        <v>132</v>
      </c>
      <c r="CI118" s="5">
        <v>0</v>
      </c>
      <c r="CJ118" s="4">
        <v>0</v>
      </c>
      <c r="CK118" s="132">
        <f t="shared" si="45"/>
        <v>0</v>
      </c>
      <c r="CL118" s="4" t="s">
        <v>132</v>
      </c>
      <c r="CM118" s="5">
        <v>0</v>
      </c>
      <c r="CN118" s="4">
        <v>0</v>
      </c>
      <c r="CO118" s="132">
        <f t="shared" si="46"/>
        <v>0</v>
      </c>
      <c r="CP118" s="4" t="s">
        <v>132</v>
      </c>
      <c r="CQ118" s="5">
        <v>0</v>
      </c>
      <c r="CR118" s="4">
        <v>0</v>
      </c>
      <c r="CS118" s="132">
        <f t="shared" si="47"/>
        <v>0</v>
      </c>
      <c r="CT118" s="159">
        <f t="shared" si="48"/>
        <v>0</v>
      </c>
      <c r="CU118" s="168">
        <f t="shared" si="49"/>
        <v>700</v>
      </c>
      <c r="CV118" s="183">
        <f t="shared" si="56"/>
        <v>0</v>
      </c>
      <c r="CW118" s="82">
        <f t="shared" si="57"/>
        <v>650</v>
      </c>
      <c r="CX118" s="79">
        <f>IF(ISBLANK(E118),"AddQuickPay",IF(E118=2,CU118*0.98,IF(E118=2.4,CU118*0.976,IF(E118=3,CU118*0.97,IF(E118=5,CU118*0.95,IF(E118=1.5,CU118*0.985,IF(E118=2.5,CU118*0.975,IF(E118=1.3,CU118*0.987,IF(E118=1,CU118*0.99,IF(E118=4,CU118*0.96,CU118*1))))))))))-Table1[[#This Row],[ComCheck+QuickPayFee]]</f>
        <v>686</v>
      </c>
      <c r="CY118" s="5">
        <f t="shared" si="50"/>
        <v>50</v>
      </c>
      <c r="CZ118" s="5">
        <f t="shared" si="51"/>
        <v>14</v>
      </c>
      <c r="DA118" s="258">
        <f>Table1[[#This Row],[OriginalDispatch]]-Table1[[#This Row],[QuickPayCharge]]</f>
        <v>36</v>
      </c>
      <c r="DB118" s="5">
        <v>0</v>
      </c>
      <c r="DC118" s="5" t="s">
        <v>133</v>
      </c>
      <c r="DD118" s="104">
        <f t="shared" si="52"/>
        <v>42286</v>
      </c>
      <c r="DE118" s="15">
        <f>MONTH(Table1[[#This Row],[Weekending]])</f>
        <v>10</v>
      </c>
      <c r="DF118" s="15">
        <f>YEAR(Table1[[#This Row],[Weekending]])</f>
        <v>2015</v>
      </c>
      <c r="DG118" s="4"/>
    </row>
    <row r="119" spans="1:111">
      <c r="A119" s="20" t="str">
        <f t="shared" si="34"/>
        <v>4372-288</v>
      </c>
      <c r="B119" s="146">
        <v>42284</v>
      </c>
      <c r="C119" s="144">
        <v>183352543</v>
      </c>
      <c r="D119" s="142" t="s">
        <v>111</v>
      </c>
      <c r="E119" s="142">
        <v>2</v>
      </c>
      <c r="F119" s="142" t="str">
        <f>INDEX(BrokerTBL!$B:$B,MATCH(D119,BrokerTBL!$A:$A,0))</f>
        <v>P.O. Box 3474</v>
      </c>
      <c r="G119" s="142" t="str">
        <f>INDEX(BrokerTBL!$C:$C,MATCH(D119,BrokerTBL!$A:$A,0))</f>
        <v>Chicago</v>
      </c>
      <c r="H119" s="142" t="str">
        <f>INDEX(BrokerTBL!$D:$D,MATCH(D119,BrokerTBL!$A:$A,0))</f>
        <v>Il</v>
      </c>
      <c r="I119" s="142" t="str">
        <f>INDEX(BrokerTBL!$E:$E,MATCH(D119,BrokerTBL!$A:$A,0))</f>
        <v>US</v>
      </c>
      <c r="J119" s="142">
        <f>INDEX(BrokerTBL!$F:$F,MATCH(D119,BrokerTBL!$A:$A,0))</f>
        <v>60654</v>
      </c>
      <c r="K119" s="298" t="s">
        <v>1047</v>
      </c>
      <c r="L119" s="145" t="s">
        <v>1048</v>
      </c>
      <c r="M119" s="146">
        <v>42285</v>
      </c>
      <c r="N119" s="144" t="s">
        <v>1049</v>
      </c>
      <c r="O119" s="298" t="s">
        <v>1050</v>
      </c>
      <c r="P119" s="298" t="s">
        <v>335</v>
      </c>
      <c r="Q119" s="298" t="s">
        <v>139</v>
      </c>
      <c r="R119" s="298">
        <v>94558</v>
      </c>
      <c r="S119" s="298" t="s">
        <v>118</v>
      </c>
      <c r="T119" s="298" t="s">
        <v>136</v>
      </c>
      <c r="U119" s="298" t="s">
        <v>120</v>
      </c>
      <c r="V119" s="298">
        <v>53</v>
      </c>
      <c r="W119" s="298" t="s">
        <v>1051</v>
      </c>
      <c r="X119" s="144">
        <v>20000</v>
      </c>
      <c r="Y119" s="298" t="s">
        <v>1052</v>
      </c>
      <c r="Z119" s="298">
        <v>139</v>
      </c>
      <c r="AA119" s="298" t="s">
        <v>123</v>
      </c>
      <c r="AB119" s="298" t="s">
        <v>123</v>
      </c>
      <c r="AC119" s="298" t="s">
        <v>1053</v>
      </c>
      <c r="AD119" s="145" t="s">
        <v>1054</v>
      </c>
      <c r="AE119" s="146">
        <v>42286</v>
      </c>
      <c r="AF119" s="298" t="s">
        <v>1055</v>
      </c>
      <c r="AG119" s="298" t="s">
        <v>618</v>
      </c>
      <c r="AH119" s="298" t="s">
        <v>774</v>
      </c>
      <c r="AI119" s="298" t="s">
        <v>139</v>
      </c>
      <c r="AJ119" s="298" t="s">
        <v>1056</v>
      </c>
      <c r="AK119" s="298" t="s">
        <v>118</v>
      </c>
      <c r="AL119" s="298" t="s">
        <v>123</v>
      </c>
      <c r="AM119" s="142" t="str">
        <f>INDEX(CarrierDriverTBL!$B:$B,MATCH(Table1[[#This Row],[DriverID]],CarrierDriverTBL!$A:$A,0))</f>
        <v>UBTrucking</v>
      </c>
      <c r="AN119" s="10" t="s">
        <v>948</v>
      </c>
      <c r="AO119" s="10" t="str">
        <f>INDEX(CarrierDriverTBL!$C:$C,MATCH(Table1[[#This Row],[DriverID]],CarrierDriverTBL!$A:$A,0))</f>
        <v>Wesley</v>
      </c>
      <c r="AP119" s="10" t="str">
        <f>INDEX(CarrierDriverTBL!$D:$D,MATCH(Table1[[#This Row],[DriverID]],CarrierDriverTBL!$A:$A,0))</f>
        <v>Cousain</v>
      </c>
      <c r="AQ119" s="10" t="str">
        <f>INDEX(CarrierDriverTBL!$X:$X,MATCH(Table1[[#This Row],[DriverID]],CarrierDriverTBL!$A:$A,0))</f>
        <v>D4903588</v>
      </c>
      <c r="AR119" s="11">
        <f>INDEX(CarrierDriverTBL!$Y:$Y,MATCH(Table1[[#This Row],[DriverID]],CarrierDriverTBL!$A:$A,0))</f>
        <v>43458</v>
      </c>
      <c r="AS119" s="142" t="str">
        <f t="shared" si="35"/>
        <v>GOOD</v>
      </c>
      <c r="AT119" s="11">
        <f>INDEX(CarrierDriverTBL!$E:$E,MATCH(Table1[[#This Row],[DriverID]],CarrierDriverTBL!$A:$A,0))</f>
        <v>31405</v>
      </c>
      <c r="AU119" s="163">
        <f ca="1">INDEX(CarrierDriverTBL!$F:$F,MATCH(Table1[[#This Row],[DriverID]],CarrierDriverTBL!$A:$A,0))</f>
        <v>30.605479452054794</v>
      </c>
      <c r="AV119" s="10" t="str">
        <f>INDEX(CarrierDriverTBL!$K:$K,MATCH(Table1[[#This Row],[DriverID]],CarrierDriverTBL!$A:$A,0))</f>
        <v>925-383-5364</v>
      </c>
      <c r="AW119" s="10" t="str">
        <f>INDEX(CarrierDriverTBL!$M:$M,MATCH(Table1[[#This Row],[DriverID]],CarrierDriverTBL!$A:$A,0))</f>
        <v>110 Cordova Ln</v>
      </c>
      <c r="AX119" s="10" t="str">
        <f>INDEX(CarrierDriverTBL!$N:$N,MATCH(Table1[[#This Row],[DriverID]],CarrierDriverTBL!$A:$A,0))</f>
        <v>Stockton</v>
      </c>
      <c r="AY119" s="10" t="str">
        <f>INDEX(CarrierDriverTBL!$O:$O,MATCH(Table1[[#This Row],[DriverID]],CarrierDriverTBL!$A:$A,0))</f>
        <v>CA</v>
      </c>
      <c r="AZ119" s="10">
        <f>INDEX(CarrierDriverTBL!$P:$P,MATCH(Table1[[#This Row],[DriverID]],CarrierDriverTBL!$A:$A,0))</f>
        <v>95207</v>
      </c>
      <c r="BA119" s="10" t="str">
        <f>INDEX(CarrierDriverTBL!$Q:$Q,MATCH(Table1[[#This Row],[DriverID]],CarrierDriverTBL!$A:$A,0))</f>
        <v>US</v>
      </c>
      <c r="BB119" s="173" t="str">
        <f>INDEX(CarrierDriverTBL!$R:$R,MATCH(Table1[[#This Row],[DriverID]],CarrierDriverTBL!$A:$A,0))</f>
        <v>wesleycousain1@gmail.com</v>
      </c>
      <c r="BC119" s="160">
        <f>INDEX(CarrierDriverTBL!$AB:$AB,MATCH(Table1[[#This Row],[DriverID]],CarrierDriverTBL!$A:$A,0))</f>
        <v>42271</v>
      </c>
      <c r="BD119" s="142" t="str">
        <f ca="1">INDEX(CarrierDriverTBL!$AD:$AD,MATCH(LoadMaster!$AN:$AN,CarrierDriverTBL!$A:$A,0))</f>
        <v>MISSING</v>
      </c>
      <c r="BE119" s="142">
        <f>INDEX(CarrierDriverTBL!$AE:$AE,MATCH(Table1[DriverID],CarrierDriverTBL!$A:$A,0))</f>
        <v>913971</v>
      </c>
      <c r="BF119" s="142">
        <f>INDEX(CarrierDriverTBL!$AF:$AF,MATCH(Table1[DriverID],CarrierDriverTBL!$A:$A,0))</f>
        <v>2627544</v>
      </c>
      <c r="BG119" s="142">
        <f>INDEX(CarrierDriverTBL!$AG:$AG,MATCH(Table1[DriverID],CarrierDriverTBL!$A:$A,0))</f>
        <v>466133</v>
      </c>
      <c r="BH119" s="142" t="str">
        <f>INDEX(CarrierDriverTBL!$AH:$AH,MATCH(Table1[DriverID],CarrierDriverTBL!$A:$A,0))</f>
        <v>GM Lawrence Ins</v>
      </c>
      <c r="BI119" s="142" t="str">
        <f>INDEX(CarrierDriverTBL!$AI:$AI,MATCH(Table1[DriverID],CarrierDriverTBL!$A:$A,0))</f>
        <v>DSK2842P160210</v>
      </c>
      <c r="BJ119" s="160">
        <f>INDEX(CarrierDriverTBL!$AJ:$AJ,MATCH(Table1[[#This Row],[DriverID]],CarrierDriverTBL!$A:$A,0))</f>
        <v>42778</v>
      </c>
      <c r="BK119" s="10">
        <f t="shared" si="36"/>
        <v>493</v>
      </c>
      <c r="BL119" s="174">
        <v>800</v>
      </c>
      <c r="BM119" s="144">
        <v>318</v>
      </c>
      <c r="BN119" s="159">
        <f t="shared" si="61"/>
        <v>2.5157232704402515</v>
      </c>
      <c r="BO119" s="167">
        <v>744</v>
      </c>
      <c r="BP119" s="159">
        <f t="shared" si="62"/>
        <v>2.3396226415094339</v>
      </c>
      <c r="BQ119" s="133">
        <v>2.7989999999999999</v>
      </c>
      <c r="BR119" s="166">
        <f t="shared" si="63"/>
        <v>0.14983333333333335</v>
      </c>
      <c r="BS119" s="167">
        <f t="shared" si="37"/>
        <v>2.1897893081761004</v>
      </c>
      <c r="BT119" s="159">
        <f t="shared" si="38"/>
        <v>47.647000000000006</v>
      </c>
      <c r="BU119" s="10" t="str">
        <f t="shared" si="39"/>
        <v>Ch Robinson</v>
      </c>
      <c r="BV119" s="4"/>
      <c r="BW119" s="4" t="str">
        <f>Table1[[#This Row],[BrokerAddress]]</f>
        <v>P.O. Box 3474</v>
      </c>
      <c r="BX119" s="4" t="str">
        <f t="shared" si="40"/>
        <v>Chicago</v>
      </c>
      <c r="BY119" s="4" t="str">
        <f t="shared" si="41"/>
        <v>Il</v>
      </c>
      <c r="BZ119" s="4">
        <f t="shared" si="42"/>
        <v>60654</v>
      </c>
      <c r="CA119" s="10" t="str">
        <f t="shared" si="43"/>
        <v>US</v>
      </c>
      <c r="CB119" s="15" t="s">
        <v>131</v>
      </c>
      <c r="CC119" s="62"/>
      <c r="CD119" s="15" t="s">
        <v>132</v>
      </c>
      <c r="CE119" s="64">
        <v>0</v>
      </c>
      <c r="CF119" s="4">
        <v>0</v>
      </c>
      <c r="CG119" s="132">
        <f t="shared" si="44"/>
        <v>0</v>
      </c>
      <c r="CH119" s="4" t="s">
        <v>132</v>
      </c>
      <c r="CI119" s="5">
        <v>0</v>
      </c>
      <c r="CJ119" s="4">
        <v>0</v>
      </c>
      <c r="CK119" s="132">
        <f t="shared" si="45"/>
        <v>0</v>
      </c>
      <c r="CL119" s="4" t="s">
        <v>132</v>
      </c>
      <c r="CM119" s="5">
        <v>0</v>
      </c>
      <c r="CN119" s="4">
        <v>0</v>
      </c>
      <c r="CO119" s="132">
        <f t="shared" si="46"/>
        <v>0</v>
      </c>
      <c r="CP119" s="4" t="s">
        <v>132</v>
      </c>
      <c r="CQ119" s="5">
        <v>0</v>
      </c>
      <c r="CR119" s="4">
        <v>0</v>
      </c>
      <c r="CS119" s="132">
        <f t="shared" si="47"/>
        <v>0</v>
      </c>
      <c r="CT119" s="159">
        <f t="shared" si="48"/>
        <v>0</v>
      </c>
      <c r="CU119" s="168">
        <f t="shared" si="49"/>
        <v>800</v>
      </c>
      <c r="CV119" s="183">
        <f t="shared" si="56"/>
        <v>0</v>
      </c>
      <c r="CW119" s="82">
        <f t="shared" si="57"/>
        <v>744</v>
      </c>
      <c r="CX119" s="79">
        <f>IF(ISBLANK(E119),"AddQuickPay",IF(E119=2,CU119*0.98,IF(E119=2.4,CU119*0.976,IF(E119=3,CU119*0.97,IF(E119=5,CU119*0.95,IF(E119=1.5,CU119*0.985,IF(E119=2.5,CU119*0.975,IF(E119=1.3,CU119*0.987,IF(E119=1,CU119*0.99,IF(E119=4,CU119*0.96,CU119*1))))))))))-Table1[[#This Row],[ComCheck+QuickPayFee]]</f>
        <v>784</v>
      </c>
      <c r="CY119" s="5">
        <f t="shared" si="50"/>
        <v>56</v>
      </c>
      <c r="CZ119" s="5">
        <f t="shared" si="51"/>
        <v>16</v>
      </c>
      <c r="DA119" s="258">
        <f>Table1[[#This Row],[OriginalDispatch]]-Table1[[#This Row],[QuickPayCharge]]</f>
        <v>40</v>
      </c>
      <c r="DB119" s="5">
        <v>0</v>
      </c>
      <c r="DC119" s="5" t="s">
        <v>133</v>
      </c>
      <c r="DD119" s="104">
        <f t="shared" si="52"/>
        <v>42286</v>
      </c>
      <c r="DE119" s="15">
        <f>MONTH(Table1[[#This Row],[Weekending]])</f>
        <v>10</v>
      </c>
      <c r="DF119" s="15">
        <f>YEAR(Table1[[#This Row],[Weekending]])</f>
        <v>2015</v>
      </c>
      <c r="DG119" s="4"/>
    </row>
    <row r="120" spans="1:111">
      <c r="A120" s="20" t="str">
        <f t="shared" si="34"/>
        <v>83454588</v>
      </c>
      <c r="B120" s="146">
        <v>42285</v>
      </c>
      <c r="C120" s="144">
        <v>183096683</v>
      </c>
      <c r="D120" s="142" t="s">
        <v>111</v>
      </c>
      <c r="E120" s="142">
        <v>2</v>
      </c>
      <c r="F120" s="142" t="str">
        <f>INDEX(BrokerTBL!$B:$B,MATCH(D120,BrokerTBL!$A:$A,0))</f>
        <v>P.O. Box 3474</v>
      </c>
      <c r="G120" s="142" t="str">
        <f>INDEX(BrokerTBL!$C:$C,MATCH(D120,BrokerTBL!$A:$A,0))</f>
        <v>Chicago</v>
      </c>
      <c r="H120" s="142" t="str">
        <f>INDEX(BrokerTBL!$D:$D,MATCH(D120,BrokerTBL!$A:$A,0))</f>
        <v>Il</v>
      </c>
      <c r="I120" s="142" t="str">
        <f>INDEX(BrokerTBL!$E:$E,MATCH(D120,BrokerTBL!$A:$A,0))</f>
        <v>US</v>
      </c>
      <c r="J120" s="142">
        <f>INDEX(BrokerTBL!$F:$F,MATCH(D120,BrokerTBL!$A:$A,0))</f>
        <v>60654</v>
      </c>
      <c r="K120" s="298" t="s">
        <v>700</v>
      </c>
      <c r="L120" s="145">
        <v>305371145</v>
      </c>
      <c r="M120" s="146">
        <v>42286</v>
      </c>
      <c r="N120" s="144" t="s">
        <v>1057</v>
      </c>
      <c r="O120" s="298" t="s">
        <v>702</v>
      </c>
      <c r="P120" s="298" t="s">
        <v>703</v>
      </c>
      <c r="Q120" s="298" t="s">
        <v>139</v>
      </c>
      <c r="R120" s="298">
        <v>93030</v>
      </c>
      <c r="S120" s="298" t="s">
        <v>118</v>
      </c>
      <c r="T120" s="187" t="s">
        <v>1058</v>
      </c>
      <c r="U120" s="298" t="s">
        <v>120</v>
      </c>
      <c r="V120" s="298">
        <v>53</v>
      </c>
      <c r="W120" s="298" t="s">
        <v>136</v>
      </c>
      <c r="X120" s="144">
        <v>19181</v>
      </c>
      <c r="Y120" s="298" t="s">
        <v>740</v>
      </c>
      <c r="Z120" s="298">
        <v>1632</v>
      </c>
      <c r="AA120" s="298">
        <v>60</v>
      </c>
      <c r="AB120" s="298" t="s">
        <v>123</v>
      </c>
      <c r="AC120" s="298" t="s">
        <v>1059</v>
      </c>
      <c r="AD120" s="145">
        <v>305371145</v>
      </c>
      <c r="AE120" s="146">
        <v>42287</v>
      </c>
      <c r="AF120" s="416" t="s">
        <v>123</v>
      </c>
      <c r="AG120" s="298" t="s">
        <v>1060</v>
      </c>
      <c r="AH120" s="298" t="s">
        <v>1061</v>
      </c>
      <c r="AI120" s="298" t="s">
        <v>139</v>
      </c>
      <c r="AJ120" s="298" t="s">
        <v>1062</v>
      </c>
      <c r="AK120" s="298" t="s">
        <v>118</v>
      </c>
      <c r="AL120" s="298" t="s">
        <v>1063</v>
      </c>
      <c r="AM120" s="142" t="str">
        <f>INDEX(CarrierDriverTBL!$B:$B,MATCH(Table1[[#This Row],[DriverID]],CarrierDriverTBL!$A:$A,0))</f>
        <v>UBTrucking</v>
      </c>
      <c r="AN120" s="10" t="s">
        <v>948</v>
      </c>
      <c r="AO120" s="10" t="str">
        <f>INDEX(CarrierDriverTBL!$C:$C,MATCH(Table1[[#This Row],[DriverID]],CarrierDriverTBL!$A:$A,0))</f>
        <v>Wesley</v>
      </c>
      <c r="AP120" s="10" t="str">
        <f>INDEX(CarrierDriverTBL!$D:$D,MATCH(Table1[[#This Row],[DriverID]],CarrierDriverTBL!$A:$A,0))</f>
        <v>Cousain</v>
      </c>
      <c r="AQ120" s="10" t="str">
        <f>INDEX(CarrierDriverTBL!$X:$X,MATCH(Table1[[#This Row],[DriverID]],CarrierDriverTBL!$A:$A,0))</f>
        <v>D4903588</v>
      </c>
      <c r="AR120" s="11">
        <f>INDEX(CarrierDriverTBL!$Y:$Y,MATCH(Table1[[#This Row],[DriverID]],CarrierDriverTBL!$A:$A,0))</f>
        <v>43458</v>
      </c>
      <c r="AS120" s="142" t="str">
        <f t="shared" si="35"/>
        <v>GOOD</v>
      </c>
      <c r="AT120" s="11">
        <f>INDEX(CarrierDriverTBL!$E:$E,MATCH(Table1[[#This Row],[DriverID]],CarrierDriverTBL!$A:$A,0))</f>
        <v>31405</v>
      </c>
      <c r="AU120" s="163">
        <f ca="1">INDEX(CarrierDriverTBL!$F:$F,MATCH(Table1[[#This Row],[DriverID]],CarrierDriverTBL!$A:$A,0))</f>
        <v>30.605479452054794</v>
      </c>
      <c r="AV120" s="10" t="str">
        <f>INDEX(CarrierDriverTBL!$K:$K,MATCH(Table1[[#This Row],[DriverID]],CarrierDriverTBL!$A:$A,0))</f>
        <v>925-383-5364</v>
      </c>
      <c r="AW120" s="10" t="str">
        <f>INDEX(CarrierDriverTBL!$M:$M,MATCH(Table1[[#This Row],[DriverID]],CarrierDriverTBL!$A:$A,0))</f>
        <v>110 Cordova Ln</v>
      </c>
      <c r="AX120" s="10" t="str">
        <f>INDEX(CarrierDriverTBL!$N:$N,MATCH(Table1[[#This Row],[DriverID]],CarrierDriverTBL!$A:$A,0))</f>
        <v>Stockton</v>
      </c>
      <c r="AY120" s="10" t="str">
        <f>INDEX(CarrierDriverTBL!$O:$O,MATCH(Table1[[#This Row],[DriverID]],CarrierDriverTBL!$A:$A,0))</f>
        <v>CA</v>
      </c>
      <c r="AZ120" s="10">
        <f>INDEX(CarrierDriverTBL!$P:$P,MATCH(Table1[[#This Row],[DriverID]],CarrierDriverTBL!$A:$A,0))</f>
        <v>95207</v>
      </c>
      <c r="BA120" s="10" t="str">
        <f>INDEX(CarrierDriverTBL!$Q:$Q,MATCH(Table1[[#This Row],[DriverID]],CarrierDriverTBL!$A:$A,0))</f>
        <v>US</v>
      </c>
      <c r="BB120" s="173" t="str">
        <f>INDEX(CarrierDriverTBL!$R:$R,MATCH(Table1[[#This Row],[DriverID]],CarrierDriverTBL!$A:$A,0))</f>
        <v>wesleycousain1@gmail.com</v>
      </c>
      <c r="BC120" s="160">
        <f>INDEX(CarrierDriverTBL!$AB:$AB,MATCH(Table1[[#This Row],[DriverID]],CarrierDriverTBL!$A:$A,0))</f>
        <v>42271</v>
      </c>
      <c r="BD120" s="142" t="str">
        <f ca="1">INDEX(CarrierDriverTBL!$AD:$AD,MATCH(LoadMaster!$AN:$AN,CarrierDriverTBL!$A:$A,0))</f>
        <v>MISSING</v>
      </c>
      <c r="BE120" s="142">
        <f>INDEX(CarrierDriverTBL!$AE:$AE,MATCH(Table1[DriverID],CarrierDriverTBL!$A:$A,0))</f>
        <v>913971</v>
      </c>
      <c r="BF120" s="142">
        <f>INDEX(CarrierDriverTBL!$AF:$AF,MATCH(Table1[DriverID],CarrierDriverTBL!$A:$A,0))</f>
        <v>2627544</v>
      </c>
      <c r="BG120" s="142">
        <f>INDEX(CarrierDriverTBL!$AG:$AG,MATCH(Table1[DriverID],CarrierDriverTBL!$A:$A,0))</f>
        <v>466133</v>
      </c>
      <c r="BH120" s="142" t="str">
        <f>INDEX(CarrierDriverTBL!$AH:$AH,MATCH(Table1[DriverID],CarrierDriverTBL!$A:$A,0))</f>
        <v>GM Lawrence Ins</v>
      </c>
      <c r="BI120" s="142" t="str">
        <f>INDEX(CarrierDriverTBL!$AI:$AI,MATCH(Table1[DriverID],CarrierDriverTBL!$A:$A,0))</f>
        <v>DSK2842P160210</v>
      </c>
      <c r="BJ120" s="160">
        <f>INDEX(CarrierDriverTBL!$AJ:$AJ,MATCH(Table1[[#This Row],[DriverID]],CarrierDriverTBL!$A:$A,0))</f>
        <v>42778</v>
      </c>
      <c r="BK120" s="10">
        <f t="shared" si="36"/>
        <v>492</v>
      </c>
      <c r="BL120" s="174">
        <v>1000</v>
      </c>
      <c r="BM120" s="144">
        <v>336</v>
      </c>
      <c r="BN120" s="159">
        <f t="shared" si="61"/>
        <v>2.9761904761904763</v>
      </c>
      <c r="BO120" s="167">
        <v>930</v>
      </c>
      <c r="BP120" s="159">
        <f t="shared" si="62"/>
        <v>2.7678571428571428</v>
      </c>
      <c r="BQ120" s="133">
        <v>2.7989999999999999</v>
      </c>
      <c r="BR120" s="166">
        <f t="shared" si="63"/>
        <v>0.14983333333333335</v>
      </c>
      <c r="BS120" s="167">
        <f t="shared" si="37"/>
        <v>2.6180238095238093</v>
      </c>
      <c r="BT120" s="159">
        <f t="shared" si="38"/>
        <v>50.344000000000001</v>
      </c>
      <c r="BU120" s="10" t="str">
        <f t="shared" si="39"/>
        <v>Ch Robinson</v>
      </c>
      <c r="BV120" s="4"/>
      <c r="BW120" s="4" t="str">
        <f>Table1[[#This Row],[BrokerAddress]]</f>
        <v>P.O. Box 3474</v>
      </c>
      <c r="BX120" s="4" t="str">
        <f t="shared" si="40"/>
        <v>Chicago</v>
      </c>
      <c r="BY120" s="4" t="str">
        <f t="shared" si="41"/>
        <v>Il</v>
      </c>
      <c r="BZ120" s="4">
        <f t="shared" si="42"/>
        <v>60654</v>
      </c>
      <c r="CA120" s="10" t="str">
        <f t="shared" si="43"/>
        <v>US</v>
      </c>
      <c r="CB120" s="15" t="s">
        <v>131</v>
      </c>
      <c r="CC120" s="62"/>
      <c r="CD120" s="15" t="s">
        <v>132</v>
      </c>
      <c r="CE120" s="64">
        <v>0</v>
      </c>
      <c r="CF120" s="4">
        <v>0</v>
      </c>
      <c r="CG120" s="132">
        <f t="shared" si="44"/>
        <v>0</v>
      </c>
      <c r="CH120" s="4" t="s">
        <v>132</v>
      </c>
      <c r="CI120" s="5">
        <v>0</v>
      </c>
      <c r="CJ120" s="4">
        <v>0</v>
      </c>
      <c r="CK120" s="132">
        <f t="shared" si="45"/>
        <v>0</v>
      </c>
      <c r="CL120" s="4" t="s">
        <v>132</v>
      </c>
      <c r="CM120" s="5">
        <v>0</v>
      </c>
      <c r="CN120" s="4">
        <v>0</v>
      </c>
      <c r="CO120" s="132">
        <f t="shared" si="46"/>
        <v>0</v>
      </c>
      <c r="CP120" s="4" t="s">
        <v>132</v>
      </c>
      <c r="CQ120" s="5">
        <v>0</v>
      </c>
      <c r="CR120" s="4">
        <v>0</v>
      </c>
      <c r="CS120" s="132">
        <f t="shared" si="47"/>
        <v>0</v>
      </c>
      <c r="CT120" s="159">
        <f t="shared" si="48"/>
        <v>0</v>
      </c>
      <c r="CU120" s="168">
        <f t="shared" si="49"/>
        <v>1000</v>
      </c>
      <c r="CV120" s="183">
        <f t="shared" si="56"/>
        <v>0</v>
      </c>
      <c r="CW120" s="82">
        <f t="shared" si="57"/>
        <v>930</v>
      </c>
      <c r="CX120" s="79">
        <f>IF(ISBLANK(E120),"AddQuickPay",IF(E120=2,CU120*0.98,IF(E120=2.4,CU120*0.976,IF(E120=3,CU120*0.97,IF(E120=5,CU120*0.95,IF(E120=1.5,CU120*0.985,IF(E120=2.5,CU120*0.975,IF(E120=1.3,CU120*0.987,IF(E120=1,CU120*0.99,IF(E120=4,CU120*0.96,CU120*1))))))))))-Table1[[#This Row],[ComCheck+QuickPayFee]]</f>
        <v>980</v>
      </c>
      <c r="CY120" s="5">
        <f t="shared" si="50"/>
        <v>70</v>
      </c>
      <c r="CZ120" s="5">
        <f t="shared" si="51"/>
        <v>20</v>
      </c>
      <c r="DA120" s="258">
        <f>Table1[[#This Row],[OriginalDispatch]]-Table1[[#This Row],[QuickPayCharge]]</f>
        <v>50</v>
      </c>
      <c r="DB120" s="5">
        <v>0</v>
      </c>
      <c r="DC120" s="5" t="s">
        <v>133</v>
      </c>
      <c r="DD120" s="104">
        <f t="shared" si="52"/>
        <v>42286</v>
      </c>
      <c r="DE120" s="15">
        <f>MONTH(Table1[[#This Row],[Weekending]])</f>
        <v>10</v>
      </c>
      <c r="DF120" s="15">
        <f>YEAR(Table1[[#This Row],[Weekending]])</f>
        <v>2015</v>
      </c>
      <c r="DG120" s="4"/>
    </row>
    <row r="121" spans="1:111">
      <c r="A121" s="20" t="str">
        <f t="shared" si="34"/>
        <v>266749</v>
      </c>
      <c r="B121" s="146">
        <v>42286</v>
      </c>
      <c r="C121" s="144">
        <v>261200994670126</v>
      </c>
      <c r="D121" s="298" t="s">
        <v>951</v>
      </c>
      <c r="E121" s="298">
        <v>2</v>
      </c>
      <c r="F121" s="298" t="str">
        <f>INDEX(BrokerTBL!$B:$B,MATCH(D121,BrokerTBL!$A:$A,0))</f>
        <v>2000 Clearwater Drive</v>
      </c>
      <c r="G121" s="298" t="str">
        <f>INDEX(BrokerTBL!$C:$C,MATCH(D121,BrokerTBL!$A:$A,0))</f>
        <v>Oak Brook</v>
      </c>
      <c r="H121" s="298" t="str">
        <f>INDEX(BrokerTBL!$D:$D,MATCH(D121,BrokerTBL!$A:$A,0))</f>
        <v>Il</v>
      </c>
      <c r="I121" s="298" t="str">
        <f>INDEX(BrokerTBL!$E:$E,MATCH(D121,BrokerTBL!$A:$A,0))</f>
        <v>US</v>
      </c>
      <c r="J121" s="298">
        <f>INDEX(BrokerTBL!$F:$F,MATCH(D121,BrokerTBL!$A:$A,0))</f>
        <v>60523</v>
      </c>
      <c r="K121" s="298" t="s">
        <v>1064</v>
      </c>
      <c r="L121" s="145">
        <v>120099467</v>
      </c>
      <c r="M121" s="146">
        <v>42286</v>
      </c>
      <c r="N121" s="182">
        <v>0.35416666666666702</v>
      </c>
      <c r="O121" s="298" t="s">
        <v>1065</v>
      </c>
      <c r="P121" s="298" t="s">
        <v>787</v>
      </c>
      <c r="Q121" s="298" t="s">
        <v>139</v>
      </c>
      <c r="R121" s="298">
        <v>94802</v>
      </c>
      <c r="S121" s="298" t="s">
        <v>118</v>
      </c>
      <c r="T121" s="298" t="s">
        <v>1066</v>
      </c>
      <c r="U121" s="298" t="s">
        <v>120</v>
      </c>
      <c r="V121" s="298">
        <v>53</v>
      </c>
      <c r="W121" s="298" t="s">
        <v>136</v>
      </c>
      <c r="X121" s="144" t="s">
        <v>136</v>
      </c>
      <c r="Y121" s="298" t="s">
        <v>123</v>
      </c>
      <c r="Z121" s="298" t="s">
        <v>123</v>
      </c>
      <c r="AA121" s="298" t="s">
        <v>123</v>
      </c>
      <c r="AB121" s="298" t="s">
        <v>123</v>
      </c>
      <c r="AC121" s="298" t="s">
        <v>1067</v>
      </c>
      <c r="AD121" s="145"/>
      <c r="AE121" s="146">
        <v>42286</v>
      </c>
      <c r="AF121" s="182">
        <v>4.1666666666666699E-2</v>
      </c>
      <c r="AG121" s="298" t="s">
        <v>1068</v>
      </c>
      <c r="AH121" s="298" t="s">
        <v>184</v>
      </c>
      <c r="AI121" s="298" t="s">
        <v>139</v>
      </c>
      <c r="AJ121" s="298">
        <v>95206</v>
      </c>
      <c r="AK121" s="298" t="s">
        <v>118</v>
      </c>
      <c r="AL121" s="298" t="s">
        <v>1069</v>
      </c>
      <c r="AM121" s="142" t="str">
        <f>INDEX(CarrierDriverTBL!$B:$B,MATCH(Table1[[#This Row],[DriverID]],CarrierDriverTBL!$A:$A,0))</f>
        <v>UBTrucking</v>
      </c>
      <c r="AN121" s="10" t="s">
        <v>192</v>
      </c>
      <c r="AO121" s="10" t="str">
        <f>INDEX(CarrierDriverTBL!$C:$C,MATCH(Table1[[#This Row],[DriverID]],CarrierDriverTBL!$A:$A,0))</f>
        <v>Albel</v>
      </c>
      <c r="AP121" s="142" t="str">
        <f>INDEX(CarrierDriverTBL!$D:$D,MATCH(Table1[[#This Row],[DriverID]],CarrierDriverTBL!$A:$A,0))</f>
        <v>Chahil</v>
      </c>
      <c r="AQ121" s="142" t="str">
        <f>INDEX(CarrierDriverTBL!$X:$X,MATCH(Table1[[#This Row],[DriverID]],CarrierDriverTBL!$A:$A,0))</f>
        <v>A8390649</v>
      </c>
      <c r="AR121" s="160">
        <f>INDEX(CarrierDriverTBL!$Y:$Y,MATCH(Table1[[#This Row],[DriverID]],CarrierDriverTBL!$A:$A,0))</f>
        <v>42402</v>
      </c>
      <c r="AS121" s="142" t="str">
        <f t="shared" si="35"/>
        <v>GOOD</v>
      </c>
      <c r="AT121" s="160">
        <f>INDEX(CarrierDriverTBL!$E:$E,MATCH(Table1[[#This Row],[DriverID]],CarrierDriverTBL!$A:$A,0))</f>
        <v>22314</v>
      </c>
      <c r="AU121" s="163">
        <f ca="1">INDEX(CarrierDriverTBL!$F:$F,MATCH(Table1[[#This Row],[DriverID]],CarrierDriverTBL!$A:$A,0))</f>
        <v>55.512328767123286</v>
      </c>
      <c r="AV121" s="142" t="str">
        <f>INDEX(CarrierDriverTBL!$K:$K,MATCH(Table1[[#This Row],[DriverID]],CarrierDriverTBL!$A:$A,0))</f>
        <v>510-773-9450</v>
      </c>
      <c r="AW121" s="142" t="str">
        <f>INDEX(CarrierDriverTBL!$M:$M,MATCH(Table1[[#This Row],[DriverID]],CarrierDriverTBL!$A:$A,0))</f>
        <v>3124 Cynthia CT</v>
      </c>
      <c r="AX121" s="142" t="str">
        <f>INDEX(CarrierDriverTBL!$N:$N,MATCH(Table1[[#This Row],[DriverID]],CarrierDriverTBL!$A:$A,0))</f>
        <v>Tracy</v>
      </c>
      <c r="AY121" s="142" t="str">
        <f>INDEX(CarrierDriverTBL!$O:$O,MATCH(Table1[[#This Row],[DriverID]],CarrierDriverTBL!$A:$A,0))</f>
        <v>CA</v>
      </c>
      <c r="AZ121" s="142">
        <f>INDEX(CarrierDriverTBL!$P:$P,MATCH(Table1[[#This Row],[DriverID]],CarrierDriverTBL!$A:$A,0))</f>
        <v>95377</v>
      </c>
      <c r="BA121" s="142" t="str">
        <f>INDEX(CarrierDriverTBL!$Q:$Q,MATCH(Table1[[#This Row],[DriverID]],CarrierDriverTBL!$A:$A,0))</f>
        <v>US</v>
      </c>
      <c r="BB121" s="176" t="str">
        <f>INDEX(CarrierDriverTBL!$R:$R,MATCH(Table1[[#This Row],[DriverID]],CarrierDriverTBL!$A:$A,0))</f>
        <v>ubgollc@gmail.com</v>
      </c>
      <c r="BC121" s="160">
        <f>INDEX(CarrierDriverTBL!$AB:$AB,MATCH(Table1[[#This Row],[DriverID]],CarrierDriverTBL!$A:$A,0))</f>
        <v>42167</v>
      </c>
      <c r="BD121" s="142" t="str">
        <f ca="1">INDEX(CarrierDriverTBL!$AD:$AD,MATCH(LoadMaster!$AN:$AN,CarrierDriverTBL!$A:$A,0))</f>
        <v>MISSING</v>
      </c>
      <c r="BE121" s="142">
        <f>INDEX(CarrierDriverTBL!$AE:$AE,MATCH(Table1[DriverID],CarrierDriverTBL!$A:$A,0))</f>
        <v>913971</v>
      </c>
      <c r="BF121" s="142">
        <f>INDEX(CarrierDriverTBL!$AF:$AF,MATCH(Table1[DriverID],CarrierDriverTBL!$A:$A,0))</f>
        <v>2627544</v>
      </c>
      <c r="BG121" s="142">
        <f>INDEX(CarrierDriverTBL!$AG:$AG,MATCH(Table1[DriverID],CarrierDriverTBL!$A:$A,0))</f>
        <v>466133</v>
      </c>
      <c r="BH121" s="142" t="str">
        <f>INDEX(CarrierDriverTBL!$AH:$AH,MATCH(Table1[DriverID],CarrierDriverTBL!$A:$A,0))</f>
        <v>GM Lawrence Ins</v>
      </c>
      <c r="BI121" s="142" t="str">
        <f>INDEX(CarrierDriverTBL!$AI:$AI,MATCH(Table1[DriverID],CarrierDriverTBL!$A:$A,0))</f>
        <v>DSK2842P160210</v>
      </c>
      <c r="BJ121" s="160">
        <f>INDEX(CarrierDriverTBL!$AJ:$AJ,MATCH(Table1[[#This Row],[DriverID]],CarrierDriverTBL!$A:$A,0))</f>
        <v>42778</v>
      </c>
      <c r="BK121" s="10">
        <f t="shared" si="36"/>
        <v>492</v>
      </c>
      <c r="BL121" s="174">
        <v>372.12</v>
      </c>
      <c r="BM121" s="144">
        <v>88</v>
      </c>
      <c r="BN121" s="159">
        <f t="shared" si="61"/>
        <v>4.2286363636363635</v>
      </c>
      <c r="BO121" s="167">
        <v>350</v>
      </c>
      <c r="BP121" s="159">
        <f t="shared" si="62"/>
        <v>3.9772727272727271</v>
      </c>
      <c r="BQ121" s="133">
        <v>2.7989999999999999</v>
      </c>
      <c r="BR121" s="166">
        <f t="shared" si="63"/>
        <v>0.14983333333333335</v>
      </c>
      <c r="BS121" s="167">
        <f t="shared" si="37"/>
        <v>3.8274393939393936</v>
      </c>
      <c r="BT121" s="159">
        <f t="shared" si="38"/>
        <v>13.185333333333334</v>
      </c>
      <c r="BU121" s="10" t="str">
        <f t="shared" si="39"/>
        <v>Hub Group Inc</v>
      </c>
      <c r="BV121" s="15"/>
      <c r="BW121" s="4" t="str">
        <f>Table1[[#This Row],[BrokerAddress]]</f>
        <v>2000 Clearwater Drive</v>
      </c>
      <c r="BX121" s="4" t="str">
        <f t="shared" si="40"/>
        <v>Oak Brook</v>
      </c>
      <c r="BY121" s="4" t="str">
        <f t="shared" si="41"/>
        <v>Il</v>
      </c>
      <c r="BZ121" s="4">
        <f t="shared" si="42"/>
        <v>60523</v>
      </c>
      <c r="CA121" s="10" t="str">
        <f t="shared" si="43"/>
        <v>US</v>
      </c>
      <c r="CB121" s="15" t="s">
        <v>131</v>
      </c>
      <c r="CC121" s="62"/>
      <c r="CD121" s="15" t="s">
        <v>149</v>
      </c>
      <c r="CE121" s="64">
        <v>50</v>
      </c>
      <c r="CF121" s="4">
        <v>0</v>
      </c>
      <c r="CG121" s="132">
        <f t="shared" si="44"/>
        <v>0</v>
      </c>
      <c r="CH121" s="4" t="s">
        <v>132</v>
      </c>
      <c r="CI121" s="5">
        <v>0</v>
      </c>
      <c r="CJ121" s="4">
        <v>0</v>
      </c>
      <c r="CK121" s="132">
        <f t="shared" si="45"/>
        <v>0</v>
      </c>
      <c r="CL121" s="4" t="s">
        <v>132</v>
      </c>
      <c r="CM121" s="5">
        <v>0</v>
      </c>
      <c r="CN121" s="4">
        <v>0</v>
      </c>
      <c r="CO121" s="132">
        <f t="shared" si="46"/>
        <v>0</v>
      </c>
      <c r="CP121" s="4" t="s">
        <v>132</v>
      </c>
      <c r="CQ121" s="5">
        <v>0</v>
      </c>
      <c r="CR121" s="4">
        <v>0</v>
      </c>
      <c r="CS121" s="132">
        <f t="shared" si="47"/>
        <v>0</v>
      </c>
      <c r="CT121" s="159">
        <f t="shared" si="48"/>
        <v>0</v>
      </c>
      <c r="CU121" s="168">
        <f t="shared" si="49"/>
        <v>372.12</v>
      </c>
      <c r="CV121" s="183">
        <f t="shared" si="56"/>
        <v>0</v>
      </c>
      <c r="CW121" s="82">
        <f t="shared" si="57"/>
        <v>350</v>
      </c>
      <c r="CX121" s="79">
        <f>IF(ISBLANK(E121),"AddQuickPay",IF(E121=2,CU121*0.98,IF(E121=2.4,CU121*0.976,IF(E121=3,CU121*0.97,IF(E121=5,CU121*0.95,IF(E121=1.5,CU121*0.985,IF(E121=2.5,CU121*0.975,IF(E121=1.3,CU121*0.987,IF(E121=1,CU121*0.99,IF(E121=4,CU121*0.96,CU121*1))))))))))-Table1[[#This Row],[ComCheck+QuickPayFee]]</f>
        <v>364.67759999999998</v>
      </c>
      <c r="CY121" s="5">
        <f t="shared" si="50"/>
        <v>22.120000000000005</v>
      </c>
      <c r="CZ121" s="5">
        <f t="shared" si="51"/>
        <v>7.4424000000000001</v>
      </c>
      <c r="DA121" s="258">
        <f>Table1[[#This Row],[OriginalDispatch]]-Table1[[#This Row],[QuickPayCharge]]</f>
        <v>14.677600000000005</v>
      </c>
      <c r="DB121" s="5">
        <v>0</v>
      </c>
      <c r="DC121" s="5" t="s">
        <v>133</v>
      </c>
      <c r="DD121" s="104">
        <f t="shared" si="52"/>
        <v>42286</v>
      </c>
      <c r="DE121" s="15">
        <f>MONTH(Table1[[#This Row],[Weekending]])</f>
        <v>10</v>
      </c>
      <c r="DF121" s="15">
        <f>YEAR(Table1[[#This Row],[Weekending]])</f>
        <v>2015</v>
      </c>
      <c r="DG121" s="4"/>
    </row>
    <row r="122" spans="1:111">
      <c r="A122" s="20" t="str">
        <f t="shared" si="34"/>
        <v>16060649</v>
      </c>
      <c r="B122" s="146">
        <v>42289</v>
      </c>
      <c r="C122" s="144">
        <v>183616716</v>
      </c>
      <c r="D122" s="298" t="s">
        <v>111</v>
      </c>
      <c r="E122" s="298">
        <v>2</v>
      </c>
      <c r="F122" s="142" t="str">
        <f>INDEX(BrokerTBL!$B:$B,MATCH(D122,BrokerTBL!$A:$A,0))</f>
        <v>P.O. Box 3474</v>
      </c>
      <c r="G122" s="142" t="str">
        <f>INDEX(BrokerTBL!$C:$C,MATCH(D122,BrokerTBL!$A:$A,0))</f>
        <v>Chicago</v>
      </c>
      <c r="H122" s="142" t="str">
        <f>INDEX(BrokerTBL!$D:$D,MATCH(D122,BrokerTBL!$A:$A,0))</f>
        <v>Il</v>
      </c>
      <c r="I122" s="142" t="str">
        <f>INDEX(BrokerTBL!$E:$E,MATCH(D122,BrokerTBL!$A:$A,0))</f>
        <v>US</v>
      </c>
      <c r="J122" s="142">
        <f>INDEX(BrokerTBL!$F:$F,MATCH(D122,BrokerTBL!$A:$A,0))</f>
        <v>60654</v>
      </c>
      <c r="K122" s="298" t="s">
        <v>628</v>
      </c>
      <c r="L122" s="145">
        <v>1231106</v>
      </c>
      <c r="M122" s="146">
        <v>42289</v>
      </c>
      <c r="N122" s="144" t="s">
        <v>629</v>
      </c>
      <c r="O122" s="298" t="s">
        <v>1070</v>
      </c>
      <c r="P122" s="298" t="s">
        <v>366</v>
      </c>
      <c r="Q122" s="298" t="s">
        <v>139</v>
      </c>
      <c r="R122" s="298">
        <v>95776</v>
      </c>
      <c r="S122" s="298" t="s">
        <v>118</v>
      </c>
      <c r="T122" s="298" t="s">
        <v>136</v>
      </c>
      <c r="U122" s="298" t="s">
        <v>120</v>
      </c>
      <c r="V122" s="298">
        <v>53</v>
      </c>
      <c r="W122" s="298" t="s">
        <v>631</v>
      </c>
      <c r="X122" s="144">
        <v>30000</v>
      </c>
      <c r="Y122" s="298" t="s">
        <v>26</v>
      </c>
      <c r="Z122" s="298" t="s">
        <v>123</v>
      </c>
      <c r="AA122" s="298" t="s">
        <v>123</v>
      </c>
      <c r="AB122" s="298" t="s">
        <v>123</v>
      </c>
      <c r="AC122" s="298" t="s">
        <v>632</v>
      </c>
      <c r="AD122" s="145">
        <v>1231106</v>
      </c>
      <c r="AE122" s="146">
        <v>42290</v>
      </c>
      <c r="AF122" s="298" t="s">
        <v>1071</v>
      </c>
      <c r="AG122" s="298" t="s">
        <v>633</v>
      </c>
      <c r="AH122" s="298" t="s">
        <v>634</v>
      </c>
      <c r="AI122" s="298" t="s">
        <v>139</v>
      </c>
      <c r="AJ122" s="298">
        <v>93454</v>
      </c>
      <c r="AK122" s="298" t="s">
        <v>118</v>
      </c>
      <c r="AL122" s="298" t="s">
        <v>123</v>
      </c>
      <c r="AM122" s="142" t="str">
        <f>INDEX(CarrierDriverTBL!$B:$B,MATCH(Table1[[#This Row],[DriverID]],CarrierDriverTBL!$A:$A,0))</f>
        <v>UBTrucking</v>
      </c>
      <c r="AN122" s="10" t="s">
        <v>192</v>
      </c>
      <c r="AO122" s="10" t="str">
        <f>INDEX(CarrierDriverTBL!$C:$C,MATCH(Table1[[#This Row],[DriverID]],CarrierDriverTBL!$A:$A,0))</f>
        <v>Albel</v>
      </c>
      <c r="AP122" s="142" t="str">
        <f>INDEX(CarrierDriverTBL!$D:$D,MATCH(Table1[[#This Row],[DriverID]],CarrierDriverTBL!$A:$A,0))</f>
        <v>Chahil</v>
      </c>
      <c r="AQ122" s="142" t="str">
        <f>INDEX(CarrierDriverTBL!$X:$X,MATCH(Table1[[#This Row],[DriverID]],CarrierDriverTBL!$A:$A,0))</f>
        <v>A8390649</v>
      </c>
      <c r="AR122" s="160">
        <f>INDEX(CarrierDriverTBL!$Y:$Y,MATCH(Table1[[#This Row],[DriverID]],CarrierDriverTBL!$A:$A,0))</f>
        <v>42402</v>
      </c>
      <c r="AS122" s="142" t="str">
        <f t="shared" si="35"/>
        <v>GOOD</v>
      </c>
      <c r="AT122" s="160">
        <f>INDEX(CarrierDriverTBL!$E:$E,MATCH(Table1[[#This Row],[DriverID]],CarrierDriverTBL!$A:$A,0))</f>
        <v>22314</v>
      </c>
      <c r="AU122" s="163">
        <f ca="1">INDEX(CarrierDriverTBL!$F:$F,MATCH(Table1[[#This Row],[DriverID]],CarrierDriverTBL!$A:$A,0))</f>
        <v>55.512328767123286</v>
      </c>
      <c r="AV122" s="142" t="str">
        <f>INDEX(CarrierDriverTBL!$K:$K,MATCH(Table1[[#This Row],[DriverID]],CarrierDriverTBL!$A:$A,0))</f>
        <v>510-773-9450</v>
      </c>
      <c r="AW122" s="142" t="str">
        <f>INDEX(CarrierDriverTBL!$M:$M,MATCH(Table1[[#This Row],[DriverID]],CarrierDriverTBL!$A:$A,0))</f>
        <v>3124 Cynthia CT</v>
      </c>
      <c r="AX122" s="142" t="str">
        <f>INDEX(CarrierDriverTBL!$N:$N,MATCH(Table1[[#This Row],[DriverID]],CarrierDriverTBL!$A:$A,0))</f>
        <v>Tracy</v>
      </c>
      <c r="AY122" s="142" t="str">
        <f>INDEX(CarrierDriverTBL!$O:$O,MATCH(Table1[[#This Row],[DriverID]],CarrierDriverTBL!$A:$A,0))</f>
        <v>CA</v>
      </c>
      <c r="AZ122" s="142">
        <f>INDEX(CarrierDriverTBL!$P:$P,MATCH(Table1[[#This Row],[DriverID]],CarrierDriverTBL!$A:$A,0))</f>
        <v>95377</v>
      </c>
      <c r="BA122" s="142" t="str">
        <f>INDEX(CarrierDriverTBL!$Q:$Q,MATCH(Table1[[#This Row],[DriverID]],CarrierDriverTBL!$A:$A,0))</f>
        <v>US</v>
      </c>
      <c r="BB122" s="176" t="str">
        <f>INDEX(CarrierDriverTBL!$R:$R,MATCH(Table1[[#This Row],[DriverID]],CarrierDriverTBL!$A:$A,0))</f>
        <v>ubgollc@gmail.com</v>
      </c>
      <c r="BC122" s="160">
        <f>INDEX(CarrierDriverTBL!$AB:$AB,MATCH(Table1[[#This Row],[DriverID]],CarrierDriverTBL!$A:$A,0))</f>
        <v>42167</v>
      </c>
      <c r="BD122" s="142" t="str">
        <f ca="1">INDEX(CarrierDriverTBL!$AD:$AD,MATCH(LoadMaster!$AN:$AN,CarrierDriverTBL!$A:$A,0))</f>
        <v>MISSING</v>
      </c>
      <c r="BE122" s="142">
        <f>INDEX(CarrierDriverTBL!$AE:$AE,MATCH(Table1[DriverID],CarrierDriverTBL!$A:$A,0))</f>
        <v>913971</v>
      </c>
      <c r="BF122" s="142">
        <f>INDEX(CarrierDriverTBL!$AF:$AF,MATCH(Table1[DriverID],CarrierDriverTBL!$A:$A,0))</f>
        <v>2627544</v>
      </c>
      <c r="BG122" s="142">
        <f>INDEX(CarrierDriverTBL!$AG:$AG,MATCH(Table1[DriverID],CarrierDriverTBL!$A:$A,0))</f>
        <v>466133</v>
      </c>
      <c r="BH122" s="142" t="str">
        <f>INDEX(CarrierDriverTBL!$AH:$AH,MATCH(Table1[DriverID],CarrierDriverTBL!$A:$A,0))</f>
        <v>GM Lawrence Ins</v>
      </c>
      <c r="BI122" s="142" t="str">
        <f>INDEX(CarrierDriverTBL!$AI:$AI,MATCH(Table1[DriverID],CarrierDriverTBL!$A:$A,0))</f>
        <v>DSK2842P160210</v>
      </c>
      <c r="BJ122" s="160">
        <f>INDEX(CarrierDriverTBL!$AJ:$AJ,MATCH(Table1[[#This Row],[DriverID]],CarrierDriverTBL!$A:$A,0))</f>
        <v>42778</v>
      </c>
      <c r="BK122" s="10">
        <f t="shared" si="36"/>
        <v>489</v>
      </c>
      <c r="BL122" s="174">
        <v>700</v>
      </c>
      <c r="BM122" s="144">
        <v>331</v>
      </c>
      <c r="BN122" s="159">
        <f t="shared" si="61"/>
        <v>2.1148036253776437</v>
      </c>
      <c r="BO122" s="167">
        <v>650</v>
      </c>
      <c r="BP122" s="159">
        <f t="shared" si="62"/>
        <v>1.9637462235649548</v>
      </c>
      <c r="BQ122" s="133">
        <v>2.7989999999999999</v>
      </c>
      <c r="BR122" s="166">
        <f t="shared" si="63"/>
        <v>0.14983333333333335</v>
      </c>
      <c r="BS122" s="167">
        <f t="shared" si="37"/>
        <v>1.8139128902316215</v>
      </c>
      <c r="BT122" s="159">
        <f t="shared" si="38"/>
        <v>49.594833333333341</v>
      </c>
      <c r="BU122" s="10" t="str">
        <f t="shared" si="39"/>
        <v>Ch Robinson</v>
      </c>
      <c r="BV122" s="4"/>
      <c r="BW122" s="4" t="str">
        <f>Table1[[#This Row],[BrokerAddress]]</f>
        <v>P.O. Box 3474</v>
      </c>
      <c r="BX122" s="4" t="str">
        <f t="shared" si="40"/>
        <v>Chicago</v>
      </c>
      <c r="BY122" s="4" t="str">
        <f t="shared" si="41"/>
        <v>Il</v>
      </c>
      <c r="BZ122" s="4">
        <f t="shared" si="42"/>
        <v>60654</v>
      </c>
      <c r="CA122" s="10" t="str">
        <f t="shared" si="43"/>
        <v>US</v>
      </c>
      <c r="CB122" s="15" t="s">
        <v>131</v>
      </c>
      <c r="CC122" s="62"/>
      <c r="CD122" s="15" t="s">
        <v>132</v>
      </c>
      <c r="CE122" s="64">
        <v>0</v>
      </c>
      <c r="CF122" s="4">
        <v>0</v>
      </c>
      <c r="CG122" s="132">
        <f t="shared" si="44"/>
        <v>0</v>
      </c>
      <c r="CH122" s="4" t="s">
        <v>132</v>
      </c>
      <c r="CI122" s="5">
        <v>0</v>
      </c>
      <c r="CJ122" s="4">
        <v>0</v>
      </c>
      <c r="CK122" s="132">
        <f t="shared" si="45"/>
        <v>0</v>
      </c>
      <c r="CL122" s="4" t="s">
        <v>132</v>
      </c>
      <c r="CM122" s="5">
        <v>0</v>
      </c>
      <c r="CN122" s="4">
        <v>0</v>
      </c>
      <c r="CO122" s="132">
        <f t="shared" si="46"/>
        <v>0</v>
      </c>
      <c r="CP122" s="4" t="s">
        <v>132</v>
      </c>
      <c r="CQ122" s="5">
        <v>0</v>
      </c>
      <c r="CR122" s="4">
        <v>0</v>
      </c>
      <c r="CS122" s="132">
        <f t="shared" si="47"/>
        <v>0</v>
      </c>
      <c r="CT122" s="159">
        <f t="shared" si="48"/>
        <v>0</v>
      </c>
      <c r="CU122" s="168">
        <f t="shared" si="49"/>
        <v>700</v>
      </c>
      <c r="CV122" s="183">
        <f t="shared" si="56"/>
        <v>0</v>
      </c>
      <c r="CW122" s="82">
        <f t="shared" ref="CW122:CW153" si="64">BO122+CV122</f>
        <v>650</v>
      </c>
      <c r="CX122" s="79">
        <f>IF(ISBLANK(E122),"AddQuickPay",IF(E122=2,CU122*0.98,IF(E122=2.4,CU122*0.976,IF(E122=3,CU122*0.97,IF(E122=5,CU122*0.95,IF(E122=1.5,CU122*0.985,IF(E122=2.5,CU122*0.975,IF(E122=1.3,CU122*0.987,IF(E122=1,CU122*0.99,IF(E122=4,CU122*0.96,CU122*1))))))))))-Table1[[#This Row],[ComCheck+QuickPayFee]]</f>
        <v>686</v>
      </c>
      <c r="CY122" s="5">
        <f t="shared" si="50"/>
        <v>50</v>
      </c>
      <c r="CZ122" s="5">
        <f t="shared" si="51"/>
        <v>14</v>
      </c>
      <c r="DA122" s="258">
        <f>Table1[[#This Row],[OriginalDispatch]]-Table1[[#This Row],[QuickPayCharge]]</f>
        <v>36</v>
      </c>
      <c r="DB122" s="5">
        <v>0</v>
      </c>
      <c r="DC122" s="5" t="s">
        <v>133</v>
      </c>
      <c r="DD122" s="104">
        <f t="shared" si="52"/>
        <v>42293</v>
      </c>
      <c r="DE122" s="15">
        <f>MONTH(Table1[[#This Row],[Weekending]])</f>
        <v>10</v>
      </c>
      <c r="DF122" s="15">
        <f>YEAR(Table1[[#This Row],[Weekending]])</f>
        <v>2015</v>
      </c>
      <c r="DG122" s="4"/>
    </row>
    <row r="123" spans="1:111">
      <c r="A123" s="20" t="str">
        <f t="shared" si="34"/>
        <v>82190088</v>
      </c>
      <c r="B123" s="146">
        <v>42289</v>
      </c>
      <c r="C123" s="144">
        <v>183462382</v>
      </c>
      <c r="D123" s="298" t="s">
        <v>111</v>
      </c>
      <c r="E123" s="298">
        <v>2</v>
      </c>
      <c r="F123" s="142" t="str">
        <f>INDEX(BrokerTBL!$B:$B,MATCH(D123,BrokerTBL!$A:$A,0))</f>
        <v>P.O. Box 3474</v>
      </c>
      <c r="G123" s="142" t="str">
        <f>INDEX(BrokerTBL!$C:$C,MATCH(D123,BrokerTBL!$A:$A,0))</f>
        <v>Chicago</v>
      </c>
      <c r="H123" s="142" t="str">
        <f>INDEX(BrokerTBL!$D:$D,MATCH(D123,BrokerTBL!$A:$A,0))</f>
        <v>Il</v>
      </c>
      <c r="I123" s="142" t="str">
        <f>INDEX(BrokerTBL!$E:$E,MATCH(D123,BrokerTBL!$A:$A,0))</f>
        <v>US</v>
      </c>
      <c r="J123" s="142">
        <f>INDEX(BrokerTBL!$F:$F,MATCH(D123,BrokerTBL!$A:$A,0))</f>
        <v>60654</v>
      </c>
      <c r="K123" s="298" t="s">
        <v>1072</v>
      </c>
      <c r="L123" s="145">
        <v>11028719</v>
      </c>
      <c r="M123" s="146">
        <v>42289</v>
      </c>
      <c r="N123" s="162" t="s">
        <v>136</v>
      </c>
      <c r="O123" s="298" t="s">
        <v>1073</v>
      </c>
      <c r="P123" s="298" t="s">
        <v>366</v>
      </c>
      <c r="Q123" s="298" t="s">
        <v>139</v>
      </c>
      <c r="R123" s="298">
        <v>95776</v>
      </c>
      <c r="S123" s="298" t="s">
        <v>118</v>
      </c>
      <c r="T123" s="298" t="s">
        <v>136</v>
      </c>
      <c r="U123" s="298" t="s">
        <v>120</v>
      </c>
      <c r="V123" s="298">
        <v>53</v>
      </c>
      <c r="W123" s="298" t="s">
        <v>1074</v>
      </c>
      <c r="X123" s="144">
        <v>22255</v>
      </c>
      <c r="Y123" s="298" t="s">
        <v>26</v>
      </c>
      <c r="Z123" s="298">
        <v>3409</v>
      </c>
      <c r="AA123" s="298" t="s">
        <v>123</v>
      </c>
      <c r="AB123" s="298" t="s">
        <v>123</v>
      </c>
      <c r="AC123" s="187" t="s">
        <v>1075</v>
      </c>
      <c r="AD123" s="188">
        <v>8.2710337538270996E+18</v>
      </c>
      <c r="AE123" s="146">
        <v>42290</v>
      </c>
      <c r="AF123" s="182">
        <v>0.8125</v>
      </c>
      <c r="AG123" s="187" t="s">
        <v>1076</v>
      </c>
      <c r="AH123" s="187" t="s">
        <v>1077</v>
      </c>
      <c r="AI123" s="298" t="s">
        <v>139</v>
      </c>
      <c r="AJ123" s="298" t="s">
        <v>1078</v>
      </c>
      <c r="AK123" s="298" t="s">
        <v>118</v>
      </c>
      <c r="AL123" s="298" t="s">
        <v>123</v>
      </c>
      <c r="AM123" s="142" t="str">
        <f>INDEX(CarrierDriverTBL!$B:$B,MATCH(Table1[[#This Row],[DriverID]],CarrierDriverTBL!$A:$A,0))</f>
        <v>UBTrucking</v>
      </c>
      <c r="AN123" s="10" t="s">
        <v>948</v>
      </c>
      <c r="AO123" s="10" t="str">
        <f>INDEX(CarrierDriverTBL!$C:$C,MATCH(Table1[[#This Row],[DriverID]],CarrierDriverTBL!$A:$A,0))</f>
        <v>Wesley</v>
      </c>
      <c r="AP123" s="10" t="str">
        <f>INDEX(CarrierDriverTBL!$D:$D,MATCH(Table1[[#This Row],[DriverID]],CarrierDriverTBL!$A:$A,0))</f>
        <v>Cousain</v>
      </c>
      <c r="AQ123" s="10" t="str">
        <f>INDEX(CarrierDriverTBL!$X:$X,MATCH(Table1[[#This Row],[DriverID]],CarrierDriverTBL!$A:$A,0))</f>
        <v>D4903588</v>
      </c>
      <c r="AR123" s="11">
        <f>INDEX(CarrierDriverTBL!$Y:$Y,MATCH(Table1[[#This Row],[DriverID]],CarrierDriverTBL!$A:$A,0))</f>
        <v>43458</v>
      </c>
      <c r="AS123" s="142" t="str">
        <f t="shared" si="35"/>
        <v>GOOD</v>
      </c>
      <c r="AT123" s="11">
        <f>INDEX(CarrierDriverTBL!$E:$E,MATCH(Table1[[#This Row],[DriverID]],CarrierDriverTBL!$A:$A,0))</f>
        <v>31405</v>
      </c>
      <c r="AU123" s="163">
        <f ca="1">INDEX(CarrierDriverTBL!$F:$F,MATCH(Table1[[#This Row],[DriverID]],CarrierDriverTBL!$A:$A,0))</f>
        <v>30.605479452054794</v>
      </c>
      <c r="AV123" s="10" t="str">
        <f>INDEX(CarrierDriverTBL!$K:$K,MATCH(Table1[[#This Row],[DriverID]],CarrierDriverTBL!$A:$A,0))</f>
        <v>925-383-5364</v>
      </c>
      <c r="AW123" s="10" t="str">
        <f>INDEX(CarrierDriverTBL!$M:$M,MATCH(Table1[[#This Row],[DriverID]],CarrierDriverTBL!$A:$A,0))</f>
        <v>110 Cordova Ln</v>
      </c>
      <c r="AX123" s="10" t="str">
        <f>INDEX(CarrierDriverTBL!$N:$N,MATCH(Table1[[#This Row],[DriverID]],CarrierDriverTBL!$A:$A,0))</f>
        <v>Stockton</v>
      </c>
      <c r="AY123" s="10" t="str">
        <f>INDEX(CarrierDriverTBL!$O:$O,MATCH(Table1[[#This Row],[DriverID]],CarrierDriverTBL!$A:$A,0))</f>
        <v>CA</v>
      </c>
      <c r="AZ123" s="10">
        <f>INDEX(CarrierDriverTBL!$P:$P,MATCH(Table1[[#This Row],[DriverID]],CarrierDriverTBL!$A:$A,0))</f>
        <v>95207</v>
      </c>
      <c r="BA123" s="10" t="str">
        <f>INDEX(CarrierDriverTBL!$Q:$Q,MATCH(Table1[[#This Row],[DriverID]],CarrierDriverTBL!$A:$A,0))</f>
        <v>US</v>
      </c>
      <c r="BB123" s="173" t="str">
        <f>INDEX(CarrierDriverTBL!$R:$R,MATCH(Table1[[#This Row],[DriverID]],CarrierDriverTBL!$A:$A,0))</f>
        <v>wesleycousain1@gmail.com</v>
      </c>
      <c r="BC123" s="160">
        <f>INDEX(CarrierDriverTBL!$AB:$AB,MATCH(Table1[[#This Row],[DriverID]],CarrierDriverTBL!$A:$A,0))</f>
        <v>42271</v>
      </c>
      <c r="BD123" s="142" t="str">
        <f ca="1">INDEX(CarrierDriverTBL!$AD:$AD,MATCH(LoadMaster!$AN:$AN,CarrierDriverTBL!$A:$A,0))</f>
        <v>MISSING</v>
      </c>
      <c r="BE123" s="142">
        <f>INDEX(CarrierDriverTBL!$AE:$AE,MATCH(Table1[DriverID],CarrierDriverTBL!$A:$A,0))</f>
        <v>913971</v>
      </c>
      <c r="BF123" s="142">
        <f>INDEX(CarrierDriverTBL!$AF:$AF,MATCH(Table1[DriverID],CarrierDriverTBL!$A:$A,0))</f>
        <v>2627544</v>
      </c>
      <c r="BG123" s="142">
        <f>INDEX(CarrierDriverTBL!$AG:$AG,MATCH(Table1[DriverID],CarrierDriverTBL!$A:$A,0))</f>
        <v>466133</v>
      </c>
      <c r="BH123" s="142" t="str">
        <f>INDEX(CarrierDriverTBL!$AH:$AH,MATCH(Table1[DriverID],CarrierDriverTBL!$A:$A,0))</f>
        <v>GM Lawrence Ins</v>
      </c>
      <c r="BI123" s="142" t="str">
        <f>INDEX(CarrierDriverTBL!$AI:$AI,MATCH(Table1[DriverID],CarrierDriverTBL!$A:$A,0))</f>
        <v>DSK2842P160210</v>
      </c>
      <c r="BJ123" s="160">
        <f>INDEX(CarrierDriverTBL!$AJ:$AJ,MATCH(Table1[[#This Row],[DriverID]],CarrierDriverTBL!$A:$A,0))</f>
        <v>42778</v>
      </c>
      <c r="BK123" s="10">
        <f t="shared" si="36"/>
        <v>489</v>
      </c>
      <c r="BL123" s="174">
        <v>1100</v>
      </c>
      <c r="BM123" s="144">
        <v>529</v>
      </c>
      <c r="BN123" s="159">
        <f t="shared" si="61"/>
        <v>2.0793950850661624</v>
      </c>
      <c r="BO123" s="167">
        <f>0.93*BL123</f>
        <v>1023</v>
      </c>
      <c r="BP123" s="159">
        <f t="shared" si="62"/>
        <v>1.9338374291115312</v>
      </c>
      <c r="BQ123" s="133">
        <v>2.7989999999999999</v>
      </c>
      <c r="BR123" s="166">
        <f t="shared" si="63"/>
        <v>0.14983333333333335</v>
      </c>
      <c r="BS123" s="167">
        <f t="shared" si="37"/>
        <v>1.784004095778198</v>
      </c>
      <c r="BT123" s="159">
        <f t="shared" si="38"/>
        <v>79.261833333333342</v>
      </c>
      <c r="BU123" s="10" t="str">
        <f t="shared" si="39"/>
        <v>Ch Robinson</v>
      </c>
      <c r="BV123" s="4"/>
      <c r="BW123" s="4" t="str">
        <f>Table1[[#This Row],[BrokerAddress]]</f>
        <v>P.O. Box 3474</v>
      </c>
      <c r="BX123" s="4" t="str">
        <f t="shared" si="40"/>
        <v>Chicago</v>
      </c>
      <c r="BY123" s="4" t="str">
        <f t="shared" si="41"/>
        <v>Il</v>
      </c>
      <c r="BZ123" s="4">
        <f t="shared" si="42"/>
        <v>60654</v>
      </c>
      <c r="CA123" s="10" t="str">
        <f t="shared" si="43"/>
        <v>US</v>
      </c>
      <c r="CB123" s="15" t="s">
        <v>131</v>
      </c>
      <c r="CC123" s="62"/>
      <c r="CD123" s="29" t="s">
        <v>149</v>
      </c>
      <c r="CE123" s="189">
        <v>40</v>
      </c>
      <c r="CF123" s="29">
        <v>1.5</v>
      </c>
      <c r="CG123" s="270">
        <f t="shared" si="44"/>
        <v>60</v>
      </c>
      <c r="CH123" s="4" t="s">
        <v>132</v>
      </c>
      <c r="CI123" s="5">
        <v>0</v>
      </c>
      <c r="CJ123" s="4">
        <v>0</v>
      </c>
      <c r="CK123" s="132">
        <f t="shared" si="45"/>
        <v>0</v>
      </c>
      <c r="CL123" s="4" t="s">
        <v>132</v>
      </c>
      <c r="CM123" s="5">
        <v>0</v>
      </c>
      <c r="CN123" s="4">
        <v>0</v>
      </c>
      <c r="CO123" s="132">
        <f t="shared" si="46"/>
        <v>0</v>
      </c>
      <c r="CP123" s="4" t="s">
        <v>132</v>
      </c>
      <c r="CQ123" s="5">
        <v>0</v>
      </c>
      <c r="CR123" s="4">
        <v>0</v>
      </c>
      <c r="CS123" s="132">
        <f t="shared" si="47"/>
        <v>0</v>
      </c>
      <c r="CT123" s="159">
        <f t="shared" si="48"/>
        <v>60</v>
      </c>
      <c r="CU123" s="168">
        <f t="shared" si="49"/>
        <v>1160</v>
      </c>
      <c r="CV123" s="183">
        <f>(50*CT123)/100</f>
        <v>30</v>
      </c>
      <c r="CW123" s="82">
        <f t="shared" si="64"/>
        <v>1053</v>
      </c>
      <c r="CX123" s="79">
        <f>IF(ISBLANK(E123),"AddQuickPay",IF(E123=2,CU123*0.98,IF(E123=2.4,CU123*0.976,IF(E123=3,CU123*0.97,IF(E123=5,CU123*0.95,IF(E123=1.5,CU123*0.985,IF(E123=2.5,CU123*0.975,IF(E123=1.3,CU123*0.987,IF(E123=1,CU123*0.99,IF(E123=4,CU123*0.96,CU123*1))))))))))-Table1[[#This Row],[ComCheck+QuickPayFee]]</f>
        <v>1136.8</v>
      </c>
      <c r="CY123" s="5">
        <f t="shared" si="50"/>
        <v>107</v>
      </c>
      <c r="CZ123" s="5">
        <f t="shared" si="51"/>
        <v>23.2</v>
      </c>
      <c r="DA123" s="258">
        <f>Table1[[#This Row],[OriginalDispatch]]-Table1[[#This Row],[QuickPayCharge]]</f>
        <v>83.8</v>
      </c>
      <c r="DB123" s="5">
        <v>0</v>
      </c>
      <c r="DC123" s="5" t="s">
        <v>133</v>
      </c>
      <c r="DD123" s="104">
        <f t="shared" si="52"/>
        <v>42293</v>
      </c>
      <c r="DE123" s="15">
        <f>MONTH(Table1[[#This Row],[Weekending]])</f>
        <v>10</v>
      </c>
      <c r="DF123" s="15">
        <f>YEAR(Table1[[#This Row],[Weekending]])</f>
        <v>2015</v>
      </c>
      <c r="DG123" s="4"/>
    </row>
    <row r="124" spans="1:111">
      <c r="A124" s="20" t="str">
        <f t="shared" si="34"/>
        <v>03373788</v>
      </c>
      <c r="B124" s="146">
        <v>42290</v>
      </c>
      <c r="C124" s="144">
        <v>183302403</v>
      </c>
      <c r="D124" s="298" t="s">
        <v>111</v>
      </c>
      <c r="E124" s="298">
        <v>2</v>
      </c>
      <c r="F124" s="142" t="str">
        <f>INDEX(BrokerTBL!$B:$B,MATCH(D124,BrokerTBL!$A:$A,0))</f>
        <v>P.O. Box 3474</v>
      </c>
      <c r="G124" s="142" t="str">
        <f>INDEX(BrokerTBL!$C:$C,MATCH(D124,BrokerTBL!$A:$A,0))</f>
        <v>Chicago</v>
      </c>
      <c r="H124" s="142" t="str">
        <f>INDEX(BrokerTBL!$D:$D,MATCH(D124,BrokerTBL!$A:$A,0))</f>
        <v>Il</v>
      </c>
      <c r="I124" s="142" t="str">
        <f>INDEX(BrokerTBL!$E:$E,MATCH(D124,BrokerTBL!$A:$A,0))</f>
        <v>US</v>
      </c>
      <c r="J124" s="142">
        <f>INDEX(BrokerTBL!$F:$F,MATCH(D124,BrokerTBL!$A:$A,0))</f>
        <v>60654</v>
      </c>
      <c r="K124" s="298" t="s">
        <v>1079</v>
      </c>
      <c r="L124" s="145">
        <v>4925595637</v>
      </c>
      <c r="M124" s="146">
        <v>42290</v>
      </c>
      <c r="N124" s="144" t="s">
        <v>1080</v>
      </c>
      <c r="O124" s="298" t="s">
        <v>1081</v>
      </c>
      <c r="P124" s="298" t="s">
        <v>1082</v>
      </c>
      <c r="Q124" s="298" t="s">
        <v>139</v>
      </c>
      <c r="R124" s="298">
        <v>92356</v>
      </c>
      <c r="S124" s="298" t="s">
        <v>118</v>
      </c>
      <c r="T124" s="298" t="s">
        <v>136</v>
      </c>
      <c r="U124" s="298" t="s">
        <v>120</v>
      </c>
      <c r="V124" s="298">
        <v>53</v>
      </c>
      <c r="W124" s="185" t="s">
        <v>1083</v>
      </c>
      <c r="X124" s="144">
        <v>42000</v>
      </c>
      <c r="Y124" s="298" t="s">
        <v>1084</v>
      </c>
      <c r="Z124" s="185">
        <v>17</v>
      </c>
      <c r="AA124" s="298">
        <v>17</v>
      </c>
      <c r="AB124" s="298" t="s">
        <v>123</v>
      </c>
      <c r="AC124" s="298" t="s">
        <v>1085</v>
      </c>
      <c r="AD124" s="145">
        <v>4925595637</v>
      </c>
      <c r="AE124" s="146">
        <v>42291</v>
      </c>
      <c r="AF124" s="298" t="s">
        <v>1055</v>
      </c>
      <c r="AG124" s="298" t="s">
        <v>1086</v>
      </c>
      <c r="AH124" s="298" t="s">
        <v>770</v>
      </c>
      <c r="AI124" s="298" t="s">
        <v>139</v>
      </c>
      <c r="AJ124" s="298">
        <v>94560</v>
      </c>
      <c r="AK124" s="298" t="s">
        <v>118</v>
      </c>
      <c r="AL124" s="298" t="s">
        <v>1087</v>
      </c>
      <c r="AM124" s="142" t="str">
        <f>INDEX(CarrierDriverTBL!$B:$B,MATCH(Table1[[#This Row],[DriverID]],CarrierDriverTBL!$A:$A,0))</f>
        <v>UBTrucking</v>
      </c>
      <c r="AN124" s="10" t="s">
        <v>948</v>
      </c>
      <c r="AO124" s="10" t="str">
        <f>INDEX(CarrierDriverTBL!$C:$C,MATCH(Table1[[#This Row],[DriverID]],CarrierDriverTBL!$A:$A,0))</f>
        <v>Wesley</v>
      </c>
      <c r="AP124" s="10" t="str">
        <f>INDEX(CarrierDriverTBL!$D:$D,MATCH(Table1[[#This Row],[DriverID]],CarrierDriverTBL!$A:$A,0))</f>
        <v>Cousain</v>
      </c>
      <c r="AQ124" s="10" t="str">
        <f>INDEX(CarrierDriverTBL!$X:$X,MATCH(Table1[[#This Row],[DriverID]],CarrierDriverTBL!$A:$A,0))</f>
        <v>D4903588</v>
      </c>
      <c r="AR124" s="11">
        <f>INDEX(CarrierDriverTBL!$Y:$Y,MATCH(Table1[[#This Row],[DriverID]],CarrierDriverTBL!$A:$A,0))</f>
        <v>43458</v>
      </c>
      <c r="AS124" s="142" t="str">
        <f t="shared" si="35"/>
        <v>GOOD</v>
      </c>
      <c r="AT124" s="11">
        <f>INDEX(CarrierDriverTBL!$E:$E,MATCH(Table1[[#This Row],[DriverID]],CarrierDriverTBL!$A:$A,0))</f>
        <v>31405</v>
      </c>
      <c r="AU124" s="163">
        <f ca="1">INDEX(CarrierDriverTBL!$F:$F,MATCH(Table1[[#This Row],[DriverID]],CarrierDriverTBL!$A:$A,0))</f>
        <v>30.605479452054794</v>
      </c>
      <c r="AV124" s="10" t="str">
        <f>INDEX(CarrierDriverTBL!$K:$K,MATCH(Table1[[#This Row],[DriverID]],CarrierDriverTBL!$A:$A,0))</f>
        <v>925-383-5364</v>
      </c>
      <c r="AW124" s="10" t="str">
        <f>INDEX(CarrierDriverTBL!$M:$M,MATCH(Table1[[#This Row],[DriverID]],CarrierDriverTBL!$A:$A,0))</f>
        <v>110 Cordova Ln</v>
      </c>
      <c r="AX124" s="10" t="str">
        <f>INDEX(CarrierDriverTBL!$N:$N,MATCH(Table1[[#This Row],[DriverID]],CarrierDriverTBL!$A:$A,0))</f>
        <v>Stockton</v>
      </c>
      <c r="AY124" s="10" t="str">
        <f>INDEX(CarrierDriverTBL!$O:$O,MATCH(Table1[[#This Row],[DriverID]],CarrierDriverTBL!$A:$A,0))</f>
        <v>CA</v>
      </c>
      <c r="AZ124" s="10">
        <f>INDEX(CarrierDriverTBL!$P:$P,MATCH(Table1[[#This Row],[DriverID]],CarrierDriverTBL!$A:$A,0))</f>
        <v>95207</v>
      </c>
      <c r="BA124" s="10" t="str">
        <f>INDEX(CarrierDriverTBL!$Q:$Q,MATCH(Table1[[#This Row],[DriverID]],CarrierDriverTBL!$A:$A,0))</f>
        <v>US</v>
      </c>
      <c r="BB124" s="173" t="str">
        <f>INDEX(CarrierDriverTBL!$R:$R,MATCH(Table1[[#This Row],[DriverID]],CarrierDriverTBL!$A:$A,0))</f>
        <v>wesleycousain1@gmail.com</v>
      </c>
      <c r="BC124" s="160">
        <f>INDEX(CarrierDriverTBL!$AB:$AB,MATCH(Table1[[#This Row],[DriverID]],CarrierDriverTBL!$A:$A,0))</f>
        <v>42271</v>
      </c>
      <c r="BD124" s="142" t="str">
        <f ca="1">INDEX(CarrierDriverTBL!$AD:$AD,MATCH(LoadMaster!$AN:$AN,CarrierDriverTBL!$A:$A,0))</f>
        <v>MISSING</v>
      </c>
      <c r="BE124" s="142">
        <f>INDEX(CarrierDriverTBL!$AE:$AE,MATCH(Table1[DriverID],CarrierDriverTBL!$A:$A,0))</f>
        <v>913971</v>
      </c>
      <c r="BF124" s="142">
        <f>INDEX(CarrierDriverTBL!$AF:$AF,MATCH(Table1[DriverID],CarrierDriverTBL!$A:$A,0))</f>
        <v>2627544</v>
      </c>
      <c r="BG124" s="142">
        <f>INDEX(CarrierDriverTBL!$AG:$AG,MATCH(Table1[DriverID],CarrierDriverTBL!$A:$A,0))</f>
        <v>466133</v>
      </c>
      <c r="BH124" s="142" t="str">
        <f>INDEX(CarrierDriverTBL!$AH:$AH,MATCH(Table1[DriverID],CarrierDriverTBL!$A:$A,0))</f>
        <v>GM Lawrence Ins</v>
      </c>
      <c r="BI124" s="142" t="str">
        <f>INDEX(CarrierDriverTBL!$AI:$AI,MATCH(Table1[DriverID],CarrierDriverTBL!$A:$A,0))</f>
        <v>DSK2842P160210</v>
      </c>
      <c r="BJ124" s="160">
        <f>INDEX(CarrierDriverTBL!$AJ:$AJ,MATCH(Table1[[#This Row],[DriverID]],CarrierDriverTBL!$A:$A,0))</f>
        <v>42778</v>
      </c>
      <c r="BK124" s="10">
        <f t="shared" si="36"/>
        <v>488</v>
      </c>
      <c r="BL124" s="174">
        <v>890</v>
      </c>
      <c r="BM124" s="144">
        <v>450</v>
      </c>
      <c r="BN124" s="159">
        <f t="shared" si="61"/>
        <v>1.9777777777777779</v>
      </c>
      <c r="BO124" s="167">
        <f>BL124*0.93</f>
        <v>827.7</v>
      </c>
      <c r="BP124" s="159">
        <f t="shared" si="62"/>
        <v>1.8393333333333335</v>
      </c>
      <c r="BQ124" s="133">
        <v>2.7989999999999999</v>
      </c>
      <c r="BR124" s="166">
        <f t="shared" si="63"/>
        <v>0.14983333333333335</v>
      </c>
      <c r="BS124" s="167">
        <f t="shared" si="37"/>
        <v>1.6895000000000002</v>
      </c>
      <c r="BT124" s="159">
        <f t="shared" si="38"/>
        <v>67.425000000000011</v>
      </c>
      <c r="BU124" s="10" t="str">
        <f t="shared" si="39"/>
        <v>Ch Robinson</v>
      </c>
      <c r="BV124" s="4"/>
      <c r="BW124" s="4" t="str">
        <f>Table1[[#This Row],[BrokerAddress]]</f>
        <v>P.O. Box 3474</v>
      </c>
      <c r="BX124" s="4" t="str">
        <f t="shared" si="40"/>
        <v>Chicago</v>
      </c>
      <c r="BY124" s="4" t="str">
        <f t="shared" si="41"/>
        <v>Il</v>
      </c>
      <c r="BZ124" s="4">
        <f t="shared" si="42"/>
        <v>60654</v>
      </c>
      <c r="CA124" s="10" t="str">
        <f t="shared" si="43"/>
        <v>US</v>
      </c>
      <c r="CB124" s="15" t="s">
        <v>131</v>
      </c>
      <c r="CC124" s="62"/>
      <c r="CD124" s="15" t="s">
        <v>132</v>
      </c>
      <c r="CE124" s="64">
        <v>0</v>
      </c>
      <c r="CF124" s="4">
        <v>0</v>
      </c>
      <c r="CG124" s="132">
        <f t="shared" si="44"/>
        <v>0</v>
      </c>
      <c r="CH124" s="4" t="s">
        <v>132</v>
      </c>
      <c r="CI124" s="5">
        <v>0</v>
      </c>
      <c r="CJ124" s="4">
        <v>0</v>
      </c>
      <c r="CK124" s="132">
        <f t="shared" si="45"/>
        <v>0</v>
      </c>
      <c r="CL124" s="4" t="s">
        <v>132</v>
      </c>
      <c r="CM124" s="5">
        <v>0</v>
      </c>
      <c r="CN124" s="4">
        <v>0</v>
      </c>
      <c r="CO124" s="132">
        <f t="shared" si="46"/>
        <v>0</v>
      </c>
      <c r="CP124" s="4" t="s">
        <v>132</v>
      </c>
      <c r="CQ124" s="5">
        <v>0</v>
      </c>
      <c r="CR124" s="4">
        <v>0</v>
      </c>
      <c r="CS124" s="132">
        <f t="shared" si="47"/>
        <v>0</v>
      </c>
      <c r="CT124" s="159">
        <f t="shared" si="48"/>
        <v>0</v>
      </c>
      <c r="CU124" s="168">
        <f t="shared" si="49"/>
        <v>890</v>
      </c>
      <c r="CV124" s="183">
        <f t="shared" ref="CV124:CV169" si="65">(100*CT124)/100</f>
        <v>0</v>
      </c>
      <c r="CW124" s="82">
        <f t="shared" si="64"/>
        <v>827.7</v>
      </c>
      <c r="CX124" s="79">
        <f>IF(ISBLANK(E124),"AddQuickPay",IF(E124=2,CU124*0.98,IF(E124=2.4,CU124*0.976,IF(E124=3,CU124*0.97,IF(E124=5,CU124*0.95,IF(E124=1.5,CU124*0.985,IF(E124=2.5,CU124*0.975,IF(E124=1.3,CU124*0.987,IF(E124=1,CU124*0.99,IF(E124=4,CU124*0.96,CU124*1))))))))))-Table1[[#This Row],[ComCheck+QuickPayFee]]</f>
        <v>872.19999999999993</v>
      </c>
      <c r="CY124" s="5">
        <f t="shared" si="50"/>
        <v>62.299999999999955</v>
      </c>
      <c r="CZ124" s="5">
        <f t="shared" si="51"/>
        <v>17.8</v>
      </c>
      <c r="DA124" s="258">
        <f>Table1[[#This Row],[OriginalDispatch]]-Table1[[#This Row],[QuickPayCharge]]</f>
        <v>44.499999999999957</v>
      </c>
      <c r="DB124" s="5">
        <v>0</v>
      </c>
      <c r="DC124" s="5" t="s">
        <v>133</v>
      </c>
      <c r="DD124" s="104">
        <f t="shared" si="52"/>
        <v>42293</v>
      </c>
      <c r="DE124" s="15">
        <f>MONTH(Table1[[#This Row],[Weekending]])</f>
        <v>10</v>
      </c>
      <c r="DF124" s="15">
        <f>YEAR(Table1[[#This Row],[Weekending]])</f>
        <v>2015</v>
      </c>
      <c r="DG124" s="4"/>
    </row>
    <row r="125" spans="1:111">
      <c r="A125" s="20" t="str">
        <f t="shared" si="34"/>
        <v>75131349</v>
      </c>
      <c r="B125" s="146">
        <v>42290</v>
      </c>
      <c r="C125" s="144">
        <v>183508775</v>
      </c>
      <c r="D125" s="298" t="s">
        <v>111</v>
      </c>
      <c r="E125" s="298">
        <v>2</v>
      </c>
      <c r="F125" s="142" t="str">
        <f>INDEX(BrokerTBL!$B:$B,MATCH(D125,BrokerTBL!$A:$A,0))</f>
        <v>P.O. Box 3474</v>
      </c>
      <c r="G125" s="142" t="str">
        <f>INDEX(BrokerTBL!$C:$C,MATCH(D125,BrokerTBL!$A:$A,0))</f>
        <v>Chicago</v>
      </c>
      <c r="H125" s="142" t="str">
        <f>INDEX(BrokerTBL!$D:$D,MATCH(D125,BrokerTBL!$A:$A,0))</f>
        <v>Il</v>
      </c>
      <c r="I125" s="142" t="str">
        <f>INDEX(BrokerTBL!$E:$E,MATCH(D125,BrokerTBL!$A:$A,0))</f>
        <v>US</v>
      </c>
      <c r="J125" s="142">
        <f>INDEX(BrokerTBL!$F:$F,MATCH(D125,BrokerTBL!$A:$A,0))</f>
        <v>60654</v>
      </c>
      <c r="K125" s="298" t="s">
        <v>700</v>
      </c>
      <c r="L125" s="145">
        <v>305385113</v>
      </c>
      <c r="M125" s="146">
        <v>42290</v>
      </c>
      <c r="N125" s="144" t="s">
        <v>1088</v>
      </c>
      <c r="O125" s="298" t="s">
        <v>702</v>
      </c>
      <c r="P125" s="298" t="s">
        <v>703</v>
      </c>
      <c r="Q125" s="298" t="s">
        <v>139</v>
      </c>
      <c r="R125" s="298">
        <v>93030</v>
      </c>
      <c r="S125" s="298" t="s">
        <v>118</v>
      </c>
      <c r="T125" s="187" t="s">
        <v>1058</v>
      </c>
      <c r="U125" s="298" t="s">
        <v>120</v>
      </c>
      <c r="V125" s="298">
        <v>53</v>
      </c>
      <c r="W125" s="298" t="s">
        <v>136</v>
      </c>
      <c r="X125" s="144">
        <v>19717</v>
      </c>
      <c r="Y125" s="298" t="s">
        <v>740</v>
      </c>
      <c r="Z125" s="185">
        <v>1680</v>
      </c>
      <c r="AA125" s="298">
        <v>60</v>
      </c>
      <c r="AB125" s="298" t="s">
        <v>123</v>
      </c>
      <c r="AC125" s="298" t="s">
        <v>1089</v>
      </c>
      <c r="AD125" s="145">
        <v>305385113</v>
      </c>
      <c r="AE125" s="146"/>
      <c r="AF125" s="416" t="s">
        <v>123</v>
      </c>
      <c r="AG125" s="298" t="s">
        <v>1090</v>
      </c>
      <c r="AH125" s="298" t="s">
        <v>1091</v>
      </c>
      <c r="AI125" s="298" t="s">
        <v>139</v>
      </c>
      <c r="AJ125" s="234">
        <v>94086</v>
      </c>
      <c r="AK125" s="298" t="s">
        <v>118</v>
      </c>
      <c r="AL125" s="298" t="s">
        <v>123</v>
      </c>
      <c r="AM125" s="142" t="str">
        <f>INDEX(CarrierDriverTBL!$B:$B,MATCH(Table1[[#This Row],[DriverID]],CarrierDriverTBL!$A:$A,0))</f>
        <v>UBTrucking</v>
      </c>
      <c r="AN125" s="10" t="s">
        <v>192</v>
      </c>
      <c r="AO125" s="10" t="str">
        <f>INDEX(CarrierDriverTBL!$C:$C,MATCH(Table1[[#This Row],[DriverID]],CarrierDriverTBL!$A:$A,0))</f>
        <v>Albel</v>
      </c>
      <c r="AP125" s="142" t="str">
        <f>INDEX(CarrierDriverTBL!$D:$D,MATCH(Table1[[#This Row],[DriverID]],CarrierDriverTBL!$A:$A,0))</f>
        <v>Chahil</v>
      </c>
      <c r="AQ125" s="142" t="str">
        <f>INDEX(CarrierDriverTBL!$X:$X,MATCH(Table1[[#This Row],[DriverID]],CarrierDriverTBL!$A:$A,0))</f>
        <v>A8390649</v>
      </c>
      <c r="AR125" s="160">
        <f>INDEX(CarrierDriverTBL!$Y:$Y,MATCH(Table1[[#This Row],[DriverID]],CarrierDriverTBL!$A:$A,0))</f>
        <v>42402</v>
      </c>
      <c r="AS125" s="142" t="str">
        <f t="shared" si="35"/>
        <v>GOOD</v>
      </c>
      <c r="AT125" s="160">
        <f>INDEX(CarrierDriverTBL!$E:$E,MATCH(Table1[[#This Row],[DriverID]],CarrierDriverTBL!$A:$A,0))</f>
        <v>22314</v>
      </c>
      <c r="AU125" s="163">
        <f ca="1">INDEX(CarrierDriverTBL!$F:$F,MATCH(Table1[[#This Row],[DriverID]],CarrierDriverTBL!$A:$A,0))</f>
        <v>55.512328767123286</v>
      </c>
      <c r="AV125" s="142" t="str">
        <f>INDEX(CarrierDriverTBL!$K:$K,MATCH(Table1[[#This Row],[DriverID]],CarrierDriverTBL!$A:$A,0))</f>
        <v>510-773-9450</v>
      </c>
      <c r="AW125" s="142" t="str">
        <f>INDEX(CarrierDriverTBL!$M:$M,MATCH(Table1[[#This Row],[DriverID]],CarrierDriverTBL!$A:$A,0))</f>
        <v>3124 Cynthia CT</v>
      </c>
      <c r="AX125" s="142" t="str">
        <f>INDEX(CarrierDriverTBL!$N:$N,MATCH(Table1[[#This Row],[DriverID]],CarrierDriverTBL!$A:$A,0))</f>
        <v>Tracy</v>
      </c>
      <c r="AY125" s="142" t="str">
        <f>INDEX(CarrierDriverTBL!$O:$O,MATCH(Table1[[#This Row],[DriverID]],CarrierDriverTBL!$A:$A,0))</f>
        <v>CA</v>
      </c>
      <c r="AZ125" s="142">
        <f>INDEX(CarrierDriverTBL!$P:$P,MATCH(Table1[[#This Row],[DriverID]],CarrierDriverTBL!$A:$A,0))</f>
        <v>95377</v>
      </c>
      <c r="BA125" s="142" t="str">
        <f>INDEX(CarrierDriverTBL!$Q:$Q,MATCH(Table1[[#This Row],[DriverID]],CarrierDriverTBL!$A:$A,0))</f>
        <v>US</v>
      </c>
      <c r="BB125" s="176" t="str">
        <f>INDEX(CarrierDriverTBL!$R:$R,MATCH(Table1[[#This Row],[DriverID]],CarrierDriverTBL!$A:$A,0))</f>
        <v>ubgollc@gmail.com</v>
      </c>
      <c r="BC125" s="160">
        <f>INDEX(CarrierDriverTBL!$AB:$AB,MATCH(Table1[[#This Row],[DriverID]],CarrierDriverTBL!$A:$A,0))</f>
        <v>42167</v>
      </c>
      <c r="BD125" s="142" t="str">
        <f ca="1">INDEX(CarrierDriverTBL!$AD:$AD,MATCH(LoadMaster!$AN:$AN,CarrierDriverTBL!$A:$A,0))</f>
        <v>MISSING</v>
      </c>
      <c r="BE125" s="142">
        <f>INDEX(CarrierDriverTBL!$AE:$AE,MATCH(Table1[DriverID],CarrierDriverTBL!$A:$A,0))</f>
        <v>913971</v>
      </c>
      <c r="BF125" s="142">
        <f>INDEX(CarrierDriverTBL!$AF:$AF,MATCH(Table1[DriverID],CarrierDriverTBL!$A:$A,0))</f>
        <v>2627544</v>
      </c>
      <c r="BG125" s="142">
        <f>INDEX(CarrierDriverTBL!$AG:$AG,MATCH(Table1[DriverID],CarrierDriverTBL!$A:$A,0))</f>
        <v>466133</v>
      </c>
      <c r="BH125" s="142" t="str">
        <f>INDEX(CarrierDriverTBL!$AH:$AH,MATCH(Table1[DriverID],CarrierDriverTBL!$A:$A,0))</f>
        <v>GM Lawrence Ins</v>
      </c>
      <c r="BI125" s="142" t="str">
        <f>INDEX(CarrierDriverTBL!$AI:$AI,MATCH(Table1[DriverID],CarrierDriverTBL!$A:$A,0))</f>
        <v>DSK2842P160210</v>
      </c>
      <c r="BJ125" s="160">
        <f>INDEX(CarrierDriverTBL!$AJ:$AJ,MATCH(Table1[[#This Row],[DriverID]],CarrierDriverTBL!$A:$A,0))</f>
        <v>42778</v>
      </c>
      <c r="BK125" s="10">
        <f t="shared" si="36"/>
        <v>488</v>
      </c>
      <c r="BL125" s="174">
        <v>875</v>
      </c>
      <c r="BM125" s="144">
        <v>366</v>
      </c>
      <c r="BN125" s="159">
        <f t="shared" si="61"/>
        <v>2.3907103825136611</v>
      </c>
      <c r="BO125" s="167">
        <v>825</v>
      </c>
      <c r="BP125" s="159">
        <f t="shared" si="62"/>
        <v>2.2540983606557377</v>
      </c>
      <c r="BQ125" s="133">
        <v>2.7989999999999999</v>
      </c>
      <c r="BR125" s="166">
        <f t="shared" si="63"/>
        <v>0.14983333333333335</v>
      </c>
      <c r="BS125" s="167">
        <f t="shared" si="37"/>
        <v>2.1042650273224042</v>
      </c>
      <c r="BT125" s="159">
        <f t="shared" si="38"/>
        <v>54.839000000000006</v>
      </c>
      <c r="BU125" s="10" t="str">
        <f t="shared" si="39"/>
        <v>Ch Robinson</v>
      </c>
      <c r="BV125" s="4"/>
      <c r="BW125" s="4" t="str">
        <f>Table1[[#This Row],[BrokerAddress]]</f>
        <v>P.O. Box 3474</v>
      </c>
      <c r="BX125" s="4" t="str">
        <f t="shared" si="40"/>
        <v>Chicago</v>
      </c>
      <c r="BY125" s="4" t="str">
        <f t="shared" si="41"/>
        <v>Il</v>
      </c>
      <c r="BZ125" s="4">
        <f t="shared" si="42"/>
        <v>60654</v>
      </c>
      <c r="CA125" s="10" t="str">
        <f t="shared" si="43"/>
        <v>US</v>
      </c>
      <c r="CB125" s="15" t="s">
        <v>131</v>
      </c>
      <c r="CC125" s="62"/>
      <c r="CD125" s="15" t="s">
        <v>132</v>
      </c>
      <c r="CE125" s="64">
        <v>0</v>
      </c>
      <c r="CF125" s="4">
        <v>0</v>
      </c>
      <c r="CG125" s="132">
        <f t="shared" si="44"/>
        <v>0</v>
      </c>
      <c r="CH125" s="4" t="s">
        <v>132</v>
      </c>
      <c r="CI125" s="5">
        <v>0</v>
      </c>
      <c r="CJ125" s="4">
        <v>0</v>
      </c>
      <c r="CK125" s="132">
        <f t="shared" si="45"/>
        <v>0</v>
      </c>
      <c r="CL125" s="4" t="s">
        <v>132</v>
      </c>
      <c r="CM125" s="5">
        <v>0</v>
      </c>
      <c r="CN125" s="4">
        <v>0</v>
      </c>
      <c r="CO125" s="132">
        <f t="shared" si="46"/>
        <v>0</v>
      </c>
      <c r="CP125" s="4" t="s">
        <v>132</v>
      </c>
      <c r="CQ125" s="5">
        <v>0</v>
      </c>
      <c r="CR125" s="4">
        <v>0</v>
      </c>
      <c r="CS125" s="132">
        <f t="shared" si="47"/>
        <v>0</v>
      </c>
      <c r="CT125" s="159">
        <f t="shared" si="48"/>
        <v>0</v>
      </c>
      <c r="CU125" s="168">
        <f t="shared" si="49"/>
        <v>875</v>
      </c>
      <c r="CV125" s="183">
        <f t="shared" si="65"/>
        <v>0</v>
      </c>
      <c r="CW125" s="82">
        <f t="shared" si="64"/>
        <v>825</v>
      </c>
      <c r="CX125" s="79">
        <f>IF(ISBLANK(E125),"AddQuickPay",IF(E125=2,CU125*0.98,IF(E125=2.4,CU125*0.976,IF(E125=3,CU125*0.97,IF(E125=5,CU125*0.95,IF(E125=1.5,CU125*0.985,IF(E125=2.5,CU125*0.975,IF(E125=1.3,CU125*0.987,IF(E125=1,CU125*0.99,IF(E125=4,CU125*0.96,CU125*1))))))))))-Table1[[#This Row],[ComCheck+QuickPayFee]]</f>
        <v>857.5</v>
      </c>
      <c r="CY125" s="5">
        <f t="shared" si="50"/>
        <v>50</v>
      </c>
      <c r="CZ125" s="5">
        <f t="shared" si="51"/>
        <v>17.5</v>
      </c>
      <c r="DA125" s="258">
        <f>Table1[[#This Row],[OriginalDispatch]]-Table1[[#This Row],[QuickPayCharge]]</f>
        <v>32.5</v>
      </c>
      <c r="DB125" s="5">
        <v>0</v>
      </c>
      <c r="DC125" s="5" t="s">
        <v>133</v>
      </c>
      <c r="DD125" s="104">
        <f t="shared" si="52"/>
        <v>42293</v>
      </c>
      <c r="DE125" s="15">
        <f>MONTH(Table1[[#This Row],[Weekending]])</f>
        <v>10</v>
      </c>
      <c r="DF125" s="15">
        <f>YEAR(Table1[[#This Row],[Weekending]])</f>
        <v>2015</v>
      </c>
      <c r="DG125" s="4"/>
    </row>
    <row r="126" spans="1:111">
      <c r="A126" s="20" t="str">
        <f t="shared" si="34"/>
        <v>819149</v>
      </c>
      <c r="B126" s="146">
        <v>42291</v>
      </c>
      <c r="C126" s="144">
        <v>183806481</v>
      </c>
      <c r="D126" s="298" t="s">
        <v>111</v>
      </c>
      <c r="E126" s="298">
        <v>2</v>
      </c>
      <c r="F126" s="142" t="str">
        <f>INDEX(BrokerTBL!$B:$B,MATCH(D126,BrokerTBL!$A:$A,0))</f>
        <v>P.O. Box 3474</v>
      </c>
      <c r="G126" s="142" t="str">
        <f>INDEX(BrokerTBL!$C:$C,MATCH(D126,BrokerTBL!$A:$A,0))</f>
        <v>Chicago</v>
      </c>
      <c r="H126" s="142" t="str">
        <f>INDEX(BrokerTBL!$D:$D,MATCH(D126,BrokerTBL!$A:$A,0))</f>
        <v>Il</v>
      </c>
      <c r="I126" s="142" t="str">
        <f>INDEX(BrokerTBL!$E:$E,MATCH(D126,BrokerTBL!$A:$A,0))</f>
        <v>US</v>
      </c>
      <c r="J126" s="142">
        <f>INDEX(BrokerTBL!$F:$F,MATCH(D126,BrokerTBL!$A:$A,0))</f>
        <v>60654</v>
      </c>
      <c r="K126" s="298" t="s">
        <v>1092</v>
      </c>
      <c r="L126" s="145">
        <v>81876291</v>
      </c>
      <c r="M126" s="146">
        <v>42291</v>
      </c>
      <c r="N126" s="144" t="s">
        <v>1093</v>
      </c>
      <c r="O126" s="298" t="s">
        <v>1094</v>
      </c>
      <c r="P126" s="298" t="s">
        <v>299</v>
      </c>
      <c r="Q126" s="298" t="s">
        <v>139</v>
      </c>
      <c r="R126" s="298">
        <v>94601</v>
      </c>
      <c r="S126" s="185" t="s">
        <v>118</v>
      </c>
      <c r="T126" s="298" t="s">
        <v>136</v>
      </c>
      <c r="U126" s="298" t="s">
        <v>120</v>
      </c>
      <c r="V126" s="298">
        <v>53</v>
      </c>
      <c r="W126" s="185" t="s">
        <v>1095</v>
      </c>
      <c r="X126" s="144">
        <v>39211</v>
      </c>
      <c r="Y126" s="298" t="s">
        <v>26</v>
      </c>
      <c r="Z126" s="298" t="s">
        <v>123</v>
      </c>
      <c r="AA126" s="298" t="s">
        <v>123</v>
      </c>
      <c r="AB126" s="298" t="s">
        <v>123</v>
      </c>
      <c r="AC126" s="298" t="s">
        <v>1096</v>
      </c>
      <c r="AD126" s="145"/>
      <c r="AE126" s="146">
        <v>42292</v>
      </c>
      <c r="AF126" s="298" t="s">
        <v>1097</v>
      </c>
      <c r="AG126" s="298" t="s">
        <v>1098</v>
      </c>
      <c r="AH126" s="298" t="s">
        <v>214</v>
      </c>
      <c r="AI126" s="298" t="s">
        <v>139</v>
      </c>
      <c r="AJ126" s="298">
        <v>93725</v>
      </c>
      <c r="AK126" s="298" t="s">
        <v>118</v>
      </c>
      <c r="AL126" s="298" t="s">
        <v>123</v>
      </c>
      <c r="AM126" s="142" t="str">
        <f>INDEX(CarrierDriverTBL!$B:$B,MATCH(Table1[[#This Row],[DriverID]],CarrierDriverTBL!$A:$A,0))</f>
        <v>UBTrucking</v>
      </c>
      <c r="AN126" s="10" t="s">
        <v>192</v>
      </c>
      <c r="AO126" s="10" t="str">
        <f>INDEX(CarrierDriverTBL!$C:$C,MATCH(Table1[[#This Row],[DriverID]],CarrierDriverTBL!$A:$A,0))</f>
        <v>Albel</v>
      </c>
      <c r="AP126" s="142" t="str">
        <f>INDEX(CarrierDriverTBL!$D:$D,MATCH(Table1[[#This Row],[DriverID]],CarrierDriverTBL!$A:$A,0))</f>
        <v>Chahil</v>
      </c>
      <c r="AQ126" s="142" t="str">
        <f>INDEX(CarrierDriverTBL!$X:$X,MATCH(Table1[[#This Row],[DriverID]],CarrierDriverTBL!$A:$A,0))</f>
        <v>A8390649</v>
      </c>
      <c r="AR126" s="160">
        <f>INDEX(CarrierDriverTBL!$Y:$Y,MATCH(Table1[[#This Row],[DriverID]],CarrierDriverTBL!$A:$A,0))</f>
        <v>42402</v>
      </c>
      <c r="AS126" s="142" t="str">
        <f t="shared" si="35"/>
        <v>GOOD</v>
      </c>
      <c r="AT126" s="160">
        <f>INDEX(CarrierDriverTBL!$E:$E,MATCH(Table1[[#This Row],[DriverID]],CarrierDriverTBL!$A:$A,0))</f>
        <v>22314</v>
      </c>
      <c r="AU126" s="163">
        <f ca="1">INDEX(CarrierDriverTBL!$F:$F,MATCH(Table1[[#This Row],[DriverID]],CarrierDriverTBL!$A:$A,0))</f>
        <v>55.512328767123286</v>
      </c>
      <c r="AV126" s="142" t="str">
        <f>INDEX(CarrierDriverTBL!$K:$K,MATCH(Table1[[#This Row],[DriverID]],CarrierDriverTBL!$A:$A,0))</f>
        <v>510-773-9450</v>
      </c>
      <c r="AW126" s="142" t="str">
        <f>INDEX(CarrierDriverTBL!$M:$M,MATCH(Table1[[#This Row],[DriverID]],CarrierDriverTBL!$A:$A,0))</f>
        <v>3124 Cynthia CT</v>
      </c>
      <c r="AX126" s="142" t="str">
        <f>INDEX(CarrierDriverTBL!$N:$N,MATCH(Table1[[#This Row],[DriverID]],CarrierDriverTBL!$A:$A,0))</f>
        <v>Tracy</v>
      </c>
      <c r="AY126" s="142" t="str">
        <f>INDEX(CarrierDriverTBL!$O:$O,MATCH(Table1[[#This Row],[DriverID]],CarrierDriverTBL!$A:$A,0))</f>
        <v>CA</v>
      </c>
      <c r="AZ126" s="142">
        <f>INDEX(CarrierDriverTBL!$P:$P,MATCH(Table1[[#This Row],[DriverID]],CarrierDriverTBL!$A:$A,0))</f>
        <v>95377</v>
      </c>
      <c r="BA126" s="142" t="str">
        <f>INDEX(CarrierDriverTBL!$Q:$Q,MATCH(Table1[[#This Row],[DriverID]],CarrierDriverTBL!$A:$A,0))</f>
        <v>US</v>
      </c>
      <c r="BB126" s="176" t="str">
        <f>INDEX(CarrierDriverTBL!$R:$R,MATCH(Table1[[#This Row],[DriverID]],CarrierDriverTBL!$A:$A,0))</f>
        <v>ubgollc@gmail.com</v>
      </c>
      <c r="BC126" s="160">
        <f>INDEX(CarrierDriverTBL!$AB:$AB,MATCH(Table1[[#This Row],[DriverID]],CarrierDriverTBL!$A:$A,0))</f>
        <v>42167</v>
      </c>
      <c r="BD126" s="142" t="str">
        <f ca="1">INDEX(CarrierDriverTBL!$AD:$AD,MATCH(LoadMaster!$AN:$AN,CarrierDriverTBL!$A:$A,0))</f>
        <v>MISSING</v>
      </c>
      <c r="BE126" s="142">
        <f>INDEX(CarrierDriverTBL!$AE:$AE,MATCH(Table1[DriverID],CarrierDriverTBL!$A:$A,0))</f>
        <v>913971</v>
      </c>
      <c r="BF126" s="142">
        <f>INDEX(CarrierDriverTBL!$AF:$AF,MATCH(Table1[DriverID],CarrierDriverTBL!$A:$A,0))</f>
        <v>2627544</v>
      </c>
      <c r="BG126" s="142">
        <f>INDEX(CarrierDriverTBL!$AG:$AG,MATCH(Table1[DriverID],CarrierDriverTBL!$A:$A,0))</f>
        <v>466133</v>
      </c>
      <c r="BH126" s="142" t="str">
        <f>INDEX(CarrierDriverTBL!$AH:$AH,MATCH(Table1[DriverID],CarrierDriverTBL!$A:$A,0))</f>
        <v>GM Lawrence Ins</v>
      </c>
      <c r="BI126" s="142" t="str">
        <f>INDEX(CarrierDriverTBL!$AI:$AI,MATCH(Table1[DriverID],CarrierDriverTBL!$A:$A,0))</f>
        <v>DSK2842P160210</v>
      </c>
      <c r="BJ126" s="160">
        <f>INDEX(CarrierDriverTBL!$AJ:$AJ,MATCH(Table1[[#This Row],[DriverID]],CarrierDriverTBL!$A:$A,0))</f>
        <v>42778</v>
      </c>
      <c r="BK126" s="10">
        <f t="shared" si="36"/>
        <v>487</v>
      </c>
      <c r="BL126" s="174">
        <v>500</v>
      </c>
      <c r="BM126" s="144">
        <v>186</v>
      </c>
      <c r="BN126" s="159">
        <f t="shared" si="61"/>
        <v>2.6881720430107525</v>
      </c>
      <c r="BO126" s="167">
        <v>450</v>
      </c>
      <c r="BP126" s="159">
        <f t="shared" si="62"/>
        <v>2.4193548387096775</v>
      </c>
      <c r="BQ126" s="133">
        <v>2.7989999999999999</v>
      </c>
      <c r="BR126" s="166">
        <f t="shared" si="63"/>
        <v>0.14983333333333335</v>
      </c>
      <c r="BS126" s="167">
        <f t="shared" si="37"/>
        <v>2.269521505376344</v>
      </c>
      <c r="BT126" s="159">
        <f t="shared" si="38"/>
        <v>27.869000000000003</v>
      </c>
      <c r="BU126" s="10" t="str">
        <f t="shared" si="39"/>
        <v>Ch Robinson</v>
      </c>
      <c r="BV126" s="4"/>
      <c r="BW126" s="4" t="str">
        <f>Table1[[#This Row],[BrokerAddress]]</f>
        <v>P.O. Box 3474</v>
      </c>
      <c r="BX126" s="4" t="str">
        <f t="shared" si="40"/>
        <v>Chicago</v>
      </c>
      <c r="BY126" s="4" t="str">
        <f t="shared" si="41"/>
        <v>Il</v>
      </c>
      <c r="BZ126" s="4">
        <f t="shared" si="42"/>
        <v>60654</v>
      </c>
      <c r="CA126" s="10" t="str">
        <f t="shared" si="43"/>
        <v>US</v>
      </c>
      <c r="CB126" s="15" t="s">
        <v>131</v>
      </c>
      <c r="CC126" s="62"/>
      <c r="CD126" s="4" t="s">
        <v>149</v>
      </c>
      <c r="CE126" s="5">
        <v>40</v>
      </c>
      <c r="CF126" s="4">
        <v>1</v>
      </c>
      <c r="CG126" s="132">
        <f t="shared" si="44"/>
        <v>40</v>
      </c>
      <c r="CH126" s="4" t="s">
        <v>132</v>
      </c>
      <c r="CI126" s="5">
        <v>0</v>
      </c>
      <c r="CJ126" s="4">
        <v>0</v>
      </c>
      <c r="CK126" s="132">
        <f t="shared" si="45"/>
        <v>0</v>
      </c>
      <c r="CL126" s="4" t="s">
        <v>132</v>
      </c>
      <c r="CM126" s="5">
        <v>0</v>
      </c>
      <c r="CN126" s="4">
        <v>0</v>
      </c>
      <c r="CO126" s="132">
        <f t="shared" si="46"/>
        <v>0</v>
      </c>
      <c r="CP126" s="4" t="s">
        <v>132</v>
      </c>
      <c r="CQ126" s="5">
        <v>0</v>
      </c>
      <c r="CR126" s="4">
        <v>0</v>
      </c>
      <c r="CS126" s="132">
        <f t="shared" si="47"/>
        <v>0</v>
      </c>
      <c r="CT126" s="159">
        <f t="shared" si="48"/>
        <v>40</v>
      </c>
      <c r="CU126" s="168">
        <f t="shared" si="49"/>
        <v>540</v>
      </c>
      <c r="CV126" s="183">
        <f t="shared" si="65"/>
        <v>40</v>
      </c>
      <c r="CW126" s="82">
        <f t="shared" si="64"/>
        <v>490</v>
      </c>
      <c r="CX126" s="79">
        <f>IF(ISBLANK(E126),"AddQuickPay",IF(E126=2,CU126*0.98,IF(E126=2.4,CU126*0.976,IF(E126=3,CU126*0.97,IF(E126=5,CU126*0.95,IF(E126=1.5,CU126*0.985,IF(E126=2.5,CU126*0.975,IF(E126=1.3,CU126*0.987,IF(E126=1,CU126*0.99,IF(E126=4,CU126*0.96,CU126*1))))))))))-Table1[[#This Row],[ComCheck+QuickPayFee]]</f>
        <v>529.20000000000005</v>
      </c>
      <c r="CY126" s="5">
        <f t="shared" si="50"/>
        <v>50</v>
      </c>
      <c r="CZ126" s="5">
        <f t="shared" si="51"/>
        <v>10.8</v>
      </c>
      <c r="DA126" s="258">
        <f>Table1[[#This Row],[OriginalDispatch]]-Table1[[#This Row],[QuickPayCharge]]</f>
        <v>39.200000000000003</v>
      </c>
      <c r="DB126" s="5">
        <v>0</v>
      </c>
      <c r="DC126" s="5" t="s">
        <v>133</v>
      </c>
      <c r="DD126" s="104">
        <f t="shared" si="52"/>
        <v>42293</v>
      </c>
      <c r="DE126" s="15">
        <f>MONTH(Table1[[#This Row],[Weekending]])</f>
        <v>10</v>
      </c>
      <c r="DF126" s="15">
        <f>YEAR(Table1[[#This Row],[Weekending]])</f>
        <v>2015</v>
      </c>
      <c r="DG126" s="4"/>
    </row>
    <row r="127" spans="1:111">
      <c r="A127" s="20" t="str">
        <f t="shared" si="34"/>
        <v>37707088</v>
      </c>
      <c r="B127" s="146">
        <v>42292</v>
      </c>
      <c r="C127" s="144">
        <v>183930837</v>
      </c>
      <c r="D127" s="298" t="s">
        <v>111</v>
      </c>
      <c r="E127" s="298">
        <v>2</v>
      </c>
      <c r="F127" s="142" t="str">
        <f>INDEX(BrokerTBL!$B:$B,MATCH(D127,BrokerTBL!$A:$A,0))</f>
        <v>P.O. Box 3474</v>
      </c>
      <c r="G127" s="142" t="str">
        <f>INDEX(BrokerTBL!$C:$C,MATCH(D127,BrokerTBL!$A:$A,0))</f>
        <v>Chicago</v>
      </c>
      <c r="H127" s="142" t="str">
        <f>INDEX(BrokerTBL!$D:$D,MATCH(D127,BrokerTBL!$A:$A,0))</f>
        <v>Il</v>
      </c>
      <c r="I127" s="142" t="str">
        <f>INDEX(BrokerTBL!$E:$E,MATCH(D127,BrokerTBL!$A:$A,0))</f>
        <v>US</v>
      </c>
      <c r="J127" s="142">
        <f>INDEX(BrokerTBL!$F:$F,MATCH(D127,BrokerTBL!$A:$A,0))</f>
        <v>60654</v>
      </c>
      <c r="K127" s="298" t="s">
        <v>1026</v>
      </c>
      <c r="L127" s="145">
        <v>11970</v>
      </c>
      <c r="M127" s="146">
        <v>42292</v>
      </c>
      <c r="N127" s="162" t="s">
        <v>136</v>
      </c>
      <c r="O127" s="298" t="s">
        <v>1028</v>
      </c>
      <c r="P127" s="298" t="s">
        <v>1029</v>
      </c>
      <c r="Q127" s="298" t="s">
        <v>139</v>
      </c>
      <c r="R127" s="298">
        <v>95023</v>
      </c>
      <c r="S127" s="298" t="s">
        <v>118</v>
      </c>
      <c r="T127" s="298" t="s">
        <v>136</v>
      </c>
      <c r="U127" s="298" t="s">
        <v>120</v>
      </c>
      <c r="V127" s="298">
        <v>53</v>
      </c>
      <c r="W127" s="185" t="s">
        <v>450</v>
      </c>
      <c r="X127" s="144">
        <v>35000</v>
      </c>
      <c r="Y127" s="298" t="s">
        <v>26</v>
      </c>
      <c r="Z127" s="298" t="s">
        <v>123</v>
      </c>
      <c r="AA127" s="298" t="s">
        <v>123</v>
      </c>
      <c r="AB127" s="298" t="s">
        <v>123</v>
      </c>
      <c r="AC127" s="298" t="s">
        <v>1031</v>
      </c>
      <c r="AD127" s="145">
        <v>11970</v>
      </c>
      <c r="AE127" s="146">
        <v>42293</v>
      </c>
      <c r="AF127" s="298" t="s">
        <v>1032</v>
      </c>
      <c r="AG127" s="298" t="s">
        <v>1099</v>
      </c>
      <c r="AH127" s="298" t="s">
        <v>703</v>
      </c>
      <c r="AI127" s="298" t="s">
        <v>139</v>
      </c>
      <c r="AJ127" s="298">
        <v>93033</v>
      </c>
      <c r="AK127" s="298" t="s">
        <v>118</v>
      </c>
      <c r="AL127" s="298" t="s">
        <v>123</v>
      </c>
      <c r="AM127" s="142" t="str">
        <f>INDEX(CarrierDriverTBL!$B:$B,MATCH(Table1[[#This Row],[DriverID]],CarrierDriverTBL!$A:$A,0))</f>
        <v>UBTrucking</v>
      </c>
      <c r="AN127" s="10" t="s">
        <v>948</v>
      </c>
      <c r="AO127" s="10" t="str">
        <f>INDEX(CarrierDriverTBL!$C:$C,MATCH(Table1[[#This Row],[DriverID]],CarrierDriverTBL!$A:$A,0))</f>
        <v>Wesley</v>
      </c>
      <c r="AP127" s="10" t="str">
        <f>INDEX(CarrierDriverTBL!$D:$D,MATCH(Table1[[#This Row],[DriverID]],CarrierDriverTBL!$A:$A,0))</f>
        <v>Cousain</v>
      </c>
      <c r="AQ127" s="10" t="str">
        <f>INDEX(CarrierDriverTBL!$X:$X,MATCH(Table1[[#This Row],[DriverID]],CarrierDriverTBL!$A:$A,0))</f>
        <v>D4903588</v>
      </c>
      <c r="AR127" s="11">
        <f>INDEX(CarrierDriverTBL!$Y:$Y,MATCH(Table1[[#This Row],[DriverID]],CarrierDriverTBL!$A:$A,0))</f>
        <v>43458</v>
      </c>
      <c r="AS127" s="142" t="str">
        <f t="shared" si="35"/>
        <v>GOOD</v>
      </c>
      <c r="AT127" s="11">
        <f>INDEX(CarrierDriverTBL!$E:$E,MATCH(Table1[[#This Row],[DriverID]],CarrierDriverTBL!$A:$A,0))</f>
        <v>31405</v>
      </c>
      <c r="AU127" s="163">
        <f ca="1">INDEX(CarrierDriverTBL!$F:$F,MATCH(Table1[[#This Row],[DriverID]],CarrierDriverTBL!$A:$A,0))</f>
        <v>30.605479452054794</v>
      </c>
      <c r="AV127" s="10" t="str">
        <f>INDEX(CarrierDriverTBL!$K:$K,MATCH(Table1[[#This Row],[DriverID]],CarrierDriverTBL!$A:$A,0))</f>
        <v>925-383-5364</v>
      </c>
      <c r="AW127" s="10" t="str">
        <f>INDEX(CarrierDriverTBL!$M:$M,MATCH(Table1[[#This Row],[DriverID]],CarrierDriverTBL!$A:$A,0))</f>
        <v>110 Cordova Ln</v>
      </c>
      <c r="AX127" s="10" t="str">
        <f>INDEX(CarrierDriverTBL!$N:$N,MATCH(Table1[[#This Row],[DriverID]],CarrierDriverTBL!$A:$A,0))</f>
        <v>Stockton</v>
      </c>
      <c r="AY127" s="10" t="str">
        <f>INDEX(CarrierDriverTBL!$O:$O,MATCH(Table1[[#This Row],[DriverID]],CarrierDriverTBL!$A:$A,0))</f>
        <v>CA</v>
      </c>
      <c r="AZ127" s="10">
        <f>INDEX(CarrierDriverTBL!$P:$P,MATCH(Table1[[#This Row],[DriverID]],CarrierDriverTBL!$A:$A,0))</f>
        <v>95207</v>
      </c>
      <c r="BA127" s="10" t="str">
        <f>INDEX(CarrierDriverTBL!$Q:$Q,MATCH(Table1[[#This Row],[DriverID]],CarrierDriverTBL!$A:$A,0))</f>
        <v>US</v>
      </c>
      <c r="BB127" s="173" t="str">
        <f>INDEX(CarrierDriverTBL!$R:$R,MATCH(Table1[[#This Row],[DriverID]],CarrierDriverTBL!$A:$A,0))</f>
        <v>wesleycousain1@gmail.com</v>
      </c>
      <c r="BC127" s="160">
        <f>INDEX(CarrierDriverTBL!$AB:$AB,MATCH(Table1[[#This Row],[DriverID]],CarrierDriverTBL!$A:$A,0))</f>
        <v>42271</v>
      </c>
      <c r="BD127" s="142" t="str">
        <f ca="1">INDEX(CarrierDriverTBL!$AD:$AD,MATCH(LoadMaster!$AN:$AN,CarrierDriverTBL!$A:$A,0))</f>
        <v>MISSING</v>
      </c>
      <c r="BE127" s="142">
        <f>INDEX(CarrierDriverTBL!$AE:$AE,MATCH(Table1[DriverID],CarrierDriverTBL!$A:$A,0))</f>
        <v>913971</v>
      </c>
      <c r="BF127" s="142">
        <f>INDEX(CarrierDriverTBL!$AF:$AF,MATCH(Table1[DriverID],CarrierDriverTBL!$A:$A,0))</f>
        <v>2627544</v>
      </c>
      <c r="BG127" s="142">
        <f>INDEX(CarrierDriverTBL!$AG:$AG,MATCH(Table1[DriverID],CarrierDriverTBL!$A:$A,0))</f>
        <v>466133</v>
      </c>
      <c r="BH127" s="142" t="str">
        <f>INDEX(CarrierDriverTBL!$AH:$AH,MATCH(Table1[DriverID],CarrierDriverTBL!$A:$A,0))</f>
        <v>GM Lawrence Ins</v>
      </c>
      <c r="BI127" s="142" t="str">
        <f>INDEX(CarrierDriverTBL!$AI:$AI,MATCH(Table1[DriverID],CarrierDriverTBL!$A:$A,0))</f>
        <v>DSK2842P160210</v>
      </c>
      <c r="BJ127" s="160">
        <f>INDEX(CarrierDriverTBL!$AJ:$AJ,MATCH(Table1[[#This Row],[DriverID]],CarrierDriverTBL!$A:$A,0))</f>
        <v>42778</v>
      </c>
      <c r="BK127" s="10">
        <f t="shared" si="36"/>
        <v>486</v>
      </c>
      <c r="BL127" s="174">
        <v>700</v>
      </c>
      <c r="BM127" s="144">
        <v>300</v>
      </c>
      <c r="BN127" s="159">
        <f t="shared" si="61"/>
        <v>2.3333333333333335</v>
      </c>
      <c r="BO127" s="167">
        <f>0.93*BL127</f>
        <v>651</v>
      </c>
      <c r="BP127" s="159">
        <f t="shared" si="62"/>
        <v>2.17</v>
      </c>
      <c r="BQ127" s="133">
        <v>2.7989999999999999</v>
      </c>
      <c r="BR127" s="166">
        <f t="shared" si="63"/>
        <v>0.14983333333333335</v>
      </c>
      <c r="BS127" s="167">
        <f t="shared" si="37"/>
        <v>2.0201666666666664</v>
      </c>
      <c r="BT127" s="159">
        <f t="shared" si="38"/>
        <v>44.95</v>
      </c>
      <c r="BU127" s="10" t="str">
        <f t="shared" si="39"/>
        <v>Ch Robinson</v>
      </c>
      <c r="BV127" s="4"/>
      <c r="BW127" s="4" t="str">
        <f>Table1[[#This Row],[BrokerAddress]]</f>
        <v>P.O. Box 3474</v>
      </c>
      <c r="BX127" s="4" t="str">
        <f t="shared" si="40"/>
        <v>Chicago</v>
      </c>
      <c r="BY127" s="4" t="str">
        <f t="shared" si="41"/>
        <v>Il</v>
      </c>
      <c r="BZ127" s="4">
        <f t="shared" si="42"/>
        <v>60654</v>
      </c>
      <c r="CA127" s="10" t="str">
        <f t="shared" si="43"/>
        <v>US</v>
      </c>
      <c r="CB127" s="15" t="s">
        <v>131</v>
      </c>
      <c r="CC127" s="62"/>
      <c r="CD127" s="15" t="s">
        <v>132</v>
      </c>
      <c r="CE127" s="64">
        <v>0</v>
      </c>
      <c r="CF127" s="4">
        <v>0</v>
      </c>
      <c r="CG127" s="132">
        <f t="shared" si="44"/>
        <v>0</v>
      </c>
      <c r="CH127" s="4" t="s">
        <v>132</v>
      </c>
      <c r="CI127" s="5">
        <v>0</v>
      </c>
      <c r="CJ127" s="4">
        <v>0</v>
      </c>
      <c r="CK127" s="132">
        <f t="shared" si="45"/>
        <v>0</v>
      </c>
      <c r="CL127" s="4" t="s">
        <v>132</v>
      </c>
      <c r="CM127" s="5">
        <v>0</v>
      </c>
      <c r="CN127" s="4">
        <v>0</v>
      </c>
      <c r="CO127" s="132">
        <f t="shared" si="46"/>
        <v>0</v>
      </c>
      <c r="CP127" s="4" t="s">
        <v>132</v>
      </c>
      <c r="CQ127" s="5">
        <v>0</v>
      </c>
      <c r="CR127" s="4">
        <v>0</v>
      </c>
      <c r="CS127" s="132">
        <f t="shared" si="47"/>
        <v>0</v>
      </c>
      <c r="CT127" s="159">
        <f t="shared" si="48"/>
        <v>0</v>
      </c>
      <c r="CU127" s="168">
        <f t="shared" si="49"/>
        <v>700</v>
      </c>
      <c r="CV127" s="183">
        <f t="shared" si="65"/>
        <v>0</v>
      </c>
      <c r="CW127" s="82">
        <f t="shared" si="64"/>
        <v>651</v>
      </c>
      <c r="CX127" s="79">
        <f>IF(ISBLANK(E127),"AddQuickPay",IF(E127=2,CU127*0.98,IF(E127=2.4,CU127*0.976,IF(E127=3,CU127*0.97,IF(E127=5,CU127*0.95,IF(E127=1.5,CU127*0.985,IF(E127=2.5,CU127*0.975,IF(E127=1.3,CU127*0.987,IF(E127=1,CU127*0.99,IF(E127=4,CU127*0.96,CU127*1))))))))))-Table1[[#This Row],[ComCheck+QuickPayFee]]</f>
        <v>686</v>
      </c>
      <c r="CY127" s="5">
        <f t="shared" si="50"/>
        <v>49</v>
      </c>
      <c r="CZ127" s="5">
        <f t="shared" si="51"/>
        <v>14</v>
      </c>
      <c r="DA127" s="258">
        <f>Table1[[#This Row],[OriginalDispatch]]-Table1[[#This Row],[QuickPayCharge]]</f>
        <v>35</v>
      </c>
      <c r="DB127" s="5">
        <v>0</v>
      </c>
      <c r="DC127" s="5" t="s">
        <v>133</v>
      </c>
      <c r="DD127" s="104">
        <f t="shared" si="52"/>
        <v>42293</v>
      </c>
      <c r="DE127" s="15">
        <f>MONTH(Table1[[#This Row],[Weekending]])</f>
        <v>10</v>
      </c>
      <c r="DF127" s="15">
        <f>YEAR(Table1[[#This Row],[Weekending]])</f>
        <v>2015</v>
      </c>
      <c r="DG127" s="4"/>
    </row>
    <row r="128" spans="1:111">
      <c r="A128" s="20" t="str">
        <f t="shared" si="34"/>
        <v>93353549</v>
      </c>
      <c r="B128" s="146">
        <v>42291</v>
      </c>
      <c r="C128" s="144">
        <v>97193</v>
      </c>
      <c r="D128" s="298" t="s">
        <v>455</v>
      </c>
      <c r="E128" s="298">
        <v>2.5</v>
      </c>
      <c r="F128" s="15" t="str">
        <f>INDEX(BrokerTBL!$B:$B,MATCH(D128,BrokerTBL!$A:$A,0))</f>
        <v>5600 Headquarters Drive C2D11</v>
      </c>
      <c r="G128" s="298" t="str">
        <f>INDEX(BrokerTBL!$C:$C,MATCH(D128,BrokerTBL!$A:$A,0))</f>
        <v>Plano</v>
      </c>
      <c r="H128" s="298" t="str">
        <f>INDEX(BrokerTBL!$D:$D,MATCH(D128,BrokerTBL!$A:$A,0))</f>
        <v>Tx</v>
      </c>
      <c r="I128" s="298" t="str">
        <f>INDEX(BrokerTBL!$E:$E,MATCH(D128,BrokerTBL!$A:$A,0))</f>
        <v>US</v>
      </c>
      <c r="J128" s="298">
        <f>INDEX(BrokerTBL!$F:$F,MATCH(D128,BrokerTBL!$A:$A,0))</f>
        <v>75024</v>
      </c>
      <c r="K128" s="298" t="s">
        <v>1100</v>
      </c>
      <c r="L128" s="145">
        <v>2509835</v>
      </c>
      <c r="M128" s="146">
        <v>42292</v>
      </c>
      <c r="N128" s="182">
        <v>0.33888888888888902</v>
      </c>
      <c r="O128" s="298" t="s">
        <v>1101</v>
      </c>
      <c r="P128" s="298" t="s">
        <v>214</v>
      </c>
      <c r="Q128" s="298" t="s">
        <v>139</v>
      </c>
      <c r="R128" s="298">
        <v>93725</v>
      </c>
      <c r="S128" s="298" t="s">
        <v>118</v>
      </c>
      <c r="T128" s="298" t="s">
        <v>1102</v>
      </c>
      <c r="U128" s="298" t="s">
        <v>120</v>
      </c>
      <c r="V128" s="298">
        <v>53</v>
      </c>
      <c r="W128" s="298" t="s">
        <v>136</v>
      </c>
      <c r="X128" s="144">
        <v>35000</v>
      </c>
      <c r="Y128" s="298" t="s">
        <v>123</v>
      </c>
      <c r="Z128" s="298" t="s">
        <v>123</v>
      </c>
      <c r="AA128" s="298" t="s">
        <v>123</v>
      </c>
      <c r="AB128" s="298" t="s">
        <v>123</v>
      </c>
      <c r="AC128" s="298" t="s">
        <v>1103</v>
      </c>
      <c r="AD128" s="145">
        <v>2509835</v>
      </c>
      <c r="AE128" s="146">
        <v>42292</v>
      </c>
      <c r="AF128" s="182">
        <v>0.64583333333333304</v>
      </c>
      <c r="AG128" s="298" t="s">
        <v>1104</v>
      </c>
      <c r="AH128" s="298" t="s">
        <v>228</v>
      </c>
      <c r="AI128" s="298" t="s">
        <v>139</v>
      </c>
      <c r="AJ128" s="298">
        <v>94545</v>
      </c>
      <c r="AK128" s="298" t="s">
        <v>118</v>
      </c>
      <c r="AL128" s="298" t="s">
        <v>1105</v>
      </c>
      <c r="AM128" s="142" t="str">
        <f>INDEX(CarrierDriverTBL!$B:$B,MATCH(Table1[[#This Row],[DriverID]],CarrierDriverTBL!$A:$A,0))</f>
        <v>UBTrucking</v>
      </c>
      <c r="AN128" s="10" t="s">
        <v>192</v>
      </c>
      <c r="AO128" s="10" t="str">
        <f>INDEX(CarrierDriverTBL!$C:$C,MATCH(Table1[[#This Row],[DriverID]],CarrierDriverTBL!$A:$A,0))</f>
        <v>Albel</v>
      </c>
      <c r="AP128" s="142" t="str">
        <f>INDEX(CarrierDriverTBL!$D:$D,MATCH(Table1[[#This Row],[DriverID]],CarrierDriverTBL!$A:$A,0))</f>
        <v>Chahil</v>
      </c>
      <c r="AQ128" s="142" t="str">
        <f>INDEX(CarrierDriverTBL!$X:$X,MATCH(Table1[[#This Row],[DriverID]],CarrierDriverTBL!$A:$A,0))</f>
        <v>A8390649</v>
      </c>
      <c r="AR128" s="160">
        <f>INDEX(CarrierDriverTBL!$Y:$Y,MATCH(Table1[[#This Row],[DriverID]],CarrierDriverTBL!$A:$A,0))</f>
        <v>42402</v>
      </c>
      <c r="AS128" s="142" t="str">
        <f t="shared" si="35"/>
        <v>GOOD</v>
      </c>
      <c r="AT128" s="160">
        <f>INDEX(CarrierDriverTBL!$E:$E,MATCH(Table1[[#This Row],[DriverID]],CarrierDriverTBL!$A:$A,0))</f>
        <v>22314</v>
      </c>
      <c r="AU128" s="163">
        <f ca="1">INDEX(CarrierDriverTBL!$F:$F,MATCH(Table1[[#This Row],[DriverID]],CarrierDriverTBL!$A:$A,0))</f>
        <v>55.512328767123286</v>
      </c>
      <c r="AV128" s="142" t="str">
        <f>INDEX(CarrierDriverTBL!$K:$K,MATCH(Table1[[#This Row],[DriverID]],CarrierDriverTBL!$A:$A,0))</f>
        <v>510-773-9450</v>
      </c>
      <c r="AW128" s="142" t="str">
        <f>INDEX(CarrierDriverTBL!$M:$M,MATCH(Table1[[#This Row],[DriverID]],CarrierDriverTBL!$A:$A,0))</f>
        <v>3124 Cynthia CT</v>
      </c>
      <c r="AX128" s="142" t="str">
        <f>INDEX(CarrierDriverTBL!$N:$N,MATCH(Table1[[#This Row],[DriverID]],CarrierDriverTBL!$A:$A,0))</f>
        <v>Tracy</v>
      </c>
      <c r="AY128" s="142" t="str">
        <f>INDEX(CarrierDriverTBL!$O:$O,MATCH(Table1[[#This Row],[DriverID]],CarrierDriverTBL!$A:$A,0))</f>
        <v>CA</v>
      </c>
      <c r="AZ128" s="142">
        <f>INDEX(CarrierDriverTBL!$P:$P,MATCH(Table1[[#This Row],[DriverID]],CarrierDriverTBL!$A:$A,0))</f>
        <v>95377</v>
      </c>
      <c r="BA128" s="142" t="str">
        <f>INDEX(CarrierDriverTBL!$Q:$Q,MATCH(Table1[[#This Row],[DriverID]],CarrierDriverTBL!$A:$A,0))</f>
        <v>US</v>
      </c>
      <c r="BB128" s="176" t="str">
        <f>INDEX(CarrierDriverTBL!$R:$R,MATCH(Table1[[#This Row],[DriverID]],CarrierDriverTBL!$A:$A,0))</f>
        <v>ubgollc@gmail.com</v>
      </c>
      <c r="BC128" s="160">
        <f>INDEX(CarrierDriverTBL!$AB:$AB,MATCH(Table1[[#This Row],[DriverID]],CarrierDriverTBL!$A:$A,0))</f>
        <v>42167</v>
      </c>
      <c r="BD128" s="142" t="str">
        <f ca="1">INDEX(CarrierDriverTBL!$AD:$AD,MATCH(LoadMaster!$AN:$AN,CarrierDriverTBL!$A:$A,0))</f>
        <v>MISSING</v>
      </c>
      <c r="BE128" s="142">
        <f>INDEX(CarrierDriverTBL!$AE:$AE,MATCH(Table1[DriverID],CarrierDriverTBL!$A:$A,0))</f>
        <v>913971</v>
      </c>
      <c r="BF128" s="142">
        <f>INDEX(CarrierDriverTBL!$AF:$AF,MATCH(Table1[DriverID],CarrierDriverTBL!$A:$A,0))</f>
        <v>2627544</v>
      </c>
      <c r="BG128" s="142">
        <f>INDEX(CarrierDriverTBL!$AG:$AG,MATCH(Table1[DriverID],CarrierDriverTBL!$A:$A,0))</f>
        <v>466133</v>
      </c>
      <c r="BH128" s="142" t="str">
        <f>INDEX(CarrierDriverTBL!$AH:$AH,MATCH(Table1[DriverID],CarrierDriverTBL!$A:$A,0))</f>
        <v>GM Lawrence Ins</v>
      </c>
      <c r="BI128" s="142" t="str">
        <f>INDEX(CarrierDriverTBL!$AI:$AI,MATCH(Table1[DriverID],CarrierDriverTBL!$A:$A,0))</f>
        <v>DSK2842P160210</v>
      </c>
      <c r="BJ128" s="160">
        <f>INDEX(CarrierDriverTBL!$AJ:$AJ,MATCH(Table1[[#This Row],[DriverID]],CarrierDriverTBL!$A:$A,0))</f>
        <v>42778</v>
      </c>
      <c r="BK128" s="10">
        <f t="shared" si="36"/>
        <v>486</v>
      </c>
      <c r="BL128" s="174">
        <v>450</v>
      </c>
      <c r="BM128" s="144">
        <v>180</v>
      </c>
      <c r="BN128" s="159">
        <f t="shared" si="61"/>
        <v>2.5</v>
      </c>
      <c r="BO128" s="167">
        <v>400</v>
      </c>
      <c r="BP128" s="159">
        <f t="shared" si="62"/>
        <v>2.2222222222222223</v>
      </c>
      <c r="BQ128" s="133">
        <v>2.7989999999999999</v>
      </c>
      <c r="BR128" s="166">
        <f t="shared" si="63"/>
        <v>0.14983333333333335</v>
      </c>
      <c r="BS128" s="167">
        <f t="shared" si="37"/>
        <v>2.0723888888888888</v>
      </c>
      <c r="BT128" s="159">
        <f t="shared" si="38"/>
        <v>26.970000000000002</v>
      </c>
      <c r="BU128" s="10" t="str">
        <f t="shared" si="39"/>
        <v>Pepsi Logistics Company Inc</v>
      </c>
      <c r="BV128" s="4"/>
      <c r="BW128" s="4" t="str">
        <f>Table1[[#This Row],[BrokerAddress]]</f>
        <v>5600 Headquarters Drive C2D11</v>
      </c>
      <c r="BX128" s="4" t="str">
        <f t="shared" si="40"/>
        <v>Plano</v>
      </c>
      <c r="BY128" s="4" t="str">
        <f t="shared" si="41"/>
        <v>Tx</v>
      </c>
      <c r="BZ128" s="4">
        <f t="shared" si="42"/>
        <v>75024</v>
      </c>
      <c r="CA128" s="10" t="str">
        <f t="shared" si="43"/>
        <v>US</v>
      </c>
      <c r="CB128" s="15" t="s">
        <v>131</v>
      </c>
      <c r="CC128" s="62"/>
      <c r="CD128" s="15" t="s">
        <v>132</v>
      </c>
      <c r="CE128" s="64">
        <v>0</v>
      </c>
      <c r="CF128" s="4">
        <v>0</v>
      </c>
      <c r="CG128" s="132">
        <f t="shared" si="44"/>
        <v>0</v>
      </c>
      <c r="CH128" s="4" t="s">
        <v>132</v>
      </c>
      <c r="CI128" s="5">
        <v>0</v>
      </c>
      <c r="CJ128" s="4">
        <v>0</v>
      </c>
      <c r="CK128" s="132">
        <f t="shared" si="45"/>
        <v>0</v>
      </c>
      <c r="CL128" s="4" t="s">
        <v>132</v>
      </c>
      <c r="CM128" s="5">
        <v>0</v>
      </c>
      <c r="CN128" s="4">
        <v>0</v>
      </c>
      <c r="CO128" s="132">
        <f t="shared" si="46"/>
        <v>0</v>
      </c>
      <c r="CP128" s="4" t="s">
        <v>132</v>
      </c>
      <c r="CQ128" s="5">
        <v>0</v>
      </c>
      <c r="CR128" s="4">
        <v>0</v>
      </c>
      <c r="CS128" s="132">
        <f t="shared" si="47"/>
        <v>0</v>
      </c>
      <c r="CT128" s="159">
        <f t="shared" si="48"/>
        <v>0</v>
      </c>
      <c r="CU128" s="168">
        <f t="shared" si="49"/>
        <v>450</v>
      </c>
      <c r="CV128" s="183">
        <f t="shared" si="65"/>
        <v>0</v>
      </c>
      <c r="CW128" s="82">
        <f t="shared" si="64"/>
        <v>400</v>
      </c>
      <c r="CX128" s="79">
        <f>IF(ISBLANK(E128),"AddQuickPay",IF(E128=2,CU128*0.98,IF(E128=2.4,CU128*0.976,IF(E128=3,CU128*0.97,IF(E128=5,CU128*0.95,IF(E128=1.5,CU128*0.985,IF(E128=2.5,CU128*0.975,IF(E128=1.3,CU128*0.987,IF(E128=1,CU128*0.99,IF(E128=4,CU128*0.96,CU128*1))))))))))-Table1[[#This Row],[ComCheck+QuickPayFee]]</f>
        <v>438.75</v>
      </c>
      <c r="CY128" s="5">
        <f t="shared" si="50"/>
        <v>50</v>
      </c>
      <c r="CZ128" s="5">
        <f t="shared" si="51"/>
        <v>11.25</v>
      </c>
      <c r="DA128" s="258">
        <f>Table1[[#This Row],[OriginalDispatch]]-Table1[[#This Row],[QuickPayCharge]]</f>
        <v>38.75</v>
      </c>
      <c r="DB128" s="5">
        <v>0</v>
      </c>
      <c r="DC128" s="5" t="s">
        <v>133</v>
      </c>
      <c r="DD128" s="104">
        <f t="shared" si="52"/>
        <v>42293</v>
      </c>
      <c r="DE128" s="15">
        <f>MONTH(Table1[[#This Row],[Weekending]])</f>
        <v>10</v>
      </c>
      <c r="DF128" s="15">
        <f>YEAR(Table1[[#This Row],[Weekending]])</f>
        <v>2015</v>
      </c>
      <c r="DG128" s="4"/>
    </row>
    <row r="129" spans="1:111">
      <c r="A129" s="20" t="str">
        <f t="shared" si="34"/>
        <v>32l2l288</v>
      </c>
      <c r="B129" s="146">
        <v>42293</v>
      </c>
      <c r="C129" s="144">
        <v>183828332</v>
      </c>
      <c r="D129" s="298" t="s">
        <v>111</v>
      </c>
      <c r="E129" s="298">
        <v>2</v>
      </c>
      <c r="F129" s="142" t="str">
        <f>INDEX(BrokerTBL!$B:$B,MATCH(D129,BrokerTBL!$A:$A,0))</f>
        <v>P.O. Box 3474</v>
      </c>
      <c r="G129" s="142" t="str">
        <f>INDEX(BrokerTBL!$C:$C,MATCH(D129,BrokerTBL!$A:$A,0))</f>
        <v>Chicago</v>
      </c>
      <c r="H129" s="142" t="str">
        <f>INDEX(BrokerTBL!$D:$D,MATCH(D129,BrokerTBL!$A:$A,0))</f>
        <v>Il</v>
      </c>
      <c r="I129" s="142" t="str">
        <f>INDEX(BrokerTBL!$E:$E,MATCH(D129,BrokerTBL!$A:$A,0))</f>
        <v>US</v>
      </c>
      <c r="J129" s="142">
        <f>INDEX(BrokerTBL!$F:$F,MATCH(D129,BrokerTBL!$A:$A,0))</f>
        <v>60654</v>
      </c>
      <c r="K129" s="298" t="s">
        <v>1106</v>
      </c>
      <c r="L129" s="145" t="s">
        <v>1107</v>
      </c>
      <c r="M129" s="146">
        <v>42293</v>
      </c>
      <c r="N129" s="144" t="s">
        <v>353</v>
      </c>
      <c r="O129" s="298" t="s">
        <v>1108</v>
      </c>
      <c r="P129" s="298" t="s">
        <v>1109</v>
      </c>
      <c r="Q129" s="298" t="s">
        <v>139</v>
      </c>
      <c r="R129" s="298">
        <v>90058</v>
      </c>
      <c r="S129" s="298" t="s">
        <v>118</v>
      </c>
      <c r="T129" s="298" t="s">
        <v>136</v>
      </c>
      <c r="U129" s="298" t="s">
        <v>120</v>
      </c>
      <c r="V129" s="298">
        <v>53</v>
      </c>
      <c r="W129" s="298" t="s">
        <v>1110</v>
      </c>
      <c r="X129" s="144">
        <v>44247</v>
      </c>
      <c r="Y129" s="298" t="s">
        <v>26</v>
      </c>
      <c r="Z129" s="298">
        <v>2058</v>
      </c>
      <c r="AA129" s="298">
        <v>21</v>
      </c>
      <c r="AB129" s="298" t="s">
        <v>123</v>
      </c>
      <c r="AC129" s="298" t="s">
        <v>1111</v>
      </c>
      <c r="AD129" s="145" t="s">
        <v>1107</v>
      </c>
      <c r="AE129" s="146">
        <v>42293</v>
      </c>
      <c r="AF129" s="298" t="s">
        <v>1112</v>
      </c>
      <c r="AG129" s="298" t="s">
        <v>1113</v>
      </c>
      <c r="AH129" s="298" t="s">
        <v>1114</v>
      </c>
      <c r="AI129" s="298" t="s">
        <v>139</v>
      </c>
      <c r="AJ129" s="298">
        <v>91716</v>
      </c>
      <c r="AK129" s="298" t="s">
        <v>118</v>
      </c>
      <c r="AL129" s="298" t="s">
        <v>123</v>
      </c>
      <c r="AM129" s="142" t="str">
        <f>INDEX(CarrierDriverTBL!$B:$B,MATCH(Table1[[#This Row],[DriverID]],CarrierDriverTBL!$A:$A,0))</f>
        <v>UBTrucking</v>
      </c>
      <c r="AN129" s="10" t="s">
        <v>948</v>
      </c>
      <c r="AO129" s="10" t="str">
        <f>INDEX(CarrierDriverTBL!$C:$C,MATCH(Table1[[#This Row],[DriverID]],CarrierDriverTBL!$A:$A,0))</f>
        <v>Wesley</v>
      </c>
      <c r="AP129" s="10" t="str">
        <f>INDEX(CarrierDriverTBL!$D:$D,MATCH(Table1[[#This Row],[DriverID]],CarrierDriverTBL!$A:$A,0))</f>
        <v>Cousain</v>
      </c>
      <c r="AQ129" s="10" t="str">
        <f>INDEX(CarrierDriverTBL!$X:$X,MATCH(Table1[[#This Row],[DriverID]],CarrierDriverTBL!$A:$A,0))</f>
        <v>D4903588</v>
      </c>
      <c r="AR129" s="11">
        <f>INDEX(CarrierDriverTBL!$Y:$Y,MATCH(Table1[[#This Row],[DriverID]],CarrierDriverTBL!$A:$A,0))</f>
        <v>43458</v>
      </c>
      <c r="AS129" s="142" t="str">
        <f t="shared" si="35"/>
        <v>GOOD</v>
      </c>
      <c r="AT129" s="11">
        <f>INDEX(CarrierDriverTBL!$E:$E,MATCH(Table1[[#This Row],[DriverID]],CarrierDriverTBL!$A:$A,0))</f>
        <v>31405</v>
      </c>
      <c r="AU129" s="163">
        <f ca="1">INDEX(CarrierDriverTBL!$F:$F,MATCH(Table1[[#This Row],[DriverID]],CarrierDriverTBL!$A:$A,0))</f>
        <v>30.605479452054794</v>
      </c>
      <c r="AV129" s="10" t="str">
        <f>INDEX(CarrierDriverTBL!$K:$K,MATCH(Table1[[#This Row],[DriverID]],CarrierDriverTBL!$A:$A,0))</f>
        <v>925-383-5364</v>
      </c>
      <c r="AW129" s="10" t="str">
        <f>INDEX(CarrierDriverTBL!$M:$M,MATCH(Table1[[#This Row],[DriverID]],CarrierDriverTBL!$A:$A,0))</f>
        <v>110 Cordova Ln</v>
      </c>
      <c r="AX129" s="10" t="str">
        <f>INDEX(CarrierDriverTBL!$N:$N,MATCH(Table1[[#This Row],[DriverID]],CarrierDriverTBL!$A:$A,0))</f>
        <v>Stockton</v>
      </c>
      <c r="AY129" s="10" t="str">
        <f>INDEX(CarrierDriverTBL!$O:$O,MATCH(Table1[[#This Row],[DriverID]],CarrierDriverTBL!$A:$A,0))</f>
        <v>CA</v>
      </c>
      <c r="AZ129" s="10">
        <f>INDEX(CarrierDriverTBL!$P:$P,MATCH(Table1[[#This Row],[DriverID]],CarrierDriverTBL!$A:$A,0))</f>
        <v>95207</v>
      </c>
      <c r="BA129" s="10" t="str">
        <f>INDEX(CarrierDriverTBL!$Q:$Q,MATCH(Table1[[#This Row],[DriverID]],CarrierDriverTBL!$A:$A,0))</f>
        <v>US</v>
      </c>
      <c r="BB129" s="173" t="str">
        <f>INDEX(CarrierDriverTBL!$R:$R,MATCH(Table1[[#This Row],[DriverID]],CarrierDriverTBL!$A:$A,0))</f>
        <v>wesleycousain1@gmail.com</v>
      </c>
      <c r="BC129" s="160">
        <f>INDEX(CarrierDriverTBL!$AB:$AB,MATCH(Table1[[#This Row],[DriverID]],CarrierDriverTBL!$A:$A,0))</f>
        <v>42271</v>
      </c>
      <c r="BD129" s="142" t="str">
        <f ca="1">INDEX(CarrierDriverTBL!$AD:$AD,MATCH(LoadMaster!$AN:$AN,CarrierDriverTBL!$A:$A,0))</f>
        <v>MISSING</v>
      </c>
      <c r="BE129" s="142">
        <f>INDEX(CarrierDriverTBL!$AE:$AE,MATCH(Table1[DriverID],CarrierDriverTBL!$A:$A,0))</f>
        <v>913971</v>
      </c>
      <c r="BF129" s="142">
        <f>INDEX(CarrierDriverTBL!$AF:$AF,MATCH(Table1[DriverID],CarrierDriverTBL!$A:$A,0))</f>
        <v>2627544</v>
      </c>
      <c r="BG129" s="142">
        <f>INDEX(CarrierDriverTBL!$AG:$AG,MATCH(Table1[DriverID],CarrierDriverTBL!$A:$A,0))</f>
        <v>466133</v>
      </c>
      <c r="BH129" s="142" t="str">
        <f>INDEX(CarrierDriverTBL!$AH:$AH,MATCH(Table1[DriverID],CarrierDriverTBL!$A:$A,0))</f>
        <v>GM Lawrence Ins</v>
      </c>
      <c r="BI129" s="142" t="str">
        <f>INDEX(CarrierDriverTBL!$AI:$AI,MATCH(Table1[DriverID],CarrierDriverTBL!$A:$A,0))</f>
        <v>DSK2842P160210</v>
      </c>
      <c r="BJ129" s="160">
        <f>INDEX(CarrierDriverTBL!$AJ:$AJ,MATCH(Table1[[#This Row],[DriverID]],CarrierDriverTBL!$A:$A,0))</f>
        <v>42778</v>
      </c>
      <c r="BK129" s="10">
        <f t="shared" si="36"/>
        <v>485</v>
      </c>
      <c r="BL129" s="174">
        <v>225</v>
      </c>
      <c r="BM129" s="144">
        <v>45</v>
      </c>
      <c r="BN129" s="159">
        <f t="shared" si="61"/>
        <v>5</v>
      </c>
      <c r="BO129" s="167">
        <f>0.93*BL129</f>
        <v>209.25</v>
      </c>
      <c r="BP129" s="159">
        <f t="shared" si="62"/>
        <v>4.6500000000000004</v>
      </c>
      <c r="BQ129" s="133">
        <v>2.7989999999999999</v>
      </c>
      <c r="BR129" s="166">
        <f t="shared" si="63"/>
        <v>0.14983333333333335</v>
      </c>
      <c r="BS129" s="167">
        <f t="shared" si="37"/>
        <v>4.5001666666666669</v>
      </c>
      <c r="BT129" s="159">
        <f t="shared" si="38"/>
        <v>6.7425000000000006</v>
      </c>
      <c r="BU129" s="10" t="str">
        <f t="shared" si="39"/>
        <v>Ch Robinson</v>
      </c>
      <c r="BV129" s="4"/>
      <c r="BW129" s="4" t="str">
        <f>Table1[[#This Row],[BrokerAddress]]</f>
        <v>P.O. Box 3474</v>
      </c>
      <c r="BX129" s="4" t="str">
        <f t="shared" si="40"/>
        <v>Chicago</v>
      </c>
      <c r="BY129" s="4" t="str">
        <f t="shared" si="41"/>
        <v>Il</v>
      </c>
      <c r="BZ129" s="4">
        <f t="shared" si="42"/>
        <v>60654</v>
      </c>
      <c r="CA129" s="10" t="str">
        <f t="shared" si="43"/>
        <v>US</v>
      </c>
      <c r="CB129" s="15" t="s">
        <v>131</v>
      </c>
      <c r="CC129" s="62"/>
      <c r="CD129" s="15" t="s">
        <v>132</v>
      </c>
      <c r="CE129" s="64">
        <v>0</v>
      </c>
      <c r="CF129" s="4">
        <v>0</v>
      </c>
      <c r="CG129" s="132">
        <f t="shared" si="44"/>
        <v>0</v>
      </c>
      <c r="CH129" s="4" t="s">
        <v>132</v>
      </c>
      <c r="CI129" s="5">
        <v>0</v>
      </c>
      <c r="CJ129" s="4">
        <v>0</v>
      </c>
      <c r="CK129" s="132">
        <f t="shared" si="45"/>
        <v>0</v>
      </c>
      <c r="CL129" s="4" t="s">
        <v>132</v>
      </c>
      <c r="CM129" s="5">
        <v>0</v>
      </c>
      <c r="CN129" s="4">
        <v>0</v>
      </c>
      <c r="CO129" s="132">
        <f t="shared" si="46"/>
        <v>0</v>
      </c>
      <c r="CP129" s="4" t="s">
        <v>132</v>
      </c>
      <c r="CQ129" s="5">
        <v>0</v>
      </c>
      <c r="CR129" s="4">
        <v>0</v>
      </c>
      <c r="CS129" s="132">
        <f t="shared" si="47"/>
        <v>0</v>
      </c>
      <c r="CT129" s="159">
        <f t="shared" si="48"/>
        <v>0</v>
      </c>
      <c r="CU129" s="168">
        <f t="shared" si="49"/>
        <v>225</v>
      </c>
      <c r="CV129" s="183">
        <f t="shared" si="65"/>
        <v>0</v>
      </c>
      <c r="CW129" s="82">
        <f t="shared" si="64"/>
        <v>209.25</v>
      </c>
      <c r="CX129" s="79">
        <f>IF(ISBLANK(E129),"AddQuickPay",IF(E129=2,CU129*0.98,IF(E129=2.4,CU129*0.976,IF(E129=3,CU129*0.97,IF(E129=5,CU129*0.95,IF(E129=1.5,CU129*0.985,IF(E129=2.5,CU129*0.975,IF(E129=1.3,CU129*0.987,IF(E129=1,CU129*0.99,IF(E129=4,CU129*0.96,CU129*1))))))))))-Table1[[#This Row],[ComCheck+QuickPayFee]]</f>
        <v>220.5</v>
      </c>
      <c r="CY129" s="5">
        <f t="shared" si="50"/>
        <v>15.75</v>
      </c>
      <c r="CZ129" s="5">
        <f t="shared" si="51"/>
        <v>4.5</v>
      </c>
      <c r="DA129" s="258">
        <f>Table1[[#This Row],[OriginalDispatch]]-Table1[[#This Row],[QuickPayCharge]]</f>
        <v>11.25</v>
      </c>
      <c r="DB129" s="5">
        <v>0</v>
      </c>
      <c r="DC129" s="5" t="s">
        <v>133</v>
      </c>
      <c r="DD129" s="104">
        <f t="shared" si="52"/>
        <v>42293</v>
      </c>
      <c r="DE129" s="15">
        <f>MONTH(Table1[[#This Row],[Weekending]])</f>
        <v>10</v>
      </c>
      <c r="DF129" s="15">
        <f>YEAR(Table1[[#This Row],[Weekending]])</f>
        <v>2015</v>
      </c>
      <c r="DG129" s="4"/>
    </row>
    <row r="130" spans="1:111">
      <c r="A130" s="20" t="str">
        <f t="shared" ref="A130:A193" si="66">RIGHT(C130,2)&amp;RIGHT(L130,2)&amp;RIGHT(AD130,2)&amp;RIGHT(AQ130,2)</f>
        <v>40156188</v>
      </c>
      <c r="B130" s="146">
        <v>42293</v>
      </c>
      <c r="C130" s="144">
        <v>183865940</v>
      </c>
      <c r="D130" s="298" t="s">
        <v>111</v>
      </c>
      <c r="E130" s="298">
        <v>2</v>
      </c>
      <c r="F130" s="142" t="str">
        <f>INDEX(BrokerTBL!$B:$B,MATCH(D130,BrokerTBL!$A:$A,0))</f>
        <v>P.O. Box 3474</v>
      </c>
      <c r="G130" s="142" t="str">
        <f>INDEX(BrokerTBL!$C:$C,MATCH(D130,BrokerTBL!$A:$A,0))</f>
        <v>Chicago</v>
      </c>
      <c r="H130" s="142" t="str">
        <f>INDEX(BrokerTBL!$D:$D,MATCH(D130,BrokerTBL!$A:$A,0))</f>
        <v>Il</v>
      </c>
      <c r="I130" s="142" t="str">
        <f>INDEX(BrokerTBL!$E:$E,MATCH(D130,BrokerTBL!$A:$A,0))</f>
        <v>US</v>
      </c>
      <c r="J130" s="142">
        <f>INDEX(BrokerTBL!$F:$F,MATCH(D130,BrokerTBL!$A:$A,0))</f>
        <v>60654</v>
      </c>
      <c r="K130" s="298" t="s">
        <v>1115</v>
      </c>
      <c r="L130" s="145">
        <v>3425215</v>
      </c>
      <c r="M130" s="146">
        <v>42293</v>
      </c>
      <c r="N130" s="144" t="s">
        <v>1116</v>
      </c>
      <c r="O130" s="298" t="s">
        <v>1117</v>
      </c>
      <c r="P130" s="298" t="s">
        <v>1118</v>
      </c>
      <c r="Q130" s="298" t="s">
        <v>139</v>
      </c>
      <c r="R130" s="298">
        <v>91730</v>
      </c>
      <c r="S130" s="298" t="s">
        <v>118</v>
      </c>
      <c r="T130" s="298" t="s">
        <v>136</v>
      </c>
      <c r="U130" s="298" t="s">
        <v>120</v>
      </c>
      <c r="V130" s="298">
        <v>53</v>
      </c>
      <c r="W130" s="298" t="s">
        <v>1119</v>
      </c>
      <c r="X130" s="144">
        <v>43932</v>
      </c>
      <c r="Y130" s="298" t="s">
        <v>337</v>
      </c>
      <c r="Z130" s="298" t="s">
        <v>123</v>
      </c>
      <c r="AA130" s="298" t="s">
        <v>123</v>
      </c>
      <c r="AB130" s="298" t="s">
        <v>123</v>
      </c>
      <c r="AC130" s="298" t="s">
        <v>1120</v>
      </c>
      <c r="AD130" s="145">
        <v>28061</v>
      </c>
      <c r="AE130" s="146">
        <v>42296</v>
      </c>
      <c r="AF130" s="298" t="s">
        <v>1121</v>
      </c>
      <c r="AG130" s="298" t="s">
        <v>1122</v>
      </c>
      <c r="AH130" s="298" t="s">
        <v>184</v>
      </c>
      <c r="AI130" s="298" t="s">
        <v>139</v>
      </c>
      <c r="AJ130" s="298">
        <v>95206</v>
      </c>
      <c r="AK130" s="298" t="s">
        <v>118</v>
      </c>
      <c r="AL130" s="298" t="s">
        <v>123</v>
      </c>
      <c r="AM130" s="142" t="str">
        <f>INDEX(CarrierDriverTBL!$B:$B,MATCH(Table1[[#This Row],[DriverID]],CarrierDriverTBL!$A:$A,0))</f>
        <v>UBTrucking</v>
      </c>
      <c r="AN130" s="10" t="s">
        <v>948</v>
      </c>
      <c r="AO130" s="10" t="str">
        <f>INDEX(CarrierDriverTBL!$C:$C,MATCH(Table1[[#This Row],[DriverID]],CarrierDriverTBL!$A:$A,0))</f>
        <v>Wesley</v>
      </c>
      <c r="AP130" s="10" t="str">
        <f>INDEX(CarrierDriverTBL!$D:$D,MATCH(Table1[[#This Row],[DriverID]],CarrierDriverTBL!$A:$A,0))</f>
        <v>Cousain</v>
      </c>
      <c r="AQ130" s="10" t="str">
        <f>INDEX(CarrierDriverTBL!$X:$X,MATCH(Table1[[#This Row],[DriverID]],CarrierDriverTBL!$A:$A,0))</f>
        <v>D4903588</v>
      </c>
      <c r="AR130" s="11">
        <f>INDEX(CarrierDriverTBL!$Y:$Y,MATCH(Table1[[#This Row],[DriverID]],CarrierDriverTBL!$A:$A,0))</f>
        <v>43458</v>
      </c>
      <c r="AS130" s="142" t="str">
        <f t="shared" ref="AS130:AS193" si="67">IF(AR130&gt;M130,"GOOD","EXPIRED")</f>
        <v>GOOD</v>
      </c>
      <c r="AT130" s="11">
        <f>INDEX(CarrierDriverTBL!$E:$E,MATCH(Table1[[#This Row],[DriverID]],CarrierDriverTBL!$A:$A,0))</f>
        <v>31405</v>
      </c>
      <c r="AU130" s="163">
        <f ca="1">INDEX(CarrierDriverTBL!$F:$F,MATCH(Table1[[#This Row],[DriverID]],CarrierDriverTBL!$A:$A,0))</f>
        <v>30.605479452054794</v>
      </c>
      <c r="AV130" s="10" t="str">
        <f>INDEX(CarrierDriverTBL!$K:$K,MATCH(Table1[[#This Row],[DriverID]],CarrierDriverTBL!$A:$A,0))</f>
        <v>925-383-5364</v>
      </c>
      <c r="AW130" s="10" t="str">
        <f>INDEX(CarrierDriverTBL!$M:$M,MATCH(Table1[[#This Row],[DriverID]],CarrierDriverTBL!$A:$A,0))</f>
        <v>110 Cordova Ln</v>
      </c>
      <c r="AX130" s="10" t="str">
        <f>INDEX(CarrierDriverTBL!$N:$N,MATCH(Table1[[#This Row],[DriverID]],CarrierDriverTBL!$A:$A,0))</f>
        <v>Stockton</v>
      </c>
      <c r="AY130" s="10" t="str">
        <f>INDEX(CarrierDriverTBL!$O:$O,MATCH(Table1[[#This Row],[DriverID]],CarrierDriverTBL!$A:$A,0))</f>
        <v>CA</v>
      </c>
      <c r="AZ130" s="10">
        <f>INDEX(CarrierDriverTBL!$P:$P,MATCH(Table1[[#This Row],[DriverID]],CarrierDriverTBL!$A:$A,0))</f>
        <v>95207</v>
      </c>
      <c r="BA130" s="10" t="str">
        <f>INDEX(CarrierDriverTBL!$Q:$Q,MATCH(Table1[[#This Row],[DriverID]],CarrierDriverTBL!$A:$A,0))</f>
        <v>US</v>
      </c>
      <c r="BB130" s="173" t="str">
        <f>INDEX(CarrierDriverTBL!$R:$R,MATCH(Table1[[#This Row],[DriverID]],CarrierDriverTBL!$A:$A,0))</f>
        <v>wesleycousain1@gmail.com</v>
      </c>
      <c r="BC130" s="160">
        <f>INDEX(CarrierDriverTBL!$AB:$AB,MATCH(Table1[[#This Row],[DriverID]],CarrierDriverTBL!$A:$A,0))</f>
        <v>42271</v>
      </c>
      <c r="BD130" s="142" t="str">
        <f ca="1">INDEX(CarrierDriverTBL!$AD:$AD,MATCH(LoadMaster!$AN:$AN,CarrierDriverTBL!$A:$A,0))</f>
        <v>MISSING</v>
      </c>
      <c r="BE130" s="142">
        <f>INDEX(CarrierDriverTBL!$AE:$AE,MATCH(Table1[DriverID],CarrierDriverTBL!$A:$A,0))</f>
        <v>913971</v>
      </c>
      <c r="BF130" s="142">
        <f>INDEX(CarrierDriverTBL!$AF:$AF,MATCH(Table1[DriverID],CarrierDriverTBL!$A:$A,0))</f>
        <v>2627544</v>
      </c>
      <c r="BG130" s="142">
        <f>INDEX(CarrierDriverTBL!$AG:$AG,MATCH(Table1[DriverID],CarrierDriverTBL!$A:$A,0))</f>
        <v>466133</v>
      </c>
      <c r="BH130" s="142" t="str">
        <f>INDEX(CarrierDriverTBL!$AH:$AH,MATCH(Table1[DriverID],CarrierDriverTBL!$A:$A,0))</f>
        <v>GM Lawrence Ins</v>
      </c>
      <c r="BI130" s="142" t="str">
        <f>INDEX(CarrierDriverTBL!$AI:$AI,MATCH(Table1[DriverID],CarrierDriverTBL!$A:$A,0))</f>
        <v>DSK2842P160210</v>
      </c>
      <c r="BJ130" s="160">
        <f>INDEX(CarrierDriverTBL!$AJ:$AJ,MATCH(Table1[[#This Row],[DriverID]],CarrierDriverTBL!$A:$A,0))</f>
        <v>42778</v>
      </c>
      <c r="BK130" s="10">
        <f t="shared" ref="BK130:BK193" si="68">IFERROR(BJ130-M130,"MISSING")</f>
        <v>485</v>
      </c>
      <c r="BL130" s="174">
        <v>775</v>
      </c>
      <c r="BM130" s="144">
        <v>372</v>
      </c>
      <c r="BN130" s="159">
        <f t="shared" si="61"/>
        <v>2.0833333333333335</v>
      </c>
      <c r="BO130" s="167">
        <f>0.93*BL130</f>
        <v>720.75</v>
      </c>
      <c r="BP130" s="159">
        <f t="shared" si="62"/>
        <v>1.9375</v>
      </c>
      <c r="BQ130" s="133">
        <v>2.7989999999999999</v>
      </c>
      <c r="BR130" s="166">
        <f t="shared" si="63"/>
        <v>0.14983333333333335</v>
      </c>
      <c r="BS130" s="167">
        <f t="shared" ref="BS130:BS193" si="69">BP130-BR130</f>
        <v>1.7876666666666667</v>
      </c>
      <c r="BT130" s="159">
        <f t="shared" ref="BT130:BT193" si="70">BM130*BR130</f>
        <v>55.738000000000007</v>
      </c>
      <c r="BU130" s="10" t="str">
        <f t="shared" ref="BU130:BU193" si="71">D130</f>
        <v>Ch Robinson</v>
      </c>
      <c r="BV130" s="4"/>
      <c r="BW130" s="4" t="str">
        <f>Table1[[#This Row],[BrokerAddress]]</f>
        <v>P.O. Box 3474</v>
      </c>
      <c r="BX130" s="4" t="str">
        <f t="shared" ref="BX130:BX193" si="72">G130</f>
        <v>Chicago</v>
      </c>
      <c r="BY130" s="4" t="str">
        <f t="shared" ref="BY130:BY193" si="73">H130</f>
        <v>Il</v>
      </c>
      <c r="BZ130" s="4">
        <f t="shared" ref="BZ130:BZ193" si="74">J130</f>
        <v>60654</v>
      </c>
      <c r="CA130" s="10" t="str">
        <f t="shared" ref="CA130:CA193" si="75">I130</f>
        <v>US</v>
      </c>
      <c r="CB130" s="15" t="s">
        <v>131</v>
      </c>
      <c r="CC130" s="62"/>
      <c r="CD130" s="15" t="s">
        <v>132</v>
      </c>
      <c r="CE130" s="64">
        <v>0</v>
      </c>
      <c r="CF130" s="4">
        <v>0</v>
      </c>
      <c r="CG130" s="132">
        <f t="shared" ref="CG130:CG193" si="76">CE130*CF130</f>
        <v>0</v>
      </c>
      <c r="CH130" s="4" t="s">
        <v>132</v>
      </c>
      <c r="CI130" s="5">
        <v>0</v>
      </c>
      <c r="CJ130" s="4">
        <v>0</v>
      </c>
      <c r="CK130" s="132">
        <f t="shared" ref="CK130:CK193" si="77">CI130*CJ130</f>
        <v>0</v>
      </c>
      <c r="CL130" s="4" t="s">
        <v>132</v>
      </c>
      <c r="CM130" s="5">
        <v>0</v>
      </c>
      <c r="CN130" s="4">
        <v>0</v>
      </c>
      <c r="CO130" s="132">
        <f t="shared" ref="CO130:CO193" si="78">CM130*CN130</f>
        <v>0</v>
      </c>
      <c r="CP130" s="4" t="s">
        <v>132</v>
      </c>
      <c r="CQ130" s="5">
        <v>0</v>
      </c>
      <c r="CR130" s="4">
        <v>0</v>
      </c>
      <c r="CS130" s="132">
        <f t="shared" ref="CS130:CS193" si="79">CQ130*CR130</f>
        <v>0</v>
      </c>
      <c r="CT130" s="159">
        <f t="shared" ref="CT130:CT193" si="80">CG130+CK130+CO130+CS130</f>
        <v>0</v>
      </c>
      <c r="CU130" s="168">
        <f t="shared" ref="CU130:CU193" si="81">(CT130+BL130)-CC130</f>
        <v>775</v>
      </c>
      <c r="CV130" s="183">
        <f t="shared" si="65"/>
        <v>0</v>
      </c>
      <c r="CW130" s="82">
        <f t="shared" si="64"/>
        <v>720.75</v>
      </c>
      <c r="CX130" s="79">
        <f>IF(ISBLANK(E130),"AddQuickPay",IF(E130=2,CU130*0.98,IF(E130=2.4,CU130*0.976,IF(E130=3,CU130*0.97,IF(E130=5,CU130*0.95,IF(E130=1.5,CU130*0.985,IF(E130=2.5,CU130*0.975,IF(E130=1.3,CU130*0.987,IF(E130=1,CU130*0.99,IF(E130=4,CU130*0.96,CU130*1))))))))))-Table1[[#This Row],[ComCheck+QuickPayFee]]</f>
        <v>759.5</v>
      </c>
      <c r="CY130" s="5">
        <f t="shared" ref="CY130:CY193" si="82">CU130-CW130</f>
        <v>54.25</v>
      </c>
      <c r="CZ130" s="5">
        <f t="shared" ref="CZ130:CZ193" si="83">IF(ISBLANK(E130),"AddQuickPay",IF(E130=2,CU130*0.02,IF(E130=2.4,CU130*0.024,IF(E130=3,CU130*0.03,IF(E130=5,CU130*0.05,IF(E130=1.5,CU130*0.015,IF(E130=2.5,CU130*0.025,IF(E130=4,CU130*0.04,IF(E130=1.3,CU130*0.013,IF(E130=1,CU130*0.01,CU130*0))))))))))</f>
        <v>15.5</v>
      </c>
      <c r="DA130" s="258">
        <f>Table1[[#This Row],[OriginalDispatch]]-Table1[[#This Row],[QuickPayCharge]]</f>
        <v>38.75</v>
      </c>
      <c r="DB130" s="5">
        <v>0</v>
      </c>
      <c r="DC130" s="5" t="s">
        <v>133</v>
      </c>
      <c r="DD130" s="104">
        <f t="shared" ref="DD130:DD193" si="84">(5-WEEKDAY(M130,2))+M130</f>
        <v>42293</v>
      </c>
      <c r="DE130" s="15">
        <f>MONTH(Table1[[#This Row],[Weekending]])</f>
        <v>10</v>
      </c>
      <c r="DF130" s="15">
        <f>YEAR(Table1[[#This Row],[Weekending]])</f>
        <v>2015</v>
      </c>
      <c r="DG130" s="4"/>
    </row>
    <row r="131" spans="1:111">
      <c r="A131" s="20" t="str">
        <f t="shared" si="66"/>
        <v>62340J49</v>
      </c>
      <c r="B131" s="146">
        <v>42296</v>
      </c>
      <c r="C131" s="144">
        <v>184042062</v>
      </c>
      <c r="D131" s="298" t="s">
        <v>111</v>
      </c>
      <c r="E131" s="298">
        <v>2</v>
      </c>
      <c r="F131" s="142" t="str">
        <f>INDEX(BrokerTBL!$B:$B,MATCH(D131,BrokerTBL!$A:$A,0))</f>
        <v>P.O. Box 3474</v>
      </c>
      <c r="G131" s="142" t="str">
        <f>INDEX(BrokerTBL!$C:$C,MATCH(D131,BrokerTBL!$A:$A,0))</f>
        <v>Chicago</v>
      </c>
      <c r="H131" s="142" t="str">
        <f>INDEX(BrokerTBL!$D:$D,MATCH(D131,BrokerTBL!$A:$A,0))</f>
        <v>Il</v>
      </c>
      <c r="I131" s="142" t="str">
        <f>INDEX(BrokerTBL!$E:$E,MATCH(D131,BrokerTBL!$A:$A,0))</f>
        <v>US</v>
      </c>
      <c r="J131" s="142">
        <f>INDEX(BrokerTBL!$F:$F,MATCH(D131,BrokerTBL!$A:$A,0))</f>
        <v>60654</v>
      </c>
      <c r="K131" s="298" t="s">
        <v>1123</v>
      </c>
      <c r="L131" s="145" t="s">
        <v>1124</v>
      </c>
      <c r="M131" s="146">
        <v>42296</v>
      </c>
      <c r="N131" s="144" t="s">
        <v>1125</v>
      </c>
      <c r="O131" s="298" t="s">
        <v>1126</v>
      </c>
      <c r="P131" s="298" t="s">
        <v>1127</v>
      </c>
      <c r="Q131" s="298" t="s">
        <v>139</v>
      </c>
      <c r="R131" s="298">
        <v>95012</v>
      </c>
      <c r="S131" s="298" t="s">
        <v>118</v>
      </c>
      <c r="T131" s="298" t="s">
        <v>136</v>
      </c>
      <c r="U131" s="298" t="s">
        <v>120</v>
      </c>
      <c r="V131" s="298">
        <v>53</v>
      </c>
      <c r="W131" s="298" t="s">
        <v>1128</v>
      </c>
      <c r="X131" s="144">
        <v>45000</v>
      </c>
      <c r="Y131" s="298" t="s">
        <v>26</v>
      </c>
      <c r="Z131" s="298" t="s">
        <v>123</v>
      </c>
      <c r="AA131" s="298" t="s">
        <v>123</v>
      </c>
      <c r="AB131" s="298" t="s">
        <v>123</v>
      </c>
      <c r="AC131" s="298" t="s">
        <v>1129</v>
      </c>
      <c r="AD131" s="145" t="s">
        <v>1130</v>
      </c>
      <c r="AE131" s="146">
        <v>42297</v>
      </c>
      <c r="AF131" s="298" t="s">
        <v>422</v>
      </c>
      <c r="AG131" s="298" t="s">
        <v>1131</v>
      </c>
      <c r="AH131" s="298" t="s">
        <v>1114</v>
      </c>
      <c r="AI131" s="298" t="s">
        <v>139</v>
      </c>
      <c r="AJ131" s="298">
        <v>91761</v>
      </c>
      <c r="AK131" s="298" t="s">
        <v>118</v>
      </c>
      <c r="AL131" s="298" t="s">
        <v>123</v>
      </c>
      <c r="AM131" s="142" t="str">
        <f>INDEX(CarrierDriverTBL!$B:$B,MATCH(Table1[[#This Row],[DriverID]],CarrierDriverTBL!$A:$A,0))</f>
        <v>UBTrucking</v>
      </c>
      <c r="AN131" s="10" t="s">
        <v>192</v>
      </c>
      <c r="AO131" s="10" t="str">
        <f>INDEX(CarrierDriverTBL!$C:$C,MATCH(Table1[[#This Row],[DriverID]],CarrierDriverTBL!$A:$A,0))</f>
        <v>Albel</v>
      </c>
      <c r="AP131" s="142" t="str">
        <f>INDEX(CarrierDriverTBL!$D:$D,MATCH(Table1[[#This Row],[DriverID]],CarrierDriverTBL!$A:$A,0))</f>
        <v>Chahil</v>
      </c>
      <c r="AQ131" s="142" t="str">
        <f>INDEX(CarrierDriverTBL!$X:$X,MATCH(Table1[[#This Row],[DriverID]],CarrierDriverTBL!$A:$A,0))</f>
        <v>A8390649</v>
      </c>
      <c r="AR131" s="160">
        <f>INDEX(CarrierDriverTBL!$Y:$Y,MATCH(Table1[[#This Row],[DriverID]],CarrierDriverTBL!$A:$A,0))</f>
        <v>42402</v>
      </c>
      <c r="AS131" s="142" t="str">
        <f t="shared" si="67"/>
        <v>GOOD</v>
      </c>
      <c r="AT131" s="160">
        <f>INDEX(CarrierDriverTBL!$E:$E,MATCH(Table1[[#This Row],[DriverID]],CarrierDriverTBL!$A:$A,0))</f>
        <v>22314</v>
      </c>
      <c r="AU131" s="163">
        <f ca="1">INDEX(CarrierDriverTBL!$F:$F,MATCH(Table1[[#This Row],[DriverID]],CarrierDriverTBL!$A:$A,0))</f>
        <v>55.512328767123286</v>
      </c>
      <c r="AV131" s="142" t="str">
        <f>INDEX(CarrierDriverTBL!$K:$K,MATCH(Table1[[#This Row],[DriverID]],CarrierDriverTBL!$A:$A,0))</f>
        <v>510-773-9450</v>
      </c>
      <c r="AW131" s="142" t="str">
        <f>INDEX(CarrierDriverTBL!$M:$M,MATCH(Table1[[#This Row],[DriverID]],CarrierDriverTBL!$A:$A,0))</f>
        <v>3124 Cynthia CT</v>
      </c>
      <c r="AX131" s="142" t="str">
        <f>INDEX(CarrierDriverTBL!$N:$N,MATCH(Table1[[#This Row],[DriverID]],CarrierDriverTBL!$A:$A,0))</f>
        <v>Tracy</v>
      </c>
      <c r="AY131" s="142" t="str">
        <f>INDEX(CarrierDriverTBL!$O:$O,MATCH(Table1[[#This Row],[DriverID]],CarrierDriverTBL!$A:$A,0))</f>
        <v>CA</v>
      </c>
      <c r="AZ131" s="142">
        <f>INDEX(CarrierDriverTBL!$P:$P,MATCH(Table1[[#This Row],[DriverID]],CarrierDriverTBL!$A:$A,0))</f>
        <v>95377</v>
      </c>
      <c r="BA131" s="142" t="str">
        <f>INDEX(CarrierDriverTBL!$Q:$Q,MATCH(Table1[[#This Row],[DriverID]],CarrierDriverTBL!$A:$A,0))</f>
        <v>US</v>
      </c>
      <c r="BB131" s="176" t="str">
        <f>INDEX(CarrierDriverTBL!$R:$R,MATCH(Table1[[#This Row],[DriverID]],CarrierDriverTBL!$A:$A,0))</f>
        <v>ubgollc@gmail.com</v>
      </c>
      <c r="BC131" s="160">
        <f>INDEX(CarrierDriverTBL!$AB:$AB,MATCH(Table1[[#This Row],[DriverID]],CarrierDriverTBL!$A:$A,0))</f>
        <v>42167</v>
      </c>
      <c r="BD131" s="142" t="str">
        <f ca="1">INDEX(CarrierDriverTBL!$AD:$AD,MATCH(LoadMaster!$AN:$AN,CarrierDriverTBL!$A:$A,0))</f>
        <v>MISSING</v>
      </c>
      <c r="BE131" s="142">
        <f>INDEX(CarrierDriverTBL!$AE:$AE,MATCH(Table1[DriverID],CarrierDriverTBL!$A:$A,0))</f>
        <v>913971</v>
      </c>
      <c r="BF131" s="142">
        <f>INDEX(CarrierDriverTBL!$AF:$AF,MATCH(Table1[DriverID],CarrierDriverTBL!$A:$A,0))</f>
        <v>2627544</v>
      </c>
      <c r="BG131" s="142">
        <f>INDEX(CarrierDriverTBL!$AG:$AG,MATCH(Table1[DriverID],CarrierDriverTBL!$A:$A,0))</f>
        <v>466133</v>
      </c>
      <c r="BH131" s="142" t="str">
        <f>INDEX(CarrierDriverTBL!$AH:$AH,MATCH(Table1[DriverID],CarrierDriverTBL!$A:$A,0))</f>
        <v>GM Lawrence Ins</v>
      </c>
      <c r="BI131" s="142" t="str">
        <f>INDEX(CarrierDriverTBL!$AI:$AI,MATCH(Table1[DriverID],CarrierDriverTBL!$A:$A,0))</f>
        <v>DSK2842P160210</v>
      </c>
      <c r="BJ131" s="160">
        <f>INDEX(CarrierDriverTBL!$AJ:$AJ,MATCH(Table1[[#This Row],[DriverID]],CarrierDriverTBL!$A:$A,0))</f>
        <v>42778</v>
      </c>
      <c r="BK131" s="10">
        <f t="shared" si="68"/>
        <v>482</v>
      </c>
      <c r="BL131" s="174">
        <v>550</v>
      </c>
      <c r="BM131" s="144">
        <v>355</v>
      </c>
      <c r="BN131" s="159">
        <f t="shared" si="61"/>
        <v>1.5492957746478873</v>
      </c>
      <c r="BO131" s="167">
        <v>500</v>
      </c>
      <c r="BP131" s="159">
        <f t="shared" si="62"/>
        <v>1.408450704225352</v>
      </c>
      <c r="BQ131" s="133">
        <v>2.7989999999999999</v>
      </c>
      <c r="BR131" s="166">
        <f t="shared" si="63"/>
        <v>0.14983333333333335</v>
      </c>
      <c r="BS131" s="167">
        <f t="shared" si="69"/>
        <v>1.2586173708920187</v>
      </c>
      <c r="BT131" s="159">
        <f t="shared" si="70"/>
        <v>53.190833333333337</v>
      </c>
      <c r="BU131" s="10" t="str">
        <f t="shared" si="71"/>
        <v>Ch Robinson</v>
      </c>
      <c r="BV131" s="4"/>
      <c r="BW131" s="4" t="str">
        <f>Table1[[#This Row],[BrokerAddress]]</f>
        <v>P.O. Box 3474</v>
      </c>
      <c r="BX131" s="4" t="str">
        <f t="shared" si="72"/>
        <v>Chicago</v>
      </c>
      <c r="BY131" s="4" t="str">
        <f t="shared" si="73"/>
        <v>Il</v>
      </c>
      <c r="BZ131" s="4">
        <f t="shared" si="74"/>
        <v>60654</v>
      </c>
      <c r="CA131" s="10" t="str">
        <f t="shared" si="75"/>
        <v>US</v>
      </c>
      <c r="CB131" s="15" t="s">
        <v>131</v>
      </c>
      <c r="CC131" s="62"/>
      <c r="CD131" s="15" t="s">
        <v>222</v>
      </c>
      <c r="CE131" s="64">
        <v>30</v>
      </c>
      <c r="CF131" s="4">
        <v>1</v>
      </c>
      <c r="CG131" s="132">
        <f t="shared" si="76"/>
        <v>30</v>
      </c>
      <c r="CH131" s="4" t="s">
        <v>132</v>
      </c>
      <c r="CI131" s="5">
        <v>0</v>
      </c>
      <c r="CJ131" s="4">
        <v>0</v>
      </c>
      <c r="CK131" s="132">
        <f t="shared" si="77"/>
        <v>0</v>
      </c>
      <c r="CL131" s="4" t="s">
        <v>132</v>
      </c>
      <c r="CM131" s="5">
        <v>0</v>
      </c>
      <c r="CN131" s="4">
        <v>0</v>
      </c>
      <c r="CO131" s="132">
        <f t="shared" si="78"/>
        <v>0</v>
      </c>
      <c r="CP131" s="4" t="s">
        <v>132</v>
      </c>
      <c r="CQ131" s="5">
        <v>0</v>
      </c>
      <c r="CR131" s="4">
        <v>0</v>
      </c>
      <c r="CS131" s="132">
        <f t="shared" si="79"/>
        <v>0</v>
      </c>
      <c r="CT131" s="159">
        <f t="shared" si="80"/>
        <v>30</v>
      </c>
      <c r="CU131" s="168">
        <f t="shared" si="81"/>
        <v>580</v>
      </c>
      <c r="CV131" s="183">
        <f t="shared" si="65"/>
        <v>30</v>
      </c>
      <c r="CW131" s="82">
        <f t="shared" si="64"/>
        <v>530</v>
      </c>
      <c r="CX131" s="79">
        <f>IF(ISBLANK(E131),"AddQuickPay",IF(E131=2,CU131*0.98,IF(E131=2.4,CU131*0.976,IF(E131=3,CU131*0.97,IF(E131=5,CU131*0.95,IF(E131=1.5,CU131*0.985,IF(E131=2.5,CU131*0.975,IF(E131=1.3,CU131*0.987,IF(E131=1,CU131*0.99,IF(E131=4,CU131*0.96,CU131*1))))))))))-Table1[[#This Row],[ComCheck+QuickPayFee]]</f>
        <v>568.4</v>
      </c>
      <c r="CY131" s="5">
        <f t="shared" si="82"/>
        <v>50</v>
      </c>
      <c r="CZ131" s="5">
        <f t="shared" si="83"/>
        <v>11.6</v>
      </c>
      <c r="DA131" s="258">
        <f>Table1[[#This Row],[OriginalDispatch]]-Table1[[#This Row],[QuickPayCharge]]</f>
        <v>38.4</v>
      </c>
      <c r="DB131" s="5">
        <v>0</v>
      </c>
      <c r="DC131" s="5" t="s">
        <v>133</v>
      </c>
      <c r="DD131" s="104">
        <f t="shared" si="84"/>
        <v>42300</v>
      </c>
      <c r="DE131" s="15">
        <f>MONTH(Table1[[#This Row],[Weekending]])</f>
        <v>10</v>
      </c>
      <c r="DF131" s="15">
        <f>YEAR(Table1[[#This Row],[Weekending]])</f>
        <v>2015</v>
      </c>
      <c r="DG131" s="4"/>
    </row>
    <row r="132" spans="1:111">
      <c r="A132" s="20" t="str">
        <f t="shared" si="66"/>
        <v>81-A5A49</v>
      </c>
      <c r="B132" s="146">
        <v>42296</v>
      </c>
      <c r="C132" s="144">
        <v>184141181</v>
      </c>
      <c r="D132" s="298" t="s">
        <v>111</v>
      </c>
      <c r="E132" s="298">
        <v>2</v>
      </c>
      <c r="F132" s="142" t="str">
        <f>INDEX(BrokerTBL!$B:$B,MATCH(D132,BrokerTBL!$A:$A,0))</f>
        <v>P.O. Box 3474</v>
      </c>
      <c r="G132" s="142" t="str">
        <f>INDEX(BrokerTBL!$C:$C,MATCH(D132,BrokerTBL!$A:$A,0))</f>
        <v>Chicago</v>
      </c>
      <c r="H132" s="142" t="str">
        <f>INDEX(BrokerTBL!$D:$D,MATCH(D132,BrokerTBL!$A:$A,0))</f>
        <v>Il</v>
      </c>
      <c r="I132" s="142" t="str">
        <f>INDEX(BrokerTBL!$E:$E,MATCH(D132,BrokerTBL!$A:$A,0))</f>
        <v>US</v>
      </c>
      <c r="J132" s="142">
        <f>INDEX(BrokerTBL!$F:$F,MATCH(D132,BrokerTBL!$A:$A,0))</f>
        <v>60654</v>
      </c>
      <c r="K132" s="298" t="s">
        <v>942</v>
      </c>
      <c r="L132" s="145" t="s">
        <v>1132</v>
      </c>
      <c r="M132" s="146">
        <v>42296</v>
      </c>
      <c r="N132" s="144" t="s">
        <v>1133</v>
      </c>
      <c r="O132" s="298" t="s">
        <v>943</v>
      </c>
      <c r="P132" s="298" t="s">
        <v>366</v>
      </c>
      <c r="Q132" s="298" t="s">
        <v>139</v>
      </c>
      <c r="R132" s="298">
        <v>95776</v>
      </c>
      <c r="S132" s="185" t="s">
        <v>118</v>
      </c>
      <c r="T132" s="298" t="s">
        <v>136</v>
      </c>
      <c r="U132" s="298" t="s">
        <v>120</v>
      </c>
      <c r="V132" s="298">
        <v>53</v>
      </c>
      <c r="W132" s="185" t="s">
        <v>631</v>
      </c>
      <c r="X132" s="144">
        <v>30000</v>
      </c>
      <c r="Y132" s="298" t="s">
        <v>26</v>
      </c>
      <c r="Z132" s="298" t="s">
        <v>123</v>
      </c>
      <c r="AA132" s="298" t="s">
        <v>123</v>
      </c>
      <c r="AB132" s="298" t="s">
        <v>123</v>
      </c>
      <c r="AC132" s="298" t="s">
        <v>1134</v>
      </c>
      <c r="AD132" s="145" t="s">
        <v>1135</v>
      </c>
      <c r="AE132" s="146">
        <v>42296</v>
      </c>
      <c r="AF132" s="416" t="s">
        <v>123</v>
      </c>
      <c r="AG132" s="298" t="s">
        <v>1136</v>
      </c>
      <c r="AH132" s="298" t="s">
        <v>414</v>
      </c>
      <c r="AI132" s="298" t="s">
        <v>139</v>
      </c>
      <c r="AJ132" s="298">
        <v>95076</v>
      </c>
      <c r="AK132" s="298" t="s">
        <v>118</v>
      </c>
      <c r="AL132" s="298" t="s">
        <v>123</v>
      </c>
      <c r="AM132" s="142" t="str">
        <f>INDEX(CarrierDriverTBL!$B:$B,MATCH(Table1[[#This Row],[DriverID]],CarrierDriverTBL!$A:$A,0))</f>
        <v>UBTrucking</v>
      </c>
      <c r="AN132" s="10" t="s">
        <v>192</v>
      </c>
      <c r="AO132" s="10" t="str">
        <f>INDEX(CarrierDriverTBL!$C:$C,MATCH(Table1[[#This Row],[DriverID]],CarrierDriverTBL!$A:$A,0))</f>
        <v>Albel</v>
      </c>
      <c r="AP132" s="142" t="str">
        <f>INDEX(CarrierDriverTBL!$D:$D,MATCH(Table1[[#This Row],[DriverID]],CarrierDriverTBL!$A:$A,0))</f>
        <v>Chahil</v>
      </c>
      <c r="AQ132" s="142" t="str">
        <f>INDEX(CarrierDriverTBL!$X:$X,MATCH(Table1[[#This Row],[DriverID]],CarrierDriverTBL!$A:$A,0))</f>
        <v>A8390649</v>
      </c>
      <c r="AR132" s="160">
        <f>INDEX(CarrierDriverTBL!$Y:$Y,MATCH(Table1[[#This Row],[DriverID]],CarrierDriverTBL!$A:$A,0))</f>
        <v>42402</v>
      </c>
      <c r="AS132" s="142" t="str">
        <f t="shared" si="67"/>
        <v>GOOD</v>
      </c>
      <c r="AT132" s="160">
        <f>INDEX(CarrierDriverTBL!$E:$E,MATCH(Table1[[#This Row],[DriverID]],CarrierDriverTBL!$A:$A,0))</f>
        <v>22314</v>
      </c>
      <c r="AU132" s="163">
        <f ca="1">INDEX(CarrierDriverTBL!$F:$F,MATCH(Table1[[#This Row],[DriverID]],CarrierDriverTBL!$A:$A,0))</f>
        <v>55.512328767123286</v>
      </c>
      <c r="AV132" s="142" t="str">
        <f>INDEX(CarrierDriverTBL!$K:$K,MATCH(Table1[[#This Row],[DriverID]],CarrierDriverTBL!$A:$A,0))</f>
        <v>510-773-9450</v>
      </c>
      <c r="AW132" s="142" t="str">
        <f>INDEX(CarrierDriverTBL!$M:$M,MATCH(Table1[[#This Row],[DriverID]],CarrierDriverTBL!$A:$A,0))</f>
        <v>3124 Cynthia CT</v>
      </c>
      <c r="AX132" s="142" t="str">
        <f>INDEX(CarrierDriverTBL!$N:$N,MATCH(Table1[[#This Row],[DriverID]],CarrierDriverTBL!$A:$A,0))</f>
        <v>Tracy</v>
      </c>
      <c r="AY132" s="142" t="str">
        <f>INDEX(CarrierDriverTBL!$O:$O,MATCH(Table1[[#This Row],[DriverID]],CarrierDriverTBL!$A:$A,0))</f>
        <v>CA</v>
      </c>
      <c r="AZ132" s="142">
        <f>INDEX(CarrierDriverTBL!$P:$P,MATCH(Table1[[#This Row],[DriverID]],CarrierDriverTBL!$A:$A,0))</f>
        <v>95377</v>
      </c>
      <c r="BA132" s="142" t="str">
        <f>INDEX(CarrierDriverTBL!$Q:$Q,MATCH(Table1[[#This Row],[DriverID]],CarrierDriverTBL!$A:$A,0))</f>
        <v>US</v>
      </c>
      <c r="BB132" s="176" t="str">
        <f>INDEX(CarrierDriverTBL!$R:$R,MATCH(Table1[[#This Row],[DriverID]],CarrierDriverTBL!$A:$A,0))</f>
        <v>ubgollc@gmail.com</v>
      </c>
      <c r="BC132" s="160">
        <f>INDEX(CarrierDriverTBL!$AB:$AB,MATCH(Table1[[#This Row],[DriverID]],CarrierDriverTBL!$A:$A,0))</f>
        <v>42167</v>
      </c>
      <c r="BD132" s="142" t="str">
        <f ca="1">INDEX(CarrierDriverTBL!$AD:$AD,MATCH(LoadMaster!$AN:$AN,CarrierDriverTBL!$A:$A,0))</f>
        <v>MISSING</v>
      </c>
      <c r="BE132" s="142">
        <f>INDEX(CarrierDriverTBL!$AE:$AE,MATCH(Table1[DriverID],CarrierDriverTBL!$A:$A,0))</f>
        <v>913971</v>
      </c>
      <c r="BF132" s="142">
        <f>INDEX(CarrierDriverTBL!$AF:$AF,MATCH(Table1[DriverID],CarrierDriverTBL!$A:$A,0))</f>
        <v>2627544</v>
      </c>
      <c r="BG132" s="142">
        <f>INDEX(CarrierDriverTBL!$AG:$AG,MATCH(Table1[DriverID],CarrierDriverTBL!$A:$A,0))</f>
        <v>466133</v>
      </c>
      <c r="BH132" s="142" t="str">
        <f>INDEX(CarrierDriverTBL!$AH:$AH,MATCH(Table1[DriverID],CarrierDriverTBL!$A:$A,0))</f>
        <v>GM Lawrence Ins</v>
      </c>
      <c r="BI132" s="142" t="str">
        <f>INDEX(CarrierDriverTBL!$AI:$AI,MATCH(Table1[DriverID],CarrierDriverTBL!$A:$A,0))</f>
        <v>DSK2842P160210</v>
      </c>
      <c r="BJ132" s="160">
        <f>INDEX(CarrierDriverTBL!$AJ:$AJ,MATCH(Table1[[#This Row],[DriverID]],CarrierDriverTBL!$A:$A,0))</f>
        <v>42778</v>
      </c>
      <c r="BK132" s="10">
        <f t="shared" si="68"/>
        <v>482</v>
      </c>
      <c r="BL132" s="174">
        <v>525</v>
      </c>
      <c r="BM132" s="144">
        <v>200</v>
      </c>
      <c r="BN132" s="159">
        <f t="shared" si="61"/>
        <v>2.625</v>
      </c>
      <c r="BO132" s="167">
        <v>475</v>
      </c>
      <c r="BP132" s="159">
        <f t="shared" si="62"/>
        <v>2.375</v>
      </c>
      <c r="BQ132" s="133">
        <v>2.7989999999999999</v>
      </c>
      <c r="BR132" s="166">
        <f t="shared" si="63"/>
        <v>0.14983333333333335</v>
      </c>
      <c r="BS132" s="167">
        <f t="shared" si="69"/>
        <v>2.2251666666666665</v>
      </c>
      <c r="BT132" s="159">
        <f t="shared" si="70"/>
        <v>29.966666666666669</v>
      </c>
      <c r="BU132" s="10" t="str">
        <f t="shared" si="71"/>
        <v>Ch Robinson</v>
      </c>
      <c r="BV132" s="4"/>
      <c r="BW132" s="4" t="str">
        <f>Table1[[#This Row],[BrokerAddress]]</f>
        <v>P.O. Box 3474</v>
      </c>
      <c r="BX132" s="4" t="str">
        <f t="shared" si="72"/>
        <v>Chicago</v>
      </c>
      <c r="BY132" s="4" t="str">
        <f t="shared" si="73"/>
        <v>Il</v>
      </c>
      <c r="BZ132" s="4">
        <f t="shared" si="74"/>
        <v>60654</v>
      </c>
      <c r="CA132" s="10" t="str">
        <f t="shared" si="75"/>
        <v>US</v>
      </c>
      <c r="CB132" s="15" t="s">
        <v>131</v>
      </c>
      <c r="CC132" s="62"/>
      <c r="CD132" s="15" t="s">
        <v>132</v>
      </c>
      <c r="CE132" s="64">
        <v>0</v>
      </c>
      <c r="CF132" s="4">
        <v>0</v>
      </c>
      <c r="CG132" s="132">
        <f t="shared" si="76"/>
        <v>0</v>
      </c>
      <c r="CH132" s="4" t="s">
        <v>132</v>
      </c>
      <c r="CI132" s="5">
        <v>0</v>
      </c>
      <c r="CJ132" s="4">
        <v>0</v>
      </c>
      <c r="CK132" s="132">
        <f t="shared" si="77"/>
        <v>0</v>
      </c>
      <c r="CL132" s="4" t="s">
        <v>132</v>
      </c>
      <c r="CM132" s="5">
        <v>0</v>
      </c>
      <c r="CN132" s="4">
        <v>0</v>
      </c>
      <c r="CO132" s="132">
        <f t="shared" si="78"/>
        <v>0</v>
      </c>
      <c r="CP132" s="4" t="s">
        <v>132</v>
      </c>
      <c r="CQ132" s="5">
        <v>0</v>
      </c>
      <c r="CR132" s="4">
        <v>0</v>
      </c>
      <c r="CS132" s="132">
        <f t="shared" si="79"/>
        <v>0</v>
      </c>
      <c r="CT132" s="159">
        <f t="shared" si="80"/>
        <v>0</v>
      </c>
      <c r="CU132" s="168">
        <f t="shared" si="81"/>
        <v>525</v>
      </c>
      <c r="CV132" s="183">
        <f t="shared" si="65"/>
        <v>0</v>
      </c>
      <c r="CW132" s="82">
        <f t="shared" si="64"/>
        <v>475</v>
      </c>
      <c r="CX132" s="79">
        <f>IF(ISBLANK(E132),"AddQuickPay",IF(E132=2,CU132*0.98,IF(E132=2.4,CU132*0.976,IF(E132=3,CU132*0.97,IF(E132=5,CU132*0.95,IF(E132=1.5,CU132*0.985,IF(E132=2.5,CU132*0.975,IF(E132=1.3,CU132*0.987,IF(E132=1,CU132*0.99,IF(E132=4,CU132*0.96,CU132*1))))))))))-Table1[[#This Row],[ComCheck+QuickPayFee]]</f>
        <v>514.5</v>
      </c>
      <c r="CY132" s="5">
        <f t="shared" si="82"/>
        <v>50</v>
      </c>
      <c r="CZ132" s="5">
        <f t="shared" si="83"/>
        <v>10.5</v>
      </c>
      <c r="DA132" s="258">
        <f>Table1[[#This Row],[OriginalDispatch]]-Table1[[#This Row],[QuickPayCharge]]</f>
        <v>39.5</v>
      </c>
      <c r="DB132" s="5">
        <v>0</v>
      </c>
      <c r="DC132" s="5" t="s">
        <v>133</v>
      </c>
      <c r="DD132" s="104">
        <f t="shared" si="84"/>
        <v>42300</v>
      </c>
      <c r="DE132" s="15">
        <f>MONTH(Table1[[#This Row],[Weekending]])</f>
        <v>10</v>
      </c>
      <c r="DF132" s="15">
        <f>YEAR(Table1[[#This Row],[Weekending]])</f>
        <v>2015</v>
      </c>
      <c r="DG132" s="4"/>
    </row>
    <row r="133" spans="1:111">
      <c r="A133" s="20" t="str">
        <f t="shared" si="66"/>
        <v>84lwlw88</v>
      </c>
      <c r="B133" s="146">
        <v>42296</v>
      </c>
      <c r="C133" s="144">
        <v>184141784</v>
      </c>
      <c r="D133" s="298" t="s">
        <v>111</v>
      </c>
      <c r="E133" s="298">
        <v>2</v>
      </c>
      <c r="F133" s="142" t="str">
        <f>INDEX(BrokerTBL!$B:$B,MATCH(D133,BrokerTBL!$A:$A,0))</f>
        <v>P.O. Box 3474</v>
      </c>
      <c r="G133" s="142" t="str">
        <f>INDEX(BrokerTBL!$C:$C,MATCH(D133,BrokerTBL!$A:$A,0))</f>
        <v>Chicago</v>
      </c>
      <c r="H133" s="142" t="str">
        <f>INDEX(BrokerTBL!$D:$D,MATCH(D133,BrokerTBL!$A:$A,0))</f>
        <v>Il</v>
      </c>
      <c r="I133" s="142" t="str">
        <f>INDEX(BrokerTBL!$E:$E,MATCH(D133,BrokerTBL!$A:$A,0))</f>
        <v>US</v>
      </c>
      <c r="J133" s="142">
        <f>INDEX(BrokerTBL!$F:$F,MATCH(D133,BrokerTBL!$A:$A,0))</f>
        <v>60654</v>
      </c>
      <c r="K133" s="298" t="s">
        <v>942</v>
      </c>
      <c r="L133" s="145" t="s">
        <v>1137</v>
      </c>
      <c r="M133" s="146">
        <v>42296</v>
      </c>
      <c r="N133" s="144" t="s">
        <v>427</v>
      </c>
      <c r="O133" s="298" t="s">
        <v>943</v>
      </c>
      <c r="P133" s="298" t="s">
        <v>366</v>
      </c>
      <c r="Q133" s="298" t="s">
        <v>139</v>
      </c>
      <c r="R133" s="298">
        <v>95776</v>
      </c>
      <c r="S133" s="298" t="s">
        <v>118</v>
      </c>
      <c r="T133" s="298" t="s">
        <v>136</v>
      </c>
      <c r="U133" s="298" t="s">
        <v>120</v>
      </c>
      <c r="V133" s="298">
        <v>53</v>
      </c>
      <c r="W133" s="298" t="s">
        <v>631</v>
      </c>
      <c r="X133" s="144">
        <v>3000</v>
      </c>
      <c r="Y133" s="298" t="s">
        <v>26</v>
      </c>
      <c r="Z133" s="298" t="s">
        <v>123</v>
      </c>
      <c r="AA133" s="298" t="s">
        <v>123</v>
      </c>
      <c r="AB133" s="298" t="s">
        <v>123</v>
      </c>
      <c r="AC133" s="298" t="s">
        <v>1138</v>
      </c>
      <c r="AD133" s="145" t="s">
        <v>1137</v>
      </c>
      <c r="AE133" s="146">
        <v>42297</v>
      </c>
      <c r="AF133" s="416" t="s">
        <v>123</v>
      </c>
      <c r="AG133" s="298" t="s">
        <v>1139</v>
      </c>
      <c r="AH133" s="298" t="s">
        <v>634</v>
      </c>
      <c r="AI133" s="298" t="s">
        <v>139</v>
      </c>
      <c r="AJ133" s="298">
        <v>93455</v>
      </c>
      <c r="AK133" s="298" t="s">
        <v>118</v>
      </c>
      <c r="AL133" s="298" t="s">
        <v>123</v>
      </c>
      <c r="AM133" s="142" t="str">
        <f>INDEX(CarrierDriverTBL!$B:$B,MATCH(Table1[[#This Row],[DriverID]],CarrierDriverTBL!$A:$A,0))</f>
        <v>UBTrucking</v>
      </c>
      <c r="AN133" s="10" t="s">
        <v>948</v>
      </c>
      <c r="AO133" s="10" t="str">
        <f>INDEX(CarrierDriverTBL!$C:$C,MATCH(Table1[[#This Row],[DriverID]],CarrierDriverTBL!$A:$A,0))</f>
        <v>Wesley</v>
      </c>
      <c r="AP133" s="10" t="str">
        <f>INDEX(CarrierDriverTBL!$D:$D,MATCH(Table1[[#This Row],[DriverID]],CarrierDriverTBL!$A:$A,0))</f>
        <v>Cousain</v>
      </c>
      <c r="AQ133" s="10" t="str">
        <f>INDEX(CarrierDriverTBL!$X:$X,MATCH(Table1[[#This Row],[DriverID]],CarrierDriverTBL!$A:$A,0))</f>
        <v>D4903588</v>
      </c>
      <c r="AR133" s="11">
        <f>INDEX(CarrierDriverTBL!$Y:$Y,MATCH(Table1[[#This Row],[DriverID]],CarrierDriverTBL!$A:$A,0))</f>
        <v>43458</v>
      </c>
      <c r="AS133" s="142" t="str">
        <f t="shared" si="67"/>
        <v>GOOD</v>
      </c>
      <c r="AT133" s="11">
        <f>INDEX(CarrierDriverTBL!$E:$E,MATCH(Table1[[#This Row],[DriverID]],CarrierDriverTBL!$A:$A,0))</f>
        <v>31405</v>
      </c>
      <c r="AU133" s="163">
        <f ca="1">INDEX(CarrierDriverTBL!$F:$F,MATCH(Table1[[#This Row],[DriverID]],CarrierDriverTBL!$A:$A,0))</f>
        <v>30.605479452054794</v>
      </c>
      <c r="AV133" s="10" t="str">
        <f>INDEX(CarrierDriverTBL!$K:$K,MATCH(Table1[[#This Row],[DriverID]],CarrierDriverTBL!$A:$A,0))</f>
        <v>925-383-5364</v>
      </c>
      <c r="AW133" s="10" t="str">
        <f>INDEX(CarrierDriverTBL!$M:$M,MATCH(Table1[[#This Row],[DriverID]],CarrierDriverTBL!$A:$A,0))</f>
        <v>110 Cordova Ln</v>
      </c>
      <c r="AX133" s="10" t="str">
        <f>INDEX(CarrierDriverTBL!$N:$N,MATCH(Table1[[#This Row],[DriverID]],CarrierDriverTBL!$A:$A,0))</f>
        <v>Stockton</v>
      </c>
      <c r="AY133" s="10" t="str">
        <f>INDEX(CarrierDriverTBL!$O:$O,MATCH(Table1[[#This Row],[DriverID]],CarrierDriverTBL!$A:$A,0))</f>
        <v>CA</v>
      </c>
      <c r="AZ133" s="10">
        <f>INDEX(CarrierDriverTBL!$P:$P,MATCH(Table1[[#This Row],[DriverID]],CarrierDriverTBL!$A:$A,0))</f>
        <v>95207</v>
      </c>
      <c r="BA133" s="10" t="str">
        <f>INDEX(CarrierDriverTBL!$Q:$Q,MATCH(Table1[[#This Row],[DriverID]],CarrierDriverTBL!$A:$A,0))</f>
        <v>US</v>
      </c>
      <c r="BB133" s="173" t="str">
        <f>INDEX(CarrierDriverTBL!$R:$R,MATCH(Table1[[#This Row],[DriverID]],CarrierDriverTBL!$A:$A,0))</f>
        <v>wesleycousain1@gmail.com</v>
      </c>
      <c r="BC133" s="160">
        <f>INDEX(CarrierDriverTBL!$AB:$AB,MATCH(Table1[[#This Row],[DriverID]],CarrierDriverTBL!$A:$A,0))</f>
        <v>42271</v>
      </c>
      <c r="BD133" s="142" t="str">
        <f ca="1">INDEX(CarrierDriverTBL!$AD:$AD,MATCH(LoadMaster!$AN:$AN,CarrierDriverTBL!$A:$A,0))</f>
        <v>MISSING</v>
      </c>
      <c r="BE133" s="142">
        <f>INDEX(CarrierDriverTBL!$AE:$AE,MATCH(Table1[DriverID],CarrierDriverTBL!$A:$A,0))</f>
        <v>913971</v>
      </c>
      <c r="BF133" s="142">
        <f>INDEX(CarrierDriverTBL!$AF:$AF,MATCH(Table1[DriverID],CarrierDriverTBL!$A:$A,0))</f>
        <v>2627544</v>
      </c>
      <c r="BG133" s="142">
        <f>INDEX(CarrierDriverTBL!$AG:$AG,MATCH(Table1[DriverID],CarrierDriverTBL!$A:$A,0))</f>
        <v>466133</v>
      </c>
      <c r="BH133" s="142" t="str">
        <f>INDEX(CarrierDriverTBL!$AH:$AH,MATCH(Table1[DriverID],CarrierDriverTBL!$A:$A,0))</f>
        <v>GM Lawrence Ins</v>
      </c>
      <c r="BI133" s="142" t="str">
        <f>INDEX(CarrierDriverTBL!$AI:$AI,MATCH(Table1[DriverID],CarrierDriverTBL!$A:$A,0))</f>
        <v>DSK2842P160210</v>
      </c>
      <c r="BJ133" s="160">
        <f>INDEX(CarrierDriverTBL!$AJ:$AJ,MATCH(Table1[[#This Row],[DriverID]],CarrierDriverTBL!$A:$A,0))</f>
        <v>42778</v>
      </c>
      <c r="BK133" s="10">
        <f t="shared" si="68"/>
        <v>482</v>
      </c>
      <c r="BL133" s="174">
        <v>750</v>
      </c>
      <c r="BM133" s="144">
        <v>350</v>
      </c>
      <c r="BN133" s="159">
        <f t="shared" si="61"/>
        <v>2.1428571428571428</v>
      </c>
      <c r="BO133" s="167">
        <f>0.93*750</f>
        <v>697.5</v>
      </c>
      <c r="BP133" s="159">
        <f t="shared" si="62"/>
        <v>1.9928571428571429</v>
      </c>
      <c r="BQ133" s="133">
        <v>2.7989999999999999</v>
      </c>
      <c r="BR133" s="166">
        <f t="shared" si="63"/>
        <v>0.14983333333333335</v>
      </c>
      <c r="BS133" s="167">
        <f t="shared" si="69"/>
        <v>1.8430238095238096</v>
      </c>
      <c r="BT133" s="159">
        <f t="shared" si="70"/>
        <v>52.44166666666667</v>
      </c>
      <c r="BU133" s="10" t="str">
        <f t="shared" si="71"/>
        <v>Ch Robinson</v>
      </c>
      <c r="BV133" s="4"/>
      <c r="BW133" s="4" t="str">
        <f>Table1[[#This Row],[BrokerAddress]]</f>
        <v>P.O. Box 3474</v>
      </c>
      <c r="BX133" s="4" t="str">
        <f t="shared" si="72"/>
        <v>Chicago</v>
      </c>
      <c r="BY133" s="4" t="str">
        <f t="shared" si="73"/>
        <v>Il</v>
      </c>
      <c r="BZ133" s="4">
        <f t="shared" si="74"/>
        <v>60654</v>
      </c>
      <c r="CA133" s="10" t="str">
        <f t="shared" si="75"/>
        <v>US</v>
      </c>
      <c r="CB133" s="15" t="s">
        <v>131</v>
      </c>
      <c r="CC133" s="62"/>
      <c r="CD133" s="15" t="s">
        <v>132</v>
      </c>
      <c r="CE133" s="64">
        <v>0</v>
      </c>
      <c r="CF133" s="4">
        <v>0</v>
      </c>
      <c r="CG133" s="132">
        <f t="shared" si="76"/>
        <v>0</v>
      </c>
      <c r="CH133" s="4" t="s">
        <v>132</v>
      </c>
      <c r="CI133" s="5">
        <v>0</v>
      </c>
      <c r="CJ133" s="4">
        <v>0</v>
      </c>
      <c r="CK133" s="132">
        <f t="shared" si="77"/>
        <v>0</v>
      </c>
      <c r="CL133" s="4" t="s">
        <v>132</v>
      </c>
      <c r="CM133" s="5">
        <v>0</v>
      </c>
      <c r="CN133" s="4">
        <v>0</v>
      </c>
      <c r="CO133" s="132">
        <f t="shared" si="78"/>
        <v>0</v>
      </c>
      <c r="CP133" s="4" t="s">
        <v>132</v>
      </c>
      <c r="CQ133" s="5">
        <v>0</v>
      </c>
      <c r="CR133" s="4">
        <v>0</v>
      </c>
      <c r="CS133" s="132">
        <f t="shared" si="79"/>
        <v>0</v>
      </c>
      <c r="CT133" s="159">
        <f t="shared" si="80"/>
        <v>0</v>
      </c>
      <c r="CU133" s="168">
        <f t="shared" si="81"/>
        <v>750</v>
      </c>
      <c r="CV133" s="183">
        <f t="shared" si="65"/>
        <v>0</v>
      </c>
      <c r="CW133" s="82">
        <f t="shared" si="64"/>
        <v>697.5</v>
      </c>
      <c r="CX133" s="79">
        <f>IF(ISBLANK(E133),"AddQuickPay",IF(E133=2,CU133*0.98,IF(E133=2.4,CU133*0.976,IF(E133=3,CU133*0.97,IF(E133=5,CU133*0.95,IF(E133=1.5,CU133*0.985,IF(E133=2.5,CU133*0.975,IF(E133=1.3,CU133*0.987,IF(E133=1,CU133*0.99,IF(E133=4,CU133*0.96,CU133*1))))))))))-Table1[[#This Row],[ComCheck+QuickPayFee]]</f>
        <v>735</v>
      </c>
      <c r="CY133" s="5">
        <f t="shared" si="82"/>
        <v>52.5</v>
      </c>
      <c r="CZ133" s="5">
        <f t="shared" si="83"/>
        <v>15</v>
      </c>
      <c r="DA133" s="258">
        <f>Table1[[#This Row],[OriginalDispatch]]-Table1[[#This Row],[QuickPayCharge]]</f>
        <v>37.5</v>
      </c>
      <c r="DB133" s="5">
        <v>0</v>
      </c>
      <c r="DC133" s="5" t="s">
        <v>133</v>
      </c>
      <c r="DD133" s="104">
        <f t="shared" si="84"/>
        <v>42300</v>
      </c>
      <c r="DE133" s="15">
        <f>MONTH(Table1[[#This Row],[Weekending]])</f>
        <v>10</v>
      </c>
      <c r="DF133" s="15">
        <f>YEAR(Table1[[#This Row],[Weekending]])</f>
        <v>2015</v>
      </c>
      <c r="DG133" s="4"/>
    </row>
    <row r="134" spans="1:111">
      <c r="A134" s="20" t="str">
        <f t="shared" si="66"/>
        <v>59nene88</v>
      </c>
      <c r="B134" s="146">
        <v>42297</v>
      </c>
      <c r="C134" s="144">
        <v>184297759</v>
      </c>
      <c r="D134" s="298" t="s">
        <v>111</v>
      </c>
      <c r="E134" s="298">
        <v>2</v>
      </c>
      <c r="F134" s="142" t="str">
        <f>INDEX(BrokerTBL!$B:$B,MATCH(D134,BrokerTBL!$A:$A,0))</f>
        <v>P.O. Box 3474</v>
      </c>
      <c r="G134" s="142" t="str">
        <f>INDEX(BrokerTBL!$C:$C,MATCH(D134,BrokerTBL!$A:$A,0))</f>
        <v>Chicago</v>
      </c>
      <c r="H134" s="142" t="str">
        <f>INDEX(BrokerTBL!$D:$D,MATCH(D134,BrokerTBL!$A:$A,0))</f>
        <v>Il</v>
      </c>
      <c r="I134" s="142" t="str">
        <f>INDEX(BrokerTBL!$E:$E,MATCH(D134,BrokerTBL!$A:$A,0))</f>
        <v>US</v>
      </c>
      <c r="J134" s="142">
        <f>INDEX(BrokerTBL!$F:$F,MATCH(D134,BrokerTBL!$A:$A,0))</f>
        <v>60654</v>
      </c>
      <c r="K134" s="298" t="s">
        <v>1140</v>
      </c>
      <c r="L134" s="145" t="s">
        <v>132</v>
      </c>
      <c r="M134" s="146">
        <v>42297</v>
      </c>
      <c r="N134" s="182">
        <v>0.83333333333333304</v>
      </c>
      <c r="O134" s="298" t="s">
        <v>1141</v>
      </c>
      <c r="P134" s="298" t="s">
        <v>1142</v>
      </c>
      <c r="Q134" s="298" t="s">
        <v>139</v>
      </c>
      <c r="R134" s="298">
        <v>90220</v>
      </c>
      <c r="S134" s="185" t="s">
        <v>118</v>
      </c>
      <c r="T134" s="298" t="s">
        <v>136</v>
      </c>
      <c r="U134" s="298" t="s">
        <v>120</v>
      </c>
      <c r="V134" s="298">
        <v>53</v>
      </c>
      <c r="W134" s="185" t="s">
        <v>397</v>
      </c>
      <c r="X134" s="144">
        <v>31200</v>
      </c>
      <c r="Y134" s="298" t="s">
        <v>26</v>
      </c>
      <c r="Z134" s="298" t="s">
        <v>123</v>
      </c>
      <c r="AA134" s="298">
        <v>48</v>
      </c>
      <c r="AB134" s="298" t="s">
        <v>123</v>
      </c>
      <c r="AC134" s="298" t="s">
        <v>602</v>
      </c>
      <c r="AD134" s="145" t="s">
        <v>132</v>
      </c>
      <c r="AE134" s="146">
        <v>42298</v>
      </c>
      <c r="AF134" s="298" t="s">
        <v>1143</v>
      </c>
      <c r="AG134" s="298" t="s">
        <v>1144</v>
      </c>
      <c r="AH134" s="298" t="s">
        <v>605</v>
      </c>
      <c r="AI134" s="298" t="s">
        <v>139</v>
      </c>
      <c r="AJ134" s="298">
        <v>95330</v>
      </c>
      <c r="AK134" s="298" t="s">
        <v>118</v>
      </c>
      <c r="AL134" s="298" t="s">
        <v>123</v>
      </c>
      <c r="AM134" s="142" t="str">
        <f>INDEX(CarrierDriverTBL!$B:$B,MATCH(Table1[[#This Row],[DriverID]],CarrierDriverTBL!$A:$A,0))</f>
        <v>UBTrucking</v>
      </c>
      <c r="AN134" s="10" t="s">
        <v>948</v>
      </c>
      <c r="AO134" s="10" t="str">
        <f>INDEX(CarrierDriverTBL!$C:$C,MATCH(Table1[[#This Row],[DriverID]],CarrierDriverTBL!$A:$A,0))</f>
        <v>Wesley</v>
      </c>
      <c r="AP134" s="10" t="str">
        <f>INDEX(CarrierDriverTBL!$D:$D,MATCH(Table1[[#This Row],[DriverID]],CarrierDriverTBL!$A:$A,0))</f>
        <v>Cousain</v>
      </c>
      <c r="AQ134" s="10" t="str">
        <f>INDEX(CarrierDriverTBL!$X:$X,MATCH(Table1[[#This Row],[DriverID]],CarrierDriverTBL!$A:$A,0))</f>
        <v>D4903588</v>
      </c>
      <c r="AR134" s="11">
        <f>INDEX(CarrierDriverTBL!$Y:$Y,MATCH(Table1[[#This Row],[DriverID]],CarrierDriverTBL!$A:$A,0))</f>
        <v>43458</v>
      </c>
      <c r="AS134" s="142" t="str">
        <f t="shared" si="67"/>
        <v>GOOD</v>
      </c>
      <c r="AT134" s="11">
        <f>INDEX(CarrierDriverTBL!$E:$E,MATCH(Table1[[#This Row],[DriverID]],CarrierDriverTBL!$A:$A,0))</f>
        <v>31405</v>
      </c>
      <c r="AU134" s="163">
        <f ca="1">INDEX(CarrierDriverTBL!$F:$F,MATCH(Table1[[#This Row],[DriverID]],CarrierDriverTBL!$A:$A,0))</f>
        <v>30.605479452054794</v>
      </c>
      <c r="AV134" s="10" t="str">
        <f>INDEX(CarrierDriverTBL!$K:$K,MATCH(Table1[[#This Row],[DriverID]],CarrierDriverTBL!$A:$A,0))</f>
        <v>925-383-5364</v>
      </c>
      <c r="AW134" s="10" t="str">
        <f>INDEX(CarrierDriverTBL!$M:$M,MATCH(Table1[[#This Row],[DriverID]],CarrierDriverTBL!$A:$A,0))</f>
        <v>110 Cordova Ln</v>
      </c>
      <c r="AX134" s="10" t="str">
        <f>INDEX(CarrierDriverTBL!$N:$N,MATCH(Table1[[#This Row],[DriverID]],CarrierDriverTBL!$A:$A,0))</f>
        <v>Stockton</v>
      </c>
      <c r="AY134" s="10" t="str">
        <f>INDEX(CarrierDriverTBL!$O:$O,MATCH(Table1[[#This Row],[DriverID]],CarrierDriverTBL!$A:$A,0))</f>
        <v>CA</v>
      </c>
      <c r="AZ134" s="10">
        <f>INDEX(CarrierDriverTBL!$P:$P,MATCH(Table1[[#This Row],[DriverID]],CarrierDriverTBL!$A:$A,0))</f>
        <v>95207</v>
      </c>
      <c r="BA134" s="10" t="str">
        <f>INDEX(CarrierDriverTBL!$Q:$Q,MATCH(Table1[[#This Row],[DriverID]],CarrierDriverTBL!$A:$A,0))</f>
        <v>US</v>
      </c>
      <c r="BB134" s="173" t="str">
        <f>INDEX(CarrierDriverTBL!$R:$R,MATCH(Table1[[#This Row],[DriverID]],CarrierDriverTBL!$A:$A,0))</f>
        <v>wesleycousain1@gmail.com</v>
      </c>
      <c r="BC134" s="160">
        <f>INDEX(CarrierDriverTBL!$AB:$AB,MATCH(Table1[[#This Row],[DriverID]],CarrierDriverTBL!$A:$A,0))</f>
        <v>42271</v>
      </c>
      <c r="BD134" s="142" t="str">
        <f ca="1">INDEX(CarrierDriverTBL!$AD:$AD,MATCH(LoadMaster!$AN:$AN,CarrierDriverTBL!$A:$A,0))</f>
        <v>MISSING</v>
      </c>
      <c r="BE134" s="142">
        <f>INDEX(CarrierDriverTBL!$AE:$AE,MATCH(Table1[DriverID],CarrierDriverTBL!$A:$A,0))</f>
        <v>913971</v>
      </c>
      <c r="BF134" s="142">
        <f>INDEX(CarrierDriverTBL!$AF:$AF,MATCH(Table1[DriverID],CarrierDriverTBL!$A:$A,0))</f>
        <v>2627544</v>
      </c>
      <c r="BG134" s="142">
        <f>INDEX(CarrierDriverTBL!$AG:$AG,MATCH(Table1[DriverID],CarrierDriverTBL!$A:$A,0))</f>
        <v>466133</v>
      </c>
      <c r="BH134" s="142" t="str">
        <f>INDEX(CarrierDriverTBL!$AH:$AH,MATCH(Table1[DriverID],CarrierDriverTBL!$A:$A,0))</f>
        <v>GM Lawrence Ins</v>
      </c>
      <c r="BI134" s="142" t="str">
        <f>INDEX(CarrierDriverTBL!$AI:$AI,MATCH(Table1[DriverID],CarrierDriverTBL!$A:$A,0))</f>
        <v>DSK2842P160210</v>
      </c>
      <c r="BJ134" s="160">
        <f>INDEX(CarrierDriverTBL!$AJ:$AJ,MATCH(Table1[[#This Row],[DriverID]],CarrierDriverTBL!$A:$A,0))</f>
        <v>42778</v>
      </c>
      <c r="BK134" s="10">
        <f t="shared" si="68"/>
        <v>481</v>
      </c>
      <c r="BL134" s="174">
        <v>900</v>
      </c>
      <c r="BM134" s="144">
        <v>345</v>
      </c>
      <c r="BN134" s="159">
        <f t="shared" si="61"/>
        <v>2.6086956521739131</v>
      </c>
      <c r="BO134" s="167">
        <f>0.93*900</f>
        <v>837</v>
      </c>
      <c r="BP134" s="159">
        <f t="shared" si="62"/>
        <v>2.4260869565217393</v>
      </c>
      <c r="BQ134" s="133">
        <v>2.7989999999999999</v>
      </c>
      <c r="BR134" s="166">
        <f t="shared" si="63"/>
        <v>0.14983333333333335</v>
      </c>
      <c r="BS134" s="167">
        <f t="shared" si="69"/>
        <v>2.2762536231884059</v>
      </c>
      <c r="BT134" s="159">
        <f t="shared" si="70"/>
        <v>51.692500000000003</v>
      </c>
      <c r="BU134" s="10" t="str">
        <f t="shared" si="71"/>
        <v>Ch Robinson</v>
      </c>
      <c r="BV134" s="4"/>
      <c r="BW134" s="4" t="str">
        <f>Table1[[#This Row],[BrokerAddress]]</f>
        <v>P.O. Box 3474</v>
      </c>
      <c r="BX134" s="4" t="str">
        <f t="shared" si="72"/>
        <v>Chicago</v>
      </c>
      <c r="BY134" s="4" t="str">
        <f t="shared" si="73"/>
        <v>Il</v>
      </c>
      <c r="BZ134" s="4">
        <f t="shared" si="74"/>
        <v>60654</v>
      </c>
      <c r="CA134" s="10" t="str">
        <f t="shared" si="75"/>
        <v>US</v>
      </c>
      <c r="CB134" s="15" t="s">
        <v>131</v>
      </c>
      <c r="CC134" s="62"/>
      <c r="CD134" s="15" t="s">
        <v>132</v>
      </c>
      <c r="CE134" s="64">
        <v>0</v>
      </c>
      <c r="CF134" s="4">
        <v>0</v>
      </c>
      <c r="CG134" s="132">
        <f t="shared" si="76"/>
        <v>0</v>
      </c>
      <c r="CH134" s="4" t="s">
        <v>132</v>
      </c>
      <c r="CI134" s="5">
        <v>0</v>
      </c>
      <c r="CJ134" s="4">
        <v>0</v>
      </c>
      <c r="CK134" s="132">
        <f t="shared" si="77"/>
        <v>0</v>
      </c>
      <c r="CL134" s="4" t="s">
        <v>132</v>
      </c>
      <c r="CM134" s="5">
        <v>0</v>
      </c>
      <c r="CN134" s="4">
        <v>0</v>
      </c>
      <c r="CO134" s="132">
        <f t="shared" si="78"/>
        <v>0</v>
      </c>
      <c r="CP134" s="4" t="s">
        <v>132</v>
      </c>
      <c r="CQ134" s="5">
        <v>0</v>
      </c>
      <c r="CR134" s="4">
        <v>0</v>
      </c>
      <c r="CS134" s="132">
        <f t="shared" si="79"/>
        <v>0</v>
      </c>
      <c r="CT134" s="159">
        <f t="shared" si="80"/>
        <v>0</v>
      </c>
      <c r="CU134" s="168">
        <f t="shared" si="81"/>
        <v>900</v>
      </c>
      <c r="CV134" s="183">
        <f t="shared" si="65"/>
        <v>0</v>
      </c>
      <c r="CW134" s="82">
        <f t="shared" si="64"/>
        <v>837</v>
      </c>
      <c r="CX134" s="79">
        <f>IF(ISBLANK(E134),"AddQuickPay",IF(E134=2,CU134*0.98,IF(E134=2.4,CU134*0.976,IF(E134=3,CU134*0.97,IF(E134=5,CU134*0.95,IF(E134=1.5,CU134*0.985,IF(E134=2.5,CU134*0.975,IF(E134=1.3,CU134*0.987,IF(E134=1,CU134*0.99,IF(E134=4,CU134*0.96,CU134*1))))))))))-Table1[[#This Row],[ComCheck+QuickPayFee]]</f>
        <v>882</v>
      </c>
      <c r="CY134" s="5">
        <f t="shared" si="82"/>
        <v>63</v>
      </c>
      <c r="CZ134" s="5">
        <f t="shared" si="83"/>
        <v>18</v>
      </c>
      <c r="DA134" s="258">
        <f>Table1[[#This Row],[OriginalDispatch]]-Table1[[#This Row],[QuickPayCharge]]</f>
        <v>45</v>
      </c>
      <c r="DB134" s="5">
        <v>0</v>
      </c>
      <c r="DC134" s="5" t="s">
        <v>133</v>
      </c>
      <c r="DD134" s="104">
        <f t="shared" si="84"/>
        <v>42300</v>
      </c>
      <c r="DE134" s="15">
        <f>MONTH(Table1[[#This Row],[Weekending]])</f>
        <v>10</v>
      </c>
      <c r="DF134" s="15">
        <f>YEAR(Table1[[#This Row],[Weekending]])</f>
        <v>2015</v>
      </c>
      <c r="DG134" s="4"/>
    </row>
    <row r="135" spans="1:111">
      <c r="A135" s="20" t="str">
        <f t="shared" si="66"/>
        <v>24235249</v>
      </c>
      <c r="B135" s="146">
        <v>42297</v>
      </c>
      <c r="C135" s="144">
        <v>183928424</v>
      </c>
      <c r="D135" s="298" t="s">
        <v>111</v>
      </c>
      <c r="E135" s="298">
        <v>2</v>
      </c>
      <c r="F135" s="142" t="str">
        <f>INDEX(BrokerTBL!$B:$B,MATCH(D135,BrokerTBL!$A:$A,0))</f>
        <v>P.O. Box 3474</v>
      </c>
      <c r="G135" s="142" t="str">
        <f>INDEX(BrokerTBL!$C:$C,MATCH(D135,BrokerTBL!$A:$A,0))</f>
        <v>Chicago</v>
      </c>
      <c r="H135" s="142" t="str">
        <f>INDEX(BrokerTBL!$D:$D,MATCH(D135,BrokerTBL!$A:$A,0))</f>
        <v>Il</v>
      </c>
      <c r="I135" s="142" t="str">
        <f>INDEX(BrokerTBL!$E:$E,MATCH(D135,BrokerTBL!$A:$A,0))</f>
        <v>US</v>
      </c>
      <c r="J135" s="142">
        <f>INDEX(BrokerTBL!$F:$F,MATCH(D135,BrokerTBL!$A:$A,0))</f>
        <v>60654</v>
      </c>
      <c r="K135" s="298" t="s">
        <v>1145</v>
      </c>
      <c r="L135" s="145">
        <v>155923</v>
      </c>
      <c r="M135" s="146">
        <v>42297</v>
      </c>
      <c r="N135" s="144" t="s">
        <v>1146</v>
      </c>
      <c r="O135" s="298" t="s">
        <v>1147</v>
      </c>
      <c r="P135" s="298" t="s">
        <v>1148</v>
      </c>
      <c r="Q135" s="298" t="s">
        <v>139</v>
      </c>
      <c r="R135" s="298">
        <v>92374</v>
      </c>
      <c r="S135" s="185" t="s">
        <v>118</v>
      </c>
      <c r="T135" s="298" t="s">
        <v>136</v>
      </c>
      <c r="U135" s="298" t="s">
        <v>120</v>
      </c>
      <c r="V135" s="298">
        <v>53</v>
      </c>
      <c r="W135" s="185" t="s">
        <v>483</v>
      </c>
      <c r="X135" s="144">
        <v>40000</v>
      </c>
      <c r="Y135" s="298" t="s">
        <v>740</v>
      </c>
      <c r="Z135" s="298">
        <v>1180</v>
      </c>
      <c r="AA135" s="298">
        <v>20</v>
      </c>
      <c r="AB135" s="298" t="s">
        <v>123</v>
      </c>
      <c r="AC135" s="298" t="s">
        <v>1149</v>
      </c>
      <c r="AD135" s="145">
        <v>538152</v>
      </c>
      <c r="AE135" s="146">
        <v>42298</v>
      </c>
      <c r="AF135" s="298" t="s">
        <v>1150</v>
      </c>
      <c r="AG135" s="298" t="s">
        <v>1151</v>
      </c>
      <c r="AH135" s="298" t="s">
        <v>208</v>
      </c>
      <c r="AI135" s="298" t="s">
        <v>139</v>
      </c>
      <c r="AJ135" s="298">
        <v>95826</v>
      </c>
      <c r="AK135" s="298" t="s">
        <v>118</v>
      </c>
      <c r="AL135" s="298" t="s">
        <v>123</v>
      </c>
      <c r="AM135" s="142" t="str">
        <f>INDEX(CarrierDriverTBL!$B:$B,MATCH(Table1[[#This Row],[DriverID]],CarrierDriverTBL!$A:$A,0))</f>
        <v>UBTrucking</v>
      </c>
      <c r="AN135" s="10" t="s">
        <v>192</v>
      </c>
      <c r="AO135" s="10" t="str">
        <f>INDEX(CarrierDriverTBL!$C:$C,MATCH(Table1[[#This Row],[DriverID]],CarrierDriverTBL!$A:$A,0))</f>
        <v>Albel</v>
      </c>
      <c r="AP135" s="142" t="str">
        <f>INDEX(CarrierDriverTBL!$D:$D,MATCH(Table1[[#This Row],[DriverID]],CarrierDriverTBL!$A:$A,0))</f>
        <v>Chahil</v>
      </c>
      <c r="AQ135" s="142" t="str">
        <f>INDEX(CarrierDriverTBL!$X:$X,MATCH(Table1[[#This Row],[DriverID]],CarrierDriverTBL!$A:$A,0))</f>
        <v>A8390649</v>
      </c>
      <c r="AR135" s="160">
        <f>INDEX(CarrierDriverTBL!$Y:$Y,MATCH(Table1[[#This Row],[DriverID]],CarrierDriverTBL!$A:$A,0))</f>
        <v>42402</v>
      </c>
      <c r="AS135" s="142" t="str">
        <f t="shared" si="67"/>
        <v>GOOD</v>
      </c>
      <c r="AT135" s="160">
        <f>INDEX(CarrierDriverTBL!$E:$E,MATCH(Table1[[#This Row],[DriverID]],CarrierDriverTBL!$A:$A,0))</f>
        <v>22314</v>
      </c>
      <c r="AU135" s="163">
        <f ca="1">INDEX(CarrierDriverTBL!$F:$F,MATCH(Table1[[#This Row],[DriverID]],CarrierDriverTBL!$A:$A,0))</f>
        <v>55.512328767123286</v>
      </c>
      <c r="AV135" s="142" t="str">
        <f>INDEX(CarrierDriverTBL!$K:$K,MATCH(Table1[[#This Row],[DriverID]],CarrierDriverTBL!$A:$A,0))</f>
        <v>510-773-9450</v>
      </c>
      <c r="AW135" s="142" t="str">
        <f>INDEX(CarrierDriverTBL!$M:$M,MATCH(Table1[[#This Row],[DriverID]],CarrierDriverTBL!$A:$A,0))</f>
        <v>3124 Cynthia CT</v>
      </c>
      <c r="AX135" s="142" t="str">
        <f>INDEX(CarrierDriverTBL!$N:$N,MATCH(Table1[[#This Row],[DriverID]],CarrierDriverTBL!$A:$A,0))</f>
        <v>Tracy</v>
      </c>
      <c r="AY135" s="142" t="str">
        <f>INDEX(CarrierDriverTBL!$O:$O,MATCH(Table1[[#This Row],[DriverID]],CarrierDriverTBL!$A:$A,0))</f>
        <v>CA</v>
      </c>
      <c r="AZ135" s="142">
        <f>INDEX(CarrierDriverTBL!$P:$P,MATCH(Table1[[#This Row],[DriverID]],CarrierDriverTBL!$A:$A,0))</f>
        <v>95377</v>
      </c>
      <c r="BA135" s="142" t="str">
        <f>INDEX(CarrierDriverTBL!$Q:$Q,MATCH(Table1[[#This Row],[DriverID]],CarrierDriverTBL!$A:$A,0))</f>
        <v>US</v>
      </c>
      <c r="BB135" s="176" t="str">
        <f>INDEX(CarrierDriverTBL!$R:$R,MATCH(Table1[[#This Row],[DriverID]],CarrierDriverTBL!$A:$A,0))</f>
        <v>ubgollc@gmail.com</v>
      </c>
      <c r="BC135" s="160">
        <f>INDEX(CarrierDriverTBL!$AB:$AB,MATCH(Table1[[#This Row],[DriverID]],CarrierDriverTBL!$A:$A,0))</f>
        <v>42167</v>
      </c>
      <c r="BD135" s="142" t="str">
        <f ca="1">INDEX(CarrierDriverTBL!$AD:$AD,MATCH(LoadMaster!$AN:$AN,CarrierDriverTBL!$A:$A,0))</f>
        <v>MISSING</v>
      </c>
      <c r="BE135" s="142">
        <f>INDEX(CarrierDriverTBL!$AE:$AE,MATCH(Table1[DriverID],CarrierDriverTBL!$A:$A,0))</f>
        <v>913971</v>
      </c>
      <c r="BF135" s="142">
        <f>INDEX(CarrierDriverTBL!$AF:$AF,MATCH(Table1[DriverID],CarrierDriverTBL!$A:$A,0))</f>
        <v>2627544</v>
      </c>
      <c r="BG135" s="142">
        <f>INDEX(CarrierDriverTBL!$AG:$AG,MATCH(Table1[DriverID],CarrierDriverTBL!$A:$A,0))</f>
        <v>466133</v>
      </c>
      <c r="BH135" s="142" t="str">
        <f>INDEX(CarrierDriverTBL!$AH:$AH,MATCH(Table1[DriverID],CarrierDriverTBL!$A:$A,0))</f>
        <v>GM Lawrence Ins</v>
      </c>
      <c r="BI135" s="142" t="str">
        <f>INDEX(CarrierDriverTBL!$AI:$AI,MATCH(Table1[DriverID],CarrierDriverTBL!$A:$A,0))</f>
        <v>DSK2842P160210</v>
      </c>
      <c r="BJ135" s="160">
        <f>INDEX(CarrierDriverTBL!$AJ:$AJ,MATCH(Table1[[#This Row],[DriverID]],CarrierDriverTBL!$A:$A,0))</f>
        <v>42778</v>
      </c>
      <c r="BK135" s="10">
        <f t="shared" si="68"/>
        <v>481</v>
      </c>
      <c r="BL135" s="174">
        <v>900</v>
      </c>
      <c r="BM135" s="144">
        <v>450</v>
      </c>
      <c r="BN135" s="159">
        <f t="shared" si="61"/>
        <v>2</v>
      </c>
      <c r="BO135" s="167">
        <v>850</v>
      </c>
      <c r="BP135" s="159">
        <f t="shared" si="62"/>
        <v>1.8888888888888888</v>
      </c>
      <c r="BQ135" s="133">
        <v>2.7989999999999999</v>
      </c>
      <c r="BR135" s="166">
        <f t="shared" si="63"/>
        <v>0.14983333333333335</v>
      </c>
      <c r="BS135" s="167">
        <f t="shared" si="69"/>
        <v>1.7390555555555556</v>
      </c>
      <c r="BT135" s="159">
        <f t="shared" si="70"/>
        <v>67.425000000000011</v>
      </c>
      <c r="BU135" s="10" t="str">
        <f t="shared" si="71"/>
        <v>Ch Robinson</v>
      </c>
      <c r="BV135" s="4"/>
      <c r="BW135" s="4" t="str">
        <f>Table1[[#This Row],[BrokerAddress]]</f>
        <v>P.O. Box 3474</v>
      </c>
      <c r="BX135" s="4" t="str">
        <f t="shared" si="72"/>
        <v>Chicago</v>
      </c>
      <c r="BY135" s="4" t="str">
        <f t="shared" si="73"/>
        <v>Il</v>
      </c>
      <c r="BZ135" s="4">
        <f t="shared" si="74"/>
        <v>60654</v>
      </c>
      <c r="CA135" s="10" t="str">
        <f t="shared" si="75"/>
        <v>US</v>
      </c>
      <c r="CB135" s="15" t="s">
        <v>131</v>
      </c>
      <c r="CC135" s="62"/>
      <c r="CD135" s="15" t="s">
        <v>132</v>
      </c>
      <c r="CE135" s="64">
        <v>0</v>
      </c>
      <c r="CF135" s="4">
        <v>0</v>
      </c>
      <c r="CG135" s="132">
        <f t="shared" si="76"/>
        <v>0</v>
      </c>
      <c r="CH135" s="4" t="s">
        <v>132</v>
      </c>
      <c r="CI135" s="5">
        <v>0</v>
      </c>
      <c r="CJ135" s="4">
        <v>0</v>
      </c>
      <c r="CK135" s="132">
        <f t="shared" si="77"/>
        <v>0</v>
      </c>
      <c r="CL135" s="4" t="s">
        <v>132</v>
      </c>
      <c r="CM135" s="5">
        <v>0</v>
      </c>
      <c r="CN135" s="4">
        <v>0</v>
      </c>
      <c r="CO135" s="132">
        <f t="shared" si="78"/>
        <v>0</v>
      </c>
      <c r="CP135" s="4" t="s">
        <v>132</v>
      </c>
      <c r="CQ135" s="5">
        <v>0</v>
      </c>
      <c r="CR135" s="4">
        <v>0</v>
      </c>
      <c r="CS135" s="132">
        <f t="shared" si="79"/>
        <v>0</v>
      </c>
      <c r="CT135" s="159">
        <f t="shared" si="80"/>
        <v>0</v>
      </c>
      <c r="CU135" s="168">
        <f t="shared" si="81"/>
        <v>900</v>
      </c>
      <c r="CV135" s="183">
        <f t="shared" si="65"/>
        <v>0</v>
      </c>
      <c r="CW135" s="82">
        <f t="shared" si="64"/>
        <v>850</v>
      </c>
      <c r="CX135" s="79">
        <f>IF(ISBLANK(E135),"AddQuickPay",IF(E135=2,CU135*0.98,IF(E135=2.4,CU135*0.976,IF(E135=3,CU135*0.97,IF(E135=5,CU135*0.95,IF(E135=1.5,CU135*0.985,IF(E135=2.5,CU135*0.975,IF(E135=1.3,CU135*0.987,IF(E135=1,CU135*0.99,IF(E135=4,CU135*0.96,CU135*1))))))))))-Table1[[#This Row],[ComCheck+QuickPayFee]]</f>
        <v>882</v>
      </c>
      <c r="CY135" s="5">
        <f t="shared" si="82"/>
        <v>50</v>
      </c>
      <c r="CZ135" s="5">
        <f t="shared" si="83"/>
        <v>18</v>
      </c>
      <c r="DA135" s="258">
        <f>Table1[[#This Row],[OriginalDispatch]]-Table1[[#This Row],[QuickPayCharge]]</f>
        <v>32</v>
      </c>
      <c r="DB135" s="5">
        <v>0</v>
      </c>
      <c r="DC135" s="5" t="s">
        <v>133</v>
      </c>
      <c r="DD135" s="104">
        <f t="shared" si="84"/>
        <v>42300</v>
      </c>
      <c r="DE135" s="15">
        <f>MONTH(Table1[[#This Row],[Weekending]])</f>
        <v>10</v>
      </c>
      <c r="DF135" s="15">
        <f>YEAR(Table1[[#This Row],[Weekending]])</f>
        <v>2015</v>
      </c>
      <c r="DG135" s="4"/>
    </row>
    <row r="136" spans="1:111">
      <c r="A136" s="20" t="str">
        <f t="shared" si="66"/>
        <v>63453388</v>
      </c>
      <c r="B136" s="146">
        <v>42298</v>
      </c>
      <c r="C136" s="144">
        <v>6187363</v>
      </c>
      <c r="D136" s="298" t="s">
        <v>555</v>
      </c>
      <c r="E136" s="298">
        <v>3</v>
      </c>
      <c r="F136" s="298" t="str">
        <f>INDEX(BrokerTBL!$B:$B,MATCH(D136,BrokerTBL!$A:$A,0))</f>
        <v>P.O. Box 799</v>
      </c>
      <c r="G136" s="298" t="str">
        <f>INDEX(BrokerTBL!$C:$C,MATCH(D136,BrokerTBL!$A:$A,0))</f>
        <v>Milford</v>
      </c>
      <c r="H136" s="298" t="str">
        <f>INDEX(BrokerTBL!$D:$D,MATCH(D136,BrokerTBL!$A:$A,0))</f>
        <v>Ohio</v>
      </c>
      <c r="I136" s="298" t="str">
        <f>INDEX(BrokerTBL!$E:$E,MATCH(D136,BrokerTBL!$A:$A,0))</f>
        <v>US</v>
      </c>
      <c r="J136" s="298">
        <f>INDEX(BrokerTBL!$F:$F,MATCH(D136,BrokerTBL!$A:$A,0))</f>
        <v>45150</v>
      </c>
      <c r="K136" s="298" t="s">
        <v>1152</v>
      </c>
      <c r="L136" s="145" t="s">
        <v>1153</v>
      </c>
      <c r="M136" s="146">
        <v>42298</v>
      </c>
      <c r="N136" s="182">
        <v>0.54166666666666696</v>
      </c>
      <c r="O136" s="298" t="s">
        <v>1154</v>
      </c>
      <c r="P136" s="298" t="s">
        <v>228</v>
      </c>
      <c r="Q136" s="298" t="s">
        <v>139</v>
      </c>
      <c r="R136" s="298">
        <v>94545</v>
      </c>
      <c r="S136" s="298" t="s">
        <v>118</v>
      </c>
      <c r="T136" s="298" t="s">
        <v>1155</v>
      </c>
      <c r="U136" s="298" t="s">
        <v>120</v>
      </c>
      <c r="V136" s="298">
        <v>53</v>
      </c>
      <c r="W136" s="298" t="s">
        <v>1156</v>
      </c>
      <c r="X136" s="144" t="s">
        <v>136</v>
      </c>
      <c r="Y136" s="298" t="s">
        <v>123</v>
      </c>
      <c r="Z136" s="298" t="s">
        <v>123</v>
      </c>
      <c r="AA136" s="298" t="s">
        <v>123</v>
      </c>
      <c r="AB136" s="298" t="s">
        <v>123</v>
      </c>
      <c r="AC136" s="298" t="s">
        <v>1157</v>
      </c>
      <c r="AD136" s="145">
        <v>1622233</v>
      </c>
      <c r="AE136" s="146">
        <v>42299</v>
      </c>
      <c r="AF136" s="182">
        <v>0.375</v>
      </c>
      <c r="AG136" s="298" t="s">
        <v>1158</v>
      </c>
      <c r="AH136" s="298" t="s">
        <v>1159</v>
      </c>
      <c r="AI136" s="298" t="s">
        <v>139</v>
      </c>
      <c r="AJ136" s="298">
        <v>93101</v>
      </c>
      <c r="AK136" s="298" t="s">
        <v>118</v>
      </c>
      <c r="AL136" s="298" t="s">
        <v>123</v>
      </c>
      <c r="AM136" s="142" t="str">
        <f>INDEX(CarrierDriverTBL!$B:$B,MATCH(Table1[[#This Row],[DriverID]],CarrierDriverTBL!$A:$A,0))</f>
        <v>UBTrucking</v>
      </c>
      <c r="AN136" s="10" t="s">
        <v>948</v>
      </c>
      <c r="AO136" s="10" t="str">
        <f>INDEX(CarrierDriverTBL!$C:$C,MATCH(Table1[[#This Row],[DriverID]],CarrierDriverTBL!$A:$A,0))</f>
        <v>Wesley</v>
      </c>
      <c r="AP136" s="10" t="str">
        <f>INDEX(CarrierDriverTBL!$D:$D,MATCH(Table1[[#This Row],[DriverID]],CarrierDriverTBL!$A:$A,0))</f>
        <v>Cousain</v>
      </c>
      <c r="AQ136" s="10" t="str">
        <f>INDEX(CarrierDriverTBL!$X:$X,MATCH(Table1[[#This Row],[DriverID]],CarrierDriverTBL!$A:$A,0))</f>
        <v>D4903588</v>
      </c>
      <c r="AR136" s="11">
        <f>INDEX(CarrierDriverTBL!$Y:$Y,MATCH(Table1[[#This Row],[DriverID]],CarrierDriverTBL!$A:$A,0))</f>
        <v>43458</v>
      </c>
      <c r="AS136" s="142" t="str">
        <f t="shared" si="67"/>
        <v>GOOD</v>
      </c>
      <c r="AT136" s="11">
        <f>INDEX(CarrierDriverTBL!$E:$E,MATCH(Table1[[#This Row],[DriverID]],CarrierDriverTBL!$A:$A,0))</f>
        <v>31405</v>
      </c>
      <c r="AU136" s="163">
        <f ca="1">INDEX(CarrierDriverTBL!$F:$F,MATCH(Table1[[#This Row],[DriverID]],CarrierDriverTBL!$A:$A,0))</f>
        <v>30.605479452054794</v>
      </c>
      <c r="AV136" s="10" t="str">
        <f>INDEX(CarrierDriverTBL!$K:$K,MATCH(Table1[[#This Row],[DriverID]],CarrierDriverTBL!$A:$A,0))</f>
        <v>925-383-5364</v>
      </c>
      <c r="AW136" s="10" t="str">
        <f>INDEX(CarrierDriverTBL!$M:$M,MATCH(Table1[[#This Row],[DriverID]],CarrierDriverTBL!$A:$A,0))</f>
        <v>110 Cordova Ln</v>
      </c>
      <c r="AX136" s="10" t="str">
        <f>INDEX(CarrierDriverTBL!$N:$N,MATCH(Table1[[#This Row],[DriverID]],CarrierDriverTBL!$A:$A,0))</f>
        <v>Stockton</v>
      </c>
      <c r="AY136" s="10" t="str">
        <f>INDEX(CarrierDriverTBL!$O:$O,MATCH(Table1[[#This Row],[DriverID]],CarrierDriverTBL!$A:$A,0))</f>
        <v>CA</v>
      </c>
      <c r="AZ136" s="10">
        <f>INDEX(CarrierDriverTBL!$P:$P,MATCH(Table1[[#This Row],[DriverID]],CarrierDriverTBL!$A:$A,0))</f>
        <v>95207</v>
      </c>
      <c r="BA136" s="10" t="str">
        <f>INDEX(CarrierDriverTBL!$Q:$Q,MATCH(Table1[[#This Row],[DriverID]],CarrierDriverTBL!$A:$A,0))</f>
        <v>US</v>
      </c>
      <c r="BB136" s="173" t="str">
        <f>INDEX(CarrierDriverTBL!$R:$R,MATCH(Table1[[#This Row],[DriverID]],CarrierDriverTBL!$A:$A,0))</f>
        <v>wesleycousain1@gmail.com</v>
      </c>
      <c r="BC136" s="160">
        <f>INDEX(CarrierDriverTBL!$AB:$AB,MATCH(Table1[[#This Row],[DriverID]],CarrierDriverTBL!$A:$A,0))</f>
        <v>42271</v>
      </c>
      <c r="BD136" s="142" t="str">
        <f ca="1">INDEX(CarrierDriverTBL!$AD:$AD,MATCH(LoadMaster!$AN:$AN,CarrierDriverTBL!$A:$A,0))</f>
        <v>MISSING</v>
      </c>
      <c r="BE136" s="142">
        <f>INDEX(CarrierDriverTBL!$AE:$AE,MATCH(Table1[DriverID],CarrierDriverTBL!$A:$A,0))</f>
        <v>913971</v>
      </c>
      <c r="BF136" s="142">
        <f>INDEX(CarrierDriverTBL!$AF:$AF,MATCH(Table1[DriverID],CarrierDriverTBL!$A:$A,0))</f>
        <v>2627544</v>
      </c>
      <c r="BG136" s="142">
        <f>INDEX(CarrierDriverTBL!$AG:$AG,MATCH(Table1[DriverID],CarrierDriverTBL!$A:$A,0))</f>
        <v>466133</v>
      </c>
      <c r="BH136" s="142" t="str">
        <f>INDEX(CarrierDriverTBL!$AH:$AH,MATCH(Table1[DriverID],CarrierDriverTBL!$A:$A,0))</f>
        <v>GM Lawrence Ins</v>
      </c>
      <c r="BI136" s="142" t="str">
        <f>INDEX(CarrierDriverTBL!$AI:$AI,MATCH(Table1[DriverID],CarrierDriverTBL!$A:$A,0))</f>
        <v>DSK2842P160210</v>
      </c>
      <c r="BJ136" s="160">
        <f>INDEX(CarrierDriverTBL!$AJ:$AJ,MATCH(Table1[[#This Row],[DriverID]],CarrierDriverTBL!$A:$A,0))</f>
        <v>42778</v>
      </c>
      <c r="BK136" s="10">
        <f t="shared" si="68"/>
        <v>480</v>
      </c>
      <c r="BL136" s="174">
        <v>675</v>
      </c>
      <c r="BM136" s="144">
        <v>372</v>
      </c>
      <c r="BN136" s="159">
        <f t="shared" si="61"/>
        <v>1.814516129032258</v>
      </c>
      <c r="BO136" s="167">
        <f>0.93*625</f>
        <v>581.25</v>
      </c>
      <c r="BP136" s="159">
        <f t="shared" si="62"/>
        <v>1.5625</v>
      </c>
      <c r="BQ136" s="133">
        <v>2.7989999999999999</v>
      </c>
      <c r="BR136" s="166">
        <f t="shared" si="63"/>
        <v>0.14983333333333335</v>
      </c>
      <c r="BS136" s="167">
        <f t="shared" si="69"/>
        <v>1.4126666666666667</v>
      </c>
      <c r="BT136" s="159">
        <f t="shared" si="70"/>
        <v>55.738000000000007</v>
      </c>
      <c r="BU136" s="10" t="str">
        <f t="shared" si="71"/>
        <v>Tql</v>
      </c>
      <c r="BV136" s="15"/>
      <c r="BW136" s="4" t="str">
        <f>Table1[[#This Row],[BrokerAddress]]</f>
        <v>P.O. Box 799</v>
      </c>
      <c r="BX136" s="4" t="str">
        <f t="shared" si="72"/>
        <v>Milford</v>
      </c>
      <c r="BY136" s="4" t="str">
        <f t="shared" si="73"/>
        <v>Ohio</v>
      </c>
      <c r="BZ136" s="4">
        <f t="shared" si="74"/>
        <v>45150</v>
      </c>
      <c r="CA136" s="10" t="str">
        <f t="shared" si="75"/>
        <v>US</v>
      </c>
      <c r="CB136" s="15" t="s">
        <v>131</v>
      </c>
      <c r="CC136" s="62"/>
      <c r="CD136" s="15" t="s">
        <v>132</v>
      </c>
      <c r="CE136" s="64">
        <v>0</v>
      </c>
      <c r="CF136" s="4">
        <v>0</v>
      </c>
      <c r="CG136" s="132">
        <f t="shared" si="76"/>
        <v>0</v>
      </c>
      <c r="CH136" s="4" t="s">
        <v>132</v>
      </c>
      <c r="CI136" s="5">
        <v>0</v>
      </c>
      <c r="CJ136" s="4">
        <v>0</v>
      </c>
      <c r="CK136" s="132">
        <f t="shared" si="77"/>
        <v>0</v>
      </c>
      <c r="CL136" s="4" t="s">
        <v>132</v>
      </c>
      <c r="CM136" s="5">
        <v>0</v>
      </c>
      <c r="CN136" s="4">
        <v>0</v>
      </c>
      <c r="CO136" s="132">
        <f t="shared" si="78"/>
        <v>0</v>
      </c>
      <c r="CP136" s="4" t="s">
        <v>132</v>
      </c>
      <c r="CQ136" s="5">
        <v>0</v>
      </c>
      <c r="CR136" s="4">
        <v>0</v>
      </c>
      <c r="CS136" s="132">
        <f t="shared" si="79"/>
        <v>0</v>
      </c>
      <c r="CT136" s="159">
        <f t="shared" si="80"/>
        <v>0</v>
      </c>
      <c r="CU136" s="168">
        <f t="shared" si="81"/>
        <v>675</v>
      </c>
      <c r="CV136" s="183">
        <f t="shared" si="65"/>
        <v>0</v>
      </c>
      <c r="CW136" s="82">
        <f t="shared" si="64"/>
        <v>581.25</v>
      </c>
      <c r="CX136" s="79">
        <f>IF(ISBLANK(E136),"AddQuickPay",IF(E136=2,CU136*0.98,IF(E136=2.4,CU136*0.976,IF(E136=3,CU136*0.97,IF(E136=5,CU136*0.95,IF(E136=1.5,CU136*0.985,IF(E136=2.5,CU136*0.975,IF(E136=1.3,CU136*0.987,IF(E136=1,CU136*0.99,IF(E136=4,CU136*0.96,CU136*1))))))))))-Table1[[#This Row],[ComCheck+QuickPayFee]]</f>
        <v>654.75</v>
      </c>
      <c r="CY136" s="5">
        <f t="shared" si="82"/>
        <v>93.75</v>
      </c>
      <c r="CZ136" s="5">
        <f t="shared" si="83"/>
        <v>20.25</v>
      </c>
      <c r="DA136" s="258">
        <f>Table1[[#This Row],[OriginalDispatch]]-Table1[[#This Row],[QuickPayCharge]]</f>
        <v>73.5</v>
      </c>
      <c r="DB136" s="5">
        <v>0</v>
      </c>
      <c r="DC136" s="5" t="s">
        <v>133</v>
      </c>
      <c r="DD136" s="104">
        <f t="shared" si="84"/>
        <v>42300</v>
      </c>
      <c r="DE136" s="15">
        <f>MONTH(Table1[[#This Row],[Weekending]])</f>
        <v>10</v>
      </c>
      <c r="DF136" s="15">
        <f>YEAR(Table1[[#This Row],[Weekending]])</f>
        <v>2015</v>
      </c>
      <c r="DG136" s="4"/>
    </row>
    <row r="137" spans="1:111">
      <c r="A137" s="20" t="str">
        <f t="shared" si="66"/>
        <v>54149149</v>
      </c>
      <c r="B137" s="146">
        <v>42298</v>
      </c>
      <c r="C137" s="144">
        <v>184206354</v>
      </c>
      <c r="D137" s="298" t="s">
        <v>111</v>
      </c>
      <c r="E137" s="298">
        <v>2</v>
      </c>
      <c r="F137" s="142" t="str">
        <f>INDEX(BrokerTBL!$B:$B,MATCH(D137,BrokerTBL!$A:$A,0))</f>
        <v>P.O. Box 3474</v>
      </c>
      <c r="G137" s="142" t="str">
        <f>INDEX(BrokerTBL!$C:$C,MATCH(D137,BrokerTBL!$A:$A,0))</f>
        <v>Chicago</v>
      </c>
      <c r="H137" s="142" t="str">
        <f>INDEX(BrokerTBL!$D:$D,MATCH(D137,BrokerTBL!$A:$A,0))</f>
        <v>Il</v>
      </c>
      <c r="I137" s="142" t="str">
        <f>INDEX(BrokerTBL!$E:$E,MATCH(D137,BrokerTBL!$A:$A,0))</f>
        <v>US</v>
      </c>
      <c r="J137" s="142">
        <f>INDEX(BrokerTBL!$F:$F,MATCH(D137,BrokerTBL!$A:$A,0))</f>
        <v>60654</v>
      </c>
      <c r="K137" s="298" t="s">
        <v>1072</v>
      </c>
      <c r="L137" s="145">
        <v>11060714</v>
      </c>
      <c r="M137" s="146">
        <v>42298</v>
      </c>
      <c r="N137" s="182">
        <v>0.58333333333333304</v>
      </c>
      <c r="O137" s="298" t="s">
        <v>1073</v>
      </c>
      <c r="P137" s="298" t="s">
        <v>366</v>
      </c>
      <c r="Q137" s="298" t="s">
        <v>139</v>
      </c>
      <c r="R137" s="298">
        <v>95776</v>
      </c>
      <c r="S137" s="185" t="s">
        <v>118</v>
      </c>
      <c r="T137" s="298" t="s">
        <v>136</v>
      </c>
      <c r="U137" s="298" t="s">
        <v>120</v>
      </c>
      <c r="V137" s="298">
        <v>53</v>
      </c>
      <c r="W137" s="185" t="s">
        <v>1074</v>
      </c>
      <c r="X137" s="144">
        <v>17092</v>
      </c>
      <c r="Y137" s="298" t="s">
        <v>26</v>
      </c>
      <c r="Z137" s="298">
        <v>357</v>
      </c>
      <c r="AA137" s="298" t="s">
        <v>123</v>
      </c>
      <c r="AB137" s="298" t="s">
        <v>123</v>
      </c>
      <c r="AC137" s="298" t="s">
        <v>1160</v>
      </c>
      <c r="AD137" s="145">
        <v>811891</v>
      </c>
      <c r="AE137" s="146">
        <v>42299</v>
      </c>
      <c r="AF137" s="182">
        <v>0.6875</v>
      </c>
      <c r="AG137" s="298" t="s">
        <v>1161</v>
      </c>
      <c r="AH137" s="298" t="s">
        <v>892</v>
      </c>
      <c r="AI137" s="298" t="s">
        <v>139</v>
      </c>
      <c r="AJ137" s="298">
        <v>90670</v>
      </c>
      <c r="AK137" s="298" t="s">
        <v>118</v>
      </c>
      <c r="AL137" s="298" t="s">
        <v>123</v>
      </c>
      <c r="AM137" s="142" t="str">
        <f>INDEX(CarrierDriverTBL!$B:$B,MATCH(Table1[[#This Row],[DriverID]],CarrierDriverTBL!$A:$A,0))</f>
        <v>UBTrucking</v>
      </c>
      <c r="AN137" s="10" t="s">
        <v>192</v>
      </c>
      <c r="AO137" s="10" t="str">
        <f>INDEX(CarrierDriverTBL!$C:$C,MATCH(Table1[[#This Row],[DriverID]],CarrierDriverTBL!$A:$A,0))</f>
        <v>Albel</v>
      </c>
      <c r="AP137" s="142" t="str">
        <f>INDEX(CarrierDriverTBL!$D:$D,MATCH(Table1[[#This Row],[DriverID]],CarrierDriverTBL!$A:$A,0))</f>
        <v>Chahil</v>
      </c>
      <c r="AQ137" s="142" t="str">
        <f>INDEX(CarrierDriverTBL!$X:$X,MATCH(Table1[[#This Row],[DriverID]],CarrierDriverTBL!$A:$A,0))</f>
        <v>A8390649</v>
      </c>
      <c r="AR137" s="160">
        <f>INDEX(CarrierDriverTBL!$Y:$Y,MATCH(Table1[[#This Row],[DriverID]],CarrierDriverTBL!$A:$A,0))</f>
        <v>42402</v>
      </c>
      <c r="AS137" s="142" t="str">
        <f t="shared" si="67"/>
        <v>GOOD</v>
      </c>
      <c r="AT137" s="160">
        <f>INDEX(CarrierDriverTBL!$E:$E,MATCH(Table1[[#This Row],[DriverID]],CarrierDriverTBL!$A:$A,0))</f>
        <v>22314</v>
      </c>
      <c r="AU137" s="163">
        <f ca="1">INDEX(CarrierDriverTBL!$F:$F,MATCH(Table1[[#This Row],[DriverID]],CarrierDriverTBL!$A:$A,0))</f>
        <v>55.512328767123286</v>
      </c>
      <c r="AV137" s="142" t="str">
        <f>INDEX(CarrierDriverTBL!$K:$K,MATCH(Table1[[#This Row],[DriverID]],CarrierDriverTBL!$A:$A,0))</f>
        <v>510-773-9450</v>
      </c>
      <c r="AW137" s="142" t="str">
        <f>INDEX(CarrierDriverTBL!$M:$M,MATCH(Table1[[#This Row],[DriverID]],CarrierDriverTBL!$A:$A,0))</f>
        <v>3124 Cynthia CT</v>
      </c>
      <c r="AX137" s="142" t="str">
        <f>INDEX(CarrierDriverTBL!$N:$N,MATCH(Table1[[#This Row],[DriverID]],CarrierDriverTBL!$A:$A,0))</f>
        <v>Tracy</v>
      </c>
      <c r="AY137" s="142" t="str">
        <f>INDEX(CarrierDriverTBL!$O:$O,MATCH(Table1[[#This Row],[DriverID]],CarrierDriverTBL!$A:$A,0))</f>
        <v>CA</v>
      </c>
      <c r="AZ137" s="142">
        <f>INDEX(CarrierDriverTBL!$P:$P,MATCH(Table1[[#This Row],[DriverID]],CarrierDriverTBL!$A:$A,0))</f>
        <v>95377</v>
      </c>
      <c r="BA137" s="142" t="str">
        <f>INDEX(CarrierDriverTBL!$Q:$Q,MATCH(Table1[[#This Row],[DriverID]],CarrierDriverTBL!$A:$A,0))</f>
        <v>US</v>
      </c>
      <c r="BB137" s="176" t="str">
        <f>INDEX(CarrierDriverTBL!$R:$R,MATCH(Table1[[#This Row],[DriverID]],CarrierDriverTBL!$A:$A,0))</f>
        <v>ubgollc@gmail.com</v>
      </c>
      <c r="BC137" s="160">
        <f>INDEX(CarrierDriverTBL!$AB:$AB,MATCH(Table1[[#This Row],[DriverID]],CarrierDriverTBL!$A:$A,0))</f>
        <v>42167</v>
      </c>
      <c r="BD137" s="142" t="str">
        <f ca="1">INDEX(CarrierDriverTBL!$AD:$AD,MATCH(LoadMaster!$AN:$AN,CarrierDriverTBL!$A:$A,0))</f>
        <v>MISSING</v>
      </c>
      <c r="BE137" s="142">
        <f>INDEX(CarrierDriverTBL!$AE:$AE,MATCH(Table1[DriverID],CarrierDriverTBL!$A:$A,0))</f>
        <v>913971</v>
      </c>
      <c r="BF137" s="142">
        <f>INDEX(CarrierDriverTBL!$AF:$AF,MATCH(Table1[DriverID],CarrierDriverTBL!$A:$A,0))</f>
        <v>2627544</v>
      </c>
      <c r="BG137" s="142">
        <f>INDEX(CarrierDriverTBL!$AG:$AG,MATCH(Table1[DriverID],CarrierDriverTBL!$A:$A,0))</f>
        <v>466133</v>
      </c>
      <c r="BH137" s="142" t="str">
        <f>INDEX(CarrierDriverTBL!$AH:$AH,MATCH(Table1[DriverID],CarrierDriverTBL!$A:$A,0))</f>
        <v>GM Lawrence Ins</v>
      </c>
      <c r="BI137" s="142" t="str">
        <f>INDEX(CarrierDriverTBL!$AI:$AI,MATCH(Table1[DriverID],CarrierDriverTBL!$A:$A,0))</f>
        <v>DSK2842P160210</v>
      </c>
      <c r="BJ137" s="160">
        <f>INDEX(CarrierDriverTBL!$AJ:$AJ,MATCH(Table1[[#This Row],[DriverID]],CarrierDriverTBL!$A:$A,0))</f>
        <v>42778</v>
      </c>
      <c r="BK137" s="10">
        <f t="shared" si="68"/>
        <v>480</v>
      </c>
      <c r="BL137" s="174">
        <v>950</v>
      </c>
      <c r="BM137" s="144">
        <v>419</v>
      </c>
      <c r="BN137" s="159">
        <f t="shared" si="61"/>
        <v>2.2673031026252985</v>
      </c>
      <c r="BO137" s="167">
        <v>900</v>
      </c>
      <c r="BP137" s="159">
        <f t="shared" si="62"/>
        <v>2.1479713603818618</v>
      </c>
      <c r="BQ137" s="133">
        <v>2.7989999999999999</v>
      </c>
      <c r="BR137" s="166">
        <f t="shared" si="63"/>
        <v>0.14983333333333335</v>
      </c>
      <c r="BS137" s="167">
        <f t="shared" si="69"/>
        <v>1.9981380270485285</v>
      </c>
      <c r="BT137" s="159">
        <f t="shared" si="70"/>
        <v>62.780166666666673</v>
      </c>
      <c r="BU137" s="10" t="str">
        <f t="shared" si="71"/>
        <v>Ch Robinson</v>
      </c>
      <c r="BV137" s="4"/>
      <c r="BW137" s="4" t="str">
        <f>Table1[[#This Row],[BrokerAddress]]</f>
        <v>P.O. Box 3474</v>
      </c>
      <c r="BX137" s="4" t="str">
        <f t="shared" si="72"/>
        <v>Chicago</v>
      </c>
      <c r="BY137" s="4" t="str">
        <f t="shared" si="73"/>
        <v>Il</v>
      </c>
      <c r="BZ137" s="4">
        <f t="shared" si="74"/>
        <v>60654</v>
      </c>
      <c r="CA137" s="10" t="str">
        <f t="shared" si="75"/>
        <v>US</v>
      </c>
      <c r="CB137" s="15" t="s">
        <v>131</v>
      </c>
      <c r="CC137" s="62"/>
      <c r="CD137" s="15" t="s">
        <v>132</v>
      </c>
      <c r="CE137" s="64">
        <v>0</v>
      </c>
      <c r="CF137" s="4">
        <v>0</v>
      </c>
      <c r="CG137" s="132">
        <f t="shared" si="76"/>
        <v>0</v>
      </c>
      <c r="CH137" s="4" t="s">
        <v>132</v>
      </c>
      <c r="CI137" s="5">
        <v>0</v>
      </c>
      <c r="CJ137" s="4">
        <v>0</v>
      </c>
      <c r="CK137" s="132">
        <f t="shared" si="77"/>
        <v>0</v>
      </c>
      <c r="CL137" s="4" t="s">
        <v>132</v>
      </c>
      <c r="CM137" s="5">
        <v>0</v>
      </c>
      <c r="CN137" s="4">
        <v>0</v>
      </c>
      <c r="CO137" s="132">
        <f t="shared" si="78"/>
        <v>0</v>
      </c>
      <c r="CP137" s="4" t="s">
        <v>132</v>
      </c>
      <c r="CQ137" s="5">
        <v>0</v>
      </c>
      <c r="CR137" s="4">
        <v>0</v>
      </c>
      <c r="CS137" s="132">
        <f t="shared" si="79"/>
        <v>0</v>
      </c>
      <c r="CT137" s="159">
        <f t="shared" si="80"/>
        <v>0</v>
      </c>
      <c r="CU137" s="168">
        <f t="shared" si="81"/>
        <v>950</v>
      </c>
      <c r="CV137" s="183">
        <f t="shared" si="65"/>
        <v>0</v>
      </c>
      <c r="CW137" s="82">
        <f t="shared" si="64"/>
        <v>900</v>
      </c>
      <c r="CX137" s="79">
        <f>IF(ISBLANK(E137),"AddQuickPay",IF(E137=2,CU137*0.98,IF(E137=2.4,CU137*0.976,IF(E137=3,CU137*0.97,IF(E137=5,CU137*0.95,IF(E137=1.5,CU137*0.985,IF(E137=2.5,CU137*0.975,IF(E137=1.3,CU137*0.987,IF(E137=1,CU137*0.99,IF(E137=4,CU137*0.96,CU137*1))))))))))-Table1[[#This Row],[ComCheck+QuickPayFee]]</f>
        <v>931</v>
      </c>
      <c r="CY137" s="5">
        <f t="shared" si="82"/>
        <v>50</v>
      </c>
      <c r="CZ137" s="5">
        <f t="shared" si="83"/>
        <v>19</v>
      </c>
      <c r="DA137" s="258">
        <f>Table1[[#This Row],[OriginalDispatch]]-Table1[[#This Row],[QuickPayCharge]]</f>
        <v>31</v>
      </c>
      <c r="DB137" s="5">
        <v>0</v>
      </c>
      <c r="DC137" s="5" t="s">
        <v>133</v>
      </c>
      <c r="DD137" s="104">
        <f t="shared" si="84"/>
        <v>42300</v>
      </c>
      <c r="DE137" s="15">
        <f>MONTH(Table1[[#This Row],[Weekending]])</f>
        <v>10</v>
      </c>
      <c r="DF137" s="15">
        <f>YEAR(Table1[[#This Row],[Weekending]])</f>
        <v>2015</v>
      </c>
      <c r="DG137" s="4"/>
    </row>
    <row r="138" spans="1:111">
      <c r="A138" s="20" t="str">
        <f t="shared" si="66"/>
        <v>77161849</v>
      </c>
      <c r="B138" s="146">
        <v>42299</v>
      </c>
      <c r="C138" s="144">
        <v>184417277</v>
      </c>
      <c r="D138" s="298" t="s">
        <v>111</v>
      </c>
      <c r="E138" s="298">
        <v>2</v>
      </c>
      <c r="F138" s="142" t="str">
        <f>INDEX(BrokerTBL!$B:$B,MATCH(D138,BrokerTBL!$A:$A,0))</f>
        <v>P.O. Box 3474</v>
      </c>
      <c r="G138" s="142" t="str">
        <f>INDEX(BrokerTBL!$C:$C,MATCH(D138,BrokerTBL!$A:$A,0))</f>
        <v>Chicago</v>
      </c>
      <c r="H138" s="142" t="str">
        <f>INDEX(BrokerTBL!$D:$D,MATCH(D138,BrokerTBL!$A:$A,0))</f>
        <v>Il</v>
      </c>
      <c r="I138" s="142" t="str">
        <f>INDEX(BrokerTBL!$E:$E,MATCH(D138,BrokerTBL!$A:$A,0))</f>
        <v>US</v>
      </c>
      <c r="J138" s="142">
        <f>INDEX(BrokerTBL!$F:$F,MATCH(D138,BrokerTBL!$A:$A,0))</f>
        <v>60654</v>
      </c>
      <c r="K138" s="298" t="s">
        <v>1162</v>
      </c>
      <c r="L138" s="145" t="s">
        <v>1163</v>
      </c>
      <c r="M138" s="146">
        <v>42299</v>
      </c>
      <c r="N138" s="182">
        <v>0.77083333333333304</v>
      </c>
      <c r="O138" s="298" t="s">
        <v>1164</v>
      </c>
      <c r="P138" s="298" t="s">
        <v>1114</v>
      </c>
      <c r="Q138" s="298" t="s">
        <v>139</v>
      </c>
      <c r="R138" s="298">
        <v>917645</v>
      </c>
      <c r="S138" s="298" t="s">
        <v>118</v>
      </c>
      <c r="T138" s="298" t="s">
        <v>136</v>
      </c>
      <c r="U138" s="298" t="s">
        <v>120</v>
      </c>
      <c r="V138" s="298">
        <v>53</v>
      </c>
      <c r="W138" s="298" t="s">
        <v>185</v>
      </c>
      <c r="X138" s="144">
        <v>45474</v>
      </c>
      <c r="Y138" s="298" t="s">
        <v>1165</v>
      </c>
      <c r="Z138" s="298">
        <v>2288</v>
      </c>
      <c r="AA138" s="298" t="s">
        <v>123</v>
      </c>
      <c r="AB138" s="298" t="s">
        <v>123</v>
      </c>
      <c r="AC138" s="298" t="s">
        <v>934</v>
      </c>
      <c r="AD138" s="145">
        <v>154298318</v>
      </c>
      <c r="AE138" s="146">
        <v>42300</v>
      </c>
      <c r="AF138" s="182">
        <v>0.25</v>
      </c>
      <c r="AG138" s="298" t="s">
        <v>935</v>
      </c>
      <c r="AH138" s="298" t="s">
        <v>380</v>
      </c>
      <c r="AI138" s="298" t="s">
        <v>139</v>
      </c>
      <c r="AJ138" s="298">
        <v>95304</v>
      </c>
      <c r="AK138" s="298" t="s">
        <v>118</v>
      </c>
      <c r="AL138" s="298" t="s">
        <v>123</v>
      </c>
      <c r="AM138" s="142" t="str">
        <f>INDEX(CarrierDriverTBL!$B:$B,MATCH(Table1[[#This Row],[DriverID]],CarrierDriverTBL!$A:$A,0))</f>
        <v>UBTrucking</v>
      </c>
      <c r="AN138" s="10" t="s">
        <v>192</v>
      </c>
      <c r="AO138" s="10" t="str">
        <f>INDEX(CarrierDriverTBL!$C:$C,MATCH(Table1[[#This Row],[DriverID]],CarrierDriverTBL!$A:$A,0))</f>
        <v>Albel</v>
      </c>
      <c r="AP138" s="142" t="str">
        <f>INDEX(CarrierDriverTBL!$D:$D,MATCH(Table1[[#This Row],[DriverID]],CarrierDriverTBL!$A:$A,0))</f>
        <v>Chahil</v>
      </c>
      <c r="AQ138" s="142" t="str">
        <f>INDEX(CarrierDriverTBL!$X:$X,MATCH(Table1[[#This Row],[DriverID]],CarrierDriverTBL!$A:$A,0))</f>
        <v>A8390649</v>
      </c>
      <c r="AR138" s="160">
        <f>INDEX(CarrierDriverTBL!$Y:$Y,MATCH(Table1[[#This Row],[DriverID]],CarrierDriverTBL!$A:$A,0))</f>
        <v>42402</v>
      </c>
      <c r="AS138" s="142" t="str">
        <f t="shared" si="67"/>
        <v>GOOD</v>
      </c>
      <c r="AT138" s="160">
        <f>INDEX(CarrierDriverTBL!$E:$E,MATCH(Table1[[#This Row],[DriverID]],CarrierDriverTBL!$A:$A,0))</f>
        <v>22314</v>
      </c>
      <c r="AU138" s="163">
        <f ca="1">INDEX(CarrierDriverTBL!$F:$F,MATCH(Table1[[#This Row],[DriverID]],CarrierDriverTBL!$A:$A,0))</f>
        <v>55.512328767123286</v>
      </c>
      <c r="AV138" s="142" t="str">
        <f>INDEX(CarrierDriverTBL!$K:$K,MATCH(Table1[[#This Row],[DriverID]],CarrierDriverTBL!$A:$A,0))</f>
        <v>510-773-9450</v>
      </c>
      <c r="AW138" s="142" t="str">
        <f>INDEX(CarrierDriverTBL!$M:$M,MATCH(Table1[[#This Row],[DriverID]],CarrierDriverTBL!$A:$A,0))</f>
        <v>3124 Cynthia CT</v>
      </c>
      <c r="AX138" s="142" t="str">
        <f>INDEX(CarrierDriverTBL!$N:$N,MATCH(Table1[[#This Row],[DriverID]],CarrierDriverTBL!$A:$A,0))</f>
        <v>Tracy</v>
      </c>
      <c r="AY138" s="142" t="str">
        <f>INDEX(CarrierDriverTBL!$O:$O,MATCH(Table1[[#This Row],[DriverID]],CarrierDriverTBL!$A:$A,0))</f>
        <v>CA</v>
      </c>
      <c r="AZ138" s="142">
        <f>INDEX(CarrierDriverTBL!$P:$P,MATCH(Table1[[#This Row],[DriverID]],CarrierDriverTBL!$A:$A,0))</f>
        <v>95377</v>
      </c>
      <c r="BA138" s="142" t="str">
        <f>INDEX(CarrierDriverTBL!$Q:$Q,MATCH(Table1[[#This Row],[DriverID]],CarrierDriverTBL!$A:$A,0))</f>
        <v>US</v>
      </c>
      <c r="BB138" s="176" t="str">
        <f>INDEX(CarrierDriverTBL!$R:$R,MATCH(Table1[[#This Row],[DriverID]],CarrierDriverTBL!$A:$A,0))</f>
        <v>ubgollc@gmail.com</v>
      </c>
      <c r="BC138" s="160">
        <f>INDEX(CarrierDriverTBL!$AB:$AB,MATCH(Table1[[#This Row],[DriverID]],CarrierDriverTBL!$A:$A,0))</f>
        <v>42167</v>
      </c>
      <c r="BD138" s="142" t="str">
        <f ca="1">INDEX(CarrierDriverTBL!$AD:$AD,MATCH(LoadMaster!$AN:$AN,CarrierDriverTBL!$A:$A,0))</f>
        <v>MISSING</v>
      </c>
      <c r="BE138" s="142">
        <f>INDEX(CarrierDriverTBL!$AE:$AE,MATCH(Table1[DriverID],CarrierDriverTBL!$A:$A,0))</f>
        <v>913971</v>
      </c>
      <c r="BF138" s="142">
        <f>INDEX(CarrierDriverTBL!$AF:$AF,MATCH(Table1[DriverID],CarrierDriverTBL!$A:$A,0))</f>
        <v>2627544</v>
      </c>
      <c r="BG138" s="142">
        <f>INDEX(CarrierDriverTBL!$AG:$AG,MATCH(Table1[DriverID],CarrierDriverTBL!$A:$A,0))</f>
        <v>466133</v>
      </c>
      <c r="BH138" s="142" t="str">
        <f>INDEX(CarrierDriverTBL!$AH:$AH,MATCH(Table1[DriverID],CarrierDriverTBL!$A:$A,0))</f>
        <v>GM Lawrence Ins</v>
      </c>
      <c r="BI138" s="142" t="str">
        <f>INDEX(CarrierDriverTBL!$AI:$AI,MATCH(Table1[DriverID],CarrierDriverTBL!$A:$A,0))</f>
        <v>DSK2842P160210</v>
      </c>
      <c r="BJ138" s="160">
        <f>INDEX(CarrierDriverTBL!$AJ:$AJ,MATCH(Table1[[#This Row],[DriverID]],CarrierDriverTBL!$A:$A,0))</f>
        <v>42778</v>
      </c>
      <c r="BK138" s="10">
        <f t="shared" si="68"/>
        <v>479</v>
      </c>
      <c r="BL138" s="174">
        <v>700</v>
      </c>
      <c r="BM138" s="144">
        <v>370</v>
      </c>
      <c r="BN138" s="159">
        <f t="shared" si="61"/>
        <v>1.8918918918918919</v>
      </c>
      <c r="BO138" s="167">
        <v>650</v>
      </c>
      <c r="BP138" s="159">
        <f t="shared" si="62"/>
        <v>1.7567567567567568</v>
      </c>
      <c r="BQ138" s="133">
        <v>2.7989999999999999</v>
      </c>
      <c r="BR138" s="166">
        <f t="shared" si="63"/>
        <v>0.14983333333333335</v>
      </c>
      <c r="BS138" s="167">
        <f t="shared" si="69"/>
        <v>1.6069234234234235</v>
      </c>
      <c r="BT138" s="159">
        <f t="shared" si="70"/>
        <v>55.43833333333334</v>
      </c>
      <c r="BU138" s="10" t="str">
        <f t="shared" si="71"/>
        <v>Ch Robinson</v>
      </c>
      <c r="BV138" s="4"/>
      <c r="BW138" s="4" t="str">
        <f>Table1[[#This Row],[BrokerAddress]]</f>
        <v>P.O. Box 3474</v>
      </c>
      <c r="BX138" s="4" t="str">
        <f t="shared" si="72"/>
        <v>Chicago</v>
      </c>
      <c r="BY138" s="4" t="str">
        <f t="shared" si="73"/>
        <v>Il</v>
      </c>
      <c r="BZ138" s="4">
        <f t="shared" si="74"/>
        <v>60654</v>
      </c>
      <c r="CA138" s="10" t="str">
        <f t="shared" si="75"/>
        <v>US</v>
      </c>
      <c r="CB138" s="15" t="s">
        <v>131</v>
      </c>
      <c r="CC138" s="62"/>
      <c r="CD138" s="15" t="s">
        <v>132</v>
      </c>
      <c r="CE138" s="64">
        <v>0</v>
      </c>
      <c r="CF138" s="4">
        <v>0</v>
      </c>
      <c r="CG138" s="132">
        <f t="shared" si="76"/>
        <v>0</v>
      </c>
      <c r="CH138" s="4" t="s">
        <v>132</v>
      </c>
      <c r="CI138" s="5">
        <v>0</v>
      </c>
      <c r="CJ138" s="4">
        <v>0</v>
      </c>
      <c r="CK138" s="132">
        <f t="shared" si="77"/>
        <v>0</v>
      </c>
      <c r="CL138" s="4" t="s">
        <v>132</v>
      </c>
      <c r="CM138" s="5">
        <v>0</v>
      </c>
      <c r="CN138" s="4">
        <v>0</v>
      </c>
      <c r="CO138" s="132">
        <f t="shared" si="78"/>
        <v>0</v>
      </c>
      <c r="CP138" s="4" t="s">
        <v>132</v>
      </c>
      <c r="CQ138" s="5">
        <v>0</v>
      </c>
      <c r="CR138" s="4">
        <v>0</v>
      </c>
      <c r="CS138" s="132">
        <f t="shared" si="79"/>
        <v>0</v>
      </c>
      <c r="CT138" s="159">
        <f t="shared" si="80"/>
        <v>0</v>
      </c>
      <c r="CU138" s="168">
        <f t="shared" si="81"/>
        <v>700</v>
      </c>
      <c r="CV138" s="183">
        <f t="shared" si="65"/>
        <v>0</v>
      </c>
      <c r="CW138" s="82">
        <f t="shared" si="64"/>
        <v>650</v>
      </c>
      <c r="CX138" s="79">
        <f>IF(ISBLANK(E138),"AddQuickPay",IF(E138=2,CU138*0.98,IF(E138=2.4,CU138*0.976,IF(E138=3,CU138*0.97,IF(E138=5,CU138*0.95,IF(E138=1.5,CU138*0.985,IF(E138=2.5,CU138*0.975,IF(E138=1.3,CU138*0.987,IF(E138=1,CU138*0.99,IF(E138=4,CU138*0.96,CU138*1))))))))))-Table1[[#This Row],[ComCheck+QuickPayFee]]</f>
        <v>686</v>
      </c>
      <c r="CY138" s="5">
        <f t="shared" si="82"/>
        <v>50</v>
      </c>
      <c r="CZ138" s="5">
        <f t="shared" si="83"/>
        <v>14</v>
      </c>
      <c r="DA138" s="258">
        <f>Table1[[#This Row],[OriginalDispatch]]-Table1[[#This Row],[QuickPayCharge]]</f>
        <v>36</v>
      </c>
      <c r="DB138" s="5">
        <v>0</v>
      </c>
      <c r="DC138" s="5" t="s">
        <v>133</v>
      </c>
      <c r="DD138" s="104">
        <f t="shared" si="84"/>
        <v>42300</v>
      </c>
      <c r="DE138" s="15">
        <f>MONTH(Table1[[#This Row],[Weekending]])</f>
        <v>10</v>
      </c>
      <c r="DF138" s="15">
        <f>YEAR(Table1[[#This Row],[Weekending]])</f>
        <v>2015</v>
      </c>
      <c r="DG138" s="4"/>
    </row>
    <row r="139" spans="1:111">
      <c r="A139" s="20" t="str">
        <f t="shared" si="66"/>
        <v>15enne88</v>
      </c>
      <c r="B139" s="146">
        <v>42299</v>
      </c>
      <c r="C139" s="144">
        <v>184366215</v>
      </c>
      <c r="D139" s="298" t="s">
        <v>111</v>
      </c>
      <c r="E139" s="298">
        <v>2</v>
      </c>
      <c r="F139" s="142" t="str">
        <f>INDEX(BrokerTBL!$B:$B,MATCH(D139,BrokerTBL!$A:$A,0))</f>
        <v>P.O. Box 3474</v>
      </c>
      <c r="G139" s="142" t="str">
        <f>INDEX(BrokerTBL!$C:$C,MATCH(D139,BrokerTBL!$A:$A,0))</f>
        <v>Chicago</v>
      </c>
      <c r="H139" s="142" t="str">
        <f>INDEX(BrokerTBL!$D:$D,MATCH(D139,BrokerTBL!$A:$A,0))</f>
        <v>Il</v>
      </c>
      <c r="I139" s="142" t="str">
        <f>INDEX(BrokerTBL!$E:$E,MATCH(D139,BrokerTBL!$A:$A,0))</f>
        <v>US</v>
      </c>
      <c r="J139" s="142">
        <f>INDEX(BrokerTBL!$F:$F,MATCH(D139,BrokerTBL!$A:$A,0))</f>
        <v>60654</v>
      </c>
      <c r="K139" s="298" t="s">
        <v>1166</v>
      </c>
      <c r="L139" s="145" t="s">
        <v>1167</v>
      </c>
      <c r="M139" s="146">
        <v>42299</v>
      </c>
      <c r="N139" s="182">
        <v>0.45833333333333298</v>
      </c>
      <c r="O139" s="298" t="s">
        <v>1168</v>
      </c>
      <c r="P139" s="298" t="s">
        <v>1118</v>
      </c>
      <c r="Q139" s="298" t="s">
        <v>139</v>
      </c>
      <c r="R139" s="298">
        <v>91730</v>
      </c>
      <c r="S139" s="185" t="s">
        <v>118</v>
      </c>
      <c r="T139" s="298" t="s">
        <v>136</v>
      </c>
      <c r="U139" s="298" t="s">
        <v>120</v>
      </c>
      <c r="V139" s="298">
        <v>53</v>
      </c>
      <c r="W139" s="185" t="s">
        <v>1169</v>
      </c>
      <c r="X139" s="144">
        <v>6000</v>
      </c>
      <c r="Y139" s="298" t="s">
        <v>1170</v>
      </c>
      <c r="Z139" s="298">
        <v>183</v>
      </c>
      <c r="AA139" s="298" t="s">
        <v>123</v>
      </c>
      <c r="AB139" s="298" t="s">
        <v>123</v>
      </c>
      <c r="AC139" s="187" t="s">
        <v>1171</v>
      </c>
      <c r="AD139" s="188" t="s">
        <v>1172</v>
      </c>
      <c r="AE139" s="190" t="s">
        <v>1173</v>
      </c>
      <c r="AF139" s="191" t="s">
        <v>1174</v>
      </c>
      <c r="AG139" s="187" t="s">
        <v>1175</v>
      </c>
      <c r="AH139" s="187" t="s">
        <v>1176</v>
      </c>
      <c r="AI139" s="298" t="s">
        <v>139</v>
      </c>
      <c r="AJ139" s="255">
        <v>95409</v>
      </c>
      <c r="AK139" s="298" t="s">
        <v>118</v>
      </c>
      <c r="AL139" s="298" t="s">
        <v>123</v>
      </c>
      <c r="AM139" s="142" t="str">
        <f>INDEX(CarrierDriverTBL!$B:$B,MATCH(Table1[[#This Row],[DriverID]],CarrierDriverTBL!$A:$A,0))</f>
        <v>UBTrucking</v>
      </c>
      <c r="AN139" s="10" t="s">
        <v>948</v>
      </c>
      <c r="AO139" s="10" t="str">
        <f>INDEX(CarrierDriverTBL!$C:$C,MATCH(Table1[[#This Row],[DriverID]],CarrierDriverTBL!$A:$A,0))</f>
        <v>Wesley</v>
      </c>
      <c r="AP139" s="10" t="str">
        <f>INDEX(CarrierDriverTBL!$D:$D,MATCH(Table1[[#This Row],[DriverID]],CarrierDriverTBL!$A:$A,0))</f>
        <v>Cousain</v>
      </c>
      <c r="AQ139" s="10" t="str">
        <f>INDEX(CarrierDriverTBL!$X:$X,MATCH(Table1[[#This Row],[DriverID]],CarrierDriverTBL!$A:$A,0))</f>
        <v>D4903588</v>
      </c>
      <c r="AR139" s="11">
        <f>INDEX(CarrierDriverTBL!$Y:$Y,MATCH(Table1[[#This Row],[DriverID]],CarrierDriverTBL!$A:$A,0))</f>
        <v>43458</v>
      </c>
      <c r="AS139" s="142" t="str">
        <f t="shared" si="67"/>
        <v>GOOD</v>
      </c>
      <c r="AT139" s="11">
        <f>INDEX(CarrierDriverTBL!$E:$E,MATCH(Table1[[#This Row],[DriverID]],CarrierDriverTBL!$A:$A,0))</f>
        <v>31405</v>
      </c>
      <c r="AU139" s="163">
        <f ca="1">INDEX(CarrierDriverTBL!$F:$F,MATCH(Table1[[#This Row],[DriverID]],CarrierDriverTBL!$A:$A,0))</f>
        <v>30.605479452054794</v>
      </c>
      <c r="AV139" s="10" t="str">
        <f>INDEX(CarrierDriverTBL!$K:$K,MATCH(Table1[[#This Row],[DriverID]],CarrierDriverTBL!$A:$A,0))</f>
        <v>925-383-5364</v>
      </c>
      <c r="AW139" s="10" t="str">
        <f>INDEX(CarrierDriverTBL!$M:$M,MATCH(Table1[[#This Row],[DriverID]],CarrierDriverTBL!$A:$A,0))</f>
        <v>110 Cordova Ln</v>
      </c>
      <c r="AX139" s="10" t="str">
        <f>INDEX(CarrierDriverTBL!$N:$N,MATCH(Table1[[#This Row],[DriverID]],CarrierDriverTBL!$A:$A,0))</f>
        <v>Stockton</v>
      </c>
      <c r="AY139" s="10" t="str">
        <f>INDEX(CarrierDriverTBL!$O:$O,MATCH(Table1[[#This Row],[DriverID]],CarrierDriverTBL!$A:$A,0))</f>
        <v>CA</v>
      </c>
      <c r="AZ139" s="10">
        <f>INDEX(CarrierDriverTBL!$P:$P,MATCH(Table1[[#This Row],[DriverID]],CarrierDriverTBL!$A:$A,0))</f>
        <v>95207</v>
      </c>
      <c r="BA139" s="10" t="str">
        <f>INDEX(CarrierDriverTBL!$Q:$Q,MATCH(Table1[[#This Row],[DriverID]],CarrierDriverTBL!$A:$A,0))</f>
        <v>US</v>
      </c>
      <c r="BB139" s="173" t="str">
        <f>INDEX(CarrierDriverTBL!$R:$R,MATCH(Table1[[#This Row],[DriverID]],CarrierDriverTBL!$A:$A,0))</f>
        <v>wesleycousain1@gmail.com</v>
      </c>
      <c r="BC139" s="160">
        <f>INDEX(CarrierDriverTBL!$AB:$AB,MATCH(Table1[[#This Row],[DriverID]],CarrierDriverTBL!$A:$A,0))</f>
        <v>42271</v>
      </c>
      <c r="BD139" s="142" t="str">
        <f ca="1">INDEX(CarrierDriverTBL!$AD:$AD,MATCH(LoadMaster!$AN:$AN,CarrierDriverTBL!$A:$A,0))</f>
        <v>MISSING</v>
      </c>
      <c r="BE139" s="142">
        <f>INDEX(CarrierDriverTBL!$AE:$AE,MATCH(Table1[DriverID],CarrierDriverTBL!$A:$A,0))</f>
        <v>913971</v>
      </c>
      <c r="BF139" s="142">
        <f>INDEX(CarrierDriverTBL!$AF:$AF,MATCH(Table1[DriverID],CarrierDriverTBL!$A:$A,0))</f>
        <v>2627544</v>
      </c>
      <c r="BG139" s="142">
        <f>INDEX(CarrierDriverTBL!$AG:$AG,MATCH(Table1[DriverID],CarrierDriverTBL!$A:$A,0))</f>
        <v>466133</v>
      </c>
      <c r="BH139" s="142" t="str">
        <f>INDEX(CarrierDriverTBL!$AH:$AH,MATCH(Table1[DriverID],CarrierDriverTBL!$A:$A,0))</f>
        <v>GM Lawrence Ins</v>
      </c>
      <c r="BI139" s="142" t="str">
        <f>INDEX(CarrierDriverTBL!$AI:$AI,MATCH(Table1[DriverID],CarrierDriverTBL!$A:$A,0))</f>
        <v>DSK2842P160210</v>
      </c>
      <c r="BJ139" s="160">
        <f>INDEX(CarrierDriverTBL!$AJ:$AJ,MATCH(Table1[[#This Row],[DriverID]],CarrierDriverTBL!$A:$A,0))</f>
        <v>42778</v>
      </c>
      <c r="BK139" s="10">
        <f t="shared" si="68"/>
        <v>479</v>
      </c>
      <c r="BL139" s="174">
        <v>900</v>
      </c>
      <c r="BM139" s="144">
        <v>471</v>
      </c>
      <c r="BN139" s="159">
        <f t="shared" si="61"/>
        <v>1.910828025477707</v>
      </c>
      <c r="BO139" s="167">
        <f>0.93*900</f>
        <v>837</v>
      </c>
      <c r="BP139" s="159">
        <f t="shared" si="62"/>
        <v>1.7770700636942676</v>
      </c>
      <c r="BQ139" s="133">
        <v>2.7989999999999999</v>
      </c>
      <c r="BR139" s="166">
        <f t="shared" si="63"/>
        <v>0.14983333333333335</v>
      </c>
      <c r="BS139" s="167">
        <f t="shared" si="69"/>
        <v>1.6272367303609343</v>
      </c>
      <c r="BT139" s="159">
        <f t="shared" si="70"/>
        <v>70.5715</v>
      </c>
      <c r="BU139" s="10" t="str">
        <f t="shared" si="71"/>
        <v>Ch Robinson</v>
      </c>
      <c r="BV139" s="4"/>
      <c r="BW139" s="4" t="str">
        <f>Table1[[#This Row],[BrokerAddress]]</f>
        <v>P.O. Box 3474</v>
      </c>
      <c r="BX139" s="4" t="str">
        <f t="shared" si="72"/>
        <v>Chicago</v>
      </c>
      <c r="BY139" s="4" t="str">
        <f t="shared" si="73"/>
        <v>Il</v>
      </c>
      <c r="BZ139" s="4">
        <f t="shared" si="74"/>
        <v>60654</v>
      </c>
      <c r="CA139" s="10" t="str">
        <f t="shared" si="75"/>
        <v>US</v>
      </c>
      <c r="CB139" s="15" t="s">
        <v>131</v>
      </c>
      <c r="CC139" s="62"/>
      <c r="CD139" s="15" t="s">
        <v>132</v>
      </c>
      <c r="CE139" s="64">
        <v>0</v>
      </c>
      <c r="CF139" s="4">
        <v>0</v>
      </c>
      <c r="CG139" s="132">
        <f t="shared" si="76"/>
        <v>0</v>
      </c>
      <c r="CH139" s="4" t="s">
        <v>132</v>
      </c>
      <c r="CI139" s="5">
        <v>0</v>
      </c>
      <c r="CJ139" s="4">
        <v>0</v>
      </c>
      <c r="CK139" s="132">
        <f t="shared" si="77"/>
        <v>0</v>
      </c>
      <c r="CL139" s="4" t="s">
        <v>132</v>
      </c>
      <c r="CM139" s="5">
        <v>0</v>
      </c>
      <c r="CN139" s="4">
        <v>0</v>
      </c>
      <c r="CO139" s="132">
        <f t="shared" si="78"/>
        <v>0</v>
      </c>
      <c r="CP139" s="4" t="s">
        <v>132</v>
      </c>
      <c r="CQ139" s="5">
        <v>0</v>
      </c>
      <c r="CR139" s="4">
        <v>0</v>
      </c>
      <c r="CS139" s="132">
        <f t="shared" si="79"/>
        <v>0</v>
      </c>
      <c r="CT139" s="159">
        <f t="shared" si="80"/>
        <v>0</v>
      </c>
      <c r="CU139" s="168">
        <f t="shared" si="81"/>
        <v>900</v>
      </c>
      <c r="CV139" s="183">
        <f t="shared" si="65"/>
        <v>0</v>
      </c>
      <c r="CW139" s="82">
        <f t="shared" si="64"/>
        <v>837</v>
      </c>
      <c r="CX139" s="79">
        <f>IF(ISBLANK(E139),"AddQuickPay",IF(E139=2,CU139*0.98,IF(E139=2.4,CU139*0.976,IF(E139=3,CU139*0.97,IF(E139=5,CU139*0.95,IF(E139=1.5,CU139*0.985,IF(E139=2.5,CU139*0.975,IF(E139=1.3,CU139*0.987,IF(E139=1,CU139*0.99,IF(E139=4,CU139*0.96,CU139*1))))))))))-Table1[[#This Row],[ComCheck+QuickPayFee]]</f>
        <v>882</v>
      </c>
      <c r="CY139" s="5">
        <f t="shared" si="82"/>
        <v>63</v>
      </c>
      <c r="CZ139" s="5">
        <f t="shared" si="83"/>
        <v>18</v>
      </c>
      <c r="DA139" s="258">
        <f>Table1[[#This Row],[OriginalDispatch]]-Table1[[#This Row],[QuickPayCharge]]</f>
        <v>45</v>
      </c>
      <c r="DB139" s="5">
        <v>0</v>
      </c>
      <c r="DC139" s="5" t="s">
        <v>133</v>
      </c>
      <c r="DD139" s="104">
        <f t="shared" si="84"/>
        <v>42300</v>
      </c>
      <c r="DE139" s="15">
        <f>MONTH(Table1[[#This Row],[Weekending]])</f>
        <v>10</v>
      </c>
      <c r="DF139" s="15">
        <f>YEAR(Table1[[#This Row],[Weekending]])</f>
        <v>2015</v>
      </c>
      <c r="DG139" s="4"/>
    </row>
    <row r="140" spans="1:111">
      <c r="A140" s="20" t="str">
        <f t="shared" si="66"/>
        <v>3113fs88</v>
      </c>
      <c r="B140" s="146">
        <v>42300</v>
      </c>
      <c r="C140" s="144">
        <v>6209231</v>
      </c>
      <c r="D140" s="298" t="s">
        <v>555</v>
      </c>
      <c r="E140" s="298">
        <v>3</v>
      </c>
      <c r="F140" s="298" t="str">
        <f>INDEX(BrokerTBL!$B:$B,MATCH(D140,BrokerTBL!$A:$A,0))</f>
        <v>P.O. Box 799</v>
      </c>
      <c r="G140" s="298" t="str">
        <f>INDEX(BrokerTBL!$C:$C,MATCH(D140,BrokerTBL!$A:$A,0))</f>
        <v>Milford</v>
      </c>
      <c r="H140" s="298" t="str">
        <f>INDEX(BrokerTBL!$D:$D,MATCH(D140,BrokerTBL!$A:$A,0))</f>
        <v>Ohio</v>
      </c>
      <c r="I140" s="298" t="str">
        <f>INDEX(BrokerTBL!$E:$E,MATCH(D140,BrokerTBL!$A:$A,0))</f>
        <v>US</v>
      </c>
      <c r="J140" s="298">
        <f>INDEX(BrokerTBL!$F:$F,MATCH(D140,BrokerTBL!$A:$A,0))</f>
        <v>45150</v>
      </c>
      <c r="K140" s="298" t="s">
        <v>968</v>
      </c>
      <c r="L140" s="145">
        <v>2518013</v>
      </c>
      <c r="M140" s="146">
        <v>42300</v>
      </c>
      <c r="N140" s="182">
        <v>0.625</v>
      </c>
      <c r="O140" s="298" t="s">
        <v>1177</v>
      </c>
      <c r="P140" s="298" t="s">
        <v>228</v>
      </c>
      <c r="Q140" s="298" t="s">
        <v>139</v>
      </c>
      <c r="R140" s="298">
        <v>94545</v>
      </c>
      <c r="S140" s="298" t="s">
        <v>118</v>
      </c>
      <c r="T140" s="298" t="s">
        <v>136</v>
      </c>
      <c r="U140" s="298" t="s">
        <v>120</v>
      </c>
      <c r="V140" s="298">
        <v>53</v>
      </c>
      <c r="W140" s="298" t="s">
        <v>970</v>
      </c>
      <c r="X140" s="144" t="s">
        <v>136</v>
      </c>
      <c r="Y140" s="298" t="s">
        <v>123</v>
      </c>
      <c r="Z140" s="298" t="s">
        <v>123</v>
      </c>
      <c r="AA140" s="298" t="s">
        <v>123</v>
      </c>
      <c r="AB140" s="298" t="s">
        <v>123</v>
      </c>
      <c r="AC140" s="298" t="s">
        <v>971</v>
      </c>
      <c r="AD140" s="145" t="s">
        <v>972</v>
      </c>
      <c r="AE140" s="146">
        <v>42303</v>
      </c>
      <c r="AF140" s="182">
        <v>0.33333333333333298</v>
      </c>
      <c r="AG140" s="298" t="s">
        <v>974</v>
      </c>
      <c r="AH140" s="298" t="s">
        <v>429</v>
      </c>
      <c r="AI140" s="298" t="s">
        <v>139</v>
      </c>
      <c r="AJ140" s="298">
        <v>93446</v>
      </c>
      <c r="AK140" s="298" t="s">
        <v>118</v>
      </c>
      <c r="AL140" s="298" t="s">
        <v>123</v>
      </c>
      <c r="AM140" s="142" t="str">
        <f>INDEX(CarrierDriverTBL!$B:$B,MATCH(Table1[[#This Row],[DriverID]],CarrierDriverTBL!$A:$A,0))</f>
        <v>UBTrucking</v>
      </c>
      <c r="AN140" s="10" t="s">
        <v>948</v>
      </c>
      <c r="AO140" s="10" t="str">
        <f>INDEX(CarrierDriverTBL!$C:$C,MATCH(Table1[[#This Row],[DriverID]],CarrierDriverTBL!$A:$A,0))</f>
        <v>Wesley</v>
      </c>
      <c r="AP140" s="10" t="str">
        <f>INDEX(CarrierDriverTBL!$D:$D,MATCH(Table1[[#This Row],[DriverID]],CarrierDriverTBL!$A:$A,0))</f>
        <v>Cousain</v>
      </c>
      <c r="AQ140" s="10" t="str">
        <f>INDEX(CarrierDriverTBL!$X:$X,MATCH(Table1[[#This Row],[DriverID]],CarrierDriverTBL!$A:$A,0))</f>
        <v>D4903588</v>
      </c>
      <c r="AR140" s="11">
        <f>INDEX(CarrierDriverTBL!$Y:$Y,MATCH(Table1[[#This Row],[DriverID]],CarrierDriverTBL!$A:$A,0))</f>
        <v>43458</v>
      </c>
      <c r="AS140" s="142" t="str">
        <f t="shared" si="67"/>
        <v>GOOD</v>
      </c>
      <c r="AT140" s="11">
        <f>INDEX(CarrierDriverTBL!$E:$E,MATCH(Table1[[#This Row],[DriverID]],CarrierDriverTBL!$A:$A,0))</f>
        <v>31405</v>
      </c>
      <c r="AU140" s="163">
        <f ca="1">INDEX(CarrierDriverTBL!$F:$F,MATCH(Table1[[#This Row],[DriverID]],CarrierDriverTBL!$A:$A,0))</f>
        <v>30.605479452054794</v>
      </c>
      <c r="AV140" s="10" t="str">
        <f>INDEX(CarrierDriverTBL!$K:$K,MATCH(Table1[[#This Row],[DriverID]],CarrierDriverTBL!$A:$A,0))</f>
        <v>925-383-5364</v>
      </c>
      <c r="AW140" s="10" t="str">
        <f>INDEX(CarrierDriverTBL!$M:$M,MATCH(Table1[[#This Row],[DriverID]],CarrierDriverTBL!$A:$A,0))</f>
        <v>110 Cordova Ln</v>
      </c>
      <c r="AX140" s="10" t="str">
        <f>INDEX(CarrierDriverTBL!$N:$N,MATCH(Table1[[#This Row],[DriverID]],CarrierDriverTBL!$A:$A,0))</f>
        <v>Stockton</v>
      </c>
      <c r="AY140" s="10" t="str">
        <f>INDEX(CarrierDriverTBL!$O:$O,MATCH(Table1[[#This Row],[DriverID]],CarrierDriverTBL!$A:$A,0))</f>
        <v>CA</v>
      </c>
      <c r="AZ140" s="10">
        <f>INDEX(CarrierDriverTBL!$P:$P,MATCH(Table1[[#This Row],[DriverID]],CarrierDriverTBL!$A:$A,0))</f>
        <v>95207</v>
      </c>
      <c r="BA140" s="10" t="str">
        <f>INDEX(CarrierDriverTBL!$Q:$Q,MATCH(Table1[[#This Row],[DriverID]],CarrierDriverTBL!$A:$A,0))</f>
        <v>US</v>
      </c>
      <c r="BB140" s="173" t="str">
        <f>INDEX(CarrierDriverTBL!$R:$R,MATCH(Table1[[#This Row],[DriverID]],CarrierDriverTBL!$A:$A,0))</f>
        <v>wesleycousain1@gmail.com</v>
      </c>
      <c r="BC140" s="160">
        <f>INDEX(CarrierDriverTBL!$AB:$AB,MATCH(Table1[[#This Row],[DriverID]],CarrierDriverTBL!$A:$A,0))</f>
        <v>42271</v>
      </c>
      <c r="BD140" s="142" t="str">
        <f ca="1">INDEX(CarrierDriverTBL!$AD:$AD,MATCH(LoadMaster!$AN:$AN,CarrierDriverTBL!$A:$A,0))</f>
        <v>MISSING</v>
      </c>
      <c r="BE140" s="142">
        <f>INDEX(CarrierDriverTBL!$AE:$AE,MATCH(Table1[DriverID],CarrierDriverTBL!$A:$A,0))</f>
        <v>913971</v>
      </c>
      <c r="BF140" s="142">
        <f>INDEX(CarrierDriverTBL!$AF:$AF,MATCH(Table1[DriverID],CarrierDriverTBL!$A:$A,0))</f>
        <v>2627544</v>
      </c>
      <c r="BG140" s="142">
        <f>INDEX(CarrierDriverTBL!$AG:$AG,MATCH(Table1[DriverID],CarrierDriverTBL!$A:$A,0))</f>
        <v>466133</v>
      </c>
      <c r="BH140" s="142" t="str">
        <f>INDEX(CarrierDriverTBL!$AH:$AH,MATCH(Table1[DriverID],CarrierDriverTBL!$A:$A,0))</f>
        <v>GM Lawrence Ins</v>
      </c>
      <c r="BI140" s="142" t="str">
        <f>INDEX(CarrierDriverTBL!$AI:$AI,MATCH(Table1[DriverID],CarrierDriverTBL!$A:$A,0))</f>
        <v>DSK2842P160210</v>
      </c>
      <c r="BJ140" s="160">
        <f>INDEX(CarrierDriverTBL!$AJ:$AJ,MATCH(Table1[[#This Row],[DriverID]],CarrierDriverTBL!$A:$A,0))</f>
        <v>42778</v>
      </c>
      <c r="BK140" s="10">
        <f t="shared" si="68"/>
        <v>478</v>
      </c>
      <c r="BL140" s="174">
        <v>500</v>
      </c>
      <c r="BM140" s="144">
        <v>245</v>
      </c>
      <c r="BN140" s="159">
        <f t="shared" si="61"/>
        <v>2.0408163265306123</v>
      </c>
      <c r="BO140" s="167">
        <v>450</v>
      </c>
      <c r="BP140" s="159">
        <f t="shared" si="62"/>
        <v>1.8367346938775511</v>
      </c>
      <c r="BQ140" s="133">
        <v>2.7989999999999999</v>
      </c>
      <c r="BR140" s="166">
        <f t="shared" si="63"/>
        <v>0.14983333333333335</v>
      </c>
      <c r="BS140" s="167">
        <f t="shared" si="69"/>
        <v>1.6869013605442178</v>
      </c>
      <c r="BT140" s="159">
        <f t="shared" si="70"/>
        <v>36.709166666666668</v>
      </c>
      <c r="BU140" s="10" t="str">
        <f t="shared" si="71"/>
        <v>Tql</v>
      </c>
      <c r="BV140" s="15"/>
      <c r="BW140" s="4" t="str">
        <f>Table1[[#This Row],[BrokerAddress]]</f>
        <v>P.O. Box 799</v>
      </c>
      <c r="BX140" s="4" t="str">
        <f t="shared" si="72"/>
        <v>Milford</v>
      </c>
      <c r="BY140" s="4" t="str">
        <f t="shared" si="73"/>
        <v>Ohio</v>
      </c>
      <c r="BZ140" s="4">
        <f t="shared" si="74"/>
        <v>45150</v>
      </c>
      <c r="CA140" s="10" t="str">
        <f t="shared" si="75"/>
        <v>US</v>
      </c>
      <c r="CB140" s="15" t="s">
        <v>131</v>
      </c>
      <c r="CC140" s="62"/>
      <c r="CD140" s="15" t="s">
        <v>132</v>
      </c>
      <c r="CE140" s="64">
        <v>0</v>
      </c>
      <c r="CF140" s="4">
        <v>0</v>
      </c>
      <c r="CG140" s="132">
        <f t="shared" si="76"/>
        <v>0</v>
      </c>
      <c r="CH140" s="4" t="s">
        <v>132</v>
      </c>
      <c r="CI140" s="5">
        <v>0</v>
      </c>
      <c r="CJ140" s="4">
        <v>0</v>
      </c>
      <c r="CK140" s="132">
        <f t="shared" si="77"/>
        <v>0</v>
      </c>
      <c r="CL140" s="4" t="s">
        <v>132</v>
      </c>
      <c r="CM140" s="5">
        <v>0</v>
      </c>
      <c r="CN140" s="4">
        <v>0</v>
      </c>
      <c r="CO140" s="132">
        <f t="shared" si="78"/>
        <v>0</v>
      </c>
      <c r="CP140" s="4" t="s">
        <v>132</v>
      </c>
      <c r="CQ140" s="5">
        <v>0</v>
      </c>
      <c r="CR140" s="4">
        <v>0</v>
      </c>
      <c r="CS140" s="132">
        <f t="shared" si="79"/>
        <v>0</v>
      </c>
      <c r="CT140" s="159">
        <f t="shared" si="80"/>
        <v>0</v>
      </c>
      <c r="CU140" s="168">
        <f t="shared" si="81"/>
        <v>500</v>
      </c>
      <c r="CV140" s="183">
        <f t="shared" si="65"/>
        <v>0</v>
      </c>
      <c r="CW140" s="82">
        <f t="shared" si="64"/>
        <v>450</v>
      </c>
      <c r="CX140" s="79">
        <f>IF(ISBLANK(E140),"AddQuickPay",IF(E140=2,CU140*0.98,IF(E140=2.4,CU140*0.976,IF(E140=3,CU140*0.97,IF(E140=5,CU140*0.95,IF(E140=1.5,CU140*0.985,IF(E140=2.5,CU140*0.975,IF(E140=1.3,CU140*0.987,IF(E140=1,CU140*0.99,IF(E140=4,CU140*0.96,CU140*1))))))))))-Table1[[#This Row],[ComCheck+QuickPayFee]]</f>
        <v>485</v>
      </c>
      <c r="CY140" s="5">
        <f t="shared" si="82"/>
        <v>50</v>
      </c>
      <c r="CZ140" s="5">
        <f t="shared" si="83"/>
        <v>15</v>
      </c>
      <c r="DA140" s="258">
        <f>Table1[[#This Row],[OriginalDispatch]]-Table1[[#This Row],[QuickPayCharge]]</f>
        <v>35</v>
      </c>
      <c r="DB140" s="5">
        <v>0</v>
      </c>
      <c r="DC140" s="5" t="s">
        <v>133</v>
      </c>
      <c r="DD140" s="104">
        <f t="shared" si="84"/>
        <v>42300</v>
      </c>
      <c r="DE140" s="15">
        <f>MONTH(Table1[[#This Row],[Weekending]])</f>
        <v>10</v>
      </c>
      <c r="DF140" s="15">
        <f>YEAR(Table1[[#This Row],[Weekending]])</f>
        <v>2015</v>
      </c>
      <c r="DG140" s="4"/>
    </row>
    <row r="141" spans="1:111">
      <c r="A141" s="20" t="str">
        <f t="shared" si="66"/>
        <v>06nkne49</v>
      </c>
      <c r="B141" s="146">
        <v>42300</v>
      </c>
      <c r="C141" s="144">
        <v>184435606</v>
      </c>
      <c r="D141" s="298" t="s">
        <v>111</v>
      </c>
      <c r="E141" s="298">
        <v>2</v>
      </c>
      <c r="F141" s="142" t="str">
        <f>INDEX(BrokerTBL!$B:$B,MATCH(D141,BrokerTBL!$A:$A,0))</f>
        <v>P.O. Box 3474</v>
      </c>
      <c r="G141" s="142" t="str">
        <f>INDEX(BrokerTBL!$C:$C,MATCH(D141,BrokerTBL!$A:$A,0))</f>
        <v>Chicago</v>
      </c>
      <c r="H141" s="142" t="str">
        <f>INDEX(BrokerTBL!$D:$D,MATCH(D141,BrokerTBL!$A:$A,0))</f>
        <v>Il</v>
      </c>
      <c r="I141" s="142" t="str">
        <f>INDEX(BrokerTBL!$E:$E,MATCH(D141,BrokerTBL!$A:$A,0))</f>
        <v>US</v>
      </c>
      <c r="J141" s="142">
        <f>INDEX(BrokerTBL!$F:$F,MATCH(D141,BrokerTBL!$A:$A,0))</f>
        <v>60654</v>
      </c>
      <c r="K141" s="187" t="s">
        <v>1178</v>
      </c>
      <c r="L141" s="145" t="s">
        <v>1179</v>
      </c>
      <c r="M141" s="146">
        <v>42303</v>
      </c>
      <c r="N141" s="144" t="s">
        <v>1041</v>
      </c>
      <c r="O141" s="298" t="s">
        <v>1180</v>
      </c>
      <c r="P141" s="298" t="s">
        <v>208</v>
      </c>
      <c r="Q141" s="298" t="s">
        <v>139</v>
      </c>
      <c r="R141" s="298" t="s">
        <v>1181</v>
      </c>
      <c r="S141" s="185" t="s">
        <v>118</v>
      </c>
      <c r="T141" s="298" t="s">
        <v>136</v>
      </c>
      <c r="U141" s="298" t="s">
        <v>120</v>
      </c>
      <c r="V141" s="298">
        <v>53</v>
      </c>
      <c r="W141" s="185" t="s">
        <v>1182</v>
      </c>
      <c r="X141" s="144">
        <v>30000</v>
      </c>
      <c r="Y141" s="298" t="s">
        <v>26</v>
      </c>
      <c r="Z141" s="298" t="s">
        <v>123</v>
      </c>
      <c r="AA141" s="298" t="s">
        <v>123</v>
      </c>
      <c r="AB141" s="298" t="s">
        <v>123</v>
      </c>
      <c r="AC141" s="298" t="s">
        <v>1183</v>
      </c>
      <c r="AD141" s="145" t="s">
        <v>132</v>
      </c>
      <c r="AE141" s="146">
        <v>42304</v>
      </c>
      <c r="AF141" s="298" t="s">
        <v>422</v>
      </c>
      <c r="AG141" s="298" t="s">
        <v>1184</v>
      </c>
      <c r="AH141" s="298" t="s">
        <v>1185</v>
      </c>
      <c r="AI141" s="298" t="s">
        <v>139</v>
      </c>
      <c r="AJ141" s="298">
        <v>95060</v>
      </c>
      <c r="AK141" s="298" t="s">
        <v>118</v>
      </c>
      <c r="AL141" s="298" t="s">
        <v>123</v>
      </c>
      <c r="AM141" s="142" t="str">
        <f>INDEX(CarrierDriverTBL!$B:$B,MATCH(Table1[[#This Row],[DriverID]],CarrierDriverTBL!$A:$A,0))</f>
        <v>UBTrucking</v>
      </c>
      <c r="AN141" s="10" t="s">
        <v>192</v>
      </c>
      <c r="AO141" s="10" t="str">
        <f>INDEX(CarrierDriverTBL!$C:$C,MATCH(Table1[[#This Row],[DriverID]],CarrierDriverTBL!$A:$A,0))</f>
        <v>Albel</v>
      </c>
      <c r="AP141" s="142" t="str">
        <f>INDEX(CarrierDriverTBL!$D:$D,MATCH(Table1[[#This Row],[DriverID]],CarrierDriverTBL!$A:$A,0))</f>
        <v>Chahil</v>
      </c>
      <c r="AQ141" s="142" t="str">
        <f>INDEX(CarrierDriverTBL!$X:$X,MATCH(Table1[[#This Row],[DriverID]],CarrierDriverTBL!$A:$A,0))</f>
        <v>A8390649</v>
      </c>
      <c r="AR141" s="160">
        <f>INDEX(CarrierDriverTBL!$Y:$Y,MATCH(Table1[[#This Row],[DriverID]],CarrierDriverTBL!$A:$A,0))</f>
        <v>42402</v>
      </c>
      <c r="AS141" s="142" t="str">
        <f t="shared" si="67"/>
        <v>GOOD</v>
      </c>
      <c r="AT141" s="160">
        <f>INDEX(CarrierDriverTBL!$E:$E,MATCH(Table1[[#This Row],[DriverID]],CarrierDriverTBL!$A:$A,0))</f>
        <v>22314</v>
      </c>
      <c r="AU141" s="163">
        <f ca="1">INDEX(CarrierDriverTBL!$F:$F,MATCH(Table1[[#This Row],[DriverID]],CarrierDriverTBL!$A:$A,0))</f>
        <v>55.512328767123286</v>
      </c>
      <c r="AV141" s="142" t="str">
        <f>INDEX(CarrierDriverTBL!$K:$K,MATCH(Table1[[#This Row],[DriverID]],CarrierDriverTBL!$A:$A,0))</f>
        <v>510-773-9450</v>
      </c>
      <c r="AW141" s="142" t="str">
        <f>INDEX(CarrierDriverTBL!$M:$M,MATCH(Table1[[#This Row],[DriverID]],CarrierDriverTBL!$A:$A,0))</f>
        <v>3124 Cynthia CT</v>
      </c>
      <c r="AX141" s="142" t="str">
        <f>INDEX(CarrierDriverTBL!$N:$N,MATCH(Table1[[#This Row],[DriverID]],CarrierDriverTBL!$A:$A,0))</f>
        <v>Tracy</v>
      </c>
      <c r="AY141" s="142" t="str">
        <f>INDEX(CarrierDriverTBL!$O:$O,MATCH(Table1[[#This Row],[DriverID]],CarrierDriverTBL!$A:$A,0))</f>
        <v>CA</v>
      </c>
      <c r="AZ141" s="142">
        <f>INDEX(CarrierDriverTBL!$P:$P,MATCH(Table1[[#This Row],[DriverID]],CarrierDriverTBL!$A:$A,0))</f>
        <v>95377</v>
      </c>
      <c r="BA141" s="142" t="str">
        <f>INDEX(CarrierDriverTBL!$Q:$Q,MATCH(Table1[[#This Row],[DriverID]],CarrierDriverTBL!$A:$A,0))</f>
        <v>US</v>
      </c>
      <c r="BB141" s="176" t="str">
        <f>INDEX(CarrierDriverTBL!$R:$R,MATCH(Table1[[#This Row],[DriverID]],CarrierDriverTBL!$A:$A,0))</f>
        <v>ubgollc@gmail.com</v>
      </c>
      <c r="BC141" s="160">
        <f>INDEX(CarrierDriverTBL!$AB:$AB,MATCH(Table1[[#This Row],[DriverID]],CarrierDriverTBL!$A:$A,0))</f>
        <v>42167</v>
      </c>
      <c r="BD141" s="142" t="str">
        <f ca="1">INDEX(CarrierDriverTBL!$AD:$AD,MATCH(LoadMaster!$AN:$AN,CarrierDriverTBL!$A:$A,0))</f>
        <v>MISSING</v>
      </c>
      <c r="BE141" s="142">
        <f>INDEX(CarrierDriverTBL!$AE:$AE,MATCH(Table1[DriverID],CarrierDriverTBL!$A:$A,0))</f>
        <v>913971</v>
      </c>
      <c r="BF141" s="142">
        <f>INDEX(CarrierDriverTBL!$AF:$AF,MATCH(Table1[DriverID],CarrierDriverTBL!$A:$A,0))</f>
        <v>2627544</v>
      </c>
      <c r="BG141" s="142">
        <f>INDEX(CarrierDriverTBL!$AG:$AG,MATCH(Table1[DriverID],CarrierDriverTBL!$A:$A,0))</f>
        <v>466133</v>
      </c>
      <c r="BH141" s="142" t="str">
        <f>INDEX(CarrierDriverTBL!$AH:$AH,MATCH(Table1[DriverID],CarrierDriverTBL!$A:$A,0))</f>
        <v>GM Lawrence Ins</v>
      </c>
      <c r="BI141" s="142" t="str">
        <f>INDEX(CarrierDriverTBL!$AI:$AI,MATCH(Table1[DriverID],CarrierDriverTBL!$A:$A,0))</f>
        <v>DSK2842P160210</v>
      </c>
      <c r="BJ141" s="160">
        <f>INDEX(CarrierDriverTBL!$AJ:$AJ,MATCH(Table1[[#This Row],[DriverID]],CarrierDriverTBL!$A:$A,0))</f>
        <v>42778</v>
      </c>
      <c r="BK141" s="10">
        <f t="shared" si="68"/>
        <v>475</v>
      </c>
      <c r="BL141" s="174">
        <v>900</v>
      </c>
      <c r="BM141" s="144">
        <v>350</v>
      </c>
      <c r="BN141" s="159">
        <f t="shared" si="61"/>
        <v>2.5714285714285716</v>
      </c>
      <c r="BO141" s="167">
        <v>850</v>
      </c>
      <c r="BP141" s="159">
        <f t="shared" si="62"/>
        <v>2.4285714285714284</v>
      </c>
      <c r="BQ141" s="133">
        <v>2.7989999999999999</v>
      </c>
      <c r="BR141" s="166">
        <f t="shared" si="63"/>
        <v>0.14983333333333335</v>
      </c>
      <c r="BS141" s="167">
        <f t="shared" si="69"/>
        <v>2.2787380952380949</v>
      </c>
      <c r="BT141" s="159">
        <f t="shared" si="70"/>
        <v>52.44166666666667</v>
      </c>
      <c r="BU141" s="10" t="str">
        <f t="shared" si="71"/>
        <v>Ch Robinson</v>
      </c>
      <c r="BV141" s="4"/>
      <c r="BW141" s="4" t="str">
        <f>Table1[[#This Row],[BrokerAddress]]</f>
        <v>P.O. Box 3474</v>
      </c>
      <c r="BX141" s="4" t="str">
        <f t="shared" si="72"/>
        <v>Chicago</v>
      </c>
      <c r="BY141" s="4" t="str">
        <f t="shared" si="73"/>
        <v>Il</v>
      </c>
      <c r="BZ141" s="4">
        <f t="shared" si="74"/>
        <v>60654</v>
      </c>
      <c r="CA141" s="10" t="str">
        <f t="shared" si="75"/>
        <v>US</v>
      </c>
      <c r="CB141" s="15" t="s">
        <v>131</v>
      </c>
      <c r="CC141" s="62"/>
      <c r="CD141" s="15" t="s">
        <v>149</v>
      </c>
      <c r="CE141" s="64">
        <v>41.666666666700003</v>
      </c>
      <c r="CF141" s="4">
        <v>6</v>
      </c>
      <c r="CG141" s="132">
        <f t="shared" si="76"/>
        <v>250.00000000020003</v>
      </c>
      <c r="CH141" s="4" t="s">
        <v>132</v>
      </c>
      <c r="CI141" s="5">
        <v>0</v>
      </c>
      <c r="CJ141" s="4">
        <v>0</v>
      </c>
      <c r="CK141" s="132">
        <f t="shared" si="77"/>
        <v>0</v>
      </c>
      <c r="CL141" s="4" t="s">
        <v>132</v>
      </c>
      <c r="CM141" s="5">
        <v>0</v>
      </c>
      <c r="CN141" s="4">
        <v>0</v>
      </c>
      <c r="CO141" s="132">
        <f t="shared" si="78"/>
        <v>0</v>
      </c>
      <c r="CP141" s="4" t="s">
        <v>132</v>
      </c>
      <c r="CQ141" s="5">
        <v>0</v>
      </c>
      <c r="CR141" s="4">
        <v>0</v>
      </c>
      <c r="CS141" s="132">
        <f t="shared" si="79"/>
        <v>0</v>
      </c>
      <c r="CT141" s="159">
        <f t="shared" si="80"/>
        <v>250.00000000020003</v>
      </c>
      <c r="CU141" s="168">
        <f t="shared" si="81"/>
        <v>1150.0000000002001</v>
      </c>
      <c r="CV141" s="183">
        <f t="shared" si="65"/>
        <v>250.0000000002</v>
      </c>
      <c r="CW141" s="82">
        <f t="shared" si="64"/>
        <v>1100.0000000002001</v>
      </c>
      <c r="CX141" s="79">
        <f>IF(ISBLANK(E141),"AddQuickPay",IF(E141=2,CU141*0.98,IF(E141=2.4,CU141*0.976,IF(E141=3,CU141*0.97,IF(E141=5,CU141*0.95,IF(E141=1.5,CU141*0.985,IF(E141=2.5,CU141*0.975,IF(E141=1.3,CU141*0.987,IF(E141=1,CU141*0.99,IF(E141=4,CU141*0.96,CU141*1))))))))))-Table1[[#This Row],[ComCheck+QuickPayFee]]</f>
        <v>1127.000000000196</v>
      </c>
      <c r="CY141" s="5">
        <f t="shared" si="82"/>
        <v>50</v>
      </c>
      <c r="CZ141" s="5">
        <f t="shared" si="83"/>
        <v>23.000000000004004</v>
      </c>
      <c r="DA141" s="258">
        <f>Table1[[#This Row],[OriginalDispatch]]-Table1[[#This Row],[QuickPayCharge]]</f>
        <v>26.999999999995996</v>
      </c>
      <c r="DB141" s="5">
        <v>0</v>
      </c>
      <c r="DC141" s="5" t="s">
        <v>133</v>
      </c>
      <c r="DD141" s="104">
        <f t="shared" si="84"/>
        <v>42307</v>
      </c>
      <c r="DE141" s="15">
        <f>MONTH(Table1[[#This Row],[Weekending]])</f>
        <v>10</v>
      </c>
      <c r="DF141" s="15">
        <f>YEAR(Table1[[#This Row],[Weekending]])</f>
        <v>2015</v>
      </c>
      <c r="DG141" s="4" t="s">
        <v>1186</v>
      </c>
    </row>
    <row r="142" spans="1:111">
      <c r="A142" s="20" t="str">
        <f t="shared" si="66"/>
        <v>84232688</v>
      </c>
      <c r="B142" s="146">
        <v>42303</v>
      </c>
      <c r="C142" s="144">
        <v>184163184</v>
      </c>
      <c r="D142" s="298" t="s">
        <v>111</v>
      </c>
      <c r="E142" s="298">
        <v>2</v>
      </c>
      <c r="F142" s="142" t="str">
        <f>INDEX(BrokerTBL!$B:$B,MATCH(D142,BrokerTBL!$A:$A,0))</f>
        <v>P.O. Box 3474</v>
      </c>
      <c r="G142" s="142" t="str">
        <f>INDEX(BrokerTBL!$C:$C,MATCH(D142,BrokerTBL!$A:$A,0))</f>
        <v>Chicago</v>
      </c>
      <c r="H142" s="142" t="str">
        <f>INDEX(BrokerTBL!$D:$D,MATCH(D142,BrokerTBL!$A:$A,0))</f>
        <v>Il</v>
      </c>
      <c r="I142" s="142" t="str">
        <f>INDEX(BrokerTBL!$E:$E,MATCH(D142,BrokerTBL!$A:$A,0))</f>
        <v>US</v>
      </c>
      <c r="J142" s="142">
        <f>INDEX(BrokerTBL!$F:$F,MATCH(D142,BrokerTBL!$A:$A,0))</f>
        <v>60654</v>
      </c>
      <c r="K142" s="298" t="s">
        <v>700</v>
      </c>
      <c r="L142" s="145">
        <v>305408223</v>
      </c>
      <c r="M142" s="146">
        <v>42303</v>
      </c>
      <c r="N142" s="144" t="s">
        <v>1187</v>
      </c>
      <c r="O142" s="298" t="s">
        <v>702</v>
      </c>
      <c r="P142" s="298" t="s">
        <v>703</v>
      </c>
      <c r="Q142" s="298" t="s">
        <v>139</v>
      </c>
      <c r="R142" s="298">
        <v>93030</v>
      </c>
      <c r="S142" s="298" t="s">
        <v>118</v>
      </c>
      <c r="T142" s="298" t="s">
        <v>136</v>
      </c>
      <c r="U142" s="298" t="s">
        <v>120</v>
      </c>
      <c r="V142" s="298">
        <v>53</v>
      </c>
      <c r="W142" s="298" t="s">
        <v>1188</v>
      </c>
      <c r="X142" s="144">
        <v>19718</v>
      </c>
      <c r="Y142" s="298" t="s">
        <v>740</v>
      </c>
      <c r="Z142" s="298">
        <v>1680</v>
      </c>
      <c r="AA142" s="298">
        <v>60</v>
      </c>
      <c r="AB142" s="298" t="s">
        <v>123</v>
      </c>
      <c r="AC142" s="187" t="s">
        <v>1189</v>
      </c>
      <c r="AD142" s="188">
        <v>3.0540822330540798E+26</v>
      </c>
      <c r="AE142" s="190" t="s">
        <v>1190</v>
      </c>
      <c r="AF142" s="416" t="s">
        <v>123</v>
      </c>
      <c r="AG142" s="187" t="s">
        <v>1191</v>
      </c>
      <c r="AH142" s="187" t="s">
        <v>1192</v>
      </c>
      <c r="AI142" s="298" t="s">
        <v>139</v>
      </c>
      <c r="AJ142" s="223">
        <v>90292</v>
      </c>
      <c r="AK142" s="298" t="s">
        <v>118</v>
      </c>
      <c r="AL142" s="298" t="s">
        <v>123</v>
      </c>
      <c r="AM142" s="142" t="str">
        <f>INDEX(CarrierDriverTBL!$B:$B,MATCH(Table1[[#This Row],[DriverID]],CarrierDriverTBL!$A:$A,0))</f>
        <v>UBTrucking</v>
      </c>
      <c r="AN142" s="10" t="s">
        <v>948</v>
      </c>
      <c r="AO142" s="10" t="str">
        <f>INDEX(CarrierDriverTBL!$C:$C,MATCH(Table1[[#This Row],[DriverID]],CarrierDriverTBL!$A:$A,0))</f>
        <v>Wesley</v>
      </c>
      <c r="AP142" s="10" t="str">
        <f>INDEX(CarrierDriverTBL!$D:$D,MATCH(Table1[[#This Row],[DriverID]],CarrierDriverTBL!$A:$A,0))</f>
        <v>Cousain</v>
      </c>
      <c r="AQ142" s="10" t="str">
        <f>INDEX(CarrierDriverTBL!$X:$X,MATCH(Table1[[#This Row],[DriverID]],CarrierDriverTBL!$A:$A,0))</f>
        <v>D4903588</v>
      </c>
      <c r="AR142" s="11">
        <f>INDEX(CarrierDriverTBL!$Y:$Y,MATCH(Table1[[#This Row],[DriverID]],CarrierDriverTBL!$A:$A,0))</f>
        <v>43458</v>
      </c>
      <c r="AS142" s="142" t="str">
        <f t="shared" si="67"/>
        <v>GOOD</v>
      </c>
      <c r="AT142" s="11">
        <f>INDEX(CarrierDriverTBL!$E:$E,MATCH(Table1[[#This Row],[DriverID]],CarrierDriverTBL!$A:$A,0))</f>
        <v>31405</v>
      </c>
      <c r="AU142" s="163">
        <f ca="1">INDEX(CarrierDriverTBL!$F:$F,MATCH(Table1[[#This Row],[DriverID]],CarrierDriverTBL!$A:$A,0))</f>
        <v>30.605479452054794</v>
      </c>
      <c r="AV142" s="10" t="str">
        <f>INDEX(CarrierDriverTBL!$K:$K,MATCH(Table1[[#This Row],[DriverID]],CarrierDriverTBL!$A:$A,0))</f>
        <v>925-383-5364</v>
      </c>
      <c r="AW142" s="10" t="str">
        <f>INDEX(CarrierDriverTBL!$M:$M,MATCH(Table1[[#This Row],[DriverID]],CarrierDriverTBL!$A:$A,0))</f>
        <v>110 Cordova Ln</v>
      </c>
      <c r="AX142" s="10" t="str">
        <f>INDEX(CarrierDriverTBL!$N:$N,MATCH(Table1[[#This Row],[DriverID]],CarrierDriverTBL!$A:$A,0))</f>
        <v>Stockton</v>
      </c>
      <c r="AY142" s="10" t="str">
        <f>INDEX(CarrierDriverTBL!$O:$O,MATCH(Table1[[#This Row],[DriverID]],CarrierDriverTBL!$A:$A,0))</f>
        <v>CA</v>
      </c>
      <c r="AZ142" s="10">
        <f>INDEX(CarrierDriverTBL!$P:$P,MATCH(Table1[[#This Row],[DriverID]],CarrierDriverTBL!$A:$A,0))</f>
        <v>95207</v>
      </c>
      <c r="BA142" s="10" t="str">
        <f>INDEX(CarrierDriverTBL!$Q:$Q,MATCH(Table1[[#This Row],[DriverID]],CarrierDriverTBL!$A:$A,0))</f>
        <v>US</v>
      </c>
      <c r="BB142" s="173" t="str">
        <f>INDEX(CarrierDriverTBL!$R:$R,MATCH(Table1[[#This Row],[DriverID]],CarrierDriverTBL!$A:$A,0))</f>
        <v>wesleycousain1@gmail.com</v>
      </c>
      <c r="BC142" s="160">
        <f>INDEX(CarrierDriverTBL!$AB:$AB,MATCH(Table1[[#This Row],[DriverID]],CarrierDriverTBL!$A:$A,0))</f>
        <v>42271</v>
      </c>
      <c r="BD142" s="142" t="str">
        <f ca="1">INDEX(CarrierDriverTBL!$AD:$AD,MATCH(LoadMaster!$AN:$AN,CarrierDriverTBL!$A:$A,0))</f>
        <v>MISSING</v>
      </c>
      <c r="BE142" s="142">
        <f>INDEX(CarrierDriverTBL!$AE:$AE,MATCH(Table1[DriverID],CarrierDriverTBL!$A:$A,0))</f>
        <v>913971</v>
      </c>
      <c r="BF142" s="142">
        <f>INDEX(CarrierDriverTBL!$AF:$AF,MATCH(Table1[DriverID],CarrierDriverTBL!$A:$A,0))</f>
        <v>2627544</v>
      </c>
      <c r="BG142" s="142">
        <f>INDEX(CarrierDriverTBL!$AG:$AG,MATCH(Table1[DriverID],CarrierDriverTBL!$A:$A,0))</f>
        <v>466133</v>
      </c>
      <c r="BH142" s="142" t="str">
        <f>INDEX(CarrierDriverTBL!$AH:$AH,MATCH(Table1[DriverID],CarrierDriverTBL!$A:$A,0))</f>
        <v>GM Lawrence Ins</v>
      </c>
      <c r="BI142" s="142" t="str">
        <f>INDEX(CarrierDriverTBL!$AI:$AI,MATCH(Table1[DriverID],CarrierDriverTBL!$A:$A,0))</f>
        <v>DSK2842P160210</v>
      </c>
      <c r="BJ142" s="160">
        <f>INDEX(CarrierDriverTBL!$AJ:$AJ,MATCH(Table1[[#This Row],[DriverID]],CarrierDriverTBL!$A:$A,0))</f>
        <v>42778</v>
      </c>
      <c r="BK142" s="10">
        <f t="shared" si="68"/>
        <v>475</v>
      </c>
      <c r="BL142" s="174">
        <v>400</v>
      </c>
      <c r="BM142" s="144">
        <v>80</v>
      </c>
      <c r="BN142" s="159">
        <f t="shared" ref="BN142:BN173" si="85">BL142/BM142</f>
        <v>5</v>
      </c>
      <c r="BO142" s="167">
        <f>0.93*400</f>
        <v>372</v>
      </c>
      <c r="BP142" s="159">
        <f t="shared" ref="BP142:BP173" si="86">BO142/BM142</f>
        <v>4.6500000000000004</v>
      </c>
      <c r="BQ142" s="133">
        <v>2.7989999999999999</v>
      </c>
      <c r="BR142" s="166">
        <f t="shared" ref="BR142:BR165" si="87">(BQ142-1.9)/6</f>
        <v>0.14983333333333335</v>
      </c>
      <c r="BS142" s="167">
        <f t="shared" si="69"/>
        <v>4.5001666666666669</v>
      </c>
      <c r="BT142" s="159">
        <f t="shared" si="70"/>
        <v>11.986666666666668</v>
      </c>
      <c r="BU142" s="10" t="str">
        <f t="shared" si="71"/>
        <v>Ch Robinson</v>
      </c>
      <c r="BV142" s="4"/>
      <c r="BW142" s="4" t="str">
        <f>Table1[[#This Row],[BrokerAddress]]</f>
        <v>P.O. Box 3474</v>
      </c>
      <c r="BX142" s="4" t="str">
        <f t="shared" si="72"/>
        <v>Chicago</v>
      </c>
      <c r="BY142" s="4" t="str">
        <f t="shared" si="73"/>
        <v>Il</v>
      </c>
      <c r="BZ142" s="4">
        <f t="shared" si="74"/>
        <v>60654</v>
      </c>
      <c r="CA142" s="10" t="str">
        <f t="shared" si="75"/>
        <v>US</v>
      </c>
      <c r="CB142" s="15" t="s">
        <v>131</v>
      </c>
      <c r="CC142" s="62"/>
      <c r="CD142" s="15" t="s">
        <v>132</v>
      </c>
      <c r="CE142" s="64">
        <v>0</v>
      </c>
      <c r="CF142" s="4">
        <v>0</v>
      </c>
      <c r="CG142" s="132">
        <f t="shared" si="76"/>
        <v>0</v>
      </c>
      <c r="CH142" s="4" t="s">
        <v>132</v>
      </c>
      <c r="CI142" s="5">
        <v>0</v>
      </c>
      <c r="CJ142" s="4">
        <v>0</v>
      </c>
      <c r="CK142" s="132">
        <f t="shared" si="77"/>
        <v>0</v>
      </c>
      <c r="CL142" s="4" t="s">
        <v>132</v>
      </c>
      <c r="CM142" s="5">
        <v>0</v>
      </c>
      <c r="CN142" s="4">
        <v>0</v>
      </c>
      <c r="CO142" s="132">
        <f t="shared" si="78"/>
        <v>0</v>
      </c>
      <c r="CP142" s="4" t="s">
        <v>132</v>
      </c>
      <c r="CQ142" s="5">
        <v>0</v>
      </c>
      <c r="CR142" s="4">
        <v>0</v>
      </c>
      <c r="CS142" s="132">
        <f t="shared" si="79"/>
        <v>0</v>
      </c>
      <c r="CT142" s="159">
        <f t="shared" si="80"/>
        <v>0</v>
      </c>
      <c r="CU142" s="168">
        <f t="shared" si="81"/>
        <v>400</v>
      </c>
      <c r="CV142" s="183">
        <f t="shared" si="65"/>
        <v>0</v>
      </c>
      <c r="CW142" s="82">
        <f t="shared" si="64"/>
        <v>372</v>
      </c>
      <c r="CX142" s="79">
        <f>IF(ISBLANK(E142),"AddQuickPay",IF(E142=2,CU142*0.98,IF(E142=2.4,CU142*0.976,IF(E142=3,CU142*0.97,IF(E142=5,CU142*0.95,IF(E142=1.5,CU142*0.985,IF(E142=2.5,CU142*0.975,IF(E142=1.3,CU142*0.987,IF(E142=1,CU142*0.99,IF(E142=4,CU142*0.96,CU142*1))))))))))-Table1[[#This Row],[ComCheck+QuickPayFee]]</f>
        <v>392</v>
      </c>
      <c r="CY142" s="5">
        <f t="shared" si="82"/>
        <v>28</v>
      </c>
      <c r="CZ142" s="5">
        <f t="shared" si="83"/>
        <v>8</v>
      </c>
      <c r="DA142" s="258">
        <f>Table1[[#This Row],[OriginalDispatch]]-Table1[[#This Row],[QuickPayCharge]]</f>
        <v>20</v>
      </c>
      <c r="DB142" s="5">
        <v>0</v>
      </c>
      <c r="DC142" s="5" t="s">
        <v>133</v>
      </c>
      <c r="DD142" s="104">
        <f t="shared" si="84"/>
        <v>42307</v>
      </c>
      <c r="DE142" s="15">
        <f>MONTH(Table1[[#This Row],[Weekending]])</f>
        <v>10</v>
      </c>
      <c r="DF142" s="15">
        <f>YEAR(Table1[[#This Row],[Weekending]])</f>
        <v>2015</v>
      </c>
      <c r="DG142" s="4"/>
    </row>
    <row r="143" spans="1:111">
      <c r="A143" s="20" t="str">
        <f t="shared" si="66"/>
        <v>84605788</v>
      </c>
      <c r="B143" s="146">
        <v>42304</v>
      </c>
      <c r="C143" s="144">
        <v>184505084</v>
      </c>
      <c r="D143" s="298" t="s">
        <v>111</v>
      </c>
      <c r="E143" s="298">
        <v>2</v>
      </c>
      <c r="F143" s="142" t="str">
        <f>INDEX(BrokerTBL!$B:$B,MATCH(D143,BrokerTBL!$A:$A,0))</f>
        <v>P.O. Box 3474</v>
      </c>
      <c r="G143" s="142" t="str">
        <f>INDEX(BrokerTBL!$C:$C,MATCH(D143,BrokerTBL!$A:$A,0))</f>
        <v>Chicago</v>
      </c>
      <c r="H143" s="142" t="str">
        <f>INDEX(BrokerTBL!$D:$D,MATCH(D143,BrokerTBL!$A:$A,0))</f>
        <v>Il</v>
      </c>
      <c r="I143" s="142" t="str">
        <f>INDEX(BrokerTBL!$E:$E,MATCH(D143,BrokerTBL!$A:$A,0))</f>
        <v>US</v>
      </c>
      <c r="J143" s="142">
        <f>INDEX(BrokerTBL!$F:$F,MATCH(D143,BrokerTBL!$A:$A,0))</f>
        <v>60654</v>
      </c>
      <c r="K143" s="298" t="s">
        <v>1193</v>
      </c>
      <c r="L143" s="145">
        <v>36218460</v>
      </c>
      <c r="M143" s="146">
        <v>42304</v>
      </c>
      <c r="N143" s="144" t="s">
        <v>1194</v>
      </c>
      <c r="O143" s="298" t="s">
        <v>1195</v>
      </c>
      <c r="P143" s="298" t="s">
        <v>703</v>
      </c>
      <c r="Q143" s="298" t="s">
        <v>139</v>
      </c>
      <c r="R143" s="298">
        <v>93030</v>
      </c>
      <c r="S143" s="185" t="s">
        <v>118</v>
      </c>
      <c r="T143" s="298" t="s">
        <v>136</v>
      </c>
      <c r="U143" s="298" t="s">
        <v>120</v>
      </c>
      <c r="V143" s="298">
        <v>53</v>
      </c>
      <c r="W143" s="298" t="s">
        <v>141</v>
      </c>
      <c r="X143" s="144">
        <v>44521</v>
      </c>
      <c r="Y143" s="298" t="s">
        <v>740</v>
      </c>
      <c r="Z143" s="298">
        <v>2394</v>
      </c>
      <c r="AA143" s="298">
        <v>19</v>
      </c>
      <c r="AB143" s="298" t="s">
        <v>123</v>
      </c>
      <c r="AC143" s="298" t="s">
        <v>1196</v>
      </c>
      <c r="AD143" s="145">
        <v>7603964957</v>
      </c>
      <c r="AE143" s="146">
        <v>42305</v>
      </c>
      <c r="AF143" s="298" t="s">
        <v>1197</v>
      </c>
      <c r="AG143" s="298" t="s">
        <v>1198</v>
      </c>
      <c r="AH143" s="298" t="s">
        <v>380</v>
      </c>
      <c r="AI143" s="298" t="s">
        <v>139</v>
      </c>
      <c r="AJ143" s="298">
        <v>95376</v>
      </c>
      <c r="AK143" s="298" t="s">
        <v>118</v>
      </c>
      <c r="AL143" s="298" t="s">
        <v>123</v>
      </c>
      <c r="AM143" s="142" t="str">
        <f>INDEX(CarrierDriverTBL!$B:$B,MATCH(Table1[[#This Row],[DriverID]],CarrierDriverTBL!$A:$A,0))</f>
        <v>UBTrucking</v>
      </c>
      <c r="AN143" s="10" t="s">
        <v>948</v>
      </c>
      <c r="AO143" s="10" t="str">
        <f>INDEX(CarrierDriverTBL!$C:$C,MATCH(Table1[[#This Row],[DriverID]],CarrierDriverTBL!$A:$A,0))</f>
        <v>Wesley</v>
      </c>
      <c r="AP143" s="10" t="str">
        <f>INDEX(CarrierDriverTBL!$D:$D,MATCH(Table1[[#This Row],[DriverID]],CarrierDriverTBL!$A:$A,0))</f>
        <v>Cousain</v>
      </c>
      <c r="AQ143" s="10" t="str">
        <f>INDEX(CarrierDriverTBL!$X:$X,MATCH(Table1[[#This Row],[DriverID]],CarrierDriverTBL!$A:$A,0))</f>
        <v>D4903588</v>
      </c>
      <c r="AR143" s="11">
        <f>INDEX(CarrierDriverTBL!$Y:$Y,MATCH(Table1[[#This Row],[DriverID]],CarrierDriverTBL!$A:$A,0))</f>
        <v>43458</v>
      </c>
      <c r="AS143" s="142" t="str">
        <f t="shared" si="67"/>
        <v>GOOD</v>
      </c>
      <c r="AT143" s="11">
        <f>INDEX(CarrierDriverTBL!$E:$E,MATCH(Table1[[#This Row],[DriverID]],CarrierDriverTBL!$A:$A,0))</f>
        <v>31405</v>
      </c>
      <c r="AU143" s="163">
        <f ca="1">INDEX(CarrierDriverTBL!$F:$F,MATCH(Table1[[#This Row],[DriverID]],CarrierDriverTBL!$A:$A,0))</f>
        <v>30.605479452054794</v>
      </c>
      <c r="AV143" s="10" t="str">
        <f>INDEX(CarrierDriverTBL!$K:$K,MATCH(Table1[[#This Row],[DriverID]],CarrierDriverTBL!$A:$A,0))</f>
        <v>925-383-5364</v>
      </c>
      <c r="AW143" s="10" t="str">
        <f>INDEX(CarrierDriverTBL!$M:$M,MATCH(Table1[[#This Row],[DriverID]],CarrierDriverTBL!$A:$A,0))</f>
        <v>110 Cordova Ln</v>
      </c>
      <c r="AX143" s="10" t="str">
        <f>INDEX(CarrierDriverTBL!$N:$N,MATCH(Table1[[#This Row],[DriverID]],CarrierDriverTBL!$A:$A,0))</f>
        <v>Stockton</v>
      </c>
      <c r="AY143" s="10" t="str">
        <f>INDEX(CarrierDriverTBL!$O:$O,MATCH(Table1[[#This Row],[DriverID]],CarrierDriverTBL!$A:$A,0))</f>
        <v>CA</v>
      </c>
      <c r="AZ143" s="10">
        <f>INDEX(CarrierDriverTBL!$P:$P,MATCH(Table1[[#This Row],[DriverID]],CarrierDriverTBL!$A:$A,0))</f>
        <v>95207</v>
      </c>
      <c r="BA143" s="10" t="str">
        <f>INDEX(CarrierDriverTBL!$Q:$Q,MATCH(Table1[[#This Row],[DriverID]],CarrierDriverTBL!$A:$A,0))</f>
        <v>US</v>
      </c>
      <c r="BB143" s="173" t="str">
        <f>INDEX(CarrierDriverTBL!$R:$R,MATCH(Table1[[#This Row],[DriverID]],CarrierDriverTBL!$A:$A,0))</f>
        <v>wesleycousain1@gmail.com</v>
      </c>
      <c r="BC143" s="160">
        <f>INDEX(CarrierDriverTBL!$AB:$AB,MATCH(Table1[[#This Row],[DriverID]],CarrierDriverTBL!$A:$A,0))</f>
        <v>42271</v>
      </c>
      <c r="BD143" s="142" t="str">
        <f ca="1">INDEX(CarrierDriverTBL!$AD:$AD,MATCH(LoadMaster!$AN:$AN,CarrierDriverTBL!$A:$A,0))</f>
        <v>MISSING</v>
      </c>
      <c r="BE143" s="142">
        <f>INDEX(CarrierDriverTBL!$AE:$AE,MATCH(Table1[DriverID],CarrierDriverTBL!$A:$A,0))</f>
        <v>913971</v>
      </c>
      <c r="BF143" s="142">
        <f>INDEX(CarrierDriverTBL!$AF:$AF,MATCH(Table1[DriverID],CarrierDriverTBL!$A:$A,0))</f>
        <v>2627544</v>
      </c>
      <c r="BG143" s="142">
        <f>INDEX(CarrierDriverTBL!$AG:$AG,MATCH(Table1[DriverID],CarrierDriverTBL!$A:$A,0))</f>
        <v>466133</v>
      </c>
      <c r="BH143" s="142" t="str">
        <f>INDEX(CarrierDriverTBL!$AH:$AH,MATCH(Table1[DriverID],CarrierDriverTBL!$A:$A,0))</f>
        <v>GM Lawrence Ins</v>
      </c>
      <c r="BI143" s="142" t="str">
        <f>INDEX(CarrierDriverTBL!$AI:$AI,MATCH(Table1[DriverID],CarrierDriverTBL!$A:$A,0))</f>
        <v>DSK2842P160210</v>
      </c>
      <c r="BJ143" s="160">
        <f>INDEX(CarrierDriverTBL!$AJ:$AJ,MATCH(Table1[[#This Row],[DriverID]],CarrierDriverTBL!$A:$A,0))</f>
        <v>42778</v>
      </c>
      <c r="BK143" s="10">
        <f t="shared" si="68"/>
        <v>474</v>
      </c>
      <c r="BL143" s="174">
        <v>700</v>
      </c>
      <c r="BM143" s="144">
        <v>331</v>
      </c>
      <c r="BN143" s="159">
        <f t="shared" si="85"/>
        <v>2.1148036253776437</v>
      </c>
      <c r="BO143" s="167">
        <f>0.93*700</f>
        <v>651</v>
      </c>
      <c r="BP143" s="159">
        <f t="shared" si="86"/>
        <v>1.9667673716012084</v>
      </c>
      <c r="BQ143" s="133">
        <v>2.7989999999999999</v>
      </c>
      <c r="BR143" s="166">
        <f t="shared" si="87"/>
        <v>0.14983333333333335</v>
      </c>
      <c r="BS143" s="167">
        <f t="shared" si="69"/>
        <v>1.8169340382678751</v>
      </c>
      <c r="BT143" s="159">
        <f t="shared" si="70"/>
        <v>49.594833333333341</v>
      </c>
      <c r="BU143" s="10" t="str">
        <f t="shared" si="71"/>
        <v>Ch Robinson</v>
      </c>
      <c r="BV143" s="4"/>
      <c r="BW143" s="4" t="str">
        <f>Table1[[#This Row],[BrokerAddress]]</f>
        <v>P.O. Box 3474</v>
      </c>
      <c r="BX143" s="4" t="str">
        <f t="shared" si="72"/>
        <v>Chicago</v>
      </c>
      <c r="BY143" s="4" t="str">
        <f t="shared" si="73"/>
        <v>Il</v>
      </c>
      <c r="BZ143" s="4">
        <f t="shared" si="74"/>
        <v>60654</v>
      </c>
      <c r="CA143" s="10" t="str">
        <f t="shared" si="75"/>
        <v>US</v>
      </c>
      <c r="CB143" s="15" t="s">
        <v>131</v>
      </c>
      <c r="CC143" s="62"/>
      <c r="CD143" s="15" t="s">
        <v>132</v>
      </c>
      <c r="CE143" s="64">
        <v>0</v>
      </c>
      <c r="CF143" s="4">
        <v>0</v>
      </c>
      <c r="CG143" s="132">
        <f t="shared" si="76"/>
        <v>0</v>
      </c>
      <c r="CH143" s="4" t="s">
        <v>132</v>
      </c>
      <c r="CI143" s="5">
        <v>0</v>
      </c>
      <c r="CJ143" s="4">
        <v>0</v>
      </c>
      <c r="CK143" s="132">
        <f t="shared" si="77"/>
        <v>0</v>
      </c>
      <c r="CL143" s="4" t="s">
        <v>132</v>
      </c>
      <c r="CM143" s="5">
        <v>0</v>
      </c>
      <c r="CN143" s="4">
        <v>0</v>
      </c>
      <c r="CO143" s="132">
        <f t="shared" si="78"/>
        <v>0</v>
      </c>
      <c r="CP143" s="4" t="s">
        <v>132</v>
      </c>
      <c r="CQ143" s="5">
        <v>0</v>
      </c>
      <c r="CR143" s="4">
        <v>0</v>
      </c>
      <c r="CS143" s="132">
        <f t="shared" si="79"/>
        <v>0</v>
      </c>
      <c r="CT143" s="159">
        <f t="shared" si="80"/>
        <v>0</v>
      </c>
      <c r="CU143" s="168">
        <f t="shared" si="81"/>
        <v>700</v>
      </c>
      <c r="CV143" s="183">
        <f t="shared" si="65"/>
        <v>0</v>
      </c>
      <c r="CW143" s="82">
        <f t="shared" si="64"/>
        <v>651</v>
      </c>
      <c r="CX143" s="79">
        <f>IF(ISBLANK(E143),"AddQuickPay",IF(E143=2,CU143*0.98,IF(E143=2.4,CU143*0.976,IF(E143=3,CU143*0.97,IF(E143=5,CU143*0.95,IF(E143=1.5,CU143*0.985,IF(E143=2.5,CU143*0.975,IF(E143=1.3,CU143*0.987,IF(E143=1,CU143*0.99,IF(E143=4,CU143*0.96,CU143*1))))))))))-Table1[[#This Row],[ComCheck+QuickPayFee]]</f>
        <v>686</v>
      </c>
      <c r="CY143" s="5">
        <f t="shared" si="82"/>
        <v>49</v>
      </c>
      <c r="CZ143" s="5">
        <f t="shared" si="83"/>
        <v>14</v>
      </c>
      <c r="DA143" s="258">
        <f>Table1[[#This Row],[OriginalDispatch]]-Table1[[#This Row],[QuickPayCharge]]</f>
        <v>35</v>
      </c>
      <c r="DB143" s="5">
        <v>0</v>
      </c>
      <c r="DC143" s="5" t="s">
        <v>133</v>
      </c>
      <c r="DD143" s="104">
        <f t="shared" si="84"/>
        <v>42307</v>
      </c>
      <c r="DE143" s="15">
        <f>MONTH(Table1[[#This Row],[Weekending]])</f>
        <v>10</v>
      </c>
      <c r="DF143" s="15">
        <f>YEAR(Table1[[#This Row],[Weekending]])</f>
        <v>2015</v>
      </c>
      <c r="DG143" s="4"/>
    </row>
    <row r="144" spans="1:111">
      <c r="A144" s="20" t="str">
        <f t="shared" si="66"/>
        <v>16nenk49</v>
      </c>
      <c r="B144" s="146">
        <v>42305</v>
      </c>
      <c r="C144" s="144">
        <v>6220616</v>
      </c>
      <c r="D144" s="298" t="s">
        <v>555</v>
      </c>
      <c r="E144" s="298">
        <v>3</v>
      </c>
      <c r="F144" s="298" t="str">
        <f>INDEX(BrokerTBL!$B:$B,MATCH(D144,BrokerTBL!$A:$A,0))</f>
        <v>P.O. Box 799</v>
      </c>
      <c r="G144" s="298" t="str">
        <f>INDEX(BrokerTBL!$C:$C,MATCH(D144,BrokerTBL!$A:$A,0))</f>
        <v>Milford</v>
      </c>
      <c r="H144" s="298" t="str">
        <f>INDEX(BrokerTBL!$D:$D,MATCH(D144,BrokerTBL!$A:$A,0))</f>
        <v>Ohio</v>
      </c>
      <c r="I144" s="298" t="str">
        <f>INDEX(BrokerTBL!$E:$E,MATCH(D144,BrokerTBL!$A:$A,0))</f>
        <v>US</v>
      </c>
      <c r="J144" s="298">
        <f>INDEX(BrokerTBL!$F:$F,MATCH(D144,BrokerTBL!$A:$A,0))</f>
        <v>45150</v>
      </c>
      <c r="K144" s="298" t="s">
        <v>1199</v>
      </c>
      <c r="L144" s="145" t="s">
        <v>132</v>
      </c>
      <c r="M144" s="146">
        <v>42305</v>
      </c>
      <c r="N144" s="162" t="s">
        <v>136</v>
      </c>
      <c r="O144" s="298" t="s">
        <v>1200</v>
      </c>
      <c r="P144" s="298" t="s">
        <v>689</v>
      </c>
      <c r="Q144" s="298" t="s">
        <v>139</v>
      </c>
      <c r="R144" s="298">
        <v>95691</v>
      </c>
      <c r="S144" s="298" t="s">
        <v>118</v>
      </c>
      <c r="T144" s="298" t="s">
        <v>136</v>
      </c>
      <c r="U144" s="298" t="s">
        <v>120</v>
      </c>
      <c r="V144" s="298">
        <v>53</v>
      </c>
      <c r="W144" s="298" t="s">
        <v>1201</v>
      </c>
      <c r="X144" s="144" t="s">
        <v>136</v>
      </c>
      <c r="Y144" s="298" t="s">
        <v>123</v>
      </c>
      <c r="Z144" s="298" t="s">
        <v>123</v>
      </c>
      <c r="AA144" s="298" t="s">
        <v>123</v>
      </c>
      <c r="AB144" s="298" t="s">
        <v>123</v>
      </c>
      <c r="AC144" s="298" t="s">
        <v>1202</v>
      </c>
      <c r="AD144" s="145" t="s">
        <v>1179</v>
      </c>
      <c r="AE144" s="146">
        <v>42306</v>
      </c>
      <c r="AF144" s="416" t="s">
        <v>123</v>
      </c>
      <c r="AG144" s="298" t="s">
        <v>1203</v>
      </c>
      <c r="AH144" s="298" t="s">
        <v>910</v>
      </c>
      <c r="AI144" s="298" t="s">
        <v>139</v>
      </c>
      <c r="AJ144" s="298">
        <v>93427</v>
      </c>
      <c r="AK144" s="298" t="s">
        <v>118</v>
      </c>
      <c r="AL144" s="298" t="s">
        <v>123</v>
      </c>
      <c r="AM144" s="142" t="str">
        <f>INDEX(CarrierDriverTBL!$B:$B,MATCH(Table1[[#This Row],[DriverID]],CarrierDriverTBL!$A:$A,0))</f>
        <v>UBTrucking</v>
      </c>
      <c r="AN144" s="10" t="s">
        <v>192</v>
      </c>
      <c r="AO144" s="10" t="str">
        <f>INDEX(CarrierDriverTBL!$C:$C,MATCH(Table1[[#This Row],[DriverID]],CarrierDriverTBL!$A:$A,0))</f>
        <v>Albel</v>
      </c>
      <c r="AP144" s="142" t="str">
        <f>INDEX(CarrierDriverTBL!$D:$D,MATCH(Table1[[#This Row],[DriverID]],CarrierDriverTBL!$A:$A,0))</f>
        <v>Chahil</v>
      </c>
      <c r="AQ144" s="142" t="str">
        <f>INDEX(CarrierDriverTBL!$X:$X,MATCH(Table1[[#This Row],[DriverID]],CarrierDriverTBL!$A:$A,0))</f>
        <v>A8390649</v>
      </c>
      <c r="AR144" s="160">
        <f>INDEX(CarrierDriverTBL!$Y:$Y,MATCH(Table1[[#This Row],[DriverID]],CarrierDriverTBL!$A:$A,0))</f>
        <v>42402</v>
      </c>
      <c r="AS144" s="142" t="str">
        <f t="shared" si="67"/>
        <v>GOOD</v>
      </c>
      <c r="AT144" s="160">
        <f>INDEX(CarrierDriverTBL!$E:$E,MATCH(Table1[[#This Row],[DriverID]],CarrierDriverTBL!$A:$A,0))</f>
        <v>22314</v>
      </c>
      <c r="AU144" s="163">
        <f ca="1">INDEX(CarrierDriverTBL!$F:$F,MATCH(Table1[[#This Row],[DriverID]],CarrierDriverTBL!$A:$A,0))</f>
        <v>55.512328767123286</v>
      </c>
      <c r="AV144" s="142" t="str">
        <f>INDEX(CarrierDriverTBL!$K:$K,MATCH(Table1[[#This Row],[DriverID]],CarrierDriverTBL!$A:$A,0))</f>
        <v>510-773-9450</v>
      </c>
      <c r="AW144" s="142" t="str">
        <f>INDEX(CarrierDriverTBL!$M:$M,MATCH(Table1[[#This Row],[DriverID]],CarrierDriverTBL!$A:$A,0))</f>
        <v>3124 Cynthia CT</v>
      </c>
      <c r="AX144" s="142" t="str">
        <f>INDEX(CarrierDriverTBL!$N:$N,MATCH(Table1[[#This Row],[DriverID]],CarrierDriverTBL!$A:$A,0))</f>
        <v>Tracy</v>
      </c>
      <c r="AY144" s="142" t="str">
        <f>INDEX(CarrierDriverTBL!$O:$O,MATCH(Table1[[#This Row],[DriverID]],CarrierDriverTBL!$A:$A,0))</f>
        <v>CA</v>
      </c>
      <c r="AZ144" s="142">
        <f>INDEX(CarrierDriverTBL!$P:$P,MATCH(Table1[[#This Row],[DriverID]],CarrierDriverTBL!$A:$A,0))</f>
        <v>95377</v>
      </c>
      <c r="BA144" s="142" t="str">
        <f>INDEX(CarrierDriverTBL!$Q:$Q,MATCH(Table1[[#This Row],[DriverID]],CarrierDriverTBL!$A:$A,0))</f>
        <v>US</v>
      </c>
      <c r="BB144" s="176" t="str">
        <f>INDEX(CarrierDriverTBL!$R:$R,MATCH(Table1[[#This Row],[DriverID]],CarrierDriverTBL!$A:$A,0))</f>
        <v>ubgollc@gmail.com</v>
      </c>
      <c r="BC144" s="160">
        <f>INDEX(CarrierDriverTBL!$AB:$AB,MATCH(Table1[[#This Row],[DriverID]],CarrierDriverTBL!$A:$A,0))</f>
        <v>42167</v>
      </c>
      <c r="BD144" s="142" t="str">
        <f ca="1">INDEX(CarrierDriverTBL!$AD:$AD,MATCH(LoadMaster!$AN:$AN,CarrierDriverTBL!$A:$A,0))</f>
        <v>MISSING</v>
      </c>
      <c r="BE144" s="142">
        <f>INDEX(CarrierDriverTBL!$AE:$AE,MATCH(Table1[DriverID],CarrierDriverTBL!$A:$A,0))</f>
        <v>913971</v>
      </c>
      <c r="BF144" s="142">
        <f>INDEX(CarrierDriverTBL!$AF:$AF,MATCH(Table1[DriverID],CarrierDriverTBL!$A:$A,0))</f>
        <v>2627544</v>
      </c>
      <c r="BG144" s="142">
        <f>INDEX(CarrierDriverTBL!$AG:$AG,MATCH(Table1[DriverID],CarrierDriverTBL!$A:$A,0))</f>
        <v>466133</v>
      </c>
      <c r="BH144" s="142" t="str">
        <f>INDEX(CarrierDriverTBL!$AH:$AH,MATCH(Table1[DriverID],CarrierDriverTBL!$A:$A,0))</f>
        <v>GM Lawrence Ins</v>
      </c>
      <c r="BI144" s="142" t="str">
        <f>INDEX(CarrierDriverTBL!$AI:$AI,MATCH(Table1[DriverID],CarrierDriverTBL!$A:$A,0))</f>
        <v>DSK2842P160210</v>
      </c>
      <c r="BJ144" s="160">
        <f>INDEX(CarrierDriverTBL!$AJ:$AJ,MATCH(Table1[[#This Row],[DriverID]],CarrierDriverTBL!$A:$A,0))</f>
        <v>42778</v>
      </c>
      <c r="BK144" s="10">
        <f t="shared" si="68"/>
        <v>473</v>
      </c>
      <c r="BL144" s="174">
        <v>750</v>
      </c>
      <c r="BM144" s="144">
        <v>361</v>
      </c>
      <c r="BN144" s="159">
        <f t="shared" si="85"/>
        <v>2.0775623268698062</v>
      </c>
      <c r="BO144" s="167">
        <v>700</v>
      </c>
      <c r="BP144" s="159">
        <f t="shared" si="86"/>
        <v>1.9390581717451523</v>
      </c>
      <c r="BQ144" s="133">
        <v>2.7989999999999999</v>
      </c>
      <c r="BR144" s="166">
        <f t="shared" si="87"/>
        <v>0.14983333333333335</v>
      </c>
      <c r="BS144" s="167">
        <f t="shared" si="69"/>
        <v>1.789224838411819</v>
      </c>
      <c r="BT144" s="159">
        <f t="shared" si="70"/>
        <v>54.089833333333338</v>
      </c>
      <c r="BU144" s="10" t="str">
        <f t="shared" si="71"/>
        <v>Tql</v>
      </c>
      <c r="BV144" s="4"/>
      <c r="BW144" s="4" t="str">
        <f>Table1[[#This Row],[BrokerAddress]]</f>
        <v>P.O. Box 799</v>
      </c>
      <c r="BX144" s="4" t="str">
        <f t="shared" si="72"/>
        <v>Milford</v>
      </c>
      <c r="BY144" s="4" t="str">
        <f t="shared" si="73"/>
        <v>Ohio</v>
      </c>
      <c r="BZ144" s="4">
        <f t="shared" si="74"/>
        <v>45150</v>
      </c>
      <c r="CA144" s="10" t="str">
        <f t="shared" si="75"/>
        <v>US</v>
      </c>
      <c r="CB144" s="15" t="s">
        <v>131</v>
      </c>
      <c r="CC144" s="62"/>
      <c r="CD144" s="15" t="s">
        <v>132</v>
      </c>
      <c r="CE144" s="64">
        <v>0</v>
      </c>
      <c r="CF144" s="4">
        <v>0</v>
      </c>
      <c r="CG144" s="132">
        <f t="shared" si="76"/>
        <v>0</v>
      </c>
      <c r="CH144" s="4" t="s">
        <v>132</v>
      </c>
      <c r="CI144" s="5">
        <v>0</v>
      </c>
      <c r="CJ144" s="4">
        <v>0</v>
      </c>
      <c r="CK144" s="132">
        <f t="shared" si="77"/>
        <v>0</v>
      </c>
      <c r="CL144" s="4" t="s">
        <v>132</v>
      </c>
      <c r="CM144" s="5">
        <v>0</v>
      </c>
      <c r="CN144" s="4">
        <v>0</v>
      </c>
      <c r="CO144" s="132">
        <f t="shared" si="78"/>
        <v>0</v>
      </c>
      <c r="CP144" s="4" t="s">
        <v>132</v>
      </c>
      <c r="CQ144" s="5">
        <v>0</v>
      </c>
      <c r="CR144" s="4">
        <v>0</v>
      </c>
      <c r="CS144" s="132">
        <f t="shared" si="79"/>
        <v>0</v>
      </c>
      <c r="CT144" s="159">
        <f t="shared" si="80"/>
        <v>0</v>
      </c>
      <c r="CU144" s="168">
        <f t="shared" si="81"/>
        <v>750</v>
      </c>
      <c r="CV144" s="183">
        <f t="shared" si="65"/>
        <v>0</v>
      </c>
      <c r="CW144" s="82">
        <f t="shared" si="64"/>
        <v>700</v>
      </c>
      <c r="CX144" s="79">
        <f>IF(ISBLANK(E144),"AddQuickPay",IF(E144=2,CU144*0.98,IF(E144=2.4,CU144*0.976,IF(E144=3,CU144*0.97,IF(E144=5,CU144*0.95,IF(E144=1.5,CU144*0.985,IF(E144=2.5,CU144*0.975,IF(E144=1.3,CU144*0.987,IF(E144=1,CU144*0.99,IF(E144=4,CU144*0.96,CU144*1))))))))))-Table1[[#This Row],[ComCheck+QuickPayFee]]</f>
        <v>727.5</v>
      </c>
      <c r="CY144" s="5">
        <f t="shared" si="82"/>
        <v>50</v>
      </c>
      <c r="CZ144" s="5">
        <f t="shared" si="83"/>
        <v>22.5</v>
      </c>
      <c r="DA144" s="258">
        <f>Table1[[#This Row],[OriginalDispatch]]-Table1[[#This Row],[QuickPayCharge]]</f>
        <v>27.5</v>
      </c>
      <c r="DB144" s="5">
        <v>0</v>
      </c>
      <c r="DC144" s="5" t="s">
        <v>133</v>
      </c>
      <c r="DD144" s="104">
        <f t="shared" si="84"/>
        <v>42307</v>
      </c>
      <c r="DE144" s="15">
        <f>MONTH(Table1[[#This Row],[Weekending]])</f>
        <v>10</v>
      </c>
      <c r="DF144" s="15">
        <f>YEAR(Table1[[#This Row],[Weekending]])</f>
        <v>2015</v>
      </c>
      <c r="DG144" s="4"/>
    </row>
    <row r="145" spans="1:111">
      <c r="A145" s="20" t="str">
        <f t="shared" si="66"/>
        <v>42wnnk88</v>
      </c>
      <c r="B145" s="146">
        <v>42306</v>
      </c>
      <c r="C145" s="144">
        <v>6233942</v>
      </c>
      <c r="D145" s="298" t="s">
        <v>555</v>
      </c>
      <c r="E145" s="298">
        <v>3</v>
      </c>
      <c r="F145" s="298" t="str">
        <f>INDEX(BrokerTBL!$B:$B,MATCH(D145,BrokerTBL!$A:$A,0))</f>
        <v>P.O. Box 799</v>
      </c>
      <c r="G145" s="298" t="str">
        <f>INDEX(BrokerTBL!$C:$C,MATCH(D145,BrokerTBL!$A:$A,0))</f>
        <v>Milford</v>
      </c>
      <c r="H145" s="298" t="str">
        <f>INDEX(BrokerTBL!$D:$D,MATCH(D145,BrokerTBL!$A:$A,0))</f>
        <v>Ohio</v>
      </c>
      <c r="I145" s="298" t="str">
        <f>INDEX(BrokerTBL!$E:$E,MATCH(D145,BrokerTBL!$A:$A,0))</f>
        <v>US</v>
      </c>
      <c r="J145" s="298">
        <f>INDEX(BrokerTBL!$F:$F,MATCH(D145,BrokerTBL!$A:$A,0))</f>
        <v>45150</v>
      </c>
      <c r="K145" s="298" t="s">
        <v>1204</v>
      </c>
      <c r="L145" s="145" t="s">
        <v>1205</v>
      </c>
      <c r="M145" s="146">
        <v>42306</v>
      </c>
      <c r="N145" s="144" t="s">
        <v>356</v>
      </c>
      <c r="O145" s="298" t="s">
        <v>1206</v>
      </c>
      <c r="P145" s="298" t="s">
        <v>1207</v>
      </c>
      <c r="Q145" s="298" t="s">
        <v>139</v>
      </c>
      <c r="R145" s="298">
        <v>95134</v>
      </c>
      <c r="S145" s="185" t="s">
        <v>118</v>
      </c>
      <c r="T145" s="298" t="s">
        <v>136</v>
      </c>
      <c r="U145" s="298" t="s">
        <v>120</v>
      </c>
      <c r="V145" s="298">
        <v>53</v>
      </c>
      <c r="W145" s="298" t="s">
        <v>1208</v>
      </c>
      <c r="X145" s="144" t="s">
        <v>136</v>
      </c>
      <c r="Y145" s="298" t="s">
        <v>123</v>
      </c>
      <c r="Z145" s="185" t="s">
        <v>123</v>
      </c>
      <c r="AA145" s="298" t="s">
        <v>123</v>
      </c>
      <c r="AB145" s="298" t="s">
        <v>123</v>
      </c>
      <c r="AC145" s="298" t="s">
        <v>1209</v>
      </c>
      <c r="AD145" s="145" t="s">
        <v>1179</v>
      </c>
      <c r="AE145" s="146">
        <v>42307</v>
      </c>
      <c r="AF145" s="298" t="s">
        <v>1210</v>
      </c>
      <c r="AG145" s="298" t="s">
        <v>1211</v>
      </c>
      <c r="AH145" s="298" t="s">
        <v>1212</v>
      </c>
      <c r="AI145" s="298" t="s">
        <v>139</v>
      </c>
      <c r="AJ145" s="298">
        <v>92780</v>
      </c>
      <c r="AK145" s="298" t="s">
        <v>118</v>
      </c>
      <c r="AL145" s="298" t="s">
        <v>123</v>
      </c>
      <c r="AM145" s="142" t="str">
        <f>INDEX(CarrierDriverTBL!$B:$B,MATCH(Table1[[#This Row],[DriverID]],CarrierDriverTBL!$A:$A,0))</f>
        <v>UBTrucking</v>
      </c>
      <c r="AN145" s="10" t="s">
        <v>948</v>
      </c>
      <c r="AO145" s="10" t="str">
        <f>INDEX(CarrierDriverTBL!$C:$C,MATCH(Table1[[#This Row],[DriverID]],CarrierDriverTBL!$A:$A,0))</f>
        <v>Wesley</v>
      </c>
      <c r="AP145" s="10" t="str">
        <f>INDEX(CarrierDriverTBL!$D:$D,MATCH(Table1[[#This Row],[DriverID]],CarrierDriverTBL!$A:$A,0))</f>
        <v>Cousain</v>
      </c>
      <c r="AQ145" s="10" t="str">
        <f>INDEX(CarrierDriverTBL!$X:$X,MATCH(Table1[[#This Row],[DriverID]],CarrierDriverTBL!$A:$A,0))</f>
        <v>D4903588</v>
      </c>
      <c r="AR145" s="11">
        <f>INDEX(CarrierDriverTBL!$Y:$Y,MATCH(Table1[[#This Row],[DriverID]],CarrierDriverTBL!$A:$A,0))</f>
        <v>43458</v>
      </c>
      <c r="AS145" s="142" t="str">
        <f t="shared" si="67"/>
        <v>GOOD</v>
      </c>
      <c r="AT145" s="11">
        <f>INDEX(CarrierDriverTBL!$E:$E,MATCH(Table1[[#This Row],[DriverID]],CarrierDriverTBL!$A:$A,0))</f>
        <v>31405</v>
      </c>
      <c r="AU145" s="163">
        <f ca="1">INDEX(CarrierDriverTBL!$F:$F,MATCH(Table1[[#This Row],[DriverID]],CarrierDriverTBL!$A:$A,0))</f>
        <v>30.605479452054794</v>
      </c>
      <c r="AV145" s="10" t="str">
        <f>INDEX(CarrierDriverTBL!$K:$K,MATCH(Table1[[#This Row],[DriverID]],CarrierDriverTBL!$A:$A,0))</f>
        <v>925-383-5364</v>
      </c>
      <c r="AW145" s="10" t="str">
        <f>INDEX(CarrierDriverTBL!$M:$M,MATCH(Table1[[#This Row],[DriverID]],CarrierDriverTBL!$A:$A,0))</f>
        <v>110 Cordova Ln</v>
      </c>
      <c r="AX145" s="10" t="str">
        <f>INDEX(CarrierDriverTBL!$N:$N,MATCH(Table1[[#This Row],[DriverID]],CarrierDriverTBL!$A:$A,0))</f>
        <v>Stockton</v>
      </c>
      <c r="AY145" s="10" t="str">
        <f>INDEX(CarrierDriverTBL!$O:$O,MATCH(Table1[[#This Row],[DriverID]],CarrierDriverTBL!$A:$A,0))</f>
        <v>CA</v>
      </c>
      <c r="AZ145" s="10">
        <f>INDEX(CarrierDriverTBL!$P:$P,MATCH(Table1[[#This Row],[DriverID]],CarrierDriverTBL!$A:$A,0))</f>
        <v>95207</v>
      </c>
      <c r="BA145" s="10" t="str">
        <f>INDEX(CarrierDriverTBL!$Q:$Q,MATCH(Table1[[#This Row],[DriverID]],CarrierDriverTBL!$A:$A,0))</f>
        <v>US</v>
      </c>
      <c r="BB145" s="173" t="str">
        <f>INDEX(CarrierDriverTBL!$R:$R,MATCH(Table1[[#This Row],[DriverID]],CarrierDriverTBL!$A:$A,0))</f>
        <v>wesleycousain1@gmail.com</v>
      </c>
      <c r="BC145" s="160">
        <f>INDEX(CarrierDriverTBL!$AB:$AB,MATCH(Table1[[#This Row],[DriverID]],CarrierDriverTBL!$A:$A,0))</f>
        <v>42271</v>
      </c>
      <c r="BD145" s="142" t="str">
        <f ca="1">INDEX(CarrierDriverTBL!$AD:$AD,MATCH(LoadMaster!$AN:$AN,CarrierDriverTBL!$A:$A,0))</f>
        <v>MISSING</v>
      </c>
      <c r="BE145" s="142">
        <f>INDEX(CarrierDriverTBL!$AE:$AE,MATCH(Table1[DriverID],CarrierDriverTBL!$A:$A,0))</f>
        <v>913971</v>
      </c>
      <c r="BF145" s="142">
        <f>INDEX(CarrierDriverTBL!$AF:$AF,MATCH(Table1[DriverID],CarrierDriverTBL!$A:$A,0))</f>
        <v>2627544</v>
      </c>
      <c r="BG145" s="142">
        <f>INDEX(CarrierDriverTBL!$AG:$AG,MATCH(Table1[DriverID],CarrierDriverTBL!$A:$A,0))</f>
        <v>466133</v>
      </c>
      <c r="BH145" s="142" t="str">
        <f>INDEX(CarrierDriverTBL!$AH:$AH,MATCH(Table1[DriverID],CarrierDriverTBL!$A:$A,0))</f>
        <v>GM Lawrence Ins</v>
      </c>
      <c r="BI145" s="142" t="str">
        <f>INDEX(CarrierDriverTBL!$AI:$AI,MATCH(Table1[DriverID],CarrierDriverTBL!$A:$A,0))</f>
        <v>DSK2842P160210</v>
      </c>
      <c r="BJ145" s="160">
        <f>INDEX(CarrierDriverTBL!$AJ:$AJ,MATCH(Table1[[#This Row],[DriverID]],CarrierDriverTBL!$A:$A,0))</f>
        <v>42778</v>
      </c>
      <c r="BK145" s="10">
        <f t="shared" si="68"/>
        <v>472</v>
      </c>
      <c r="BL145" s="174">
        <v>850</v>
      </c>
      <c r="BM145" s="144">
        <v>382</v>
      </c>
      <c r="BN145" s="159">
        <f t="shared" si="85"/>
        <v>2.2251308900523559</v>
      </c>
      <c r="BO145" s="167">
        <f>0.93*850</f>
        <v>790.5</v>
      </c>
      <c r="BP145" s="159">
        <f t="shared" si="86"/>
        <v>2.0693717277486909</v>
      </c>
      <c r="BQ145" s="133">
        <v>2.7989999999999999</v>
      </c>
      <c r="BR145" s="166">
        <f t="shared" si="87"/>
        <v>0.14983333333333335</v>
      </c>
      <c r="BS145" s="167">
        <f t="shared" si="69"/>
        <v>1.9195383944153577</v>
      </c>
      <c r="BT145" s="159">
        <f t="shared" si="70"/>
        <v>57.236333333333341</v>
      </c>
      <c r="BU145" s="10" t="str">
        <f t="shared" si="71"/>
        <v>Tql</v>
      </c>
      <c r="BV145" s="4"/>
      <c r="BW145" s="4" t="str">
        <f>Table1[[#This Row],[BrokerAddress]]</f>
        <v>P.O. Box 799</v>
      </c>
      <c r="BX145" s="4" t="str">
        <f t="shared" si="72"/>
        <v>Milford</v>
      </c>
      <c r="BY145" s="4" t="str">
        <f t="shared" si="73"/>
        <v>Ohio</v>
      </c>
      <c r="BZ145" s="4">
        <f t="shared" si="74"/>
        <v>45150</v>
      </c>
      <c r="CA145" s="10" t="str">
        <f t="shared" si="75"/>
        <v>US</v>
      </c>
      <c r="CB145" s="15" t="s">
        <v>131</v>
      </c>
      <c r="CC145" s="62"/>
      <c r="CD145" s="15" t="s">
        <v>132</v>
      </c>
      <c r="CE145" s="64">
        <v>0</v>
      </c>
      <c r="CF145" s="4">
        <v>0</v>
      </c>
      <c r="CG145" s="132">
        <f t="shared" si="76"/>
        <v>0</v>
      </c>
      <c r="CH145" s="4" t="s">
        <v>132</v>
      </c>
      <c r="CI145" s="5">
        <v>0</v>
      </c>
      <c r="CJ145" s="4">
        <v>0</v>
      </c>
      <c r="CK145" s="132">
        <f t="shared" si="77"/>
        <v>0</v>
      </c>
      <c r="CL145" s="4" t="s">
        <v>132</v>
      </c>
      <c r="CM145" s="5">
        <v>0</v>
      </c>
      <c r="CN145" s="4">
        <v>0</v>
      </c>
      <c r="CO145" s="132">
        <f t="shared" si="78"/>
        <v>0</v>
      </c>
      <c r="CP145" s="4" t="s">
        <v>132</v>
      </c>
      <c r="CQ145" s="5">
        <v>0</v>
      </c>
      <c r="CR145" s="4">
        <v>0</v>
      </c>
      <c r="CS145" s="132">
        <f t="shared" si="79"/>
        <v>0</v>
      </c>
      <c r="CT145" s="159">
        <f t="shared" si="80"/>
        <v>0</v>
      </c>
      <c r="CU145" s="168">
        <f t="shared" si="81"/>
        <v>850</v>
      </c>
      <c r="CV145" s="183">
        <f t="shared" si="65"/>
        <v>0</v>
      </c>
      <c r="CW145" s="82">
        <f t="shared" si="64"/>
        <v>790.5</v>
      </c>
      <c r="CX145" s="79">
        <f>IF(ISBLANK(E145),"AddQuickPay",IF(E145=2,CU145*0.98,IF(E145=2.4,CU145*0.976,IF(E145=3,CU145*0.97,IF(E145=5,CU145*0.95,IF(E145=1.5,CU145*0.985,IF(E145=2.5,CU145*0.975,IF(E145=1.3,CU145*0.987,IF(E145=1,CU145*0.99,IF(E145=4,CU145*0.96,CU145*1))))))))))-Table1[[#This Row],[ComCheck+QuickPayFee]]</f>
        <v>824.5</v>
      </c>
      <c r="CY145" s="5">
        <f t="shared" si="82"/>
        <v>59.5</v>
      </c>
      <c r="CZ145" s="5">
        <f t="shared" si="83"/>
        <v>25.5</v>
      </c>
      <c r="DA145" s="258">
        <f>Table1[[#This Row],[OriginalDispatch]]-Table1[[#This Row],[QuickPayCharge]]</f>
        <v>34</v>
      </c>
      <c r="DB145" s="5">
        <v>0</v>
      </c>
      <c r="DC145" s="5" t="s">
        <v>133</v>
      </c>
      <c r="DD145" s="104">
        <f t="shared" si="84"/>
        <v>42307</v>
      </c>
      <c r="DE145" s="15">
        <f>MONTH(Table1[[#This Row],[Weekending]])</f>
        <v>10</v>
      </c>
      <c r="DF145" s="15">
        <f>YEAR(Table1[[#This Row],[Weekending]])</f>
        <v>2015</v>
      </c>
      <c r="DG145" s="4"/>
    </row>
    <row r="146" spans="1:111">
      <c r="A146" s="20" t="str">
        <f t="shared" si="66"/>
        <v>46161649</v>
      </c>
      <c r="B146" s="146">
        <v>42306</v>
      </c>
      <c r="C146" s="144">
        <v>184791246</v>
      </c>
      <c r="D146" s="298" t="s">
        <v>111</v>
      </c>
      <c r="E146" s="298">
        <v>2</v>
      </c>
      <c r="F146" s="142" t="str">
        <f>INDEX(BrokerTBL!$B:$B,MATCH(D146,BrokerTBL!$A:$A,0))</f>
        <v>P.O. Box 3474</v>
      </c>
      <c r="G146" s="142" t="str">
        <f>INDEX(BrokerTBL!$C:$C,MATCH(D146,BrokerTBL!$A:$A,0))</f>
        <v>Chicago</v>
      </c>
      <c r="H146" s="142" t="str">
        <f>INDEX(BrokerTBL!$D:$D,MATCH(D146,BrokerTBL!$A:$A,0))</f>
        <v>Il</v>
      </c>
      <c r="I146" s="142" t="str">
        <f>INDEX(BrokerTBL!$E:$E,MATCH(D146,BrokerTBL!$A:$A,0))</f>
        <v>US</v>
      </c>
      <c r="J146" s="142">
        <f>INDEX(BrokerTBL!$F:$F,MATCH(D146,BrokerTBL!$A:$A,0))</f>
        <v>60654</v>
      </c>
      <c r="K146" s="298" t="s">
        <v>700</v>
      </c>
      <c r="L146" s="145">
        <v>305431016</v>
      </c>
      <c r="M146" s="146">
        <v>42306</v>
      </c>
      <c r="N146" s="144" t="s">
        <v>1213</v>
      </c>
      <c r="O146" s="298" t="s">
        <v>702</v>
      </c>
      <c r="P146" s="298" t="s">
        <v>703</v>
      </c>
      <c r="Q146" s="298" t="s">
        <v>139</v>
      </c>
      <c r="R146" s="298">
        <v>93030</v>
      </c>
      <c r="S146" s="185" t="s">
        <v>118</v>
      </c>
      <c r="T146" s="298" t="s">
        <v>136</v>
      </c>
      <c r="U146" s="298" t="s">
        <v>120</v>
      </c>
      <c r="V146" s="298">
        <v>53</v>
      </c>
      <c r="W146" s="298" t="s">
        <v>1214</v>
      </c>
      <c r="X146" s="144">
        <v>13763</v>
      </c>
      <c r="Y146" s="298" t="s">
        <v>740</v>
      </c>
      <c r="Z146" s="298">
        <v>2224</v>
      </c>
      <c r="AA146" s="298">
        <v>47</v>
      </c>
      <c r="AB146" s="298" t="s">
        <v>123</v>
      </c>
      <c r="AC146" s="298" t="s">
        <v>1215</v>
      </c>
      <c r="AD146" s="145">
        <v>305431016</v>
      </c>
      <c r="AE146" s="146">
        <v>42307</v>
      </c>
      <c r="AF146" s="298" t="s">
        <v>1216</v>
      </c>
      <c r="AG146" s="298" t="s">
        <v>1217</v>
      </c>
      <c r="AH146" s="298" t="s">
        <v>605</v>
      </c>
      <c r="AI146" s="298" t="s">
        <v>139</v>
      </c>
      <c r="AJ146" s="298">
        <v>95330</v>
      </c>
      <c r="AK146" s="298" t="s">
        <v>118</v>
      </c>
      <c r="AL146" s="298" t="s">
        <v>123</v>
      </c>
      <c r="AM146" s="142" t="str">
        <f>INDEX(CarrierDriverTBL!$B:$B,MATCH(Table1[[#This Row],[DriverID]],CarrierDriverTBL!$A:$A,0))</f>
        <v>UBTrucking</v>
      </c>
      <c r="AN146" s="10" t="s">
        <v>192</v>
      </c>
      <c r="AO146" s="10" t="str">
        <f>INDEX(CarrierDriverTBL!$C:$C,MATCH(Table1[[#This Row],[DriverID]],CarrierDriverTBL!$A:$A,0))</f>
        <v>Albel</v>
      </c>
      <c r="AP146" s="142" t="str">
        <f>INDEX(CarrierDriverTBL!$D:$D,MATCH(Table1[[#This Row],[DriverID]],CarrierDriverTBL!$A:$A,0))</f>
        <v>Chahil</v>
      </c>
      <c r="AQ146" s="142" t="str">
        <f>INDEX(CarrierDriverTBL!$X:$X,MATCH(Table1[[#This Row],[DriverID]],CarrierDriverTBL!$A:$A,0))</f>
        <v>A8390649</v>
      </c>
      <c r="AR146" s="160">
        <f>INDEX(CarrierDriverTBL!$Y:$Y,MATCH(Table1[[#This Row],[DriverID]],CarrierDriverTBL!$A:$A,0))</f>
        <v>42402</v>
      </c>
      <c r="AS146" s="142" t="str">
        <f t="shared" si="67"/>
        <v>GOOD</v>
      </c>
      <c r="AT146" s="160">
        <f>INDEX(CarrierDriverTBL!$E:$E,MATCH(Table1[[#This Row],[DriverID]],CarrierDriverTBL!$A:$A,0))</f>
        <v>22314</v>
      </c>
      <c r="AU146" s="163">
        <f ca="1">INDEX(CarrierDriverTBL!$F:$F,MATCH(Table1[[#This Row],[DriverID]],CarrierDriverTBL!$A:$A,0))</f>
        <v>55.512328767123286</v>
      </c>
      <c r="AV146" s="142" t="str">
        <f>INDEX(CarrierDriverTBL!$K:$K,MATCH(Table1[[#This Row],[DriverID]],CarrierDriverTBL!$A:$A,0))</f>
        <v>510-773-9450</v>
      </c>
      <c r="AW146" s="142" t="str">
        <f>INDEX(CarrierDriverTBL!$M:$M,MATCH(Table1[[#This Row],[DriverID]],CarrierDriverTBL!$A:$A,0))</f>
        <v>3124 Cynthia CT</v>
      </c>
      <c r="AX146" s="142" t="str">
        <f>INDEX(CarrierDriverTBL!$N:$N,MATCH(Table1[[#This Row],[DriverID]],CarrierDriverTBL!$A:$A,0))</f>
        <v>Tracy</v>
      </c>
      <c r="AY146" s="142" t="str">
        <f>INDEX(CarrierDriverTBL!$O:$O,MATCH(Table1[[#This Row],[DriverID]],CarrierDriverTBL!$A:$A,0))</f>
        <v>CA</v>
      </c>
      <c r="AZ146" s="142">
        <f>INDEX(CarrierDriverTBL!$P:$P,MATCH(Table1[[#This Row],[DriverID]],CarrierDriverTBL!$A:$A,0))</f>
        <v>95377</v>
      </c>
      <c r="BA146" s="142" t="str">
        <f>INDEX(CarrierDriverTBL!$Q:$Q,MATCH(Table1[[#This Row],[DriverID]],CarrierDriverTBL!$A:$A,0))</f>
        <v>US</v>
      </c>
      <c r="BB146" s="176" t="str">
        <f>INDEX(CarrierDriverTBL!$R:$R,MATCH(Table1[[#This Row],[DriverID]],CarrierDriverTBL!$A:$A,0))</f>
        <v>ubgollc@gmail.com</v>
      </c>
      <c r="BC146" s="160">
        <f>INDEX(CarrierDriverTBL!$AB:$AB,MATCH(Table1[[#This Row],[DriverID]],CarrierDriverTBL!$A:$A,0))</f>
        <v>42167</v>
      </c>
      <c r="BD146" s="142" t="str">
        <f ca="1">INDEX(CarrierDriverTBL!$AD:$AD,MATCH(LoadMaster!$AN:$AN,CarrierDriverTBL!$A:$A,0))</f>
        <v>MISSING</v>
      </c>
      <c r="BE146" s="142">
        <f>INDEX(CarrierDriverTBL!$AE:$AE,MATCH(Table1[DriverID],CarrierDriverTBL!$A:$A,0))</f>
        <v>913971</v>
      </c>
      <c r="BF146" s="142">
        <f>INDEX(CarrierDriverTBL!$AF:$AF,MATCH(Table1[DriverID],CarrierDriverTBL!$A:$A,0))</f>
        <v>2627544</v>
      </c>
      <c r="BG146" s="142">
        <f>INDEX(CarrierDriverTBL!$AG:$AG,MATCH(Table1[DriverID],CarrierDriverTBL!$A:$A,0))</f>
        <v>466133</v>
      </c>
      <c r="BH146" s="142" t="str">
        <f>INDEX(CarrierDriverTBL!$AH:$AH,MATCH(Table1[DriverID],CarrierDriverTBL!$A:$A,0))</f>
        <v>GM Lawrence Ins</v>
      </c>
      <c r="BI146" s="142" t="str">
        <f>INDEX(CarrierDriverTBL!$AI:$AI,MATCH(Table1[DriverID],CarrierDriverTBL!$A:$A,0))</f>
        <v>DSK2842P160210</v>
      </c>
      <c r="BJ146" s="160">
        <f>INDEX(CarrierDriverTBL!$AJ:$AJ,MATCH(Table1[[#This Row],[DriverID]],CarrierDriverTBL!$A:$A,0))</f>
        <v>42778</v>
      </c>
      <c r="BK146" s="10">
        <f t="shared" si="68"/>
        <v>472</v>
      </c>
      <c r="BL146" s="174">
        <v>800</v>
      </c>
      <c r="BM146" s="144">
        <v>335</v>
      </c>
      <c r="BN146" s="159">
        <f t="shared" si="85"/>
        <v>2.3880597014925371</v>
      </c>
      <c r="BO146" s="167">
        <v>750</v>
      </c>
      <c r="BP146" s="159">
        <f t="shared" si="86"/>
        <v>2.2388059701492535</v>
      </c>
      <c r="BQ146" s="133">
        <v>2.7989999999999999</v>
      </c>
      <c r="BR146" s="166">
        <f t="shared" si="87"/>
        <v>0.14983333333333335</v>
      </c>
      <c r="BS146" s="167">
        <f t="shared" si="69"/>
        <v>2.08897263681592</v>
      </c>
      <c r="BT146" s="159">
        <f t="shared" si="70"/>
        <v>50.194166666666668</v>
      </c>
      <c r="BU146" s="10" t="str">
        <f t="shared" si="71"/>
        <v>Ch Robinson</v>
      </c>
      <c r="BV146" s="4"/>
      <c r="BW146" s="4" t="str">
        <f>Table1[[#This Row],[BrokerAddress]]</f>
        <v>P.O. Box 3474</v>
      </c>
      <c r="BX146" s="4" t="str">
        <f t="shared" si="72"/>
        <v>Chicago</v>
      </c>
      <c r="BY146" s="4" t="str">
        <f t="shared" si="73"/>
        <v>Il</v>
      </c>
      <c r="BZ146" s="4">
        <f t="shared" si="74"/>
        <v>60654</v>
      </c>
      <c r="CA146" s="10" t="str">
        <f t="shared" si="75"/>
        <v>US</v>
      </c>
      <c r="CB146" s="15" t="s">
        <v>131</v>
      </c>
      <c r="CC146" s="62"/>
      <c r="CD146" s="15" t="s">
        <v>132</v>
      </c>
      <c r="CE146" s="64">
        <v>0</v>
      </c>
      <c r="CF146" s="4">
        <v>0</v>
      </c>
      <c r="CG146" s="132">
        <f t="shared" si="76"/>
        <v>0</v>
      </c>
      <c r="CH146" s="4" t="s">
        <v>132</v>
      </c>
      <c r="CI146" s="5">
        <v>0</v>
      </c>
      <c r="CJ146" s="4">
        <v>0</v>
      </c>
      <c r="CK146" s="132">
        <f t="shared" si="77"/>
        <v>0</v>
      </c>
      <c r="CL146" s="4" t="s">
        <v>132</v>
      </c>
      <c r="CM146" s="5">
        <v>0</v>
      </c>
      <c r="CN146" s="4">
        <v>0</v>
      </c>
      <c r="CO146" s="132">
        <f t="shared" si="78"/>
        <v>0</v>
      </c>
      <c r="CP146" s="4" t="s">
        <v>132</v>
      </c>
      <c r="CQ146" s="5">
        <v>0</v>
      </c>
      <c r="CR146" s="4">
        <v>0</v>
      </c>
      <c r="CS146" s="132">
        <f t="shared" si="79"/>
        <v>0</v>
      </c>
      <c r="CT146" s="159">
        <f t="shared" si="80"/>
        <v>0</v>
      </c>
      <c r="CU146" s="168">
        <f t="shared" si="81"/>
        <v>800</v>
      </c>
      <c r="CV146" s="183">
        <f t="shared" si="65"/>
        <v>0</v>
      </c>
      <c r="CW146" s="82">
        <f t="shared" si="64"/>
        <v>750</v>
      </c>
      <c r="CX146" s="79">
        <f>IF(ISBLANK(E146),"AddQuickPay",IF(E146=2,CU146*0.98,IF(E146=2.4,CU146*0.976,IF(E146=3,CU146*0.97,IF(E146=5,CU146*0.95,IF(E146=1.5,CU146*0.985,IF(E146=2.5,CU146*0.975,IF(E146=1.3,CU146*0.987,IF(E146=1,CU146*0.99,IF(E146=4,CU146*0.96,CU146*1))))))))))-Table1[[#This Row],[ComCheck+QuickPayFee]]</f>
        <v>784</v>
      </c>
      <c r="CY146" s="5">
        <f t="shared" si="82"/>
        <v>50</v>
      </c>
      <c r="CZ146" s="5">
        <f t="shared" si="83"/>
        <v>16</v>
      </c>
      <c r="DA146" s="258">
        <f>Table1[[#This Row],[OriginalDispatch]]-Table1[[#This Row],[QuickPayCharge]]</f>
        <v>34</v>
      </c>
      <c r="DB146" s="5">
        <v>0</v>
      </c>
      <c r="DC146" s="5" t="s">
        <v>133</v>
      </c>
      <c r="DD146" s="104">
        <f t="shared" si="84"/>
        <v>42307</v>
      </c>
      <c r="DE146" s="15">
        <f>MONTH(Table1[[#This Row],[Weekending]])</f>
        <v>10</v>
      </c>
      <c r="DF146" s="15">
        <f>YEAR(Table1[[#This Row],[Weekending]])</f>
        <v>2015</v>
      </c>
      <c r="DG146" s="4"/>
    </row>
    <row r="147" spans="1:111">
      <c r="A147" s="20" t="str">
        <f t="shared" si="66"/>
        <v>51219688</v>
      </c>
      <c r="B147" s="146">
        <v>42307</v>
      </c>
      <c r="C147" s="144">
        <v>184776851</v>
      </c>
      <c r="D147" s="298" t="s">
        <v>111</v>
      </c>
      <c r="E147" s="298">
        <v>2</v>
      </c>
      <c r="F147" s="142" t="str">
        <f>INDEX(BrokerTBL!$B:$B,MATCH(D147,BrokerTBL!$A:$A,0))</f>
        <v>P.O. Box 3474</v>
      </c>
      <c r="G147" s="142" t="str">
        <f>INDEX(BrokerTBL!$C:$C,MATCH(D147,BrokerTBL!$A:$A,0))</f>
        <v>Chicago</v>
      </c>
      <c r="H147" s="142" t="str">
        <f>INDEX(BrokerTBL!$D:$D,MATCH(D147,BrokerTBL!$A:$A,0))</f>
        <v>Il</v>
      </c>
      <c r="I147" s="142" t="str">
        <f>INDEX(BrokerTBL!$E:$E,MATCH(D147,BrokerTBL!$A:$A,0))</f>
        <v>US</v>
      </c>
      <c r="J147" s="142">
        <f>INDEX(BrokerTBL!$F:$F,MATCH(D147,BrokerTBL!$A:$A,0))</f>
        <v>60654</v>
      </c>
      <c r="K147" s="298" t="s">
        <v>1218</v>
      </c>
      <c r="L147" s="145">
        <v>111200004537921</v>
      </c>
      <c r="M147" s="146">
        <v>42307</v>
      </c>
      <c r="N147" s="144" t="s">
        <v>1219</v>
      </c>
      <c r="O147" s="298" t="s">
        <v>1220</v>
      </c>
      <c r="P147" s="298" t="s">
        <v>1221</v>
      </c>
      <c r="Q147" s="298" t="s">
        <v>139</v>
      </c>
      <c r="R147" s="298">
        <v>92376</v>
      </c>
      <c r="S147" s="298" t="s">
        <v>118</v>
      </c>
      <c r="T147" s="298" t="s">
        <v>136</v>
      </c>
      <c r="U147" s="298" t="s">
        <v>120</v>
      </c>
      <c r="V147" s="298">
        <v>53</v>
      </c>
      <c r="W147" s="298" t="s">
        <v>1222</v>
      </c>
      <c r="X147" s="144">
        <v>30078</v>
      </c>
      <c r="Y147" s="298" t="s">
        <v>26</v>
      </c>
      <c r="Z147" s="298">
        <v>540</v>
      </c>
      <c r="AA147" s="298" t="s">
        <v>123</v>
      </c>
      <c r="AB147" s="298" t="s">
        <v>123</v>
      </c>
      <c r="AC147" s="298" t="s">
        <v>1223</v>
      </c>
      <c r="AD147" s="145">
        <v>4323533296</v>
      </c>
      <c r="AE147" s="146">
        <v>42307</v>
      </c>
      <c r="AF147" s="182">
        <v>0.375</v>
      </c>
      <c r="AG147" s="298" t="s">
        <v>1224</v>
      </c>
      <c r="AH147" s="298" t="s">
        <v>184</v>
      </c>
      <c r="AI147" s="298" t="s">
        <v>139</v>
      </c>
      <c r="AJ147" s="298">
        <v>95206</v>
      </c>
      <c r="AK147" s="298" t="s">
        <v>118</v>
      </c>
      <c r="AL147" s="298" t="s">
        <v>123</v>
      </c>
      <c r="AM147" s="142" t="str">
        <f>INDEX(CarrierDriverTBL!$B:$B,MATCH(Table1[[#This Row],[DriverID]],CarrierDriverTBL!$A:$A,0))</f>
        <v>UBTrucking</v>
      </c>
      <c r="AN147" s="10" t="s">
        <v>948</v>
      </c>
      <c r="AO147" s="10" t="str">
        <f>INDEX(CarrierDriverTBL!$C:$C,MATCH(Table1[[#This Row],[DriverID]],CarrierDriverTBL!$A:$A,0))</f>
        <v>Wesley</v>
      </c>
      <c r="AP147" s="10" t="str">
        <f>INDEX(CarrierDriverTBL!$D:$D,MATCH(Table1[[#This Row],[DriverID]],CarrierDriverTBL!$A:$A,0))</f>
        <v>Cousain</v>
      </c>
      <c r="AQ147" s="10" t="str">
        <f>INDEX(CarrierDriverTBL!$X:$X,MATCH(Table1[[#This Row],[DriverID]],CarrierDriverTBL!$A:$A,0))</f>
        <v>D4903588</v>
      </c>
      <c r="AR147" s="11">
        <f>INDEX(CarrierDriverTBL!$Y:$Y,MATCH(Table1[[#This Row],[DriverID]],CarrierDriverTBL!$A:$A,0))</f>
        <v>43458</v>
      </c>
      <c r="AS147" s="142" t="str">
        <f t="shared" si="67"/>
        <v>GOOD</v>
      </c>
      <c r="AT147" s="11">
        <f>INDEX(CarrierDriverTBL!$E:$E,MATCH(Table1[[#This Row],[DriverID]],CarrierDriverTBL!$A:$A,0))</f>
        <v>31405</v>
      </c>
      <c r="AU147" s="163">
        <f ca="1">INDEX(CarrierDriverTBL!$F:$F,MATCH(Table1[[#This Row],[DriverID]],CarrierDriverTBL!$A:$A,0))</f>
        <v>30.605479452054794</v>
      </c>
      <c r="AV147" s="10" t="str">
        <f>INDEX(CarrierDriverTBL!$K:$K,MATCH(Table1[[#This Row],[DriverID]],CarrierDriverTBL!$A:$A,0))</f>
        <v>925-383-5364</v>
      </c>
      <c r="AW147" s="10" t="str">
        <f>INDEX(CarrierDriverTBL!$M:$M,MATCH(Table1[[#This Row],[DriverID]],CarrierDriverTBL!$A:$A,0))</f>
        <v>110 Cordova Ln</v>
      </c>
      <c r="AX147" s="10" t="str">
        <f>INDEX(CarrierDriverTBL!$N:$N,MATCH(Table1[[#This Row],[DriverID]],CarrierDriverTBL!$A:$A,0))</f>
        <v>Stockton</v>
      </c>
      <c r="AY147" s="10" t="str">
        <f>INDEX(CarrierDriverTBL!$O:$O,MATCH(Table1[[#This Row],[DriverID]],CarrierDriverTBL!$A:$A,0))</f>
        <v>CA</v>
      </c>
      <c r="AZ147" s="10">
        <f>INDEX(CarrierDriverTBL!$P:$P,MATCH(Table1[[#This Row],[DriverID]],CarrierDriverTBL!$A:$A,0))</f>
        <v>95207</v>
      </c>
      <c r="BA147" s="10" t="str">
        <f>INDEX(CarrierDriverTBL!$Q:$Q,MATCH(Table1[[#This Row],[DriverID]],CarrierDriverTBL!$A:$A,0))</f>
        <v>US</v>
      </c>
      <c r="BB147" s="173" t="str">
        <f>INDEX(CarrierDriverTBL!$R:$R,MATCH(Table1[[#This Row],[DriverID]],CarrierDriverTBL!$A:$A,0))</f>
        <v>wesleycousain1@gmail.com</v>
      </c>
      <c r="BC147" s="160">
        <f>INDEX(CarrierDriverTBL!$AB:$AB,MATCH(Table1[[#This Row],[DriverID]],CarrierDriverTBL!$A:$A,0))</f>
        <v>42271</v>
      </c>
      <c r="BD147" s="142" t="str">
        <f ca="1">INDEX(CarrierDriverTBL!$AD:$AD,MATCH(LoadMaster!$AN:$AN,CarrierDriverTBL!$A:$A,0))</f>
        <v>MISSING</v>
      </c>
      <c r="BE147" s="142">
        <f>INDEX(CarrierDriverTBL!$AE:$AE,MATCH(Table1[DriverID],CarrierDriverTBL!$A:$A,0))</f>
        <v>913971</v>
      </c>
      <c r="BF147" s="142">
        <f>INDEX(CarrierDriverTBL!$AF:$AF,MATCH(Table1[DriverID],CarrierDriverTBL!$A:$A,0))</f>
        <v>2627544</v>
      </c>
      <c r="BG147" s="142">
        <f>INDEX(CarrierDriverTBL!$AG:$AG,MATCH(Table1[DriverID],CarrierDriverTBL!$A:$A,0))</f>
        <v>466133</v>
      </c>
      <c r="BH147" s="142" t="str">
        <f>INDEX(CarrierDriverTBL!$AH:$AH,MATCH(Table1[DriverID],CarrierDriverTBL!$A:$A,0))</f>
        <v>GM Lawrence Ins</v>
      </c>
      <c r="BI147" s="142" t="str">
        <f>INDEX(CarrierDriverTBL!$AI:$AI,MATCH(Table1[DriverID],CarrierDriverTBL!$A:$A,0))</f>
        <v>DSK2842P160210</v>
      </c>
      <c r="BJ147" s="160">
        <f>INDEX(CarrierDriverTBL!$AJ:$AJ,MATCH(Table1[[#This Row],[DriverID]],CarrierDriverTBL!$A:$A,0))</f>
        <v>42778</v>
      </c>
      <c r="BK147" s="10">
        <f t="shared" si="68"/>
        <v>471</v>
      </c>
      <c r="BL147" s="174">
        <v>750</v>
      </c>
      <c r="BM147" s="144">
        <v>383</v>
      </c>
      <c r="BN147" s="159">
        <f t="shared" si="85"/>
        <v>1.95822454308094</v>
      </c>
      <c r="BO147" s="167">
        <f>0.93*750</f>
        <v>697.5</v>
      </c>
      <c r="BP147" s="159">
        <f t="shared" si="86"/>
        <v>1.8211488250652741</v>
      </c>
      <c r="BQ147" s="133">
        <v>2.7989999999999999</v>
      </c>
      <c r="BR147" s="166">
        <f t="shared" si="87"/>
        <v>0.14983333333333335</v>
      </c>
      <c r="BS147" s="167">
        <f t="shared" si="69"/>
        <v>1.6713154917319408</v>
      </c>
      <c r="BT147" s="159">
        <f t="shared" si="70"/>
        <v>57.386166666666675</v>
      </c>
      <c r="BU147" s="10" t="str">
        <f t="shared" si="71"/>
        <v>Ch Robinson</v>
      </c>
      <c r="BV147" s="4"/>
      <c r="BW147" s="4" t="str">
        <f>Table1[[#This Row],[BrokerAddress]]</f>
        <v>P.O. Box 3474</v>
      </c>
      <c r="BX147" s="4" t="str">
        <f t="shared" si="72"/>
        <v>Chicago</v>
      </c>
      <c r="BY147" s="4" t="str">
        <f t="shared" si="73"/>
        <v>Il</v>
      </c>
      <c r="BZ147" s="4">
        <f t="shared" si="74"/>
        <v>60654</v>
      </c>
      <c r="CA147" s="10" t="str">
        <f t="shared" si="75"/>
        <v>US</v>
      </c>
      <c r="CB147" s="15" t="s">
        <v>131</v>
      </c>
      <c r="CC147" s="62"/>
      <c r="CD147" s="15" t="s">
        <v>132</v>
      </c>
      <c r="CE147" s="64">
        <v>0</v>
      </c>
      <c r="CF147" s="4">
        <v>0</v>
      </c>
      <c r="CG147" s="132">
        <f t="shared" si="76"/>
        <v>0</v>
      </c>
      <c r="CH147" s="4" t="s">
        <v>132</v>
      </c>
      <c r="CI147" s="5">
        <v>0</v>
      </c>
      <c r="CJ147" s="4">
        <v>0</v>
      </c>
      <c r="CK147" s="132">
        <f t="shared" si="77"/>
        <v>0</v>
      </c>
      <c r="CL147" s="4" t="s">
        <v>132</v>
      </c>
      <c r="CM147" s="5">
        <v>0</v>
      </c>
      <c r="CN147" s="4">
        <v>0</v>
      </c>
      <c r="CO147" s="132">
        <f t="shared" si="78"/>
        <v>0</v>
      </c>
      <c r="CP147" s="4" t="s">
        <v>132</v>
      </c>
      <c r="CQ147" s="5">
        <v>0</v>
      </c>
      <c r="CR147" s="4">
        <v>0</v>
      </c>
      <c r="CS147" s="132">
        <f t="shared" si="79"/>
        <v>0</v>
      </c>
      <c r="CT147" s="159">
        <f t="shared" si="80"/>
        <v>0</v>
      </c>
      <c r="CU147" s="168">
        <f t="shared" si="81"/>
        <v>750</v>
      </c>
      <c r="CV147" s="183">
        <f t="shared" si="65"/>
        <v>0</v>
      </c>
      <c r="CW147" s="82">
        <f t="shared" si="64"/>
        <v>697.5</v>
      </c>
      <c r="CX147" s="79">
        <f>IF(ISBLANK(E147),"AddQuickPay",IF(E147=2,CU147*0.98,IF(E147=2.4,CU147*0.976,IF(E147=3,CU147*0.97,IF(E147=5,CU147*0.95,IF(E147=1.5,CU147*0.985,IF(E147=2.5,CU147*0.975,IF(E147=1.3,CU147*0.987,IF(E147=1,CU147*0.99,IF(E147=4,CU147*0.96,CU147*1))))))))))-Table1[[#This Row],[ComCheck+QuickPayFee]]</f>
        <v>735</v>
      </c>
      <c r="CY147" s="5">
        <f t="shared" si="82"/>
        <v>52.5</v>
      </c>
      <c r="CZ147" s="5">
        <f t="shared" si="83"/>
        <v>15</v>
      </c>
      <c r="DA147" s="258">
        <f>Table1[[#This Row],[OriginalDispatch]]-Table1[[#This Row],[QuickPayCharge]]</f>
        <v>37.5</v>
      </c>
      <c r="DB147" s="5">
        <v>0</v>
      </c>
      <c r="DC147" s="5" t="s">
        <v>133</v>
      </c>
      <c r="DD147" s="104">
        <f t="shared" si="84"/>
        <v>42307</v>
      </c>
      <c r="DE147" s="15">
        <f>MONTH(Table1[[#This Row],[Weekending]])</f>
        <v>10</v>
      </c>
      <c r="DF147" s="15">
        <f>YEAR(Table1[[#This Row],[Weekending]])</f>
        <v>2015</v>
      </c>
      <c r="DG147" s="4"/>
    </row>
    <row r="148" spans="1:111">
      <c r="A148" s="20" t="str">
        <f t="shared" si="66"/>
        <v>30penk49</v>
      </c>
      <c r="B148" s="146">
        <v>42310</v>
      </c>
      <c r="C148" s="144">
        <v>185216830</v>
      </c>
      <c r="D148" s="298" t="s">
        <v>111</v>
      </c>
      <c r="E148" s="298">
        <v>2</v>
      </c>
      <c r="F148" s="142" t="str">
        <f>INDEX(BrokerTBL!$B:$B,MATCH(D148,BrokerTBL!$A:$A,0))</f>
        <v>P.O. Box 3474</v>
      </c>
      <c r="G148" s="142" t="str">
        <f>INDEX(BrokerTBL!$C:$C,MATCH(D148,BrokerTBL!$A:$A,0))</f>
        <v>Chicago</v>
      </c>
      <c r="H148" s="142" t="str">
        <f>INDEX(BrokerTBL!$D:$D,MATCH(D148,BrokerTBL!$A:$A,0))</f>
        <v>Il</v>
      </c>
      <c r="I148" s="142" t="str">
        <f>INDEX(BrokerTBL!$E:$E,MATCH(D148,BrokerTBL!$A:$A,0))</f>
        <v>US</v>
      </c>
      <c r="J148" s="142">
        <f>INDEX(BrokerTBL!$F:$F,MATCH(D148,BrokerTBL!$A:$A,0))</f>
        <v>60654</v>
      </c>
      <c r="K148" s="298" t="s">
        <v>628</v>
      </c>
      <c r="L148" s="145" t="s">
        <v>1225</v>
      </c>
      <c r="M148" s="146">
        <v>42310</v>
      </c>
      <c r="N148" s="144" t="s">
        <v>1226</v>
      </c>
      <c r="O148" s="298" t="s">
        <v>1070</v>
      </c>
      <c r="P148" s="298" t="s">
        <v>366</v>
      </c>
      <c r="Q148" s="298" t="s">
        <v>139</v>
      </c>
      <c r="R148" s="298">
        <v>95776</v>
      </c>
      <c r="S148" s="298" t="s">
        <v>118</v>
      </c>
      <c r="T148" s="298" t="s">
        <v>136</v>
      </c>
      <c r="U148" s="298" t="s">
        <v>120</v>
      </c>
      <c r="V148" s="298">
        <v>53</v>
      </c>
      <c r="W148" s="298" t="s">
        <v>631</v>
      </c>
      <c r="X148" s="144">
        <v>30000</v>
      </c>
      <c r="Y148" s="298" t="s">
        <v>26</v>
      </c>
      <c r="Z148" s="185" t="s">
        <v>123</v>
      </c>
      <c r="AA148" s="298" t="s">
        <v>123</v>
      </c>
      <c r="AB148" s="298" t="s">
        <v>123</v>
      </c>
      <c r="AC148" s="298" t="s">
        <v>1227</v>
      </c>
      <c r="AD148" s="145" t="s">
        <v>1179</v>
      </c>
      <c r="AE148" s="146">
        <v>42311</v>
      </c>
      <c r="AF148" s="416" t="s">
        <v>123</v>
      </c>
      <c r="AG148" s="298" t="s">
        <v>1228</v>
      </c>
      <c r="AH148" s="298" t="s">
        <v>429</v>
      </c>
      <c r="AI148" s="298" t="s">
        <v>139</v>
      </c>
      <c r="AJ148" s="298">
        <v>93446</v>
      </c>
      <c r="AK148" s="298" t="s">
        <v>118</v>
      </c>
      <c r="AL148" s="298" t="s">
        <v>123</v>
      </c>
      <c r="AM148" s="142" t="str">
        <f>INDEX(CarrierDriverTBL!$B:$B,MATCH(Table1[[#This Row],[DriverID]],CarrierDriverTBL!$A:$A,0))</f>
        <v>UBTrucking</v>
      </c>
      <c r="AN148" s="10" t="s">
        <v>192</v>
      </c>
      <c r="AO148" s="10" t="str">
        <f>INDEX(CarrierDriverTBL!$C:$C,MATCH(Table1[[#This Row],[DriverID]],CarrierDriverTBL!$A:$A,0))</f>
        <v>Albel</v>
      </c>
      <c r="AP148" s="142" t="str">
        <f>INDEX(CarrierDriverTBL!$D:$D,MATCH(Table1[[#This Row],[DriverID]],CarrierDriverTBL!$A:$A,0))</f>
        <v>Chahil</v>
      </c>
      <c r="AQ148" s="142" t="str">
        <f>INDEX(CarrierDriverTBL!$X:$X,MATCH(Table1[[#This Row],[DriverID]],CarrierDriverTBL!$A:$A,0))</f>
        <v>A8390649</v>
      </c>
      <c r="AR148" s="160">
        <f>INDEX(CarrierDriverTBL!$Y:$Y,MATCH(Table1[[#This Row],[DriverID]],CarrierDriverTBL!$A:$A,0))</f>
        <v>42402</v>
      </c>
      <c r="AS148" s="142" t="str">
        <f t="shared" si="67"/>
        <v>GOOD</v>
      </c>
      <c r="AT148" s="160">
        <f>INDEX(CarrierDriverTBL!$E:$E,MATCH(Table1[[#This Row],[DriverID]],CarrierDriverTBL!$A:$A,0))</f>
        <v>22314</v>
      </c>
      <c r="AU148" s="163">
        <f ca="1">INDEX(CarrierDriverTBL!$F:$F,MATCH(Table1[[#This Row],[DriverID]],CarrierDriverTBL!$A:$A,0))</f>
        <v>55.512328767123286</v>
      </c>
      <c r="AV148" s="142" t="str">
        <f>INDEX(CarrierDriverTBL!$K:$K,MATCH(Table1[[#This Row],[DriverID]],CarrierDriverTBL!$A:$A,0))</f>
        <v>510-773-9450</v>
      </c>
      <c r="AW148" s="142" t="str">
        <f>INDEX(CarrierDriverTBL!$M:$M,MATCH(Table1[[#This Row],[DriverID]],CarrierDriverTBL!$A:$A,0))</f>
        <v>3124 Cynthia CT</v>
      </c>
      <c r="AX148" s="142" t="str">
        <f>INDEX(CarrierDriverTBL!$N:$N,MATCH(Table1[[#This Row],[DriverID]],CarrierDriverTBL!$A:$A,0))</f>
        <v>Tracy</v>
      </c>
      <c r="AY148" s="142" t="str">
        <f>INDEX(CarrierDriverTBL!$O:$O,MATCH(Table1[[#This Row],[DriverID]],CarrierDriverTBL!$A:$A,0))</f>
        <v>CA</v>
      </c>
      <c r="AZ148" s="142">
        <f>INDEX(CarrierDriverTBL!$P:$P,MATCH(Table1[[#This Row],[DriverID]],CarrierDriverTBL!$A:$A,0))</f>
        <v>95377</v>
      </c>
      <c r="BA148" s="142" t="str">
        <f>INDEX(CarrierDriverTBL!$Q:$Q,MATCH(Table1[[#This Row],[DriverID]],CarrierDriverTBL!$A:$A,0))</f>
        <v>US</v>
      </c>
      <c r="BB148" s="176" t="str">
        <f>INDEX(CarrierDriverTBL!$R:$R,MATCH(Table1[[#This Row],[DriverID]],CarrierDriverTBL!$A:$A,0))</f>
        <v>ubgollc@gmail.com</v>
      </c>
      <c r="BC148" s="160">
        <f>INDEX(CarrierDriverTBL!$AB:$AB,MATCH(Table1[[#This Row],[DriverID]],CarrierDriverTBL!$A:$A,0))</f>
        <v>42167</v>
      </c>
      <c r="BD148" s="142" t="str">
        <f ca="1">INDEX(CarrierDriverTBL!$AD:$AD,MATCH(LoadMaster!$AN:$AN,CarrierDriverTBL!$A:$A,0))</f>
        <v>MISSING</v>
      </c>
      <c r="BE148" s="142">
        <f>INDEX(CarrierDriverTBL!$AE:$AE,MATCH(Table1[DriverID],CarrierDriverTBL!$A:$A,0))</f>
        <v>913971</v>
      </c>
      <c r="BF148" s="142">
        <f>INDEX(CarrierDriverTBL!$AF:$AF,MATCH(Table1[DriverID],CarrierDriverTBL!$A:$A,0))</f>
        <v>2627544</v>
      </c>
      <c r="BG148" s="142">
        <f>INDEX(CarrierDriverTBL!$AG:$AG,MATCH(Table1[DriverID],CarrierDriverTBL!$A:$A,0))</f>
        <v>466133</v>
      </c>
      <c r="BH148" s="142" t="str">
        <f>INDEX(CarrierDriverTBL!$AH:$AH,MATCH(Table1[DriverID],CarrierDriverTBL!$A:$A,0))</f>
        <v>GM Lawrence Ins</v>
      </c>
      <c r="BI148" s="142" t="str">
        <f>INDEX(CarrierDriverTBL!$AI:$AI,MATCH(Table1[DriverID],CarrierDriverTBL!$A:$A,0))</f>
        <v>DSK2842P160210</v>
      </c>
      <c r="BJ148" s="160">
        <f>INDEX(CarrierDriverTBL!$AJ:$AJ,MATCH(Table1[[#This Row],[DriverID]],CarrierDriverTBL!$A:$A,0))</f>
        <v>42778</v>
      </c>
      <c r="BK148" s="10">
        <f t="shared" si="68"/>
        <v>468</v>
      </c>
      <c r="BL148" s="174">
        <v>700</v>
      </c>
      <c r="BM148" s="144">
        <v>286</v>
      </c>
      <c r="BN148" s="159">
        <f t="shared" si="85"/>
        <v>2.4475524475524475</v>
      </c>
      <c r="BO148" s="167">
        <v>650</v>
      </c>
      <c r="BP148" s="159">
        <f t="shared" si="86"/>
        <v>2.2727272727272729</v>
      </c>
      <c r="BQ148" s="133">
        <v>2.7989999999999999</v>
      </c>
      <c r="BR148" s="166">
        <f t="shared" si="87"/>
        <v>0.14983333333333335</v>
      </c>
      <c r="BS148" s="167">
        <f t="shared" si="69"/>
        <v>2.1228939393939394</v>
      </c>
      <c r="BT148" s="159">
        <f t="shared" si="70"/>
        <v>42.852333333333334</v>
      </c>
      <c r="BU148" s="10" t="str">
        <f t="shared" si="71"/>
        <v>Ch Robinson</v>
      </c>
      <c r="BV148" s="4"/>
      <c r="BW148" s="4" t="str">
        <f>Table1[[#This Row],[BrokerAddress]]</f>
        <v>P.O. Box 3474</v>
      </c>
      <c r="BX148" s="4" t="str">
        <f t="shared" si="72"/>
        <v>Chicago</v>
      </c>
      <c r="BY148" s="4" t="str">
        <f t="shared" si="73"/>
        <v>Il</v>
      </c>
      <c r="BZ148" s="4">
        <f t="shared" si="74"/>
        <v>60654</v>
      </c>
      <c r="CA148" s="10" t="str">
        <f t="shared" si="75"/>
        <v>US</v>
      </c>
      <c r="CB148" s="15" t="s">
        <v>131</v>
      </c>
      <c r="CC148" s="62"/>
      <c r="CD148" s="15" t="s">
        <v>132</v>
      </c>
      <c r="CE148" s="64">
        <v>0</v>
      </c>
      <c r="CF148" s="4">
        <v>0</v>
      </c>
      <c r="CG148" s="132">
        <f t="shared" si="76"/>
        <v>0</v>
      </c>
      <c r="CH148" s="4" t="s">
        <v>132</v>
      </c>
      <c r="CI148" s="5">
        <v>0</v>
      </c>
      <c r="CJ148" s="4">
        <v>0</v>
      </c>
      <c r="CK148" s="132">
        <f t="shared" si="77"/>
        <v>0</v>
      </c>
      <c r="CL148" s="4" t="s">
        <v>132</v>
      </c>
      <c r="CM148" s="5">
        <v>0</v>
      </c>
      <c r="CN148" s="4">
        <v>0</v>
      </c>
      <c r="CO148" s="132">
        <f t="shared" si="78"/>
        <v>0</v>
      </c>
      <c r="CP148" s="4" t="s">
        <v>132</v>
      </c>
      <c r="CQ148" s="5">
        <v>0</v>
      </c>
      <c r="CR148" s="4">
        <v>0</v>
      </c>
      <c r="CS148" s="132">
        <f t="shared" si="79"/>
        <v>0</v>
      </c>
      <c r="CT148" s="159">
        <f t="shared" si="80"/>
        <v>0</v>
      </c>
      <c r="CU148" s="168">
        <f t="shared" si="81"/>
        <v>700</v>
      </c>
      <c r="CV148" s="183">
        <f t="shared" si="65"/>
        <v>0</v>
      </c>
      <c r="CW148" s="82">
        <f t="shared" si="64"/>
        <v>650</v>
      </c>
      <c r="CX148" s="79">
        <f>IF(ISBLANK(E148),"AddQuickPay",IF(E148=2,CU148*0.98,IF(E148=2.4,CU148*0.976,IF(E148=3,CU148*0.97,IF(E148=5,CU148*0.95,IF(E148=1.5,CU148*0.985,IF(E148=2.5,CU148*0.975,IF(E148=1.3,CU148*0.987,IF(E148=1,CU148*0.99,IF(E148=4,CU148*0.96,CU148*1))))))))))-Table1[[#This Row],[ComCheck+QuickPayFee]]</f>
        <v>686</v>
      </c>
      <c r="CY148" s="5">
        <f t="shared" si="82"/>
        <v>50</v>
      </c>
      <c r="CZ148" s="5">
        <f t="shared" si="83"/>
        <v>14</v>
      </c>
      <c r="DA148" s="258">
        <f>Table1[[#This Row],[OriginalDispatch]]-Table1[[#This Row],[QuickPayCharge]]</f>
        <v>36</v>
      </c>
      <c r="DB148" s="5">
        <v>0</v>
      </c>
      <c r="DC148" s="5" t="s">
        <v>133</v>
      </c>
      <c r="DD148" s="104">
        <f t="shared" si="84"/>
        <v>42314</v>
      </c>
      <c r="DE148" s="15">
        <f>MONTH(Table1[[#This Row],[Weekending]])</f>
        <v>11</v>
      </c>
      <c r="DF148" s="15">
        <f>YEAR(Table1[[#This Row],[Weekending]])</f>
        <v>2015</v>
      </c>
      <c r="DG148" s="4"/>
    </row>
    <row r="149" spans="1:111">
      <c r="A149" s="20" t="str">
        <f t="shared" si="66"/>
        <v>06eyne49</v>
      </c>
      <c r="B149" s="146">
        <v>42310</v>
      </c>
      <c r="C149" s="144">
        <v>185216306</v>
      </c>
      <c r="D149" s="298" t="s">
        <v>111</v>
      </c>
      <c r="E149" s="298">
        <v>2</v>
      </c>
      <c r="F149" s="142" t="str">
        <f>INDEX(BrokerTBL!$B:$B,MATCH(D149,BrokerTBL!$A:$A,0))</f>
        <v>P.O. Box 3474</v>
      </c>
      <c r="G149" s="142" t="str">
        <f>INDEX(BrokerTBL!$C:$C,MATCH(D149,BrokerTBL!$A:$A,0))</f>
        <v>Chicago</v>
      </c>
      <c r="H149" s="142" t="str">
        <f>INDEX(BrokerTBL!$D:$D,MATCH(D149,BrokerTBL!$A:$A,0))</f>
        <v>Il</v>
      </c>
      <c r="I149" s="142" t="str">
        <f>INDEX(BrokerTBL!$E:$E,MATCH(D149,BrokerTBL!$A:$A,0))</f>
        <v>US</v>
      </c>
      <c r="J149" s="142">
        <f>INDEX(BrokerTBL!$F:$F,MATCH(D149,BrokerTBL!$A:$A,0))</f>
        <v>60654</v>
      </c>
      <c r="K149" s="298" t="s">
        <v>628</v>
      </c>
      <c r="L149" s="145" t="s">
        <v>1229</v>
      </c>
      <c r="M149" s="146">
        <v>42310</v>
      </c>
      <c r="N149" s="144" t="s">
        <v>1133</v>
      </c>
      <c r="O149" s="298" t="s">
        <v>1070</v>
      </c>
      <c r="P149" s="298" t="s">
        <v>366</v>
      </c>
      <c r="Q149" s="298" t="s">
        <v>139</v>
      </c>
      <c r="R149" s="298">
        <v>95776</v>
      </c>
      <c r="S149" s="298" t="s">
        <v>118</v>
      </c>
      <c r="T149" s="298" t="s">
        <v>136</v>
      </c>
      <c r="U149" s="298" t="s">
        <v>120</v>
      </c>
      <c r="V149" s="298">
        <v>53</v>
      </c>
      <c r="W149" s="298" t="s">
        <v>631</v>
      </c>
      <c r="X149" s="144">
        <v>30000</v>
      </c>
      <c r="Y149" s="298" t="s">
        <v>26</v>
      </c>
      <c r="Z149" s="298" t="s">
        <v>123</v>
      </c>
      <c r="AA149" s="298" t="s">
        <v>123</v>
      </c>
      <c r="AB149" s="298" t="s">
        <v>123</v>
      </c>
      <c r="AC149" s="298" t="s">
        <v>1230</v>
      </c>
      <c r="AD149" s="145" t="s">
        <v>132</v>
      </c>
      <c r="AE149" s="146">
        <v>42310</v>
      </c>
      <c r="AF149" s="416" t="s">
        <v>123</v>
      </c>
      <c r="AG149" s="298" t="s">
        <v>1231</v>
      </c>
      <c r="AH149" s="298" t="s">
        <v>1232</v>
      </c>
      <c r="AI149" s="298" t="s">
        <v>139</v>
      </c>
      <c r="AJ149" s="298">
        <v>95945</v>
      </c>
      <c r="AK149" s="298" t="s">
        <v>118</v>
      </c>
      <c r="AL149" s="298" t="s">
        <v>123</v>
      </c>
      <c r="AM149" s="142" t="str">
        <f>INDEX(CarrierDriverTBL!$B:$B,MATCH(Table1[[#This Row],[DriverID]],CarrierDriverTBL!$A:$A,0))</f>
        <v>UBTrucking</v>
      </c>
      <c r="AN149" s="10" t="s">
        <v>192</v>
      </c>
      <c r="AO149" s="10" t="str">
        <f>INDEX(CarrierDriverTBL!$C:$C,MATCH(Table1[[#This Row],[DriverID]],CarrierDriverTBL!$A:$A,0))</f>
        <v>Albel</v>
      </c>
      <c r="AP149" s="142" t="str">
        <f>INDEX(CarrierDriverTBL!$D:$D,MATCH(Table1[[#This Row],[DriverID]],CarrierDriverTBL!$A:$A,0))</f>
        <v>Chahil</v>
      </c>
      <c r="AQ149" s="142" t="str">
        <f>INDEX(CarrierDriverTBL!$X:$X,MATCH(Table1[[#This Row],[DriverID]],CarrierDriverTBL!$A:$A,0))</f>
        <v>A8390649</v>
      </c>
      <c r="AR149" s="160">
        <f>INDEX(CarrierDriverTBL!$Y:$Y,MATCH(Table1[[#This Row],[DriverID]],CarrierDriverTBL!$A:$A,0))</f>
        <v>42402</v>
      </c>
      <c r="AS149" s="142" t="str">
        <f t="shared" si="67"/>
        <v>GOOD</v>
      </c>
      <c r="AT149" s="160">
        <f>INDEX(CarrierDriverTBL!$E:$E,MATCH(Table1[[#This Row],[DriverID]],CarrierDriverTBL!$A:$A,0))</f>
        <v>22314</v>
      </c>
      <c r="AU149" s="163">
        <f ca="1">INDEX(CarrierDriverTBL!$F:$F,MATCH(Table1[[#This Row],[DriverID]],CarrierDriverTBL!$A:$A,0))</f>
        <v>55.512328767123286</v>
      </c>
      <c r="AV149" s="142" t="str">
        <f>INDEX(CarrierDriverTBL!$K:$K,MATCH(Table1[[#This Row],[DriverID]],CarrierDriverTBL!$A:$A,0))</f>
        <v>510-773-9450</v>
      </c>
      <c r="AW149" s="142" t="str">
        <f>INDEX(CarrierDriverTBL!$M:$M,MATCH(Table1[[#This Row],[DriverID]],CarrierDriverTBL!$A:$A,0))</f>
        <v>3124 Cynthia CT</v>
      </c>
      <c r="AX149" s="142" t="str">
        <f>INDEX(CarrierDriverTBL!$N:$N,MATCH(Table1[[#This Row],[DriverID]],CarrierDriverTBL!$A:$A,0))</f>
        <v>Tracy</v>
      </c>
      <c r="AY149" s="142" t="str">
        <f>INDEX(CarrierDriverTBL!$O:$O,MATCH(Table1[[#This Row],[DriverID]],CarrierDriverTBL!$A:$A,0))</f>
        <v>CA</v>
      </c>
      <c r="AZ149" s="142">
        <f>INDEX(CarrierDriverTBL!$P:$P,MATCH(Table1[[#This Row],[DriverID]],CarrierDriverTBL!$A:$A,0))</f>
        <v>95377</v>
      </c>
      <c r="BA149" s="142" t="str">
        <f>INDEX(CarrierDriverTBL!$Q:$Q,MATCH(Table1[[#This Row],[DriverID]],CarrierDriverTBL!$A:$A,0))</f>
        <v>US</v>
      </c>
      <c r="BB149" s="176" t="str">
        <f>INDEX(CarrierDriverTBL!$R:$R,MATCH(Table1[[#This Row],[DriverID]],CarrierDriverTBL!$A:$A,0))</f>
        <v>ubgollc@gmail.com</v>
      </c>
      <c r="BC149" s="160">
        <f>INDEX(CarrierDriverTBL!$AB:$AB,MATCH(Table1[[#This Row],[DriverID]],CarrierDriverTBL!$A:$A,0))</f>
        <v>42167</v>
      </c>
      <c r="BD149" s="142" t="str">
        <f ca="1">INDEX(CarrierDriverTBL!$AD:$AD,MATCH(LoadMaster!$AN:$AN,CarrierDriverTBL!$A:$A,0))</f>
        <v>MISSING</v>
      </c>
      <c r="BE149" s="142">
        <f>INDEX(CarrierDriverTBL!$AE:$AE,MATCH(Table1[DriverID],CarrierDriverTBL!$A:$A,0))</f>
        <v>913971</v>
      </c>
      <c r="BF149" s="142">
        <f>INDEX(CarrierDriverTBL!$AF:$AF,MATCH(Table1[DriverID],CarrierDriverTBL!$A:$A,0))</f>
        <v>2627544</v>
      </c>
      <c r="BG149" s="142">
        <f>INDEX(CarrierDriverTBL!$AG:$AG,MATCH(Table1[DriverID],CarrierDriverTBL!$A:$A,0))</f>
        <v>466133</v>
      </c>
      <c r="BH149" s="142" t="str">
        <f>INDEX(CarrierDriverTBL!$AH:$AH,MATCH(Table1[DriverID],CarrierDriverTBL!$A:$A,0))</f>
        <v>GM Lawrence Ins</v>
      </c>
      <c r="BI149" s="142" t="str">
        <f>INDEX(CarrierDriverTBL!$AI:$AI,MATCH(Table1[DriverID],CarrierDriverTBL!$A:$A,0))</f>
        <v>DSK2842P160210</v>
      </c>
      <c r="BJ149" s="160">
        <f>INDEX(CarrierDriverTBL!$AJ:$AJ,MATCH(Table1[[#This Row],[DriverID]],CarrierDriverTBL!$A:$A,0))</f>
        <v>42778</v>
      </c>
      <c r="BK149" s="10">
        <f t="shared" si="68"/>
        <v>468</v>
      </c>
      <c r="BL149" s="174">
        <v>425</v>
      </c>
      <c r="BM149" s="144">
        <v>76</v>
      </c>
      <c r="BN149" s="159">
        <f t="shared" si="85"/>
        <v>5.5921052631578947</v>
      </c>
      <c r="BO149" s="167">
        <v>375</v>
      </c>
      <c r="BP149" s="159">
        <f t="shared" si="86"/>
        <v>4.9342105263157894</v>
      </c>
      <c r="BQ149" s="133">
        <v>2.7989999999999999</v>
      </c>
      <c r="BR149" s="166">
        <f t="shared" si="87"/>
        <v>0.14983333333333335</v>
      </c>
      <c r="BS149" s="167">
        <f t="shared" si="69"/>
        <v>4.7843771929824559</v>
      </c>
      <c r="BT149" s="159">
        <f t="shared" si="70"/>
        <v>11.387333333333334</v>
      </c>
      <c r="BU149" s="10" t="str">
        <f t="shared" si="71"/>
        <v>Ch Robinson</v>
      </c>
      <c r="BV149" s="4"/>
      <c r="BW149" s="4" t="str">
        <f>Table1[[#This Row],[BrokerAddress]]</f>
        <v>P.O. Box 3474</v>
      </c>
      <c r="BX149" s="4" t="str">
        <f t="shared" si="72"/>
        <v>Chicago</v>
      </c>
      <c r="BY149" s="4" t="str">
        <f t="shared" si="73"/>
        <v>Il</v>
      </c>
      <c r="BZ149" s="4">
        <f t="shared" si="74"/>
        <v>60654</v>
      </c>
      <c r="CA149" s="10" t="str">
        <f t="shared" si="75"/>
        <v>US</v>
      </c>
      <c r="CB149" s="15" t="s">
        <v>131</v>
      </c>
      <c r="CC149" s="62"/>
      <c r="CD149" s="15" t="s">
        <v>1233</v>
      </c>
      <c r="CE149" s="64">
        <v>25</v>
      </c>
      <c r="CF149" s="4">
        <v>1</v>
      </c>
      <c r="CG149" s="132">
        <f t="shared" si="76"/>
        <v>25</v>
      </c>
      <c r="CH149" s="4" t="s">
        <v>132</v>
      </c>
      <c r="CI149" s="5">
        <v>0</v>
      </c>
      <c r="CJ149" s="4">
        <v>0</v>
      </c>
      <c r="CK149" s="132">
        <f t="shared" si="77"/>
        <v>0</v>
      </c>
      <c r="CL149" s="4" t="s">
        <v>132</v>
      </c>
      <c r="CM149" s="5">
        <v>0</v>
      </c>
      <c r="CN149" s="4">
        <v>0</v>
      </c>
      <c r="CO149" s="132">
        <f t="shared" si="78"/>
        <v>0</v>
      </c>
      <c r="CP149" s="4" t="s">
        <v>132</v>
      </c>
      <c r="CQ149" s="5">
        <v>0</v>
      </c>
      <c r="CR149" s="4">
        <v>0</v>
      </c>
      <c r="CS149" s="132">
        <f t="shared" si="79"/>
        <v>0</v>
      </c>
      <c r="CT149" s="159">
        <f t="shared" si="80"/>
        <v>25</v>
      </c>
      <c r="CU149" s="168">
        <f t="shared" si="81"/>
        <v>450</v>
      </c>
      <c r="CV149" s="183">
        <f t="shared" si="65"/>
        <v>25</v>
      </c>
      <c r="CW149" s="82">
        <f t="shared" si="64"/>
        <v>400</v>
      </c>
      <c r="CX149" s="79">
        <f>IF(ISBLANK(E149),"AddQuickPay",IF(E149=2,CU149*0.98,IF(E149=2.4,CU149*0.976,IF(E149=3,CU149*0.97,IF(E149=5,CU149*0.95,IF(E149=1.5,CU149*0.985,IF(E149=2.5,CU149*0.975,IF(E149=1.3,CU149*0.987,IF(E149=1,CU149*0.99,IF(E149=4,CU149*0.96,CU149*1))))))))))-Table1[[#This Row],[ComCheck+QuickPayFee]]</f>
        <v>441</v>
      </c>
      <c r="CY149" s="5">
        <f t="shared" si="82"/>
        <v>50</v>
      </c>
      <c r="CZ149" s="5">
        <f t="shared" si="83"/>
        <v>9</v>
      </c>
      <c r="DA149" s="258">
        <f>Table1[[#This Row],[OriginalDispatch]]-Table1[[#This Row],[QuickPayCharge]]</f>
        <v>41</v>
      </c>
      <c r="DB149" s="5">
        <v>0</v>
      </c>
      <c r="DC149" s="5" t="s">
        <v>133</v>
      </c>
      <c r="DD149" s="104">
        <f t="shared" si="84"/>
        <v>42314</v>
      </c>
      <c r="DE149" s="15">
        <f>MONTH(Table1[[#This Row],[Weekending]])</f>
        <v>11</v>
      </c>
      <c r="DF149" s="15">
        <f>YEAR(Table1[[#This Row],[Weekending]])</f>
        <v>2015</v>
      </c>
      <c r="DG149" s="4"/>
    </row>
    <row r="150" spans="1:111">
      <c r="A150" s="20" t="str">
        <f t="shared" si="66"/>
        <v>59iank88</v>
      </c>
      <c r="B150" s="146">
        <v>42310</v>
      </c>
      <c r="C150" s="144">
        <v>185215859</v>
      </c>
      <c r="D150" s="298" t="s">
        <v>111</v>
      </c>
      <c r="E150" s="298">
        <v>2</v>
      </c>
      <c r="F150" s="142" t="str">
        <f>INDEX(BrokerTBL!$B:$B,MATCH(D150,BrokerTBL!$A:$A,0))</f>
        <v>P.O. Box 3474</v>
      </c>
      <c r="G150" s="142" t="str">
        <f>INDEX(BrokerTBL!$C:$C,MATCH(D150,BrokerTBL!$A:$A,0))</f>
        <v>Chicago</v>
      </c>
      <c r="H150" s="142" t="str">
        <f>INDEX(BrokerTBL!$D:$D,MATCH(D150,BrokerTBL!$A:$A,0))</f>
        <v>Il</v>
      </c>
      <c r="I150" s="142" t="str">
        <f>INDEX(BrokerTBL!$E:$E,MATCH(D150,BrokerTBL!$A:$A,0))</f>
        <v>US</v>
      </c>
      <c r="J150" s="142">
        <f>INDEX(BrokerTBL!$F:$F,MATCH(D150,BrokerTBL!$A:$A,0))</f>
        <v>60654</v>
      </c>
      <c r="K150" s="298" t="s">
        <v>628</v>
      </c>
      <c r="L150" s="145" t="s">
        <v>1234</v>
      </c>
      <c r="M150" s="146">
        <v>42310</v>
      </c>
      <c r="N150" s="162" t="s">
        <v>136</v>
      </c>
      <c r="O150" s="298" t="s">
        <v>1070</v>
      </c>
      <c r="P150" s="298" t="s">
        <v>366</v>
      </c>
      <c r="Q150" s="298" t="s">
        <v>139</v>
      </c>
      <c r="R150" s="298">
        <v>95776</v>
      </c>
      <c r="S150" s="298" t="s">
        <v>118</v>
      </c>
      <c r="T150" s="298" t="s">
        <v>136</v>
      </c>
      <c r="U150" s="298" t="s">
        <v>120</v>
      </c>
      <c r="V150" s="298">
        <v>53</v>
      </c>
      <c r="W150" s="298" t="s">
        <v>631</v>
      </c>
      <c r="X150" s="144">
        <v>30000</v>
      </c>
      <c r="Y150" s="298" t="s">
        <v>26</v>
      </c>
      <c r="Z150" s="298" t="s">
        <v>123</v>
      </c>
      <c r="AA150" s="298" t="s">
        <v>123</v>
      </c>
      <c r="AB150" s="298" t="s">
        <v>123</v>
      </c>
      <c r="AC150" s="298" t="s">
        <v>1235</v>
      </c>
      <c r="AD150" s="145" t="s">
        <v>1179</v>
      </c>
      <c r="AE150" s="146">
        <v>42311</v>
      </c>
      <c r="AF150" s="416" t="s">
        <v>123</v>
      </c>
      <c r="AG150" s="298" t="s">
        <v>633</v>
      </c>
      <c r="AH150" s="298" t="s">
        <v>634</v>
      </c>
      <c r="AI150" s="298" t="s">
        <v>139</v>
      </c>
      <c r="AJ150" s="298">
        <v>93454</v>
      </c>
      <c r="AK150" s="298" t="s">
        <v>118</v>
      </c>
      <c r="AL150" s="298" t="s">
        <v>123</v>
      </c>
      <c r="AM150" s="142" t="str">
        <f>INDEX(CarrierDriverTBL!$B:$B,MATCH(Table1[[#This Row],[DriverID]],CarrierDriverTBL!$A:$A,0))</f>
        <v>UBTrucking</v>
      </c>
      <c r="AN150" s="10" t="s">
        <v>948</v>
      </c>
      <c r="AO150" s="10" t="str">
        <f>INDEX(CarrierDriverTBL!$C:$C,MATCH(Table1[[#This Row],[DriverID]],CarrierDriverTBL!$A:$A,0))</f>
        <v>Wesley</v>
      </c>
      <c r="AP150" s="10" t="str">
        <f>INDEX(CarrierDriverTBL!$D:$D,MATCH(Table1[[#This Row],[DriverID]],CarrierDriverTBL!$A:$A,0))</f>
        <v>Cousain</v>
      </c>
      <c r="AQ150" s="10" t="str">
        <f>INDEX(CarrierDriverTBL!$X:$X,MATCH(Table1[[#This Row],[DriverID]],CarrierDriverTBL!$A:$A,0))</f>
        <v>D4903588</v>
      </c>
      <c r="AR150" s="11">
        <f>INDEX(CarrierDriverTBL!$Y:$Y,MATCH(Table1[[#This Row],[DriverID]],CarrierDriverTBL!$A:$A,0))</f>
        <v>43458</v>
      </c>
      <c r="AS150" s="142" t="str">
        <f t="shared" si="67"/>
        <v>GOOD</v>
      </c>
      <c r="AT150" s="11">
        <f>INDEX(CarrierDriverTBL!$E:$E,MATCH(Table1[[#This Row],[DriverID]],CarrierDriverTBL!$A:$A,0))</f>
        <v>31405</v>
      </c>
      <c r="AU150" s="163">
        <f ca="1">INDEX(CarrierDriverTBL!$F:$F,MATCH(Table1[[#This Row],[DriverID]],CarrierDriverTBL!$A:$A,0))</f>
        <v>30.605479452054794</v>
      </c>
      <c r="AV150" s="10" t="str">
        <f>INDEX(CarrierDriverTBL!$K:$K,MATCH(Table1[[#This Row],[DriverID]],CarrierDriverTBL!$A:$A,0))</f>
        <v>925-383-5364</v>
      </c>
      <c r="AW150" s="10" t="str">
        <f>INDEX(CarrierDriverTBL!$M:$M,MATCH(Table1[[#This Row],[DriverID]],CarrierDriverTBL!$A:$A,0))</f>
        <v>110 Cordova Ln</v>
      </c>
      <c r="AX150" s="10" t="str">
        <f>INDEX(CarrierDriverTBL!$N:$N,MATCH(Table1[[#This Row],[DriverID]],CarrierDriverTBL!$A:$A,0))</f>
        <v>Stockton</v>
      </c>
      <c r="AY150" s="10" t="str">
        <f>INDEX(CarrierDriverTBL!$O:$O,MATCH(Table1[[#This Row],[DriverID]],CarrierDriverTBL!$A:$A,0))</f>
        <v>CA</v>
      </c>
      <c r="AZ150" s="10">
        <f>INDEX(CarrierDriverTBL!$P:$P,MATCH(Table1[[#This Row],[DriverID]],CarrierDriverTBL!$A:$A,0))</f>
        <v>95207</v>
      </c>
      <c r="BA150" s="10" t="str">
        <f>INDEX(CarrierDriverTBL!$Q:$Q,MATCH(Table1[[#This Row],[DriverID]],CarrierDriverTBL!$A:$A,0))</f>
        <v>US</v>
      </c>
      <c r="BB150" s="173" t="str">
        <f>INDEX(CarrierDriverTBL!$R:$R,MATCH(Table1[[#This Row],[DriverID]],CarrierDriverTBL!$A:$A,0))</f>
        <v>wesleycousain1@gmail.com</v>
      </c>
      <c r="BC150" s="160">
        <f>INDEX(CarrierDriverTBL!$AB:$AB,MATCH(Table1[[#This Row],[DriverID]],CarrierDriverTBL!$A:$A,0))</f>
        <v>42271</v>
      </c>
      <c r="BD150" s="142" t="str">
        <f ca="1">INDEX(CarrierDriverTBL!$AD:$AD,MATCH(LoadMaster!$AN:$AN,CarrierDriverTBL!$A:$A,0))</f>
        <v>MISSING</v>
      </c>
      <c r="BE150" s="142">
        <f>INDEX(CarrierDriverTBL!$AE:$AE,MATCH(Table1[DriverID],CarrierDriverTBL!$A:$A,0))</f>
        <v>913971</v>
      </c>
      <c r="BF150" s="142">
        <f>INDEX(CarrierDriverTBL!$AF:$AF,MATCH(Table1[DriverID],CarrierDriverTBL!$A:$A,0))</f>
        <v>2627544</v>
      </c>
      <c r="BG150" s="142">
        <f>INDEX(CarrierDriverTBL!$AG:$AG,MATCH(Table1[DriverID],CarrierDriverTBL!$A:$A,0))</f>
        <v>466133</v>
      </c>
      <c r="BH150" s="142" t="str">
        <f>INDEX(CarrierDriverTBL!$AH:$AH,MATCH(Table1[DriverID],CarrierDriverTBL!$A:$A,0))</f>
        <v>GM Lawrence Ins</v>
      </c>
      <c r="BI150" s="142" t="str">
        <f>INDEX(CarrierDriverTBL!$AI:$AI,MATCH(Table1[DriverID],CarrierDriverTBL!$A:$A,0))</f>
        <v>DSK2842P160210</v>
      </c>
      <c r="BJ150" s="160">
        <f>INDEX(CarrierDriverTBL!$AJ:$AJ,MATCH(Table1[[#This Row],[DriverID]],CarrierDriverTBL!$A:$A,0))</f>
        <v>42778</v>
      </c>
      <c r="BK150" s="10">
        <f t="shared" si="68"/>
        <v>468</v>
      </c>
      <c r="BL150" s="174">
        <v>700</v>
      </c>
      <c r="BM150" s="144">
        <v>341</v>
      </c>
      <c r="BN150" s="159">
        <f t="shared" si="85"/>
        <v>2.0527859237536656</v>
      </c>
      <c r="BO150" s="167">
        <f>0.93*700</f>
        <v>651</v>
      </c>
      <c r="BP150" s="159">
        <f t="shared" si="86"/>
        <v>1.9090909090909092</v>
      </c>
      <c r="BQ150" s="133">
        <v>2.7989999999999999</v>
      </c>
      <c r="BR150" s="166">
        <f t="shared" si="87"/>
        <v>0.14983333333333335</v>
      </c>
      <c r="BS150" s="167">
        <f t="shared" si="69"/>
        <v>1.7592575757575759</v>
      </c>
      <c r="BT150" s="159">
        <f t="shared" si="70"/>
        <v>51.093166666666669</v>
      </c>
      <c r="BU150" s="10" t="str">
        <f t="shared" si="71"/>
        <v>Ch Robinson</v>
      </c>
      <c r="BV150" s="4"/>
      <c r="BW150" s="4" t="str">
        <f>Table1[[#This Row],[BrokerAddress]]</f>
        <v>P.O. Box 3474</v>
      </c>
      <c r="BX150" s="4" t="str">
        <f t="shared" si="72"/>
        <v>Chicago</v>
      </c>
      <c r="BY150" s="4" t="str">
        <f t="shared" si="73"/>
        <v>Il</v>
      </c>
      <c r="BZ150" s="4">
        <f t="shared" si="74"/>
        <v>60654</v>
      </c>
      <c r="CA150" s="10" t="str">
        <f t="shared" si="75"/>
        <v>US</v>
      </c>
      <c r="CB150" s="15" t="s">
        <v>131</v>
      </c>
      <c r="CC150" s="62"/>
      <c r="CD150" s="15" t="s">
        <v>132</v>
      </c>
      <c r="CE150" s="64">
        <v>0</v>
      </c>
      <c r="CF150" s="4">
        <v>0</v>
      </c>
      <c r="CG150" s="132">
        <f t="shared" si="76"/>
        <v>0</v>
      </c>
      <c r="CH150" s="4" t="s">
        <v>132</v>
      </c>
      <c r="CI150" s="5">
        <v>0</v>
      </c>
      <c r="CJ150" s="4">
        <v>0</v>
      </c>
      <c r="CK150" s="132">
        <f t="shared" si="77"/>
        <v>0</v>
      </c>
      <c r="CL150" s="4" t="s">
        <v>132</v>
      </c>
      <c r="CM150" s="5">
        <v>0</v>
      </c>
      <c r="CN150" s="4">
        <v>0</v>
      </c>
      <c r="CO150" s="132">
        <f t="shared" si="78"/>
        <v>0</v>
      </c>
      <c r="CP150" s="4" t="s">
        <v>132</v>
      </c>
      <c r="CQ150" s="5">
        <v>0</v>
      </c>
      <c r="CR150" s="4">
        <v>0</v>
      </c>
      <c r="CS150" s="132">
        <f t="shared" si="79"/>
        <v>0</v>
      </c>
      <c r="CT150" s="159">
        <f t="shared" si="80"/>
        <v>0</v>
      </c>
      <c r="CU150" s="168">
        <f t="shared" si="81"/>
        <v>700</v>
      </c>
      <c r="CV150" s="183">
        <f t="shared" si="65"/>
        <v>0</v>
      </c>
      <c r="CW150" s="82">
        <f t="shared" si="64"/>
        <v>651</v>
      </c>
      <c r="CX150" s="79">
        <f>IF(ISBLANK(E150),"AddQuickPay",IF(E150=2,CU150*0.98,IF(E150=2.4,CU150*0.976,IF(E150=3,CU150*0.97,IF(E150=5,CU150*0.95,IF(E150=1.5,CU150*0.985,IF(E150=2.5,CU150*0.975,IF(E150=1.3,CU150*0.987,IF(E150=1,CU150*0.99,IF(E150=4,CU150*0.96,CU150*1))))))))))-Table1[[#This Row],[ComCheck+QuickPayFee]]</f>
        <v>686</v>
      </c>
      <c r="CY150" s="5">
        <f t="shared" si="82"/>
        <v>49</v>
      </c>
      <c r="CZ150" s="5">
        <f t="shared" si="83"/>
        <v>14</v>
      </c>
      <c r="DA150" s="258">
        <f>Table1[[#This Row],[OriginalDispatch]]-Table1[[#This Row],[QuickPayCharge]]</f>
        <v>35</v>
      </c>
      <c r="DB150" s="5">
        <v>0</v>
      </c>
      <c r="DC150" s="5" t="s">
        <v>133</v>
      </c>
      <c r="DD150" s="104">
        <f t="shared" si="84"/>
        <v>42314</v>
      </c>
      <c r="DE150" s="15">
        <f>MONTH(Table1[[#This Row],[Weekending]])</f>
        <v>11</v>
      </c>
      <c r="DF150" s="15">
        <f>YEAR(Table1[[#This Row],[Weekending]])</f>
        <v>2015</v>
      </c>
      <c r="DG150" s="4"/>
    </row>
    <row r="151" spans="1:111">
      <c r="A151" s="20" t="str">
        <f t="shared" si="66"/>
        <v>84447149</v>
      </c>
      <c r="B151" s="146">
        <v>42311</v>
      </c>
      <c r="C151" s="144">
        <v>1574884</v>
      </c>
      <c r="D151" s="298" t="s">
        <v>384</v>
      </c>
      <c r="E151" s="298">
        <v>1.5</v>
      </c>
      <c r="F151" s="298" t="str">
        <f>INDEX(BrokerTBL!$B:$B,MATCH(D151,BrokerTBL!$A:$A,0))</f>
        <v>11707 21St Ave Ct So</v>
      </c>
      <c r="G151" s="298" t="str">
        <f>INDEX(BrokerTBL!$C:$C,MATCH(D151,BrokerTBL!$A:$A,0))</f>
        <v>Tacoma</v>
      </c>
      <c r="H151" s="142" t="str">
        <f>INDEX(BrokerTBL!$D:$D,MATCH(D151,BrokerTBL!$A:$A,0))</f>
        <v>Wa</v>
      </c>
      <c r="I151" s="142" t="str">
        <f>INDEX(BrokerTBL!$E:$E,MATCH(D151,BrokerTBL!$A:$A,0))</f>
        <v>US</v>
      </c>
      <c r="J151" s="298">
        <f>INDEX(BrokerTBL!$F:$F,MATCH(D151,BrokerTBL!$A:$A,0))</f>
        <v>98444</v>
      </c>
      <c r="K151" s="298" t="s">
        <v>1236</v>
      </c>
      <c r="L151" s="145">
        <v>1064844</v>
      </c>
      <c r="M151" s="146">
        <v>42311</v>
      </c>
      <c r="N151" s="144" t="s">
        <v>868</v>
      </c>
      <c r="O151" s="298" t="s">
        <v>1237</v>
      </c>
      <c r="P151" s="298" t="s">
        <v>429</v>
      </c>
      <c r="Q151" s="298" t="s">
        <v>139</v>
      </c>
      <c r="R151" s="298">
        <v>93446</v>
      </c>
      <c r="S151" s="298" t="s">
        <v>118</v>
      </c>
      <c r="T151" s="298" t="s">
        <v>1238</v>
      </c>
      <c r="U151" s="298" t="s">
        <v>120</v>
      </c>
      <c r="V151" s="298">
        <v>53</v>
      </c>
      <c r="W151" s="298" t="s">
        <v>1239</v>
      </c>
      <c r="X151" s="192">
        <v>43176</v>
      </c>
      <c r="Y151" s="298" t="s">
        <v>123</v>
      </c>
      <c r="Z151" s="298" t="s">
        <v>123</v>
      </c>
      <c r="AA151" s="298" t="s">
        <v>123</v>
      </c>
      <c r="AB151" s="298" t="s">
        <v>123</v>
      </c>
      <c r="AC151" s="298" t="s">
        <v>591</v>
      </c>
      <c r="AD151" s="145">
        <v>8035571</v>
      </c>
      <c r="AE151" s="146">
        <v>42312</v>
      </c>
      <c r="AF151" s="416" t="s">
        <v>123</v>
      </c>
      <c r="AG151" s="298" t="s">
        <v>1240</v>
      </c>
      <c r="AH151" s="298" t="s">
        <v>320</v>
      </c>
      <c r="AI151" s="298" t="s">
        <v>139</v>
      </c>
      <c r="AJ151" s="298">
        <v>94587</v>
      </c>
      <c r="AK151" s="298" t="s">
        <v>118</v>
      </c>
      <c r="AL151" s="298" t="s">
        <v>123</v>
      </c>
      <c r="AM151" s="142" t="str">
        <f>INDEX(CarrierDriverTBL!$B:$B,MATCH(Table1[[#This Row],[DriverID]],CarrierDriverTBL!$A:$A,0))</f>
        <v>UBTrucking</v>
      </c>
      <c r="AN151" s="10" t="s">
        <v>192</v>
      </c>
      <c r="AO151" s="10" t="str">
        <f>INDEX(CarrierDriverTBL!$C:$C,MATCH(Table1[[#This Row],[DriverID]],CarrierDriverTBL!$A:$A,0))</f>
        <v>Albel</v>
      </c>
      <c r="AP151" s="142" t="str">
        <f>INDEX(CarrierDriverTBL!$D:$D,MATCH(Table1[[#This Row],[DriverID]],CarrierDriverTBL!$A:$A,0))</f>
        <v>Chahil</v>
      </c>
      <c r="AQ151" s="142" t="str">
        <f>INDEX(CarrierDriverTBL!$X:$X,MATCH(Table1[[#This Row],[DriverID]],CarrierDriverTBL!$A:$A,0))</f>
        <v>A8390649</v>
      </c>
      <c r="AR151" s="160">
        <f>INDEX(CarrierDriverTBL!$Y:$Y,MATCH(Table1[[#This Row],[DriverID]],CarrierDriverTBL!$A:$A,0))</f>
        <v>42402</v>
      </c>
      <c r="AS151" s="142" t="str">
        <f t="shared" si="67"/>
        <v>GOOD</v>
      </c>
      <c r="AT151" s="160">
        <f>INDEX(CarrierDriverTBL!$E:$E,MATCH(Table1[[#This Row],[DriverID]],CarrierDriverTBL!$A:$A,0))</f>
        <v>22314</v>
      </c>
      <c r="AU151" s="163">
        <f ca="1">INDEX(CarrierDriverTBL!$F:$F,MATCH(Table1[[#This Row],[DriverID]],CarrierDriverTBL!$A:$A,0))</f>
        <v>55.512328767123286</v>
      </c>
      <c r="AV151" s="142" t="str">
        <f>INDEX(CarrierDriverTBL!$K:$K,MATCH(Table1[[#This Row],[DriverID]],CarrierDriverTBL!$A:$A,0))</f>
        <v>510-773-9450</v>
      </c>
      <c r="AW151" s="142" t="str">
        <f>INDEX(CarrierDriverTBL!$M:$M,MATCH(Table1[[#This Row],[DriverID]],CarrierDriverTBL!$A:$A,0))</f>
        <v>3124 Cynthia CT</v>
      </c>
      <c r="AX151" s="142" t="str">
        <f>INDEX(CarrierDriverTBL!$N:$N,MATCH(Table1[[#This Row],[DriverID]],CarrierDriverTBL!$A:$A,0))</f>
        <v>Tracy</v>
      </c>
      <c r="AY151" s="142" t="str">
        <f>INDEX(CarrierDriverTBL!$O:$O,MATCH(Table1[[#This Row],[DriverID]],CarrierDriverTBL!$A:$A,0))</f>
        <v>CA</v>
      </c>
      <c r="AZ151" s="142">
        <f>INDEX(CarrierDriverTBL!$P:$P,MATCH(Table1[[#This Row],[DriverID]],CarrierDriverTBL!$A:$A,0))</f>
        <v>95377</v>
      </c>
      <c r="BA151" s="142" t="str">
        <f>INDEX(CarrierDriverTBL!$Q:$Q,MATCH(Table1[[#This Row],[DriverID]],CarrierDriverTBL!$A:$A,0))</f>
        <v>US</v>
      </c>
      <c r="BB151" s="176" t="str">
        <f>INDEX(CarrierDriverTBL!$R:$R,MATCH(Table1[[#This Row],[DriverID]],CarrierDriverTBL!$A:$A,0))</f>
        <v>ubgollc@gmail.com</v>
      </c>
      <c r="BC151" s="160">
        <f>INDEX(CarrierDriverTBL!$AB:$AB,MATCH(Table1[[#This Row],[DriverID]],CarrierDriverTBL!$A:$A,0))</f>
        <v>42167</v>
      </c>
      <c r="BD151" s="142" t="str">
        <f ca="1">INDEX(CarrierDriverTBL!$AD:$AD,MATCH(LoadMaster!$AN:$AN,CarrierDriverTBL!$A:$A,0))</f>
        <v>MISSING</v>
      </c>
      <c r="BE151" s="142">
        <f>INDEX(CarrierDriverTBL!$AE:$AE,MATCH(Table1[DriverID],CarrierDriverTBL!$A:$A,0))</f>
        <v>913971</v>
      </c>
      <c r="BF151" s="142">
        <f>INDEX(CarrierDriverTBL!$AF:$AF,MATCH(Table1[DriverID],CarrierDriverTBL!$A:$A,0))</f>
        <v>2627544</v>
      </c>
      <c r="BG151" s="142">
        <f>INDEX(CarrierDriverTBL!$AG:$AG,MATCH(Table1[DriverID],CarrierDriverTBL!$A:$A,0))</f>
        <v>466133</v>
      </c>
      <c r="BH151" s="142" t="str">
        <f>INDEX(CarrierDriverTBL!$AH:$AH,MATCH(Table1[DriverID],CarrierDriverTBL!$A:$A,0))</f>
        <v>GM Lawrence Ins</v>
      </c>
      <c r="BI151" s="142" t="str">
        <f>INDEX(CarrierDriverTBL!$AI:$AI,MATCH(Table1[DriverID],CarrierDriverTBL!$A:$A,0))</f>
        <v>DSK2842P160210</v>
      </c>
      <c r="BJ151" s="160">
        <f>INDEX(CarrierDriverTBL!$AJ:$AJ,MATCH(Table1[[#This Row],[DriverID]],CarrierDriverTBL!$A:$A,0))</f>
        <v>42778</v>
      </c>
      <c r="BK151" s="10">
        <f t="shared" si="68"/>
        <v>467</v>
      </c>
      <c r="BL151" s="174">
        <v>600</v>
      </c>
      <c r="BM151" s="144">
        <v>238</v>
      </c>
      <c r="BN151" s="159">
        <f t="shared" si="85"/>
        <v>2.5210084033613445</v>
      </c>
      <c r="BO151" s="167">
        <v>550</v>
      </c>
      <c r="BP151" s="159">
        <f t="shared" si="86"/>
        <v>2.3109243697478989</v>
      </c>
      <c r="BQ151" s="133">
        <v>2.7989999999999999</v>
      </c>
      <c r="BR151" s="166">
        <f t="shared" si="87"/>
        <v>0.14983333333333335</v>
      </c>
      <c r="BS151" s="167">
        <f t="shared" si="69"/>
        <v>2.1610910364145655</v>
      </c>
      <c r="BT151" s="159">
        <f t="shared" si="70"/>
        <v>35.660333333333334</v>
      </c>
      <c r="BU151" s="10" t="str">
        <f t="shared" si="71"/>
        <v>Interstate Distributor Co</v>
      </c>
      <c r="BV151" s="298"/>
      <c r="BW151" s="4" t="str">
        <f>Table1[[#This Row],[BrokerAddress]]</f>
        <v>11707 21St Ave Ct So</v>
      </c>
      <c r="BX151" s="4" t="str">
        <f t="shared" si="72"/>
        <v>Tacoma</v>
      </c>
      <c r="BY151" s="4" t="str">
        <f t="shared" si="73"/>
        <v>Wa</v>
      </c>
      <c r="BZ151" s="4">
        <f t="shared" si="74"/>
        <v>98444</v>
      </c>
      <c r="CA151" s="10" t="str">
        <f t="shared" si="75"/>
        <v>US</v>
      </c>
      <c r="CB151" s="15" t="s">
        <v>131</v>
      </c>
      <c r="CC151" s="62"/>
      <c r="CD151" s="15" t="s">
        <v>132</v>
      </c>
      <c r="CE151" s="64">
        <v>0</v>
      </c>
      <c r="CF151" s="4">
        <v>0</v>
      </c>
      <c r="CG151" s="132">
        <f t="shared" si="76"/>
        <v>0</v>
      </c>
      <c r="CH151" s="4" t="s">
        <v>132</v>
      </c>
      <c r="CI151" s="5">
        <v>0</v>
      </c>
      <c r="CJ151" s="4">
        <v>0</v>
      </c>
      <c r="CK151" s="132">
        <f t="shared" si="77"/>
        <v>0</v>
      </c>
      <c r="CL151" s="4" t="s">
        <v>132</v>
      </c>
      <c r="CM151" s="5">
        <v>0</v>
      </c>
      <c r="CN151" s="4">
        <v>0</v>
      </c>
      <c r="CO151" s="132">
        <f t="shared" si="78"/>
        <v>0</v>
      </c>
      <c r="CP151" s="4" t="s">
        <v>132</v>
      </c>
      <c r="CQ151" s="5">
        <v>0</v>
      </c>
      <c r="CR151" s="4">
        <v>0</v>
      </c>
      <c r="CS151" s="132">
        <f t="shared" si="79"/>
        <v>0</v>
      </c>
      <c r="CT151" s="159">
        <f t="shared" si="80"/>
        <v>0</v>
      </c>
      <c r="CU151" s="168">
        <f t="shared" si="81"/>
        <v>600</v>
      </c>
      <c r="CV151" s="183">
        <f t="shared" si="65"/>
        <v>0</v>
      </c>
      <c r="CW151" s="82">
        <f t="shared" si="64"/>
        <v>550</v>
      </c>
      <c r="CX151" s="79">
        <f>IF(ISBLANK(E151),"AddQuickPay",IF(E151=2,CU151*0.98,IF(E151=2.4,CU151*0.976,IF(E151=3,CU151*0.97,IF(E151=5,CU151*0.95,IF(E151=1.5,CU151*0.985,IF(E151=2.5,CU151*0.975,IF(E151=1.3,CU151*0.987,IF(E151=1,CU151*0.99,IF(E151=4,CU151*0.96,CU151*1))))))))))-Table1[[#This Row],[ComCheck+QuickPayFee]]</f>
        <v>591</v>
      </c>
      <c r="CY151" s="5">
        <f t="shared" si="82"/>
        <v>50</v>
      </c>
      <c r="CZ151" s="5">
        <f t="shared" si="83"/>
        <v>9</v>
      </c>
      <c r="DA151" s="258">
        <f>Table1[[#This Row],[OriginalDispatch]]-Table1[[#This Row],[QuickPayCharge]]</f>
        <v>41</v>
      </c>
      <c r="DB151" s="5">
        <v>0</v>
      </c>
      <c r="DC151" s="5" t="s">
        <v>133</v>
      </c>
      <c r="DD151" s="104">
        <f t="shared" si="84"/>
        <v>42314</v>
      </c>
      <c r="DE151" s="15">
        <f>MONTH(Table1[[#This Row],[Weekending]])</f>
        <v>11</v>
      </c>
      <c r="DF151" s="15">
        <f>YEAR(Table1[[#This Row],[Weekending]])</f>
        <v>2015</v>
      </c>
      <c r="DG151" s="4"/>
    </row>
    <row r="152" spans="1:111">
      <c r="A152" s="20" t="str">
        <f t="shared" si="66"/>
        <v>19wnne88</v>
      </c>
      <c r="B152" s="146">
        <v>42311</v>
      </c>
      <c r="C152" s="144">
        <v>185426319</v>
      </c>
      <c r="D152" s="298" t="s">
        <v>111</v>
      </c>
      <c r="E152" s="298">
        <v>2</v>
      </c>
      <c r="F152" s="142" t="str">
        <f>INDEX(BrokerTBL!$B:$B,MATCH(D152,BrokerTBL!$A:$A,0))</f>
        <v>P.O. Box 3474</v>
      </c>
      <c r="G152" s="142" t="str">
        <f>INDEX(BrokerTBL!$C:$C,MATCH(D152,BrokerTBL!$A:$A,0))</f>
        <v>Chicago</v>
      </c>
      <c r="H152" s="142" t="str">
        <f>INDEX(BrokerTBL!$D:$D,MATCH(D152,BrokerTBL!$A:$A,0))</f>
        <v>Il</v>
      </c>
      <c r="I152" s="142" t="str">
        <f>INDEX(BrokerTBL!$E:$E,MATCH(D152,BrokerTBL!$A:$A,0))</f>
        <v>US</v>
      </c>
      <c r="J152" s="142">
        <f>INDEX(BrokerTBL!$F:$F,MATCH(D152,BrokerTBL!$A:$A,0))</f>
        <v>60654</v>
      </c>
      <c r="K152" s="298" t="s">
        <v>1241</v>
      </c>
      <c r="L152" s="145" t="s">
        <v>1205</v>
      </c>
      <c r="M152" s="146">
        <v>42311</v>
      </c>
      <c r="N152" s="144" t="s">
        <v>1242</v>
      </c>
      <c r="O152" s="298" t="s">
        <v>1243</v>
      </c>
      <c r="P152" s="298" t="s">
        <v>1114</v>
      </c>
      <c r="Q152" s="298" t="s">
        <v>139</v>
      </c>
      <c r="R152" s="298">
        <v>91761</v>
      </c>
      <c r="S152" s="298" t="s">
        <v>118</v>
      </c>
      <c r="T152" s="298" t="s">
        <v>136</v>
      </c>
      <c r="U152" s="298" t="s">
        <v>120</v>
      </c>
      <c r="V152" s="298">
        <v>53</v>
      </c>
      <c r="W152" s="298" t="s">
        <v>136</v>
      </c>
      <c r="X152" s="144" t="s">
        <v>136</v>
      </c>
      <c r="Y152" s="298" t="s">
        <v>123</v>
      </c>
      <c r="Z152" s="298" t="s">
        <v>123</v>
      </c>
      <c r="AA152" s="298" t="s">
        <v>123</v>
      </c>
      <c r="AB152" s="298" t="s">
        <v>123</v>
      </c>
      <c r="AC152" s="298" t="s">
        <v>1244</v>
      </c>
      <c r="AD152" s="145" t="s">
        <v>132</v>
      </c>
      <c r="AE152" s="146" t="s">
        <v>1245</v>
      </c>
      <c r="AF152" s="298" t="s">
        <v>1246</v>
      </c>
      <c r="AG152" s="298" t="s">
        <v>1247</v>
      </c>
      <c r="AH152" s="298" t="s">
        <v>228</v>
      </c>
      <c r="AI152" s="298" t="s">
        <v>139</v>
      </c>
      <c r="AJ152" s="298">
        <v>94544</v>
      </c>
      <c r="AK152" s="298" t="s">
        <v>118</v>
      </c>
      <c r="AL152" s="298" t="s">
        <v>123</v>
      </c>
      <c r="AM152" s="142" t="str">
        <f>INDEX(CarrierDriverTBL!$B:$B,MATCH(Table1[[#This Row],[DriverID]],CarrierDriverTBL!$A:$A,0))</f>
        <v>UBTrucking</v>
      </c>
      <c r="AN152" s="10" t="s">
        <v>948</v>
      </c>
      <c r="AO152" s="10" t="str">
        <f>INDEX(CarrierDriverTBL!$C:$C,MATCH(Table1[[#This Row],[DriverID]],CarrierDriverTBL!$A:$A,0))</f>
        <v>Wesley</v>
      </c>
      <c r="AP152" s="10" t="str">
        <f>INDEX(CarrierDriverTBL!$D:$D,MATCH(Table1[[#This Row],[DriverID]],CarrierDriverTBL!$A:$A,0))</f>
        <v>Cousain</v>
      </c>
      <c r="AQ152" s="10" t="str">
        <f>INDEX(CarrierDriverTBL!$X:$X,MATCH(Table1[[#This Row],[DriverID]],CarrierDriverTBL!$A:$A,0))</f>
        <v>D4903588</v>
      </c>
      <c r="AR152" s="11">
        <f>INDEX(CarrierDriverTBL!$Y:$Y,MATCH(Table1[[#This Row],[DriverID]],CarrierDriverTBL!$A:$A,0))</f>
        <v>43458</v>
      </c>
      <c r="AS152" s="142" t="str">
        <f t="shared" si="67"/>
        <v>GOOD</v>
      </c>
      <c r="AT152" s="11">
        <f>INDEX(CarrierDriverTBL!$E:$E,MATCH(Table1[[#This Row],[DriverID]],CarrierDriverTBL!$A:$A,0))</f>
        <v>31405</v>
      </c>
      <c r="AU152" s="163">
        <f ca="1">INDEX(CarrierDriverTBL!$F:$F,MATCH(Table1[[#This Row],[DriverID]],CarrierDriverTBL!$A:$A,0))</f>
        <v>30.605479452054794</v>
      </c>
      <c r="AV152" s="10" t="str">
        <f>INDEX(CarrierDriverTBL!$K:$K,MATCH(Table1[[#This Row],[DriverID]],CarrierDriverTBL!$A:$A,0))</f>
        <v>925-383-5364</v>
      </c>
      <c r="AW152" s="10" t="str">
        <f>INDEX(CarrierDriverTBL!$M:$M,MATCH(Table1[[#This Row],[DriverID]],CarrierDriverTBL!$A:$A,0))</f>
        <v>110 Cordova Ln</v>
      </c>
      <c r="AX152" s="10" t="str">
        <f>INDEX(CarrierDriverTBL!$N:$N,MATCH(Table1[[#This Row],[DriverID]],CarrierDriverTBL!$A:$A,0))</f>
        <v>Stockton</v>
      </c>
      <c r="AY152" s="10" t="str">
        <f>INDEX(CarrierDriverTBL!$O:$O,MATCH(Table1[[#This Row],[DriverID]],CarrierDriverTBL!$A:$A,0))</f>
        <v>CA</v>
      </c>
      <c r="AZ152" s="10">
        <f>INDEX(CarrierDriverTBL!$P:$P,MATCH(Table1[[#This Row],[DriverID]],CarrierDriverTBL!$A:$A,0))</f>
        <v>95207</v>
      </c>
      <c r="BA152" s="10" t="str">
        <f>INDEX(CarrierDriverTBL!$Q:$Q,MATCH(Table1[[#This Row],[DriverID]],CarrierDriverTBL!$A:$A,0))</f>
        <v>US</v>
      </c>
      <c r="BB152" s="173" t="str">
        <f>INDEX(CarrierDriverTBL!$R:$R,MATCH(Table1[[#This Row],[DriverID]],CarrierDriverTBL!$A:$A,0))</f>
        <v>wesleycousain1@gmail.com</v>
      </c>
      <c r="BC152" s="160">
        <f>INDEX(CarrierDriverTBL!$AB:$AB,MATCH(Table1[[#This Row],[DriverID]],CarrierDriverTBL!$A:$A,0))</f>
        <v>42271</v>
      </c>
      <c r="BD152" s="142" t="str">
        <f ca="1">INDEX(CarrierDriverTBL!$AD:$AD,MATCH(LoadMaster!$AN:$AN,CarrierDriverTBL!$A:$A,0))</f>
        <v>MISSING</v>
      </c>
      <c r="BE152" s="142">
        <f>INDEX(CarrierDriverTBL!$AE:$AE,MATCH(Table1[DriverID],CarrierDriverTBL!$A:$A,0))</f>
        <v>913971</v>
      </c>
      <c r="BF152" s="142">
        <f>INDEX(CarrierDriverTBL!$AF:$AF,MATCH(Table1[DriverID],CarrierDriverTBL!$A:$A,0))</f>
        <v>2627544</v>
      </c>
      <c r="BG152" s="142">
        <f>INDEX(CarrierDriverTBL!$AG:$AG,MATCH(Table1[DriverID],CarrierDriverTBL!$A:$A,0))</f>
        <v>466133</v>
      </c>
      <c r="BH152" s="142" t="str">
        <f>INDEX(CarrierDriverTBL!$AH:$AH,MATCH(Table1[DriverID],CarrierDriverTBL!$A:$A,0))</f>
        <v>GM Lawrence Ins</v>
      </c>
      <c r="BI152" s="142" t="str">
        <f>INDEX(CarrierDriverTBL!$AI:$AI,MATCH(Table1[DriverID],CarrierDriverTBL!$A:$A,0))</f>
        <v>DSK2842P160210</v>
      </c>
      <c r="BJ152" s="160">
        <f>INDEX(CarrierDriverTBL!$AJ:$AJ,MATCH(Table1[[#This Row],[DriverID]],CarrierDriverTBL!$A:$A,0))</f>
        <v>42778</v>
      </c>
      <c r="BK152" s="10">
        <f t="shared" si="68"/>
        <v>467</v>
      </c>
      <c r="BL152" s="174">
        <v>825</v>
      </c>
      <c r="BM152" s="144">
        <v>406</v>
      </c>
      <c r="BN152" s="159">
        <f t="shared" si="85"/>
        <v>2.0320197044334973</v>
      </c>
      <c r="BO152" s="167">
        <f>0.93*825</f>
        <v>767.25</v>
      </c>
      <c r="BP152" s="159">
        <f t="shared" si="86"/>
        <v>1.8897783251231528</v>
      </c>
      <c r="BQ152" s="133">
        <v>2.7989999999999999</v>
      </c>
      <c r="BR152" s="166">
        <f t="shared" si="87"/>
        <v>0.14983333333333335</v>
      </c>
      <c r="BS152" s="167">
        <f t="shared" si="69"/>
        <v>1.7399449917898195</v>
      </c>
      <c r="BT152" s="159">
        <f t="shared" si="70"/>
        <v>60.832333333333338</v>
      </c>
      <c r="BU152" s="10" t="str">
        <f t="shared" si="71"/>
        <v>Ch Robinson</v>
      </c>
      <c r="BV152" s="4"/>
      <c r="BW152" s="4" t="str">
        <f>Table1[[#This Row],[BrokerAddress]]</f>
        <v>P.O. Box 3474</v>
      </c>
      <c r="BX152" s="4" t="str">
        <f t="shared" si="72"/>
        <v>Chicago</v>
      </c>
      <c r="BY152" s="4" t="str">
        <f t="shared" si="73"/>
        <v>Il</v>
      </c>
      <c r="BZ152" s="4">
        <f t="shared" si="74"/>
        <v>60654</v>
      </c>
      <c r="CA152" s="10" t="str">
        <f t="shared" si="75"/>
        <v>US</v>
      </c>
      <c r="CB152" s="15" t="s">
        <v>131</v>
      </c>
      <c r="CC152" s="62"/>
      <c r="CD152" s="15" t="s">
        <v>132</v>
      </c>
      <c r="CE152" s="64">
        <v>0</v>
      </c>
      <c r="CF152" s="4">
        <v>0</v>
      </c>
      <c r="CG152" s="132">
        <f t="shared" si="76"/>
        <v>0</v>
      </c>
      <c r="CH152" s="4" t="s">
        <v>132</v>
      </c>
      <c r="CI152" s="5">
        <v>0</v>
      </c>
      <c r="CJ152" s="4">
        <v>0</v>
      </c>
      <c r="CK152" s="132">
        <f t="shared" si="77"/>
        <v>0</v>
      </c>
      <c r="CL152" s="4" t="s">
        <v>132</v>
      </c>
      <c r="CM152" s="5">
        <v>0</v>
      </c>
      <c r="CN152" s="4">
        <v>0</v>
      </c>
      <c r="CO152" s="132">
        <f t="shared" si="78"/>
        <v>0</v>
      </c>
      <c r="CP152" s="4" t="s">
        <v>132</v>
      </c>
      <c r="CQ152" s="5">
        <v>0</v>
      </c>
      <c r="CR152" s="4">
        <v>0</v>
      </c>
      <c r="CS152" s="132">
        <f t="shared" si="79"/>
        <v>0</v>
      </c>
      <c r="CT152" s="159">
        <f t="shared" si="80"/>
        <v>0</v>
      </c>
      <c r="CU152" s="168">
        <f t="shared" si="81"/>
        <v>825</v>
      </c>
      <c r="CV152" s="183">
        <f t="shared" si="65"/>
        <v>0</v>
      </c>
      <c r="CW152" s="82">
        <f t="shared" si="64"/>
        <v>767.25</v>
      </c>
      <c r="CX152" s="79">
        <f>IF(ISBLANK(E152),"AddQuickPay",IF(E152=2,CU152*0.98,IF(E152=2.4,CU152*0.976,IF(E152=3,CU152*0.97,IF(E152=5,CU152*0.95,IF(E152=1.5,CU152*0.985,IF(E152=2.5,CU152*0.975,IF(E152=1.3,CU152*0.987,IF(E152=1,CU152*0.99,IF(E152=4,CU152*0.96,CU152*1))))))))))-Table1[[#This Row],[ComCheck+QuickPayFee]]</f>
        <v>808.5</v>
      </c>
      <c r="CY152" s="5">
        <f t="shared" si="82"/>
        <v>57.75</v>
      </c>
      <c r="CZ152" s="5">
        <f t="shared" si="83"/>
        <v>16.5</v>
      </c>
      <c r="DA152" s="258">
        <f>Table1[[#This Row],[OriginalDispatch]]-Table1[[#This Row],[QuickPayCharge]]</f>
        <v>41.25</v>
      </c>
      <c r="DB152" s="5">
        <v>0</v>
      </c>
      <c r="DC152" s="5" t="s">
        <v>133</v>
      </c>
      <c r="DD152" s="104">
        <f t="shared" si="84"/>
        <v>42314</v>
      </c>
      <c r="DE152" s="15">
        <f>MONTH(Table1[[#This Row],[Weekending]])</f>
        <v>11</v>
      </c>
      <c r="DF152" s="15">
        <f>YEAR(Table1[[#This Row],[Weekending]])</f>
        <v>2015</v>
      </c>
      <c r="DG152" s="4"/>
    </row>
    <row r="153" spans="1:111">
      <c r="A153" s="20" t="str">
        <f t="shared" si="66"/>
        <v>70252549</v>
      </c>
      <c r="B153" s="146">
        <v>42312</v>
      </c>
      <c r="C153" s="144">
        <v>185415770</v>
      </c>
      <c r="D153" s="298" t="s">
        <v>111</v>
      </c>
      <c r="E153" s="298">
        <v>2</v>
      </c>
      <c r="F153" s="142" t="str">
        <f>INDEX(BrokerTBL!$B:$B,MATCH(D153,BrokerTBL!$A:$A,0))</f>
        <v>P.O. Box 3474</v>
      </c>
      <c r="G153" s="142" t="str">
        <f>INDEX(BrokerTBL!$C:$C,MATCH(D153,BrokerTBL!$A:$A,0))</f>
        <v>Chicago</v>
      </c>
      <c r="H153" s="142" t="str">
        <f>INDEX(BrokerTBL!$D:$D,MATCH(D153,BrokerTBL!$A:$A,0))</f>
        <v>Il</v>
      </c>
      <c r="I153" s="142" t="str">
        <f>INDEX(BrokerTBL!$E:$E,MATCH(D153,BrokerTBL!$A:$A,0))</f>
        <v>US</v>
      </c>
      <c r="J153" s="142">
        <f>INDEX(BrokerTBL!$F:$F,MATCH(D153,BrokerTBL!$A:$A,0))</f>
        <v>60654</v>
      </c>
      <c r="K153" s="298" t="s">
        <v>1248</v>
      </c>
      <c r="L153" s="145" t="s">
        <v>1249</v>
      </c>
      <c r="M153" s="146">
        <v>42312</v>
      </c>
      <c r="N153" s="162" t="s">
        <v>136</v>
      </c>
      <c r="O153" s="298" t="s">
        <v>1250</v>
      </c>
      <c r="P153" s="298" t="s">
        <v>411</v>
      </c>
      <c r="Q153" s="298" t="s">
        <v>139</v>
      </c>
      <c r="R153" s="298">
        <v>95020</v>
      </c>
      <c r="S153" s="298" t="s">
        <v>118</v>
      </c>
      <c r="T153" s="298" t="s">
        <v>136</v>
      </c>
      <c r="U153" s="298" t="s">
        <v>120</v>
      </c>
      <c r="V153" s="298">
        <v>53</v>
      </c>
      <c r="W153" s="298" t="s">
        <v>1251</v>
      </c>
      <c r="X153" s="144">
        <v>40000</v>
      </c>
      <c r="Y153" s="298" t="s">
        <v>123</v>
      </c>
      <c r="Z153" s="298" t="s">
        <v>123</v>
      </c>
      <c r="AA153" s="298" t="s">
        <v>123</v>
      </c>
      <c r="AB153" s="298" t="s">
        <v>123</v>
      </c>
      <c r="AC153" s="298" t="s">
        <v>1252</v>
      </c>
      <c r="AD153" s="145" t="s">
        <v>1249</v>
      </c>
      <c r="AE153" s="146">
        <v>42313</v>
      </c>
      <c r="AF153" s="416" t="s">
        <v>123</v>
      </c>
      <c r="AG153" s="298" t="s">
        <v>1253</v>
      </c>
      <c r="AH153" s="298" t="s">
        <v>366</v>
      </c>
      <c r="AI153" s="298" t="s">
        <v>139</v>
      </c>
      <c r="AJ153" s="298">
        <v>95776</v>
      </c>
      <c r="AK153" s="298" t="s">
        <v>118</v>
      </c>
      <c r="AL153" s="298" t="s">
        <v>123</v>
      </c>
      <c r="AM153" s="142" t="str">
        <f>INDEX(CarrierDriverTBL!$B:$B,MATCH(Table1[[#This Row],[DriverID]],CarrierDriverTBL!$A:$A,0))</f>
        <v>UBTrucking</v>
      </c>
      <c r="AN153" s="10" t="s">
        <v>192</v>
      </c>
      <c r="AO153" s="10" t="str">
        <f>INDEX(CarrierDriverTBL!$C:$C,MATCH(Table1[[#This Row],[DriverID]],CarrierDriverTBL!$A:$A,0))</f>
        <v>Albel</v>
      </c>
      <c r="AP153" s="142" t="str">
        <f>INDEX(CarrierDriverTBL!$D:$D,MATCH(Table1[[#This Row],[DriverID]],CarrierDriverTBL!$A:$A,0))</f>
        <v>Chahil</v>
      </c>
      <c r="AQ153" s="142" t="str">
        <f>INDEX(CarrierDriverTBL!$X:$X,MATCH(Table1[[#This Row],[DriverID]],CarrierDriverTBL!$A:$A,0))</f>
        <v>A8390649</v>
      </c>
      <c r="AR153" s="160">
        <f>INDEX(CarrierDriverTBL!$Y:$Y,MATCH(Table1[[#This Row],[DriverID]],CarrierDriverTBL!$A:$A,0))</f>
        <v>42402</v>
      </c>
      <c r="AS153" s="142" t="str">
        <f t="shared" si="67"/>
        <v>GOOD</v>
      </c>
      <c r="AT153" s="160">
        <f>INDEX(CarrierDriverTBL!$E:$E,MATCH(Table1[[#This Row],[DriverID]],CarrierDriverTBL!$A:$A,0))</f>
        <v>22314</v>
      </c>
      <c r="AU153" s="163">
        <f ca="1">INDEX(CarrierDriverTBL!$F:$F,MATCH(Table1[[#This Row],[DriverID]],CarrierDriverTBL!$A:$A,0))</f>
        <v>55.512328767123286</v>
      </c>
      <c r="AV153" s="142" t="str">
        <f>INDEX(CarrierDriverTBL!$K:$K,MATCH(Table1[[#This Row],[DriverID]],CarrierDriverTBL!$A:$A,0))</f>
        <v>510-773-9450</v>
      </c>
      <c r="AW153" s="142" t="str">
        <f>INDEX(CarrierDriverTBL!$M:$M,MATCH(Table1[[#This Row],[DriverID]],CarrierDriverTBL!$A:$A,0))</f>
        <v>3124 Cynthia CT</v>
      </c>
      <c r="AX153" s="142" t="str">
        <f>INDEX(CarrierDriverTBL!$N:$N,MATCH(Table1[[#This Row],[DriverID]],CarrierDriverTBL!$A:$A,0))</f>
        <v>Tracy</v>
      </c>
      <c r="AY153" s="142" t="str">
        <f>INDEX(CarrierDriverTBL!$O:$O,MATCH(Table1[[#This Row],[DriverID]],CarrierDriverTBL!$A:$A,0))</f>
        <v>CA</v>
      </c>
      <c r="AZ153" s="142">
        <f>INDEX(CarrierDriverTBL!$P:$P,MATCH(Table1[[#This Row],[DriverID]],CarrierDriverTBL!$A:$A,0))</f>
        <v>95377</v>
      </c>
      <c r="BA153" s="142" t="str">
        <f>INDEX(CarrierDriverTBL!$Q:$Q,MATCH(Table1[[#This Row],[DriverID]],CarrierDriverTBL!$A:$A,0))</f>
        <v>US</v>
      </c>
      <c r="BB153" s="176" t="str">
        <f>INDEX(CarrierDriverTBL!$R:$R,MATCH(Table1[[#This Row],[DriverID]],CarrierDriverTBL!$A:$A,0))</f>
        <v>ubgollc@gmail.com</v>
      </c>
      <c r="BC153" s="160">
        <f>INDEX(CarrierDriverTBL!$AB:$AB,MATCH(Table1[[#This Row],[DriverID]],CarrierDriverTBL!$A:$A,0))</f>
        <v>42167</v>
      </c>
      <c r="BD153" s="142" t="str">
        <f ca="1">INDEX(CarrierDriverTBL!$AD:$AD,MATCH(LoadMaster!$AN:$AN,CarrierDriverTBL!$A:$A,0))</f>
        <v>MISSING</v>
      </c>
      <c r="BE153" s="142">
        <f>INDEX(CarrierDriverTBL!$AE:$AE,MATCH(Table1[DriverID],CarrierDriverTBL!$A:$A,0))</f>
        <v>913971</v>
      </c>
      <c r="BF153" s="142">
        <f>INDEX(CarrierDriverTBL!$AF:$AF,MATCH(Table1[DriverID],CarrierDriverTBL!$A:$A,0))</f>
        <v>2627544</v>
      </c>
      <c r="BG153" s="142">
        <f>INDEX(CarrierDriverTBL!$AG:$AG,MATCH(Table1[DriverID],CarrierDriverTBL!$A:$A,0))</f>
        <v>466133</v>
      </c>
      <c r="BH153" s="142" t="str">
        <f>INDEX(CarrierDriverTBL!$AH:$AH,MATCH(Table1[DriverID],CarrierDriverTBL!$A:$A,0))</f>
        <v>GM Lawrence Ins</v>
      </c>
      <c r="BI153" s="142" t="str">
        <f>INDEX(CarrierDriverTBL!$AI:$AI,MATCH(Table1[DriverID],CarrierDriverTBL!$A:$A,0))</f>
        <v>DSK2842P160210</v>
      </c>
      <c r="BJ153" s="160">
        <f>INDEX(CarrierDriverTBL!$AJ:$AJ,MATCH(Table1[[#This Row],[DriverID]],CarrierDriverTBL!$A:$A,0))</f>
        <v>42778</v>
      </c>
      <c r="BK153" s="10">
        <f t="shared" si="68"/>
        <v>466</v>
      </c>
      <c r="BL153" s="174">
        <v>400</v>
      </c>
      <c r="BM153" s="144">
        <v>150</v>
      </c>
      <c r="BN153" s="159">
        <f t="shared" si="85"/>
        <v>2.6666666666666665</v>
      </c>
      <c r="BO153" s="167">
        <v>350</v>
      </c>
      <c r="BP153" s="159">
        <f t="shared" si="86"/>
        <v>2.3333333333333335</v>
      </c>
      <c r="BQ153" s="133">
        <v>2.7989999999999999</v>
      </c>
      <c r="BR153" s="166">
        <f t="shared" si="87"/>
        <v>0.14983333333333335</v>
      </c>
      <c r="BS153" s="167">
        <f t="shared" si="69"/>
        <v>2.1835</v>
      </c>
      <c r="BT153" s="159">
        <f t="shared" si="70"/>
        <v>22.475000000000001</v>
      </c>
      <c r="BU153" s="10" t="str">
        <f t="shared" si="71"/>
        <v>Ch Robinson</v>
      </c>
      <c r="BV153" s="4"/>
      <c r="BW153" s="4" t="str">
        <f>Table1[[#This Row],[BrokerAddress]]</f>
        <v>P.O. Box 3474</v>
      </c>
      <c r="BX153" s="4" t="str">
        <f t="shared" si="72"/>
        <v>Chicago</v>
      </c>
      <c r="BY153" s="4" t="str">
        <f t="shared" si="73"/>
        <v>Il</v>
      </c>
      <c r="BZ153" s="4">
        <f t="shared" si="74"/>
        <v>60654</v>
      </c>
      <c r="CA153" s="10" t="str">
        <f t="shared" si="75"/>
        <v>US</v>
      </c>
      <c r="CB153" s="15" t="s">
        <v>131</v>
      </c>
      <c r="CC153" s="62"/>
      <c r="CD153" s="15" t="s">
        <v>132</v>
      </c>
      <c r="CE153" s="64">
        <v>0</v>
      </c>
      <c r="CF153" s="4">
        <v>0</v>
      </c>
      <c r="CG153" s="132">
        <f t="shared" si="76"/>
        <v>0</v>
      </c>
      <c r="CH153" s="4" t="s">
        <v>132</v>
      </c>
      <c r="CI153" s="5">
        <v>0</v>
      </c>
      <c r="CJ153" s="4">
        <v>0</v>
      </c>
      <c r="CK153" s="132">
        <f t="shared" si="77"/>
        <v>0</v>
      </c>
      <c r="CL153" s="4" t="s">
        <v>132</v>
      </c>
      <c r="CM153" s="5">
        <v>0</v>
      </c>
      <c r="CN153" s="4">
        <v>0</v>
      </c>
      <c r="CO153" s="132">
        <f t="shared" si="78"/>
        <v>0</v>
      </c>
      <c r="CP153" s="4" t="s">
        <v>132</v>
      </c>
      <c r="CQ153" s="5">
        <v>0</v>
      </c>
      <c r="CR153" s="4">
        <v>0</v>
      </c>
      <c r="CS153" s="132">
        <f t="shared" si="79"/>
        <v>0</v>
      </c>
      <c r="CT153" s="159">
        <f t="shared" si="80"/>
        <v>0</v>
      </c>
      <c r="CU153" s="168">
        <f t="shared" si="81"/>
        <v>400</v>
      </c>
      <c r="CV153" s="183">
        <f t="shared" si="65"/>
        <v>0</v>
      </c>
      <c r="CW153" s="82">
        <f t="shared" si="64"/>
        <v>350</v>
      </c>
      <c r="CX153" s="79">
        <f>IF(ISBLANK(E153),"AddQuickPay",IF(E153=2,CU153*0.98,IF(E153=2.4,CU153*0.976,IF(E153=3,CU153*0.97,IF(E153=5,CU153*0.95,IF(E153=1.5,CU153*0.985,IF(E153=2.5,CU153*0.975,IF(E153=1.3,CU153*0.987,IF(E153=1,CU153*0.99,IF(E153=4,CU153*0.96,CU153*1))))))))))-Table1[[#This Row],[ComCheck+QuickPayFee]]</f>
        <v>392</v>
      </c>
      <c r="CY153" s="5">
        <f t="shared" si="82"/>
        <v>50</v>
      </c>
      <c r="CZ153" s="5">
        <f t="shared" si="83"/>
        <v>8</v>
      </c>
      <c r="DA153" s="258">
        <f>Table1[[#This Row],[OriginalDispatch]]-Table1[[#This Row],[QuickPayCharge]]</f>
        <v>42</v>
      </c>
      <c r="DB153" s="5">
        <v>0</v>
      </c>
      <c r="DC153" s="5" t="s">
        <v>133</v>
      </c>
      <c r="DD153" s="104">
        <f t="shared" si="84"/>
        <v>42314</v>
      </c>
      <c r="DE153" s="15">
        <f>MONTH(Table1[[#This Row],[Weekending]])</f>
        <v>11</v>
      </c>
      <c r="DF153" s="15">
        <f>YEAR(Table1[[#This Row],[Weekending]])</f>
        <v>2015</v>
      </c>
      <c r="DG153" s="4"/>
    </row>
    <row r="154" spans="1:111">
      <c r="A154" s="20" t="str">
        <f t="shared" si="66"/>
        <v>93nkne88</v>
      </c>
      <c r="B154" s="146">
        <v>42312</v>
      </c>
      <c r="C154" s="144">
        <v>6239293</v>
      </c>
      <c r="D154" s="298" t="s">
        <v>555</v>
      </c>
      <c r="E154" s="298">
        <v>3</v>
      </c>
      <c r="F154" s="298" t="str">
        <f>INDEX(BrokerTBL!$B:$B,MATCH(D154,BrokerTBL!$A:$A,0))</f>
        <v>P.O. Box 799</v>
      </c>
      <c r="G154" s="298" t="str">
        <f>INDEX(BrokerTBL!$C:$C,MATCH(D154,BrokerTBL!$A:$A,0))</f>
        <v>Milford</v>
      </c>
      <c r="H154" s="298" t="str">
        <f>INDEX(BrokerTBL!$D:$D,MATCH(D154,BrokerTBL!$A:$A,0))</f>
        <v>Ohio</v>
      </c>
      <c r="I154" s="298" t="str">
        <f>INDEX(BrokerTBL!$E:$E,MATCH(D154,BrokerTBL!$A:$A,0))</f>
        <v>US</v>
      </c>
      <c r="J154" s="298">
        <f>INDEX(BrokerTBL!$F:$F,MATCH(D154,BrokerTBL!$A:$A,0))</f>
        <v>45150</v>
      </c>
      <c r="K154" s="298" t="s">
        <v>1254</v>
      </c>
      <c r="L154" s="145" t="s">
        <v>1179</v>
      </c>
      <c r="M154" s="146">
        <v>42312</v>
      </c>
      <c r="N154" s="144" t="s">
        <v>1255</v>
      </c>
      <c r="O154" s="298" t="s">
        <v>1256</v>
      </c>
      <c r="P154" s="298" t="s">
        <v>1257</v>
      </c>
      <c r="Q154" s="298" t="s">
        <v>139</v>
      </c>
      <c r="R154" s="298">
        <v>94931</v>
      </c>
      <c r="S154" s="298" t="s">
        <v>118</v>
      </c>
      <c r="T154" s="298" t="s">
        <v>1258</v>
      </c>
      <c r="U154" s="298" t="s">
        <v>120</v>
      </c>
      <c r="V154" s="298">
        <v>53</v>
      </c>
      <c r="W154" s="298" t="s">
        <v>1259</v>
      </c>
      <c r="X154" s="144" t="s">
        <v>136</v>
      </c>
      <c r="Y154" s="298" t="s">
        <v>123</v>
      </c>
      <c r="Z154" s="298" t="s">
        <v>123</v>
      </c>
      <c r="AA154" s="298" t="s">
        <v>123</v>
      </c>
      <c r="AB154" s="298" t="s">
        <v>123</v>
      </c>
      <c r="AC154" s="298" t="s">
        <v>1260</v>
      </c>
      <c r="AD154" s="145" t="s">
        <v>132</v>
      </c>
      <c r="AE154" s="146">
        <v>42312</v>
      </c>
      <c r="AF154" s="298" t="s">
        <v>1261</v>
      </c>
      <c r="AG154" s="298" t="s">
        <v>1262</v>
      </c>
      <c r="AH154" s="298" t="s">
        <v>380</v>
      </c>
      <c r="AI154" s="298" t="s">
        <v>139</v>
      </c>
      <c r="AJ154" s="298">
        <v>95377</v>
      </c>
      <c r="AK154" s="298" t="s">
        <v>118</v>
      </c>
      <c r="AL154" s="298" t="s">
        <v>123</v>
      </c>
      <c r="AM154" s="142" t="str">
        <f>INDEX(CarrierDriverTBL!$B:$B,MATCH(Table1[[#This Row],[DriverID]],CarrierDriverTBL!$A:$A,0))</f>
        <v>UBTrucking</v>
      </c>
      <c r="AN154" s="10" t="s">
        <v>948</v>
      </c>
      <c r="AO154" s="10" t="str">
        <f>INDEX(CarrierDriverTBL!$C:$C,MATCH(Table1[[#This Row],[DriverID]],CarrierDriverTBL!$A:$A,0))</f>
        <v>Wesley</v>
      </c>
      <c r="AP154" s="10" t="str">
        <f>INDEX(CarrierDriverTBL!$D:$D,MATCH(Table1[[#This Row],[DriverID]],CarrierDriverTBL!$A:$A,0))</f>
        <v>Cousain</v>
      </c>
      <c r="AQ154" s="10" t="str">
        <f>INDEX(CarrierDriverTBL!$X:$X,MATCH(Table1[[#This Row],[DriverID]],CarrierDriverTBL!$A:$A,0))</f>
        <v>D4903588</v>
      </c>
      <c r="AR154" s="11">
        <f>INDEX(CarrierDriverTBL!$Y:$Y,MATCH(Table1[[#This Row],[DriverID]],CarrierDriverTBL!$A:$A,0))</f>
        <v>43458</v>
      </c>
      <c r="AS154" s="142" t="str">
        <f t="shared" si="67"/>
        <v>GOOD</v>
      </c>
      <c r="AT154" s="11">
        <f>INDEX(CarrierDriverTBL!$E:$E,MATCH(Table1[[#This Row],[DriverID]],CarrierDriverTBL!$A:$A,0))</f>
        <v>31405</v>
      </c>
      <c r="AU154" s="163">
        <f ca="1">INDEX(CarrierDriverTBL!$F:$F,MATCH(Table1[[#This Row],[DriverID]],CarrierDriverTBL!$A:$A,0))</f>
        <v>30.605479452054794</v>
      </c>
      <c r="AV154" s="10" t="str">
        <f>INDEX(CarrierDriverTBL!$K:$K,MATCH(Table1[[#This Row],[DriverID]],CarrierDriverTBL!$A:$A,0))</f>
        <v>925-383-5364</v>
      </c>
      <c r="AW154" s="10" t="str">
        <f>INDEX(CarrierDriverTBL!$M:$M,MATCH(Table1[[#This Row],[DriverID]],CarrierDriverTBL!$A:$A,0))</f>
        <v>110 Cordova Ln</v>
      </c>
      <c r="AX154" s="10" t="str">
        <f>INDEX(CarrierDriverTBL!$N:$N,MATCH(Table1[[#This Row],[DriverID]],CarrierDriverTBL!$A:$A,0))</f>
        <v>Stockton</v>
      </c>
      <c r="AY154" s="10" t="str">
        <f>INDEX(CarrierDriverTBL!$O:$O,MATCH(Table1[[#This Row],[DriverID]],CarrierDriverTBL!$A:$A,0))</f>
        <v>CA</v>
      </c>
      <c r="AZ154" s="10">
        <f>INDEX(CarrierDriverTBL!$P:$P,MATCH(Table1[[#This Row],[DriverID]],CarrierDriverTBL!$A:$A,0))</f>
        <v>95207</v>
      </c>
      <c r="BA154" s="10" t="str">
        <f>INDEX(CarrierDriverTBL!$Q:$Q,MATCH(Table1[[#This Row],[DriverID]],CarrierDriverTBL!$A:$A,0))</f>
        <v>US</v>
      </c>
      <c r="BB154" s="173" t="str">
        <f>INDEX(CarrierDriverTBL!$R:$R,MATCH(Table1[[#This Row],[DriverID]],CarrierDriverTBL!$A:$A,0))</f>
        <v>wesleycousain1@gmail.com</v>
      </c>
      <c r="BC154" s="160">
        <f>INDEX(CarrierDriverTBL!$AB:$AB,MATCH(Table1[[#This Row],[DriverID]],CarrierDriverTBL!$A:$A,0))</f>
        <v>42271</v>
      </c>
      <c r="BD154" s="142" t="str">
        <f ca="1">INDEX(CarrierDriverTBL!$AD:$AD,MATCH(LoadMaster!$AN:$AN,CarrierDriverTBL!$A:$A,0))</f>
        <v>MISSING</v>
      </c>
      <c r="BE154" s="142">
        <f>INDEX(CarrierDriverTBL!$AE:$AE,MATCH(Table1[DriverID],CarrierDriverTBL!$A:$A,0))</f>
        <v>913971</v>
      </c>
      <c r="BF154" s="142">
        <f>INDEX(CarrierDriverTBL!$AF:$AF,MATCH(Table1[DriverID],CarrierDriverTBL!$A:$A,0))</f>
        <v>2627544</v>
      </c>
      <c r="BG154" s="142">
        <f>INDEX(CarrierDriverTBL!$AG:$AG,MATCH(Table1[DriverID],CarrierDriverTBL!$A:$A,0))</f>
        <v>466133</v>
      </c>
      <c r="BH154" s="142" t="str">
        <f>INDEX(CarrierDriverTBL!$AH:$AH,MATCH(Table1[DriverID],CarrierDriverTBL!$A:$A,0))</f>
        <v>GM Lawrence Ins</v>
      </c>
      <c r="BI154" s="142" t="str">
        <f>INDEX(CarrierDriverTBL!$AI:$AI,MATCH(Table1[DriverID],CarrierDriverTBL!$A:$A,0))</f>
        <v>DSK2842P160210</v>
      </c>
      <c r="BJ154" s="160">
        <f>INDEX(CarrierDriverTBL!$AJ:$AJ,MATCH(Table1[[#This Row],[DriverID]],CarrierDriverTBL!$A:$A,0))</f>
        <v>42778</v>
      </c>
      <c r="BK154" s="10">
        <f t="shared" si="68"/>
        <v>466</v>
      </c>
      <c r="BL154" s="174">
        <v>450</v>
      </c>
      <c r="BM154" s="144">
        <v>100</v>
      </c>
      <c r="BN154" s="159">
        <f t="shared" si="85"/>
        <v>4.5</v>
      </c>
      <c r="BO154" s="167">
        <f>0.93*450</f>
        <v>418.5</v>
      </c>
      <c r="BP154" s="159">
        <f t="shared" si="86"/>
        <v>4.1849999999999996</v>
      </c>
      <c r="BQ154" s="133">
        <v>2.7989999999999999</v>
      </c>
      <c r="BR154" s="166">
        <f t="shared" si="87"/>
        <v>0.14983333333333335</v>
      </c>
      <c r="BS154" s="167">
        <f t="shared" si="69"/>
        <v>4.0351666666666661</v>
      </c>
      <c r="BT154" s="159">
        <f t="shared" si="70"/>
        <v>14.983333333333334</v>
      </c>
      <c r="BU154" s="10" t="str">
        <f t="shared" si="71"/>
        <v>Tql</v>
      </c>
      <c r="BV154" s="15"/>
      <c r="BW154" s="4" t="str">
        <f>Table1[[#This Row],[BrokerAddress]]</f>
        <v>P.O. Box 799</v>
      </c>
      <c r="BX154" s="4" t="str">
        <f t="shared" si="72"/>
        <v>Milford</v>
      </c>
      <c r="BY154" s="4" t="str">
        <f t="shared" si="73"/>
        <v>Ohio</v>
      </c>
      <c r="BZ154" s="4">
        <f t="shared" si="74"/>
        <v>45150</v>
      </c>
      <c r="CA154" s="10" t="str">
        <f t="shared" si="75"/>
        <v>US</v>
      </c>
      <c r="CB154" s="15" t="s">
        <v>131</v>
      </c>
      <c r="CC154" s="62"/>
      <c r="CD154" s="15" t="s">
        <v>132</v>
      </c>
      <c r="CE154" s="64">
        <v>0</v>
      </c>
      <c r="CF154" s="4">
        <v>0</v>
      </c>
      <c r="CG154" s="132">
        <f t="shared" si="76"/>
        <v>0</v>
      </c>
      <c r="CH154" s="4" t="s">
        <v>132</v>
      </c>
      <c r="CI154" s="5">
        <v>0</v>
      </c>
      <c r="CJ154" s="4">
        <v>0</v>
      </c>
      <c r="CK154" s="132">
        <f t="shared" si="77"/>
        <v>0</v>
      </c>
      <c r="CL154" s="4" t="s">
        <v>132</v>
      </c>
      <c r="CM154" s="5">
        <v>0</v>
      </c>
      <c r="CN154" s="4">
        <v>0</v>
      </c>
      <c r="CO154" s="132">
        <f t="shared" si="78"/>
        <v>0</v>
      </c>
      <c r="CP154" s="4" t="s">
        <v>132</v>
      </c>
      <c r="CQ154" s="5">
        <v>0</v>
      </c>
      <c r="CR154" s="4">
        <v>0</v>
      </c>
      <c r="CS154" s="132">
        <f t="shared" si="79"/>
        <v>0</v>
      </c>
      <c r="CT154" s="159">
        <f t="shared" si="80"/>
        <v>0</v>
      </c>
      <c r="CU154" s="168">
        <f t="shared" si="81"/>
        <v>450</v>
      </c>
      <c r="CV154" s="183">
        <f t="shared" si="65"/>
        <v>0</v>
      </c>
      <c r="CW154" s="82">
        <f t="shared" ref="CW154:CW185" si="88">BO154+CV154</f>
        <v>418.5</v>
      </c>
      <c r="CX154" s="79">
        <f>IF(ISBLANK(E154),"AddQuickPay",IF(E154=2,CU154*0.98,IF(E154=2.4,CU154*0.976,IF(E154=3,CU154*0.97,IF(E154=5,CU154*0.95,IF(E154=1.5,CU154*0.985,IF(E154=2.5,CU154*0.975,IF(E154=1.3,CU154*0.987,IF(E154=1,CU154*0.99,IF(E154=4,CU154*0.96,CU154*1))))))))))-Table1[[#This Row],[ComCheck+QuickPayFee]]</f>
        <v>436.5</v>
      </c>
      <c r="CY154" s="5">
        <f t="shared" si="82"/>
        <v>31.5</v>
      </c>
      <c r="CZ154" s="5">
        <f t="shared" si="83"/>
        <v>13.5</v>
      </c>
      <c r="DA154" s="258">
        <f>Table1[[#This Row],[OriginalDispatch]]-Table1[[#This Row],[QuickPayCharge]]</f>
        <v>18</v>
      </c>
      <c r="DB154" s="5">
        <v>0</v>
      </c>
      <c r="DC154" s="5" t="s">
        <v>133</v>
      </c>
      <c r="DD154" s="104">
        <f t="shared" si="84"/>
        <v>42314</v>
      </c>
      <c r="DE154" s="15">
        <f>MONTH(Table1[[#This Row],[Weekending]])</f>
        <v>11</v>
      </c>
      <c r="DF154" s="15">
        <f>YEAR(Table1[[#This Row],[Weekending]])</f>
        <v>2015</v>
      </c>
      <c r="DG154" s="4"/>
    </row>
    <row r="155" spans="1:111">
      <c r="A155" s="20" t="str">
        <f t="shared" si="66"/>
        <v>32Cane88</v>
      </c>
      <c r="B155" s="146">
        <v>42313</v>
      </c>
      <c r="C155" s="144">
        <v>185326732</v>
      </c>
      <c r="D155" s="298" t="s">
        <v>111</v>
      </c>
      <c r="E155" s="298">
        <v>2</v>
      </c>
      <c r="F155" s="142" t="str">
        <f>INDEX(BrokerTBL!$B:$B,MATCH(D155,BrokerTBL!$A:$A,0))</f>
        <v>P.O. Box 3474</v>
      </c>
      <c r="G155" s="142" t="str">
        <f>INDEX(BrokerTBL!$C:$C,MATCH(D155,BrokerTBL!$A:$A,0))</f>
        <v>Chicago</v>
      </c>
      <c r="H155" s="142" t="str">
        <f>INDEX(BrokerTBL!$D:$D,MATCH(D155,BrokerTBL!$A:$A,0))</f>
        <v>Il</v>
      </c>
      <c r="I155" s="142" t="str">
        <f>INDEX(BrokerTBL!$E:$E,MATCH(D155,BrokerTBL!$A:$A,0))</f>
        <v>US</v>
      </c>
      <c r="J155" s="142">
        <f>INDEX(BrokerTBL!$F:$F,MATCH(D155,BrokerTBL!$A:$A,0))</f>
        <v>60654</v>
      </c>
      <c r="K155" s="298" t="s">
        <v>1263</v>
      </c>
      <c r="L155" s="145" t="s">
        <v>1264</v>
      </c>
      <c r="M155" s="146">
        <v>42313</v>
      </c>
      <c r="N155" s="144" t="s">
        <v>1121</v>
      </c>
      <c r="O155" s="298" t="s">
        <v>1265</v>
      </c>
      <c r="P155" s="298" t="s">
        <v>395</v>
      </c>
      <c r="Q155" s="298" t="s">
        <v>139</v>
      </c>
      <c r="R155" s="298">
        <v>95358</v>
      </c>
      <c r="S155" s="298" t="s">
        <v>118</v>
      </c>
      <c r="T155" s="298" t="s">
        <v>136</v>
      </c>
      <c r="U155" s="298" t="s">
        <v>120</v>
      </c>
      <c r="V155" s="298">
        <v>53</v>
      </c>
      <c r="W155" s="298" t="s">
        <v>1266</v>
      </c>
      <c r="X155" s="144">
        <v>15000</v>
      </c>
      <c r="Y155" s="298" t="s">
        <v>26</v>
      </c>
      <c r="Z155" s="298" t="s">
        <v>123</v>
      </c>
      <c r="AA155" s="298">
        <v>52</v>
      </c>
      <c r="AB155" s="298" t="s">
        <v>123</v>
      </c>
      <c r="AC155" s="298" t="s">
        <v>1267</v>
      </c>
      <c r="AD155" s="145" t="s">
        <v>132</v>
      </c>
      <c r="AE155" s="146">
        <v>42313</v>
      </c>
      <c r="AF155" s="298" t="s">
        <v>1268</v>
      </c>
      <c r="AG155" s="298" t="s">
        <v>1269</v>
      </c>
      <c r="AH155" s="298" t="s">
        <v>1270</v>
      </c>
      <c r="AI155" s="298" t="s">
        <v>139</v>
      </c>
      <c r="AJ155" s="298">
        <v>93930</v>
      </c>
      <c r="AK155" s="298" t="s">
        <v>118</v>
      </c>
      <c r="AL155" s="298" t="s">
        <v>123</v>
      </c>
      <c r="AM155" s="142" t="str">
        <f>INDEX(CarrierDriverTBL!$B:$B,MATCH(Table1[[#This Row],[DriverID]],CarrierDriverTBL!$A:$A,0))</f>
        <v>UBTrucking</v>
      </c>
      <c r="AN155" s="10" t="s">
        <v>948</v>
      </c>
      <c r="AO155" s="10" t="str">
        <f>INDEX(CarrierDriverTBL!$C:$C,MATCH(Table1[[#This Row],[DriverID]],CarrierDriverTBL!$A:$A,0))</f>
        <v>Wesley</v>
      </c>
      <c r="AP155" s="10" t="str">
        <f>INDEX(CarrierDriverTBL!$D:$D,MATCH(Table1[[#This Row],[DriverID]],CarrierDriverTBL!$A:$A,0))</f>
        <v>Cousain</v>
      </c>
      <c r="AQ155" s="10" t="str">
        <f>INDEX(CarrierDriverTBL!$X:$X,MATCH(Table1[[#This Row],[DriverID]],CarrierDriverTBL!$A:$A,0))</f>
        <v>D4903588</v>
      </c>
      <c r="AR155" s="11">
        <f>INDEX(CarrierDriverTBL!$Y:$Y,MATCH(Table1[[#This Row],[DriverID]],CarrierDriverTBL!$A:$A,0))</f>
        <v>43458</v>
      </c>
      <c r="AS155" s="142" t="str">
        <f t="shared" si="67"/>
        <v>GOOD</v>
      </c>
      <c r="AT155" s="11">
        <f>INDEX(CarrierDriverTBL!$E:$E,MATCH(Table1[[#This Row],[DriverID]],CarrierDriverTBL!$A:$A,0))</f>
        <v>31405</v>
      </c>
      <c r="AU155" s="163">
        <f ca="1">INDEX(CarrierDriverTBL!$F:$F,MATCH(Table1[[#This Row],[DriverID]],CarrierDriverTBL!$A:$A,0))</f>
        <v>30.605479452054794</v>
      </c>
      <c r="AV155" s="10" t="str">
        <f>INDEX(CarrierDriverTBL!$K:$K,MATCH(Table1[[#This Row],[DriverID]],CarrierDriverTBL!$A:$A,0))</f>
        <v>925-383-5364</v>
      </c>
      <c r="AW155" s="10" t="str">
        <f>INDEX(CarrierDriverTBL!$M:$M,MATCH(Table1[[#This Row],[DriverID]],CarrierDriverTBL!$A:$A,0))</f>
        <v>110 Cordova Ln</v>
      </c>
      <c r="AX155" s="10" t="str">
        <f>INDEX(CarrierDriverTBL!$N:$N,MATCH(Table1[[#This Row],[DriverID]],CarrierDriverTBL!$A:$A,0))</f>
        <v>Stockton</v>
      </c>
      <c r="AY155" s="10" t="str">
        <f>INDEX(CarrierDriverTBL!$O:$O,MATCH(Table1[[#This Row],[DriverID]],CarrierDriverTBL!$A:$A,0))</f>
        <v>CA</v>
      </c>
      <c r="AZ155" s="10">
        <f>INDEX(CarrierDriverTBL!$P:$P,MATCH(Table1[[#This Row],[DriverID]],CarrierDriverTBL!$A:$A,0))</f>
        <v>95207</v>
      </c>
      <c r="BA155" s="10" t="str">
        <f>INDEX(CarrierDriverTBL!$Q:$Q,MATCH(Table1[[#This Row],[DriverID]],CarrierDriverTBL!$A:$A,0))</f>
        <v>US</v>
      </c>
      <c r="BB155" s="173" t="str">
        <f>INDEX(CarrierDriverTBL!$R:$R,MATCH(Table1[[#This Row],[DriverID]],CarrierDriverTBL!$A:$A,0))</f>
        <v>wesleycousain1@gmail.com</v>
      </c>
      <c r="BC155" s="160">
        <f>INDEX(CarrierDriverTBL!$AB:$AB,MATCH(Table1[[#This Row],[DriverID]],CarrierDriverTBL!$A:$A,0))</f>
        <v>42271</v>
      </c>
      <c r="BD155" s="142" t="str">
        <f ca="1">INDEX(CarrierDriverTBL!$AD:$AD,MATCH(LoadMaster!$AN:$AN,CarrierDriverTBL!$A:$A,0))</f>
        <v>MISSING</v>
      </c>
      <c r="BE155" s="142">
        <f>INDEX(CarrierDriverTBL!$AE:$AE,MATCH(Table1[DriverID],CarrierDriverTBL!$A:$A,0))</f>
        <v>913971</v>
      </c>
      <c r="BF155" s="142">
        <f>INDEX(CarrierDriverTBL!$AF:$AF,MATCH(Table1[DriverID],CarrierDriverTBL!$A:$A,0))</f>
        <v>2627544</v>
      </c>
      <c r="BG155" s="142">
        <f>INDEX(CarrierDriverTBL!$AG:$AG,MATCH(Table1[DriverID],CarrierDriverTBL!$A:$A,0))</f>
        <v>466133</v>
      </c>
      <c r="BH155" s="142" t="str">
        <f>INDEX(CarrierDriverTBL!$AH:$AH,MATCH(Table1[DriverID],CarrierDriverTBL!$A:$A,0))</f>
        <v>GM Lawrence Ins</v>
      </c>
      <c r="BI155" s="142" t="str">
        <f>INDEX(CarrierDriverTBL!$AI:$AI,MATCH(Table1[DriverID],CarrierDriverTBL!$A:$A,0))</f>
        <v>DSK2842P160210</v>
      </c>
      <c r="BJ155" s="160">
        <f>INDEX(CarrierDriverTBL!$AJ:$AJ,MATCH(Table1[[#This Row],[DriverID]],CarrierDriverTBL!$A:$A,0))</f>
        <v>42778</v>
      </c>
      <c r="BK155" s="10">
        <f t="shared" si="68"/>
        <v>465</v>
      </c>
      <c r="BL155" s="174">
        <v>450</v>
      </c>
      <c r="BM155" s="144">
        <v>140</v>
      </c>
      <c r="BN155" s="159">
        <f t="shared" si="85"/>
        <v>3.2142857142857144</v>
      </c>
      <c r="BO155" s="167">
        <f>0.93*450</f>
        <v>418.5</v>
      </c>
      <c r="BP155" s="159">
        <f t="shared" si="86"/>
        <v>2.9892857142857143</v>
      </c>
      <c r="BQ155" s="133">
        <v>2.7989999999999999</v>
      </c>
      <c r="BR155" s="166">
        <f t="shared" si="87"/>
        <v>0.14983333333333335</v>
      </c>
      <c r="BS155" s="167">
        <f t="shared" si="69"/>
        <v>2.8394523809523808</v>
      </c>
      <c r="BT155" s="159">
        <f t="shared" si="70"/>
        <v>20.97666666666667</v>
      </c>
      <c r="BU155" s="10" t="str">
        <f t="shared" si="71"/>
        <v>Ch Robinson</v>
      </c>
      <c r="BV155" s="4"/>
      <c r="BW155" s="4" t="str">
        <f>Table1[[#This Row],[BrokerAddress]]</f>
        <v>P.O. Box 3474</v>
      </c>
      <c r="BX155" s="4" t="str">
        <f t="shared" si="72"/>
        <v>Chicago</v>
      </c>
      <c r="BY155" s="4" t="str">
        <f t="shared" si="73"/>
        <v>Il</v>
      </c>
      <c r="BZ155" s="4">
        <f t="shared" si="74"/>
        <v>60654</v>
      </c>
      <c r="CA155" s="10" t="str">
        <f t="shared" si="75"/>
        <v>US</v>
      </c>
      <c r="CB155" s="15" t="s">
        <v>131</v>
      </c>
      <c r="CC155" s="62"/>
      <c r="CD155" s="15" t="s">
        <v>132</v>
      </c>
      <c r="CE155" s="64">
        <v>0</v>
      </c>
      <c r="CF155" s="4">
        <v>0</v>
      </c>
      <c r="CG155" s="132">
        <f t="shared" si="76"/>
        <v>0</v>
      </c>
      <c r="CH155" s="4" t="s">
        <v>132</v>
      </c>
      <c r="CI155" s="5">
        <v>0</v>
      </c>
      <c r="CJ155" s="4">
        <v>0</v>
      </c>
      <c r="CK155" s="132">
        <f t="shared" si="77"/>
        <v>0</v>
      </c>
      <c r="CL155" s="4" t="s">
        <v>132</v>
      </c>
      <c r="CM155" s="5">
        <v>0</v>
      </c>
      <c r="CN155" s="4">
        <v>0</v>
      </c>
      <c r="CO155" s="132">
        <f t="shared" si="78"/>
        <v>0</v>
      </c>
      <c r="CP155" s="4" t="s">
        <v>132</v>
      </c>
      <c r="CQ155" s="5">
        <v>0</v>
      </c>
      <c r="CR155" s="4">
        <v>0</v>
      </c>
      <c r="CS155" s="132">
        <f t="shared" si="79"/>
        <v>0</v>
      </c>
      <c r="CT155" s="159">
        <f t="shared" si="80"/>
        <v>0</v>
      </c>
      <c r="CU155" s="168">
        <f t="shared" si="81"/>
        <v>450</v>
      </c>
      <c r="CV155" s="183">
        <f t="shared" si="65"/>
        <v>0</v>
      </c>
      <c r="CW155" s="82">
        <f t="shared" si="88"/>
        <v>418.5</v>
      </c>
      <c r="CX155" s="79">
        <f>IF(ISBLANK(E155),"AddQuickPay",IF(E155=2,CU155*0.98,IF(E155=2.4,CU155*0.976,IF(E155=3,CU155*0.97,IF(E155=5,CU155*0.95,IF(E155=1.5,CU155*0.985,IF(E155=2.5,CU155*0.975,IF(E155=1.3,CU155*0.987,IF(E155=1,CU155*0.99,IF(E155=4,CU155*0.96,CU155*1))))))))))-Table1[[#This Row],[ComCheck+QuickPayFee]]</f>
        <v>441</v>
      </c>
      <c r="CY155" s="5">
        <f t="shared" si="82"/>
        <v>31.5</v>
      </c>
      <c r="CZ155" s="5">
        <f t="shared" si="83"/>
        <v>9</v>
      </c>
      <c r="DA155" s="258">
        <f>Table1[[#This Row],[OriginalDispatch]]-Table1[[#This Row],[QuickPayCharge]]</f>
        <v>22.5</v>
      </c>
      <c r="DB155" s="5">
        <v>0</v>
      </c>
      <c r="DC155" s="5" t="s">
        <v>133</v>
      </c>
      <c r="DD155" s="104">
        <f t="shared" si="84"/>
        <v>42314</v>
      </c>
      <c r="DE155" s="15">
        <f>MONTH(Table1[[#This Row],[Weekending]])</f>
        <v>11</v>
      </c>
      <c r="DF155" s="15">
        <f>YEAR(Table1[[#This Row],[Weekending]])</f>
        <v>2015</v>
      </c>
      <c r="DG155" s="4"/>
    </row>
    <row r="156" spans="1:111">
      <c r="A156" s="20" t="str">
        <f t="shared" si="66"/>
        <v>84wnne88</v>
      </c>
      <c r="B156" s="146">
        <v>42314</v>
      </c>
      <c r="C156" s="144">
        <v>185663584</v>
      </c>
      <c r="D156" s="298" t="s">
        <v>111</v>
      </c>
      <c r="E156" s="298">
        <v>2</v>
      </c>
      <c r="F156" s="142" t="str">
        <f>INDEX(BrokerTBL!$B:$B,MATCH(D156,BrokerTBL!$A:$A,0))</f>
        <v>P.O. Box 3474</v>
      </c>
      <c r="G156" s="142" t="str">
        <f>INDEX(BrokerTBL!$C:$C,MATCH(D156,BrokerTBL!$A:$A,0))</f>
        <v>Chicago</v>
      </c>
      <c r="H156" s="142" t="str">
        <f>INDEX(BrokerTBL!$D:$D,MATCH(D156,BrokerTBL!$A:$A,0))</f>
        <v>Il</v>
      </c>
      <c r="I156" s="142" t="str">
        <f>INDEX(BrokerTBL!$E:$E,MATCH(D156,BrokerTBL!$A:$A,0))</f>
        <v>US</v>
      </c>
      <c r="J156" s="142">
        <f>INDEX(BrokerTBL!$F:$F,MATCH(D156,BrokerTBL!$A:$A,0))</f>
        <v>60654</v>
      </c>
      <c r="K156" s="298" t="s">
        <v>1271</v>
      </c>
      <c r="L156" s="145" t="s">
        <v>1205</v>
      </c>
      <c r="M156" s="146">
        <v>42314</v>
      </c>
      <c r="N156" s="162" t="s">
        <v>136</v>
      </c>
      <c r="O156" s="298" t="s">
        <v>1272</v>
      </c>
      <c r="P156" s="298" t="s">
        <v>438</v>
      </c>
      <c r="Q156" s="298" t="s">
        <v>139</v>
      </c>
      <c r="R156" s="298">
        <v>94080</v>
      </c>
      <c r="S156" s="298" t="s">
        <v>118</v>
      </c>
      <c r="T156" s="298" t="s">
        <v>136</v>
      </c>
      <c r="U156" s="298" t="s">
        <v>120</v>
      </c>
      <c r="V156" s="298">
        <v>53</v>
      </c>
      <c r="W156" s="298" t="s">
        <v>1273</v>
      </c>
      <c r="X156" s="144">
        <v>45000</v>
      </c>
      <c r="Y156" s="298" t="s">
        <v>1274</v>
      </c>
      <c r="Z156" s="298" t="s">
        <v>123</v>
      </c>
      <c r="AA156" s="298">
        <v>26</v>
      </c>
      <c r="AB156" s="298" t="s">
        <v>123</v>
      </c>
      <c r="AC156" s="298" t="s">
        <v>1275</v>
      </c>
      <c r="AD156" s="145" t="s">
        <v>132</v>
      </c>
      <c r="AE156" s="146">
        <v>42317</v>
      </c>
      <c r="AF156" s="416" t="s">
        <v>123</v>
      </c>
      <c r="AG156" s="298" t="s">
        <v>1276</v>
      </c>
      <c r="AH156" s="298" t="s">
        <v>1277</v>
      </c>
      <c r="AI156" s="298" t="s">
        <v>139</v>
      </c>
      <c r="AJ156" s="298">
        <v>95688</v>
      </c>
      <c r="AK156" s="298" t="s">
        <v>118</v>
      </c>
      <c r="AL156" s="298" t="s">
        <v>123</v>
      </c>
      <c r="AM156" s="142" t="str">
        <f>INDEX(CarrierDriverTBL!$B:$B,MATCH(Table1[[#This Row],[DriverID]],CarrierDriverTBL!$A:$A,0))</f>
        <v>UBTrucking</v>
      </c>
      <c r="AN156" s="10" t="s">
        <v>948</v>
      </c>
      <c r="AO156" s="10" t="str">
        <f>INDEX(CarrierDriverTBL!$C:$C,MATCH(Table1[[#This Row],[DriverID]],CarrierDriverTBL!$A:$A,0))</f>
        <v>Wesley</v>
      </c>
      <c r="AP156" s="10" t="str">
        <f>INDEX(CarrierDriverTBL!$D:$D,MATCH(Table1[[#This Row],[DriverID]],CarrierDriverTBL!$A:$A,0))</f>
        <v>Cousain</v>
      </c>
      <c r="AQ156" s="10" t="str">
        <f>INDEX(CarrierDriverTBL!$X:$X,MATCH(Table1[[#This Row],[DriverID]],CarrierDriverTBL!$A:$A,0))</f>
        <v>D4903588</v>
      </c>
      <c r="AR156" s="11">
        <f>INDEX(CarrierDriverTBL!$Y:$Y,MATCH(Table1[[#This Row],[DriverID]],CarrierDriverTBL!$A:$A,0))</f>
        <v>43458</v>
      </c>
      <c r="AS156" s="142" t="str">
        <f t="shared" si="67"/>
        <v>GOOD</v>
      </c>
      <c r="AT156" s="11">
        <f>INDEX(CarrierDriverTBL!$E:$E,MATCH(Table1[[#This Row],[DriverID]],CarrierDriverTBL!$A:$A,0))</f>
        <v>31405</v>
      </c>
      <c r="AU156" s="163">
        <f ca="1">INDEX(CarrierDriverTBL!$F:$F,MATCH(Table1[[#This Row],[DriverID]],CarrierDriverTBL!$A:$A,0))</f>
        <v>30.605479452054794</v>
      </c>
      <c r="AV156" s="10" t="str">
        <f>INDEX(CarrierDriverTBL!$K:$K,MATCH(Table1[[#This Row],[DriverID]],CarrierDriverTBL!$A:$A,0))</f>
        <v>925-383-5364</v>
      </c>
      <c r="AW156" s="10" t="str">
        <f>INDEX(CarrierDriverTBL!$M:$M,MATCH(Table1[[#This Row],[DriverID]],CarrierDriverTBL!$A:$A,0))</f>
        <v>110 Cordova Ln</v>
      </c>
      <c r="AX156" s="10" t="str">
        <f>INDEX(CarrierDriverTBL!$N:$N,MATCH(Table1[[#This Row],[DriverID]],CarrierDriverTBL!$A:$A,0))</f>
        <v>Stockton</v>
      </c>
      <c r="AY156" s="10" t="str">
        <f>INDEX(CarrierDriverTBL!$O:$O,MATCH(Table1[[#This Row],[DriverID]],CarrierDriverTBL!$A:$A,0))</f>
        <v>CA</v>
      </c>
      <c r="AZ156" s="10">
        <f>INDEX(CarrierDriverTBL!$P:$P,MATCH(Table1[[#This Row],[DriverID]],CarrierDriverTBL!$A:$A,0))</f>
        <v>95207</v>
      </c>
      <c r="BA156" s="10" t="str">
        <f>INDEX(CarrierDriverTBL!$Q:$Q,MATCH(Table1[[#This Row],[DriverID]],CarrierDriverTBL!$A:$A,0))</f>
        <v>US</v>
      </c>
      <c r="BB156" s="173" t="str">
        <f>INDEX(CarrierDriverTBL!$R:$R,MATCH(Table1[[#This Row],[DriverID]],CarrierDriverTBL!$A:$A,0))</f>
        <v>wesleycousain1@gmail.com</v>
      </c>
      <c r="BC156" s="160">
        <f>INDEX(CarrierDriverTBL!$AB:$AB,MATCH(Table1[[#This Row],[DriverID]],CarrierDriverTBL!$A:$A,0))</f>
        <v>42271</v>
      </c>
      <c r="BD156" s="142" t="str">
        <f ca="1">INDEX(CarrierDriverTBL!$AD:$AD,MATCH(LoadMaster!$AN:$AN,CarrierDriverTBL!$A:$A,0))</f>
        <v>MISSING</v>
      </c>
      <c r="BE156" s="142">
        <f>INDEX(CarrierDriverTBL!$AE:$AE,MATCH(Table1[DriverID],CarrierDriverTBL!$A:$A,0))</f>
        <v>913971</v>
      </c>
      <c r="BF156" s="142">
        <f>INDEX(CarrierDriverTBL!$AF:$AF,MATCH(Table1[DriverID],CarrierDriverTBL!$A:$A,0))</f>
        <v>2627544</v>
      </c>
      <c r="BG156" s="142">
        <f>INDEX(CarrierDriverTBL!$AG:$AG,MATCH(Table1[DriverID],CarrierDriverTBL!$A:$A,0))</f>
        <v>466133</v>
      </c>
      <c r="BH156" s="142" t="str">
        <f>INDEX(CarrierDriverTBL!$AH:$AH,MATCH(Table1[DriverID],CarrierDriverTBL!$A:$A,0))</f>
        <v>GM Lawrence Ins</v>
      </c>
      <c r="BI156" s="142" t="str">
        <f>INDEX(CarrierDriverTBL!$AI:$AI,MATCH(Table1[DriverID],CarrierDriverTBL!$A:$A,0))</f>
        <v>DSK2842P160210</v>
      </c>
      <c r="BJ156" s="160">
        <f>INDEX(CarrierDriverTBL!$AJ:$AJ,MATCH(Table1[[#This Row],[DriverID]],CarrierDriverTBL!$A:$A,0))</f>
        <v>42778</v>
      </c>
      <c r="BK156" s="10">
        <f t="shared" si="68"/>
        <v>464</v>
      </c>
      <c r="BL156" s="174">
        <v>375</v>
      </c>
      <c r="BM156" s="144">
        <v>165</v>
      </c>
      <c r="BN156" s="159">
        <f t="shared" si="85"/>
        <v>2.2727272727272729</v>
      </c>
      <c r="BO156" s="167">
        <f>0.93*375</f>
        <v>348.75</v>
      </c>
      <c r="BP156" s="159">
        <f t="shared" si="86"/>
        <v>2.1136363636363638</v>
      </c>
      <c r="BQ156" s="133">
        <v>2.7989999999999999</v>
      </c>
      <c r="BR156" s="166">
        <f t="shared" si="87"/>
        <v>0.14983333333333335</v>
      </c>
      <c r="BS156" s="167">
        <f t="shared" si="69"/>
        <v>1.9638030303030305</v>
      </c>
      <c r="BT156" s="159">
        <f t="shared" si="70"/>
        <v>24.722500000000004</v>
      </c>
      <c r="BU156" s="10" t="str">
        <f t="shared" si="71"/>
        <v>Ch Robinson</v>
      </c>
      <c r="BV156" s="4"/>
      <c r="BW156" s="4" t="str">
        <f>Table1[[#This Row],[BrokerAddress]]</f>
        <v>P.O. Box 3474</v>
      </c>
      <c r="BX156" s="4" t="str">
        <f t="shared" si="72"/>
        <v>Chicago</v>
      </c>
      <c r="BY156" s="4" t="str">
        <f t="shared" si="73"/>
        <v>Il</v>
      </c>
      <c r="BZ156" s="4">
        <f t="shared" si="74"/>
        <v>60654</v>
      </c>
      <c r="CA156" s="10" t="str">
        <f t="shared" si="75"/>
        <v>US</v>
      </c>
      <c r="CB156" s="15" t="s">
        <v>131</v>
      </c>
      <c r="CC156" s="62"/>
      <c r="CD156" s="15" t="s">
        <v>132</v>
      </c>
      <c r="CE156" s="64">
        <v>0</v>
      </c>
      <c r="CF156" s="4">
        <v>0</v>
      </c>
      <c r="CG156" s="132">
        <f t="shared" si="76"/>
        <v>0</v>
      </c>
      <c r="CH156" s="4" t="s">
        <v>132</v>
      </c>
      <c r="CI156" s="5">
        <v>0</v>
      </c>
      <c r="CJ156" s="4">
        <v>0</v>
      </c>
      <c r="CK156" s="132">
        <f t="shared" si="77"/>
        <v>0</v>
      </c>
      <c r="CL156" s="4" t="s">
        <v>132</v>
      </c>
      <c r="CM156" s="5">
        <v>0</v>
      </c>
      <c r="CN156" s="4">
        <v>0</v>
      </c>
      <c r="CO156" s="132">
        <f t="shared" si="78"/>
        <v>0</v>
      </c>
      <c r="CP156" s="4" t="s">
        <v>132</v>
      </c>
      <c r="CQ156" s="5">
        <v>0</v>
      </c>
      <c r="CR156" s="4">
        <v>0</v>
      </c>
      <c r="CS156" s="132">
        <f t="shared" si="79"/>
        <v>0</v>
      </c>
      <c r="CT156" s="159">
        <f t="shared" si="80"/>
        <v>0</v>
      </c>
      <c r="CU156" s="168">
        <f t="shared" si="81"/>
        <v>375</v>
      </c>
      <c r="CV156" s="183">
        <f t="shared" si="65"/>
        <v>0</v>
      </c>
      <c r="CW156" s="82">
        <f t="shared" si="88"/>
        <v>348.75</v>
      </c>
      <c r="CX156" s="79">
        <f>IF(ISBLANK(E156),"AddQuickPay",IF(E156=2,CU156*0.98,IF(E156=2.4,CU156*0.976,IF(E156=3,CU156*0.97,IF(E156=5,CU156*0.95,IF(E156=1.5,CU156*0.985,IF(E156=2.5,CU156*0.975,IF(E156=1.3,CU156*0.987,IF(E156=1,CU156*0.99,IF(E156=4,CU156*0.96,CU156*1))))))))))-Table1[[#This Row],[ComCheck+QuickPayFee]]</f>
        <v>367.5</v>
      </c>
      <c r="CY156" s="5">
        <f t="shared" si="82"/>
        <v>26.25</v>
      </c>
      <c r="CZ156" s="5">
        <f t="shared" si="83"/>
        <v>7.5</v>
      </c>
      <c r="DA156" s="258">
        <f>Table1[[#This Row],[OriginalDispatch]]-Table1[[#This Row],[QuickPayCharge]]</f>
        <v>18.75</v>
      </c>
      <c r="DB156" s="5">
        <v>0</v>
      </c>
      <c r="DC156" s="5" t="s">
        <v>133</v>
      </c>
      <c r="DD156" s="104">
        <f t="shared" si="84"/>
        <v>42314</v>
      </c>
      <c r="DE156" s="15">
        <f>MONTH(Table1[[#This Row],[Weekending]])</f>
        <v>11</v>
      </c>
      <c r="DF156" s="15">
        <f>YEAR(Table1[[#This Row],[Weekending]])</f>
        <v>2015</v>
      </c>
      <c r="DG156" s="4"/>
    </row>
    <row r="157" spans="1:111">
      <c r="A157" s="20" t="str">
        <f t="shared" si="66"/>
        <v>75adad49</v>
      </c>
      <c r="B157" s="146">
        <v>42314</v>
      </c>
      <c r="C157" s="144">
        <v>185500975</v>
      </c>
      <c r="D157" s="298" t="s">
        <v>111</v>
      </c>
      <c r="E157" s="298">
        <v>2</v>
      </c>
      <c r="F157" s="142" t="str">
        <f>INDEX(BrokerTBL!$B:$B,MATCH(D157,BrokerTBL!$A:$A,0))</f>
        <v>P.O. Box 3474</v>
      </c>
      <c r="G157" s="142" t="str">
        <f>INDEX(BrokerTBL!$C:$C,MATCH(D157,BrokerTBL!$A:$A,0))</f>
        <v>Chicago</v>
      </c>
      <c r="H157" s="142" t="str">
        <f>INDEX(BrokerTBL!$D:$D,MATCH(D157,BrokerTBL!$A:$A,0))</f>
        <v>Il</v>
      </c>
      <c r="I157" s="142" t="str">
        <f>INDEX(BrokerTBL!$E:$E,MATCH(D157,BrokerTBL!$A:$A,0))</f>
        <v>US</v>
      </c>
      <c r="J157" s="142">
        <f>INDEX(BrokerTBL!$F:$F,MATCH(D157,BrokerTBL!$A:$A,0))</f>
        <v>60654</v>
      </c>
      <c r="K157" s="298" t="s">
        <v>1263</v>
      </c>
      <c r="L157" s="145" t="s">
        <v>1278</v>
      </c>
      <c r="M157" s="146">
        <v>42314</v>
      </c>
      <c r="N157" s="144" t="s">
        <v>1279</v>
      </c>
      <c r="O157" s="298" t="s">
        <v>1265</v>
      </c>
      <c r="P157" s="298" t="s">
        <v>395</v>
      </c>
      <c r="Q157" s="298" t="s">
        <v>139</v>
      </c>
      <c r="R157" s="298">
        <v>95358</v>
      </c>
      <c r="S157" s="298" t="s">
        <v>118</v>
      </c>
      <c r="T157" s="298" t="s">
        <v>136</v>
      </c>
      <c r="U157" s="298" t="s">
        <v>120</v>
      </c>
      <c r="V157" s="298">
        <v>53</v>
      </c>
      <c r="W157" s="298" t="s">
        <v>1266</v>
      </c>
      <c r="X157" s="144">
        <v>15000</v>
      </c>
      <c r="Y157" s="298" t="s">
        <v>26</v>
      </c>
      <c r="Z157" s="298" t="s">
        <v>123</v>
      </c>
      <c r="AA157" s="298">
        <v>52</v>
      </c>
      <c r="AB157" s="298" t="s">
        <v>123</v>
      </c>
      <c r="AC157" s="298" t="s">
        <v>1267</v>
      </c>
      <c r="AD157" s="145" t="s">
        <v>1280</v>
      </c>
      <c r="AE157" s="146">
        <v>42317</v>
      </c>
      <c r="AF157" s="298" t="s">
        <v>1281</v>
      </c>
      <c r="AG157" s="298" t="s">
        <v>1269</v>
      </c>
      <c r="AH157" s="298" t="s">
        <v>1270</v>
      </c>
      <c r="AI157" s="298" t="s">
        <v>139</v>
      </c>
      <c r="AJ157" s="298">
        <v>93930</v>
      </c>
      <c r="AK157" s="298" t="s">
        <v>118</v>
      </c>
      <c r="AL157" s="298" t="s">
        <v>123</v>
      </c>
      <c r="AM157" s="142" t="str">
        <f>INDEX(CarrierDriverTBL!$B:$B,MATCH(Table1[[#This Row],[DriverID]],CarrierDriverTBL!$A:$A,0))</f>
        <v>UBTrucking</v>
      </c>
      <c r="AN157" s="10" t="s">
        <v>192</v>
      </c>
      <c r="AO157" s="10" t="str">
        <f>INDEX(CarrierDriverTBL!$C:$C,MATCH(Table1[[#This Row],[DriverID]],CarrierDriverTBL!$A:$A,0))</f>
        <v>Albel</v>
      </c>
      <c r="AP157" s="142" t="str">
        <f>INDEX(CarrierDriverTBL!$D:$D,MATCH(Table1[[#This Row],[DriverID]],CarrierDriverTBL!$A:$A,0))</f>
        <v>Chahil</v>
      </c>
      <c r="AQ157" s="142" t="str">
        <f>INDEX(CarrierDriverTBL!$X:$X,MATCH(Table1[[#This Row],[DriverID]],CarrierDriverTBL!$A:$A,0))</f>
        <v>A8390649</v>
      </c>
      <c r="AR157" s="160">
        <f>INDEX(CarrierDriverTBL!$Y:$Y,MATCH(Table1[[#This Row],[DriverID]],CarrierDriverTBL!$A:$A,0))</f>
        <v>42402</v>
      </c>
      <c r="AS157" s="142" t="str">
        <f t="shared" si="67"/>
        <v>GOOD</v>
      </c>
      <c r="AT157" s="160">
        <f>INDEX(CarrierDriverTBL!$E:$E,MATCH(Table1[[#This Row],[DriverID]],CarrierDriverTBL!$A:$A,0))</f>
        <v>22314</v>
      </c>
      <c r="AU157" s="163">
        <f ca="1">INDEX(CarrierDriverTBL!$F:$F,MATCH(Table1[[#This Row],[DriverID]],CarrierDriverTBL!$A:$A,0))</f>
        <v>55.512328767123286</v>
      </c>
      <c r="AV157" s="142" t="str">
        <f>INDEX(CarrierDriverTBL!$K:$K,MATCH(Table1[[#This Row],[DriverID]],CarrierDriverTBL!$A:$A,0))</f>
        <v>510-773-9450</v>
      </c>
      <c r="AW157" s="142" t="str">
        <f>INDEX(CarrierDriverTBL!$M:$M,MATCH(Table1[[#This Row],[DriverID]],CarrierDriverTBL!$A:$A,0))</f>
        <v>3124 Cynthia CT</v>
      </c>
      <c r="AX157" s="142" t="str">
        <f>INDEX(CarrierDriverTBL!$N:$N,MATCH(Table1[[#This Row],[DriverID]],CarrierDriverTBL!$A:$A,0))</f>
        <v>Tracy</v>
      </c>
      <c r="AY157" s="142" t="str">
        <f>INDEX(CarrierDriverTBL!$O:$O,MATCH(Table1[[#This Row],[DriverID]],CarrierDriverTBL!$A:$A,0))</f>
        <v>CA</v>
      </c>
      <c r="AZ157" s="142">
        <f>INDEX(CarrierDriverTBL!$P:$P,MATCH(Table1[[#This Row],[DriverID]],CarrierDriverTBL!$A:$A,0))</f>
        <v>95377</v>
      </c>
      <c r="BA157" s="142" t="str">
        <f>INDEX(CarrierDriverTBL!$Q:$Q,MATCH(Table1[[#This Row],[DriverID]],CarrierDriverTBL!$A:$A,0))</f>
        <v>US</v>
      </c>
      <c r="BB157" s="176" t="str">
        <f>INDEX(CarrierDriverTBL!$R:$R,MATCH(Table1[[#This Row],[DriverID]],CarrierDriverTBL!$A:$A,0))</f>
        <v>ubgollc@gmail.com</v>
      </c>
      <c r="BC157" s="160">
        <f>INDEX(CarrierDriverTBL!$AB:$AB,MATCH(Table1[[#This Row],[DriverID]],CarrierDriverTBL!$A:$A,0))</f>
        <v>42167</v>
      </c>
      <c r="BD157" s="142" t="str">
        <f ca="1">INDEX(CarrierDriverTBL!$AD:$AD,MATCH(LoadMaster!$AN:$AN,CarrierDriverTBL!$A:$A,0))</f>
        <v>MISSING</v>
      </c>
      <c r="BE157" s="142">
        <f>INDEX(CarrierDriverTBL!$AE:$AE,MATCH(Table1[DriverID],CarrierDriverTBL!$A:$A,0))</f>
        <v>913971</v>
      </c>
      <c r="BF157" s="142">
        <f>INDEX(CarrierDriverTBL!$AF:$AF,MATCH(Table1[DriverID],CarrierDriverTBL!$A:$A,0))</f>
        <v>2627544</v>
      </c>
      <c r="BG157" s="142">
        <f>INDEX(CarrierDriverTBL!$AG:$AG,MATCH(Table1[DriverID],CarrierDriverTBL!$A:$A,0))</f>
        <v>466133</v>
      </c>
      <c r="BH157" s="142" t="str">
        <f>INDEX(CarrierDriverTBL!$AH:$AH,MATCH(Table1[DriverID],CarrierDriverTBL!$A:$A,0))</f>
        <v>GM Lawrence Ins</v>
      </c>
      <c r="BI157" s="142" t="str">
        <f>INDEX(CarrierDriverTBL!$AI:$AI,MATCH(Table1[DriverID],CarrierDriverTBL!$A:$A,0))</f>
        <v>DSK2842P160210</v>
      </c>
      <c r="BJ157" s="160">
        <f>INDEX(CarrierDriverTBL!$AJ:$AJ,MATCH(Table1[[#This Row],[DriverID]],CarrierDriverTBL!$A:$A,0))</f>
        <v>42778</v>
      </c>
      <c r="BK157" s="10">
        <f t="shared" si="68"/>
        <v>464</v>
      </c>
      <c r="BL157" s="174">
        <v>450</v>
      </c>
      <c r="BM157" s="144">
        <v>140</v>
      </c>
      <c r="BN157" s="159">
        <f t="shared" si="85"/>
        <v>3.2142857142857144</v>
      </c>
      <c r="BO157" s="167">
        <v>400</v>
      </c>
      <c r="BP157" s="159">
        <f t="shared" si="86"/>
        <v>2.8571428571428572</v>
      </c>
      <c r="BQ157" s="133">
        <v>2.7989999999999999</v>
      </c>
      <c r="BR157" s="166">
        <f t="shared" si="87"/>
        <v>0.14983333333333335</v>
      </c>
      <c r="BS157" s="167">
        <f t="shared" si="69"/>
        <v>2.7073095238095237</v>
      </c>
      <c r="BT157" s="159">
        <f t="shared" si="70"/>
        <v>20.97666666666667</v>
      </c>
      <c r="BU157" s="10" t="str">
        <f t="shared" si="71"/>
        <v>Ch Robinson</v>
      </c>
      <c r="BV157" s="4"/>
      <c r="BW157" s="4" t="str">
        <f>Table1[[#This Row],[BrokerAddress]]</f>
        <v>P.O. Box 3474</v>
      </c>
      <c r="BX157" s="4" t="str">
        <f t="shared" si="72"/>
        <v>Chicago</v>
      </c>
      <c r="BY157" s="4" t="str">
        <f t="shared" si="73"/>
        <v>Il</v>
      </c>
      <c r="BZ157" s="4">
        <f t="shared" si="74"/>
        <v>60654</v>
      </c>
      <c r="CA157" s="10" t="str">
        <f t="shared" si="75"/>
        <v>US</v>
      </c>
      <c r="CB157" s="15" t="s">
        <v>131</v>
      </c>
      <c r="CC157" s="62"/>
      <c r="CD157" s="15" t="s">
        <v>132</v>
      </c>
      <c r="CE157" s="64">
        <v>0</v>
      </c>
      <c r="CF157" s="4">
        <v>0</v>
      </c>
      <c r="CG157" s="132">
        <f t="shared" si="76"/>
        <v>0</v>
      </c>
      <c r="CH157" s="4" t="s">
        <v>132</v>
      </c>
      <c r="CI157" s="5">
        <v>0</v>
      </c>
      <c r="CJ157" s="4">
        <v>0</v>
      </c>
      <c r="CK157" s="132">
        <f t="shared" si="77"/>
        <v>0</v>
      </c>
      <c r="CL157" s="4" t="s">
        <v>132</v>
      </c>
      <c r="CM157" s="5">
        <v>0</v>
      </c>
      <c r="CN157" s="4">
        <v>0</v>
      </c>
      <c r="CO157" s="132">
        <f t="shared" si="78"/>
        <v>0</v>
      </c>
      <c r="CP157" s="4" t="s">
        <v>132</v>
      </c>
      <c r="CQ157" s="5">
        <v>0</v>
      </c>
      <c r="CR157" s="4">
        <v>0</v>
      </c>
      <c r="CS157" s="132">
        <f t="shared" si="79"/>
        <v>0</v>
      </c>
      <c r="CT157" s="159">
        <f t="shared" si="80"/>
        <v>0</v>
      </c>
      <c r="CU157" s="168">
        <f t="shared" si="81"/>
        <v>450</v>
      </c>
      <c r="CV157" s="183">
        <f t="shared" si="65"/>
        <v>0</v>
      </c>
      <c r="CW157" s="82">
        <f t="shared" si="88"/>
        <v>400</v>
      </c>
      <c r="CX157" s="79">
        <f>IF(ISBLANK(E157),"AddQuickPay",IF(E157=2,CU157*0.98,IF(E157=2.4,CU157*0.976,IF(E157=3,CU157*0.97,IF(E157=5,CU157*0.95,IF(E157=1.5,CU157*0.985,IF(E157=2.5,CU157*0.975,IF(E157=1.3,CU157*0.987,IF(E157=1,CU157*0.99,IF(E157=4,CU157*0.96,CU157*1))))))))))-Table1[[#This Row],[ComCheck+QuickPayFee]]</f>
        <v>441</v>
      </c>
      <c r="CY157" s="5">
        <f t="shared" si="82"/>
        <v>50</v>
      </c>
      <c r="CZ157" s="5">
        <f t="shared" si="83"/>
        <v>9</v>
      </c>
      <c r="DA157" s="258">
        <f>Table1[[#This Row],[OriginalDispatch]]-Table1[[#This Row],[QuickPayCharge]]</f>
        <v>41</v>
      </c>
      <c r="DB157" s="5">
        <v>0</v>
      </c>
      <c r="DC157" s="5" t="s">
        <v>133</v>
      </c>
      <c r="DD157" s="104">
        <f t="shared" si="84"/>
        <v>42314</v>
      </c>
      <c r="DE157" s="15">
        <f>MONTH(Table1[[#This Row],[Weekending]])</f>
        <v>11</v>
      </c>
      <c r="DF157" s="15">
        <f>YEAR(Table1[[#This Row],[Weekending]])</f>
        <v>2015</v>
      </c>
      <c r="DG157" s="4"/>
    </row>
    <row r="158" spans="1:111">
      <c r="A158" s="20" t="str">
        <f t="shared" si="66"/>
        <v>72esne49</v>
      </c>
      <c r="B158" s="146">
        <v>42317</v>
      </c>
      <c r="C158" s="144">
        <v>185780972</v>
      </c>
      <c r="D158" s="298" t="s">
        <v>111</v>
      </c>
      <c r="E158" s="298">
        <v>2</v>
      </c>
      <c r="F158" s="142" t="str">
        <f>INDEX(BrokerTBL!$B:$B,MATCH(D158,BrokerTBL!$A:$A,0))</f>
        <v>P.O. Box 3474</v>
      </c>
      <c r="G158" s="142" t="str">
        <f>INDEX(BrokerTBL!$C:$C,MATCH(D158,BrokerTBL!$A:$A,0))</f>
        <v>Chicago</v>
      </c>
      <c r="H158" s="142" t="str">
        <f>INDEX(BrokerTBL!$D:$D,MATCH(D158,BrokerTBL!$A:$A,0))</f>
        <v>Il</v>
      </c>
      <c r="I158" s="142" t="str">
        <f>INDEX(BrokerTBL!$E:$E,MATCH(D158,BrokerTBL!$A:$A,0))</f>
        <v>US</v>
      </c>
      <c r="J158" s="142">
        <f>INDEX(BrokerTBL!$F:$F,MATCH(D158,BrokerTBL!$A:$A,0))</f>
        <v>60654</v>
      </c>
      <c r="K158" s="298" t="s">
        <v>1282</v>
      </c>
      <c r="L158" s="145" t="s">
        <v>1283</v>
      </c>
      <c r="M158" s="146">
        <v>42317</v>
      </c>
      <c r="N158" s="144" t="s">
        <v>629</v>
      </c>
      <c r="O158" s="298" t="s">
        <v>1070</v>
      </c>
      <c r="P158" s="298" t="s">
        <v>366</v>
      </c>
      <c r="Q158" s="298" t="s">
        <v>139</v>
      </c>
      <c r="R158" s="298">
        <v>95776</v>
      </c>
      <c r="S158" s="298" t="s">
        <v>118</v>
      </c>
      <c r="T158" s="298" t="s">
        <v>136</v>
      </c>
      <c r="U158" s="298" t="s">
        <v>120</v>
      </c>
      <c r="V158" s="298">
        <v>53</v>
      </c>
      <c r="W158" s="298" t="s">
        <v>944</v>
      </c>
      <c r="X158" s="144">
        <v>30000</v>
      </c>
      <c r="Y158" s="298" t="s">
        <v>26</v>
      </c>
      <c r="Z158" s="298" t="s">
        <v>123</v>
      </c>
      <c r="AA158" s="298" t="s">
        <v>123</v>
      </c>
      <c r="AB158" s="298" t="s">
        <v>123</v>
      </c>
      <c r="AC158" s="298" t="s">
        <v>1284</v>
      </c>
      <c r="AD158" s="145" t="s">
        <v>132</v>
      </c>
      <c r="AE158" s="146"/>
      <c r="AF158" s="416" t="s">
        <v>123</v>
      </c>
      <c r="AG158" s="298" t="s">
        <v>1285</v>
      </c>
      <c r="AH158" s="298" t="s">
        <v>429</v>
      </c>
      <c r="AI158" s="298" t="s">
        <v>139</v>
      </c>
      <c r="AJ158" s="298">
        <v>93446</v>
      </c>
      <c r="AK158" s="298" t="s">
        <v>118</v>
      </c>
      <c r="AL158" s="298" t="s">
        <v>123</v>
      </c>
      <c r="AM158" s="142" t="str">
        <f>INDEX(CarrierDriverTBL!$B:$B,MATCH(Table1[[#This Row],[DriverID]],CarrierDriverTBL!$A:$A,0))</f>
        <v>UBTrucking</v>
      </c>
      <c r="AN158" s="10" t="s">
        <v>192</v>
      </c>
      <c r="AO158" s="10" t="str">
        <f>INDEX(CarrierDriverTBL!$C:$C,MATCH(Table1[[#This Row],[DriverID]],CarrierDriverTBL!$A:$A,0))</f>
        <v>Albel</v>
      </c>
      <c r="AP158" s="142" t="str">
        <f>INDEX(CarrierDriverTBL!$D:$D,MATCH(Table1[[#This Row],[DriverID]],CarrierDriverTBL!$A:$A,0))</f>
        <v>Chahil</v>
      </c>
      <c r="AQ158" s="142" t="str">
        <f>INDEX(CarrierDriverTBL!$X:$X,MATCH(Table1[[#This Row],[DriverID]],CarrierDriverTBL!$A:$A,0))</f>
        <v>A8390649</v>
      </c>
      <c r="AR158" s="160">
        <f>INDEX(CarrierDriverTBL!$Y:$Y,MATCH(Table1[[#This Row],[DriverID]],CarrierDriverTBL!$A:$A,0))</f>
        <v>42402</v>
      </c>
      <c r="AS158" s="142" t="str">
        <f t="shared" si="67"/>
        <v>GOOD</v>
      </c>
      <c r="AT158" s="160">
        <f>INDEX(CarrierDriverTBL!$E:$E,MATCH(Table1[[#This Row],[DriverID]],CarrierDriverTBL!$A:$A,0))</f>
        <v>22314</v>
      </c>
      <c r="AU158" s="163">
        <f ca="1">INDEX(CarrierDriverTBL!$F:$F,MATCH(Table1[[#This Row],[DriverID]],CarrierDriverTBL!$A:$A,0))</f>
        <v>55.512328767123286</v>
      </c>
      <c r="AV158" s="142" t="str">
        <f>INDEX(CarrierDriverTBL!$K:$K,MATCH(Table1[[#This Row],[DriverID]],CarrierDriverTBL!$A:$A,0))</f>
        <v>510-773-9450</v>
      </c>
      <c r="AW158" s="142" t="str">
        <f>INDEX(CarrierDriverTBL!$M:$M,MATCH(Table1[[#This Row],[DriverID]],CarrierDriverTBL!$A:$A,0))</f>
        <v>3124 Cynthia CT</v>
      </c>
      <c r="AX158" s="142" t="str">
        <f>INDEX(CarrierDriverTBL!$N:$N,MATCH(Table1[[#This Row],[DriverID]],CarrierDriverTBL!$A:$A,0))</f>
        <v>Tracy</v>
      </c>
      <c r="AY158" s="142" t="str">
        <f>INDEX(CarrierDriverTBL!$O:$O,MATCH(Table1[[#This Row],[DriverID]],CarrierDriverTBL!$A:$A,0))</f>
        <v>CA</v>
      </c>
      <c r="AZ158" s="142">
        <f>INDEX(CarrierDriverTBL!$P:$P,MATCH(Table1[[#This Row],[DriverID]],CarrierDriverTBL!$A:$A,0))</f>
        <v>95377</v>
      </c>
      <c r="BA158" s="142" t="str">
        <f>INDEX(CarrierDriverTBL!$Q:$Q,MATCH(Table1[[#This Row],[DriverID]],CarrierDriverTBL!$A:$A,0))</f>
        <v>US</v>
      </c>
      <c r="BB158" s="176" t="str">
        <f>INDEX(CarrierDriverTBL!$R:$R,MATCH(Table1[[#This Row],[DriverID]],CarrierDriverTBL!$A:$A,0))</f>
        <v>ubgollc@gmail.com</v>
      </c>
      <c r="BC158" s="160">
        <f>INDEX(CarrierDriverTBL!$AB:$AB,MATCH(Table1[[#This Row],[DriverID]],CarrierDriverTBL!$A:$A,0))</f>
        <v>42167</v>
      </c>
      <c r="BD158" s="142" t="str">
        <f ca="1">INDEX(CarrierDriverTBL!$AD:$AD,MATCH(LoadMaster!$AN:$AN,CarrierDriverTBL!$A:$A,0))</f>
        <v>MISSING</v>
      </c>
      <c r="BE158" s="142">
        <f>INDEX(CarrierDriverTBL!$AE:$AE,MATCH(Table1[DriverID],CarrierDriverTBL!$A:$A,0))</f>
        <v>913971</v>
      </c>
      <c r="BF158" s="142">
        <f>INDEX(CarrierDriverTBL!$AF:$AF,MATCH(Table1[DriverID],CarrierDriverTBL!$A:$A,0))</f>
        <v>2627544</v>
      </c>
      <c r="BG158" s="142">
        <f>INDEX(CarrierDriverTBL!$AG:$AG,MATCH(Table1[DriverID],CarrierDriverTBL!$A:$A,0))</f>
        <v>466133</v>
      </c>
      <c r="BH158" s="142" t="str">
        <f>INDEX(CarrierDriverTBL!$AH:$AH,MATCH(Table1[DriverID],CarrierDriverTBL!$A:$A,0))</f>
        <v>GM Lawrence Ins</v>
      </c>
      <c r="BI158" s="142" t="str">
        <f>INDEX(CarrierDriverTBL!$AI:$AI,MATCH(Table1[DriverID],CarrierDriverTBL!$A:$A,0))</f>
        <v>DSK2842P160210</v>
      </c>
      <c r="BJ158" s="160">
        <f>INDEX(CarrierDriverTBL!$AJ:$AJ,MATCH(Table1[[#This Row],[DriverID]],CarrierDriverTBL!$A:$A,0))</f>
        <v>42778</v>
      </c>
      <c r="BK158" s="10">
        <f t="shared" si="68"/>
        <v>461</v>
      </c>
      <c r="BL158" s="174">
        <v>725</v>
      </c>
      <c r="BM158" s="144">
        <v>280</v>
      </c>
      <c r="BN158" s="159">
        <f t="shared" si="85"/>
        <v>2.5892857142857144</v>
      </c>
      <c r="BO158" s="167">
        <v>675</v>
      </c>
      <c r="BP158" s="159">
        <f t="shared" si="86"/>
        <v>2.4107142857142856</v>
      </c>
      <c r="BQ158" s="133">
        <v>2.7989999999999999</v>
      </c>
      <c r="BR158" s="166">
        <f t="shared" si="87"/>
        <v>0.14983333333333335</v>
      </c>
      <c r="BS158" s="167">
        <f t="shared" si="69"/>
        <v>2.2608809523809521</v>
      </c>
      <c r="BT158" s="159">
        <f t="shared" si="70"/>
        <v>41.95333333333334</v>
      </c>
      <c r="BU158" s="10" t="str">
        <f t="shared" si="71"/>
        <v>Ch Robinson</v>
      </c>
      <c r="BV158" s="4"/>
      <c r="BW158" s="4" t="str">
        <f>Table1[[#This Row],[BrokerAddress]]</f>
        <v>P.O. Box 3474</v>
      </c>
      <c r="BX158" s="4" t="str">
        <f t="shared" si="72"/>
        <v>Chicago</v>
      </c>
      <c r="BY158" s="4" t="str">
        <f t="shared" si="73"/>
        <v>Il</v>
      </c>
      <c r="BZ158" s="4">
        <f t="shared" si="74"/>
        <v>60654</v>
      </c>
      <c r="CA158" s="10" t="str">
        <f t="shared" si="75"/>
        <v>US</v>
      </c>
      <c r="CB158" s="15" t="s">
        <v>131</v>
      </c>
      <c r="CC158" s="62"/>
      <c r="CD158" s="15" t="s">
        <v>1286</v>
      </c>
      <c r="CE158" s="64">
        <v>70</v>
      </c>
      <c r="CF158" s="4">
        <v>1</v>
      </c>
      <c r="CG158" s="132">
        <f t="shared" si="76"/>
        <v>70</v>
      </c>
      <c r="CH158" s="4" t="s">
        <v>132</v>
      </c>
      <c r="CI158" s="5">
        <v>0</v>
      </c>
      <c r="CJ158" s="4">
        <v>0</v>
      </c>
      <c r="CK158" s="132">
        <f t="shared" si="77"/>
        <v>0</v>
      </c>
      <c r="CL158" s="4" t="s">
        <v>132</v>
      </c>
      <c r="CM158" s="5">
        <v>0</v>
      </c>
      <c r="CN158" s="4">
        <v>0</v>
      </c>
      <c r="CO158" s="132">
        <f t="shared" si="78"/>
        <v>0</v>
      </c>
      <c r="CP158" s="4" t="s">
        <v>132</v>
      </c>
      <c r="CQ158" s="5">
        <v>0</v>
      </c>
      <c r="CR158" s="4">
        <v>0</v>
      </c>
      <c r="CS158" s="132">
        <f t="shared" si="79"/>
        <v>0</v>
      </c>
      <c r="CT158" s="159">
        <f t="shared" si="80"/>
        <v>70</v>
      </c>
      <c r="CU158" s="168">
        <f t="shared" si="81"/>
        <v>795</v>
      </c>
      <c r="CV158" s="183">
        <f t="shared" si="65"/>
        <v>70</v>
      </c>
      <c r="CW158" s="82">
        <f t="shared" si="88"/>
        <v>745</v>
      </c>
      <c r="CX158" s="79">
        <f>IF(ISBLANK(E158),"AddQuickPay",IF(E158=2,CU158*0.98,IF(E158=2.4,CU158*0.976,IF(E158=3,CU158*0.97,IF(E158=5,CU158*0.95,IF(E158=1.5,CU158*0.985,IF(E158=2.5,CU158*0.975,IF(E158=1.3,CU158*0.987,IF(E158=1,CU158*0.99,IF(E158=4,CU158*0.96,CU158*1))))))))))-Table1[[#This Row],[ComCheck+QuickPayFee]]</f>
        <v>779.1</v>
      </c>
      <c r="CY158" s="5">
        <f t="shared" si="82"/>
        <v>50</v>
      </c>
      <c r="CZ158" s="5">
        <f t="shared" si="83"/>
        <v>15.9</v>
      </c>
      <c r="DA158" s="258">
        <f>Table1[[#This Row],[OriginalDispatch]]-Table1[[#This Row],[QuickPayCharge]]</f>
        <v>34.1</v>
      </c>
      <c r="DB158" s="5">
        <v>0</v>
      </c>
      <c r="DC158" s="5" t="s">
        <v>1287</v>
      </c>
      <c r="DD158" s="104">
        <f t="shared" si="84"/>
        <v>42321</v>
      </c>
      <c r="DE158" s="15">
        <f>MONTH(Table1[[#This Row],[Weekending]])</f>
        <v>11</v>
      </c>
      <c r="DF158" s="15">
        <f>YEAR(Table1[[#This Row],[Weekending]])</f>
        <v>2015</v>
      </c>
      <c r="DG158" s="4"/>
    </row>
    <row r="159" spans="1:111">
      <c r="A159" s="20" t="str">
        <f t="shared" si="66"/>
        <v>60esnk88</v>
      </c>
      <c r="B159" s="146">
        <v>42317</v>
      </c>
      <c r="C159" s="144">
        <v>185780860</v>
      </c>
      <c r="D159" s="298" t="s">
        <v>111</v>
      </c>
      <c r="E159" s="298">
        <v>2</v>
      </c>
      <c r="F159" s="142" t="str">
        <f>INDEX(BrokerTBL!$B:$B,MATCH(D159,BrokerTBL!$A:$A,0))</f>
        <v>P.O. Box 3474</v>
      </c>
      <c r="G159" s="142" t="str">
        <f>INDEX(BrokerTBL!$C:$C,MATCH(D159,BrokerTBL!$A:$A,0))</f>
        <v>Chicago</v>
      </c>
      <c r="H159" s="142" t="str">
        <f>INDEX(BrokerTBL!$D:$D,MATCH(D159,BrokerTBL!$A:$A,0))</f>
        <v>Il</v>
      </c>
      <c r="I159" s="142" t="str">
        <f>INDEX(BrokerTBL!$E:$E,MATCH(D159,BrokerTBL!$A:$A,0))</f>
        <v>US</v>
      </c>
      <c r="J159" s="142">
        <f>INDEX(BrokerTBL!$F:$F,MATCH(D159,BrokerTBL!$A:$A,0))</f>
        <v>60654</v>
      </c>
      <c r="K159" s="298" t="s">
        <v>1282</v>
      </c>
      <c r="L159" s="145" t="s">
        <v>1283</v>
      </c>
      <c r="M159" s="146">
        <v>42317</v>
      </c>
      <c r="N159" s="144" t="s">
        <v>629</v>
      </c>
      <c r="O159" s="298" t="s">
        <v>1070</v>
      </c>
      <c r="P159" s="298" t="s">
        <v>366</v>
      </c>
      <c r="Q159" s="298" t="s">
        <v>139</v>
      </c>
      <c r="R159" s="298">
        <v>95776</v>
      </c>
      <c r="S159" s="298" t="s">
        <v>118</v>
      </c>
      <c r="T159" s="298" t="s">
        <v>136</v>
      </c>
      <c r="U159" s="298" t="s">
        <v>120</v>
      </c>
      <c r="V159" s="298">
        <v>53</v>
      </c>
      <c r="W159" s="298" t="s">
        <v>944</v>
      </c>
      <c r="X159" s="144">
        <v>30000</v>
      </c>
      <c r="Y159" s="298" t="s">
        <v>26</v>
      </c>
      <c r="Z159" s="298" t="s">
        <v>123</v>
      </c>
      <c r="AA159" s="298" t="s">
        <v>123</v>
      </c>
      <c r="AB159" s="298" t="s">
        <v>123</v>
      </c>
      <c r="AC159" s="298" t="s">
        <v>1284</v>
      </c>
      <c r="AD159" s="145" t="s">
        <v>1179</v>
      </c>
      <c r="AE159" s="146">
        <v>42318</v>
      </c>
      <c r="AF159" s="416" t="s">
        <v>123</v>
      </c>
      <c r="AG159" s="298" t="s">
        <v>1285</v>
      </c>
      <c r="AH159" s="298" t="s">
        <v>429</v>
      </c>
      <c r="AI159" s="298" t="s">
        <v>139</v>
      </c>
      <c r="AJ159" s="298">
        <v>93446</v>
      </c>
      <c r="AK159" s="298" t="s">
        <v>118</v>
      </c>
      <c r="AL159" s="298" t="s">
        <v>123</v>
      </c>
      <c r="AM159" s="142" t="str">
        <f>INDEX(CarrierDriverTBL!$B:$B,MATCH(Table1[[#This Row],[DriverID]],CarrierDriverTBL!$A:$A,0))</f>
        <v>UBTrucking</v>
      </c>
      <c r="AN159" s="10" t="s">
        <v>948</v>
      </c>
      <c r="AO159" s="10" t="str">
        <f>INDEX(CarrierDriverTBL!$C:$C,MATCH(Table1[[#This Row],[DriverID]],CarrierDriverTBL!$A:$A,0))</f>
        <v>Wesley</v>
      </c>
      <c r="AP159" s="10" t="str">
        <f>INDEX(CarrierDriverTBL!$D:$D,MATCH(Table1[[#This Row],[DriverID]],CarrierDriverTBL!$A:$A,0))</f>
        <v>Cousain</v>
      </c>
      <c r="AQ159" s="10" t="str">
        <f>INDEX(CarrierDriverTBL!$X:$X,MATCH(Table1[[#This Row],[DriverID]],CarrierDriverTBL!$A:$A,0))</f>
        <v>D4903588</v>
      </c>
      <c r="AR159" s="11">
        <f>INDEX(CarrierDriverTBL!$Y:$Y,MATCH(Table1[[#This Row],[DriverID]],CarrierDriverTBL!$A:$A,0))</f>
        <v>43458</v>
      </c>
      <c r="AS159" s="142" t="str">
        <f t="shared" si="67"/>
        <v>GOOD</v>
      </c>
      <c r="AT159" s="11">
        <f>INDEX(CarrierDriverTBL!$E:$E,MATCH(Table1[[#This Row],[DriverID]],CarrierDriverTBL!$A:$A,0))</f>
        <v>31405</v>
      </c>
      <c r="AU159" s="163">
        <f ca="1">INDEX(CarrierDriverTBL!$F:$F,MATCH(Table1[[#This Row],[DriverID]],CarrierDriverTBL!$A:$A,0))</f>
        <v>30.605479452054794</v>
      </c>
      <c r="AV159" s="10" t="str">
        <f>INDEX(CarrierDriverTBL!$K:$K,MATCH(Table1[[#This Row],[DriverID]],CarrierDriverTBL!$A:$A,0))</f>
        <v>925-383-5364</v>
      </c>
      <c r="AW159" s="10" t="str">
        <f>INDEX(CarrierDriverTBL!$M:$M,MATCH(Table1[[#This Row],[DriverID]],CarrierDriverTBL!$A:$A,0))</f>
        <v>110 Cordova Ln</v>
      </c>
      <c r="AX159" s="10" t="str">
        <f>INDEX(CarrierDriverTBL!$N:$N,MATCH(Table1[[#This Row],[DriverID]],CarrierDriverTBL!$A:$A,0))</f>
        <v>Stockton</v>
      </c>
      <c r="AY159" s="10" t="str">
        <f>INDEX(CarrierDriverTBL!$O:$O,MATCH(Table1[[#This Row],[DriverID]],CarrierDriverTBL!$A:$A,0))</f>
        <v>CA</v>
      </c>
      <c r="AZ159" s="10">
        <f>INDEX(CarrierDriverTBL!$P:$P,MATCH(Table1[[#This Row],[DriverID]],CarrierDriverTBL!$A:$A,0))</f>
        <v>95207</v>
      </c>
      <c r="BA159" s="10" t="str">
        <f>INDEX(CarrierDriverTBL!$Q:$Q,MATCH(Table1[[#This Row],[DriverID]],CarrierDriverTBL!$A:$A,0))</f>
        <v>US</v>
      </c>
      <c r="BB159" s="173" t="str">
        <f>INDEX(CarrierDriverTBL!$R:$R,MATCH(Table1[[#This Row],[DriverID]],CarrierDriverTBL!$A:$A,0))</f>
        <v>wesleycousain1@gmail.com</v>
      </c>
      <c r="BC159" s="160">
        <f>INDEX(CarrierDriverTBL!$AB:$AB,MATCH(Table1[[#This Row],[DriverID]],CarrierDriverTBL!$A:$A,0))</f>
        <v>42271</v>
      </c>
      <c r="BD159" s="142" t="str">
        <f ca="1">INDEX(CarrierDriverTBL!$AD:$AD,MATCH(LoadMaster!$AN:$AN,CarrierDriverTBL!$A:$A,0))</f>
        <v>MISSING</v>
      </c>
      <c r="BE159" s="142">
        <f>INDEX(CarrierDriverTBL!$AE:$AE,MATCH(Table1[DriverID],CarrierDriverTBL!$A:$A,0))</f>
        <v>913971</v>
      </c>
      <c r="BF159" s="142">
        <f>INDEX(CarrierDriverTBL!$AF:$AF,MATCH(Table1[DriverID],CarrierDriverTBL!$A:$A,0))</f>
        <v>2627544</v>
      </c>
      <c r="BG159" s="142">
        <f>INDEX(CarrierDriverTBL!$AG:$AG,MATCH(Table1[DriverID],CarrierDriverTBL!$A:$A,0))</f>
        <v>466133</v>
      </c>
      <c r="BH159" s="142" t="str">
        <f>INDEX(CarrierDriverTBL!$AH:$AH,MATCH(Table1[DriverID],CarrierDriverTBL!$A:$A,0))</f>
        <v>GM Lawrence Ins</v>
      </c>
      <c r="BI159" s="142" t="str">
        <f>INDEX(CarrierDriverTBL!$AI:$AI,MATCH(Table1[DriverID],CarrierDriverTBL!$A:$A,0))</f>
        <v>DSK2842P160210</v>
      </c>
      <c r="BJ159" s="160">
        <f>INDEX(CarrierDriverTBL!$AJ:$AJ,MATCH(Table1[[#This Row],[DriverID]],CarrierDriverTBL!$A:$A,0))</f>
        <v>42778</v>
      </c>
      <c r="BK159" s="10">
        <f t="shared" si="68"/>
        <v>461</v>
      </c>
      <c r="BL159" s="174">
        <v>725</v>
      </c>
      <c r="BM159" s="144">
        <v>280</v>
      </c>
      <c r="BN159" s="159">
        <f t="shared" si="85"/>
        <v>2.5892857142857144</v>
      </c>
      <c r="BO159" s="167">
        <f>0.93*725</f>
        <v>674.25</v>
      </c>
      <c r="BP159" s="159">
        <f t="shared" si="86"/>
        <v>2.4080357142857145</v>
      </c>
      <c r="BQ159" s="133">
        <v>2.7989999999999999</v>
      </c>
      <c r="BR159" s="166">
        <f t="shared" si="87"/>
        <v>0.14983333333333335</v>
      </c>
      <c r="BS159" s="167">
        <f t="shared" si="69"/>
        <v>2.258202380952381</v>
      </c>
      <c r="BT159" s="159">
        <f t="shared" si="70"/>
        <v>41.95333333333334</v>
      </c>
      <c r="BU159" s="10" t="str">
        <f t="shared" si="71"/>
        <v>Ch Robinson</v>
      </c>
      <c r="BV159" s="4"/>
      <c r="BW159" s="4" t="str">
        <f>Table1[[#This Row],[BrokerAddress]]</f>
        <v>P.O. Box 3474</v>
      </c>
      <c r="BX159" s="4" t="str">
        <f t="shared" si="72"/>
        <v>Chicago</v>
      </c>
      <c r="BY159" s="4" t="str">
        <f t="shared" si="73"/>
        <v>Il</v>
      </c>
      <c r="BZ159" s="4">
        <f t="shared" si="74"/>
        <v>60654</v>
      </c>
      <c r="CA159" s="10" t="str">
        <f t="shared" si="75"/>
        <v>US</v>
      </c>
      <c r="CB159" s="15" t="s">
        <v>131</v>
      </c>
      <c r="CC159" s="62"/>
      <c r="CD159" s="15" t="s">
        <v>1286</v>
      </c>
      <c r="CE159" s="64">
        <v>70</v>
      </c>
      <c r="CF159" s="4">
        <v>1</v>
      </c>
      <c r="CG159" s="132">
        <f t="shared" si="76"/>
        <v>70</v>
      </c>
      <c r="CH159" s="4" t="s">
        <v>132</v>
      </c>
      <c r="CI159" s="5">
        <v>0</v>
      </c>
      <c r="CJ159" s="4">
        <v>0</v>
      </c>
      <c r="CK159" s="132">
        <f t="shared" si="77"/>
        <v>0</v>
      </c>
      <c r="CL159" s="4" t="s">
        <v>132</v>
      </c>
      <c r="CM159" s="5">
        <v>0</v>
      </c>
      <c r="CN159" s="4">
        <v>0</v>
      </c>
      <c r="CO159" s="132">
        <f t="shared" si="78"/>
        <v>0</v>
      </c>
      <c r="CP159" s="4" t="s">
        <v>132</v>
      </c>
      <c r="CQ159" s="5">
        <v>0</v>
      </c>
      <c r="CR159" s="4">
        <v>0</v>
      </c>
      <c r="CS159" s="132">
        <f t="shared" si="79"/>
        <v>0</v>
      </c>
      <c r="CT159" s="159">
        <f t="shared" si="80"/>
        <v>70</v>
      </c>
      <c r="CU159" s="168">
        <f t="shared" si="81"/>
        <v>795</v>
      </c>
      <c r="CV159" s="183">
        <f t="shared" si="65"/>
        <v>70</v>
      </c>
      <c r="CW159" s="82">
        <f t="shared" si="88"/>
        <v>744.25</v>
      </c>
      <c r="CX159" s="79">
        <f>IF(ISBLANK(E159),"AddQuickPay",IF(E159=2,CU159*0.98,IF(E159=2.4,CU159*0.976,IF(E159=3,CU159*0.97,IF(E159=5,CU159*0.95,IF(E159=1.5,CU159*0.985,IF(E159=2.5,CU159*0.975,IF(E159=1.3,CU159*0.987,IF(E159=1,CU159*0.99,IF(E159=4,CU159*0.96,CU159*1))))))))))-Table1[[#This Row],[ComCheck+QuickPayFee]]</f>
        <v>779.1</v>
      </c>
      <c r="CY159" s="5">
        <f t="shared" si="82"/>
        <v>50.75</v>
      </c>
      <c r="CZ159" s="5">
        <f t="shared" si="83"/>
        <v>15.9</v>
      </c>
      <c r="DA159" s="258">
        <f>Table1[[#This Row],[OriginalDispatch]]-Table1[[#This Row],[QuickPayCharge]]</f>
        <v>34.85</v>
      </c>
      <c r="DB159" s="5">
        <v>0</v>
      </c>
      <c r="DC159" s="5" t="s">
        <v>1287</v>
      </c>
      <c r="DD159" s="104">
        <f t="shared" si="84"/>
        <v>42321</v>
      </c>
      <c r="DE159" s="15">
        <f>MONTH(Table1[[#This Row],[Weekending]])</f>
        <v>11</v>
      </c>
      <c r="DF159" s="15">
        <f>YEAR(Table1[[#This Row],[Weekending]])</f>
        <v>2015</v>
      </c>
      <c r="DG159" s="4"/>
    </row>
    <row r="160" spans="1:111">
      <c r="A160" s="20" t="str">
        <f t="shared" si="66"/>
        <v>62nkne88</v>
      </c>
      <c r="B160" s="146">
        <v>42318</v>
      </c>
      <c r="C160" s="144">
        <v>185821062</v>
      </c>
      <c r="D160" s="298" t="s">
        <v>111</v>
      </c>
      <c r="E160" s="298">
        <v>2</v>
      </c>
      <c r="F160" s="142" t="str">
        <f>INDEX(BrokerTBL!$B:$B,MATCH(D160,BrokerTBL!$A:$A,0))</f>
        <v>P.O. Box 3474</v>
      </c>
      <c r="G160" s="142" t="str">
        <f>INDEX(BrokerTBL!$C:$C,MATCH(D160,BrokerTBL!$A:$A,0))</f>
        <v>Chicago</v>
      </c>
      <c r="H160" s="142" t="str">
        <f>INDEX(BrokerTBL!$D:$D,MATCH(D160,BrokerTBL!$A:$A,0))</f>
        <v>Il</v>
      </c>
      <c r="I160" s="142" t="str">
        <f>INDEX(BrokerTBL!$E:$E,MATCH(D160,BrokerTBL!$A:$A,0))</f>
        <v>US</v>
      </c>
      <c r="J160" s="142">
        <f>INDEX(BrokerTBL!$F:$F,MATCH(D160,BrokerTBL!$A:$A,0))</f>
        <v>60654</v>
      </c>
      <c r="K160" s="298" t="s">
        <v>1288</v>
      </c>
      <c r="L160" s="145" t="s">
        <v>1179</v>
      </c>
      <c r="M160" s="146">
        <v>42318</v>
      </c>
      <c r="N160" s="182">
        <v>0.29166666666666702</v>
      </c>
      <c r="O160" s="298" t="s">
        <v>1289</v>
      </c>
      <c r="P160" s="298" t="s">
        <v>634</v>
      </c>
      <c r="Q160" s="298" t="s">
        <v>139</v>
      </c>
      <c r="R160" s="298">
        <v>93458</v>
      </c>
      <c r="S160" s="298" t="s">
        <v>118</v>
      </c>
      <c r="T160" s="298" t="s">
        <v>136</v>
      </c>
      <c r="U160" s="298" t="s">
        <v>120</v>
      </c>
      <c r="V160" s="298">
        <v>53</v>
      </c>
      <c r="W160" s="298" t="s">
        <v>1290</v>
      </c>
      <c r="X160" s="144">
        <v>12000</v>
      </c>
      <c r="Y160" s="298" t="s">
        <v>26</v>
      </c>
      <c r="Z160" s="298">
        <v>19</v>
      </c>
      <c r="AA160" s="298" t="s">
        <v>123</v>
      </c>
      <c r="AB160" s="298" t="s">
        <v>123</v>
      </c>
      <c r="AC160" s="298" t="s">
        <v>1291</v>
      </c>
      <c r="AD160" s="145" t="s">
        <v>132</v>
      </c>
      <c r="AE160" s="146">
        <v>42318</v>
      </c>
      <c r="AF160" s="298" t="s">
        <v>1055</v>
      </c>
      <c r="AG160" s="298" t="s">
        <v>1292</v>
      </c>
      <c r="AH160" s="298" t="s">
        <v>1293</v>
      </c>
      <c r="AI160" s="298" t="s">
        <v>139</v>
      </c>
      <c r="AJ160" s="298">
        <v>92614</v>
      </c>
      <c r="AK160" s="298" t="s">
        <v>118</v>
      </c>
      <c r="AL160" s="298" t="s">
        <v>123</v>
      </c>
      <c r="AM160" s="142" t="str">
        <f>INDEX(CarrierDriverTBL!$B:$B,MATCH(Table1[[#This Row],[DriverID]],CarrierDriverTBL!$A:$A,0))</f>
        <v>UBTrucking</v>
      </c>
      <c r="AN160" s="10" t="s">
        <v>948</v>
      </c>
      <c r="AO160" s="10" t="str">
        <f>INDEX(CarrierDriverTBL!$C:$C,MATCH(Table1[[#This Row],[DriverID]],CarrierDriverTBL!$A:$A,0))</f>
        <v>Wesley</v>
      </c>
      <c r="AP160" s="10" t="str">
        <f>INDEX(CarrierDriverTBL!$D:$D,MATCH(Table1[[#This Row],[DriverID]],CarrierDriverTBL!$A:$A,0))</f>
        <v>Cousain</v>
      </c>
      <c r="AQ160" s="10" t="str">
        <f>INDEX(CarrierDriverTBL!$X:$X,MATCH(Table1[[#This Row],[DriverID]],CarrierDriverTBL!$A:$A,0))</f>
        <v>D4903588</v>
      </c>
      <c r="AR160" s="11">
        <f>INDEX(CarrierDriverTBL!$Y:$Y,MATCH(Table1[[#This Row],[DriverID]],CarrierDriverTBL!$A:$A,0))</f>
        <v>43458</v>
      </c>
      <c r="AS160" s="142" t="str">
        <f t="shared" si="67"/>
        <v>GOOD</v>
      </c>
      <c r="AT160" s="11">
        <f>INDEX(CarrierDriverTBL!$E:$E,MATCH(Table1[[#This Row],[DriverID]],CarrierDriverTBL!$A:$A,0))</f>
        <v>31405</v>
      </c>
      <c r="AU160" s="163">
        <f ca="1">INDEX(CarrierDriverTBL!$F:$F,MATCH(Table1[[#This Row],[DriverID]],CarrierDriverTBL!$A:$A,0))</f>
        <v>30.605479452054794</v>
      </c>
      <c r="AV160" s="10" t="str">
        <f>INDEX(CarrierDriverTBL!$K:$K,MATCH(Table1[[#This Row],[DriverID]],CarrierDriverTBL!$A:$A,0))</f>
        <v>925-383-5364</v>
      </c>
      <c r="AW160" s="10" t="str">
        <f>INDEX(CarrierDriverTBL!$M:$M,MATCH(Table1[[#This Row],[DriverID]],CarrierDriverTBL!$A:$A,0))</f>
        <v>110 Cordova Ln</v>
      </c>
      <c r="AX160" s="10" t="str">
        <f>INDEX(CarrierDriverTBL!$N:$N,MATCH(Table1[[#This Row],[DriverID]],CarrierDriverTBL!$A:$A,0))</f>
        <v>Stockton</v>
      </c>
      <c r="AY160" s="10" t="str">
        <f>INDEX(CarrierDriverTBL!$O:$O,MATCH(Table1[[#This Row],[DriverID]],CarrierDriverTBL!$A:$A,0))</f>
        <v>CA</v>
      </c>
      <c r="AZ160" s="10">
        <f>INDEX(CarrierDriverTBL!$P:$P,MATCH(Table1[[#This Row],[DriverID]],CarrierDriverTBL!$A:$A,0))</f>
        <v>95207</v>
      </c>
      <c r="BA160" s="10" t="str">
        <f>INDEX(CarrierDriverTBL!$Q:$Q,MATCH(Table1[[#This Row],[DriverID]],CarrierDriverTBL!$A:$A,0))</f>
        <v>US</v>
      </c>
      <c r="BB160" s="173" t="str">
        <f>INDEX(CarrierDriverTBL!$R:$R,MATCH(Table1[[#This Row],[DriverID]],CarrierDriverTBL!$A:$A,0))</f>
        <v>wesleycousain1@gmail.com</v>
      </c>
      <c r="BC160" s="160">
        <f>INDEX(CarrierDriverTBL!$AB:$AB,MATCH(Table1[[#This Row],[DriverID]],CarrierDriverTBL!$A:$A,0))</f>
        <v>42271</v>
      </c>
      <c r="BD160" s="142" t="str">
        <f ca="1">INDEX(CarrierDriverTBL!$AD:$AD,MATCH(LoadMaster!$AN:$AN,CarrierDriverTBL!$A:$A,0))</f>
        <v>MISSING</v>
      </c>
      <c r="BE160" s="142">
        <f>INDEX(CarrierDriverTBL!$AE:$AE,MATCH(Table1[DriverID],CarrierDriverTBL!$A:$A,0))</f>
        <v>913971</v>
      </c>
      <c r="BF160" s="142">
        <f>INDEX(CarrierDriverTBL!$AF:$AF,MATCH(Table1[DriverID],CarrierDriverTBL!$A:$A,0))</f>
        <v>2627544</v>
      </c>
      <c r="BG160" s="142">
        <f>INDEX(CarrierDriverTBL!$AG:$AG,MATCH(Table1[DriverID],CarrierDriverTBL!$A:$A,0))</f>
        <v>466133</v>
      </c>
      <c r="BH160" s="142" t="str">
        <f>INDEX(CarrierDriverTBL!$AH:$AH,MATCH(Table1[DriverID],CarrierDriverTBL!$A:$A,0))</f>
        <v>GM Lawrence Ins</v>
      </c>
      <c r="BI160" s="142" t="str">
        <f>INDEX(CarrierDriverTBL!$AI:$AI,MATCH(Table1[DriverID],CarrierDriverTBL!$A:$A,0))</f>
        <v>DSK2842P160210</v>
      </c>
      <c r="BJ160" s="160">
        <f>INDEX(CarrierDriverTBL!$AJ:$AJ,MATCH(Table1[[#This Row],[DriverID]],CarrierDriverTBL!$A:$A,0))</f>
        <v>42778</v>
      </c>
      <c r="BK160" s="10">
        <f t="shared" si="68"/>
        <v>460</v>
      </c>
      <c r="BL160" s="174">
        <v>350</v>
      </c>
      <c r="BM160" s="144">
        <v>210</v>
      </c>
      <c r="BN160" s="159">
        <f t="shared" si="85"/>
        <v>1.6666666666666667</v>
      </c>
      <c r="BO160" s="167">
        <f>0.93*350</f>
        <v>325.5</v>
      </c>
      <c r="BP160" s="159">
        <f t="shared" si="86"/>
        <v>1.55</v>
      </c>
      <c r="BQ160" s="133">
        <v>2.7989999999999999</v>
      </c>
      <c r="BR160" s="166">
        <f t="shared" si="87"/>
        <v>0.14983333333333335</v>
      </c>
      <c r="BS160" s="167">
        <f t="shared" si="69"/>
        <v>1.4001666666666668</v>
      </c>
      <c r="BT160" s="159">
        <f t="shared" si="70"/>
        <v>31.465000000000003</v>
      </c>
      <c r="BU160" s="10" t="str">
        <f t="shared" si="71"/>
        <v>Ch Robinson</v>
      </c>
      <c r="BV160" s="4"/>
      <c r="BW160" s="4" t="str">
        <f>Table1[[#This Row],[BrokerAddress]]</f>
        <v>P.O. Box 3474</v>
      </c>
      <c r="BX160" s="4" t="str">
        <f t="shared" si="72"/>
        <v>Chicago</v>
      </c>
      <c r="BY160" s="4" t="str">
        <f t="shared" si="73"/>
        <v>Il</v>
      </c>
      <c r="BZ160" s="4">
        <f t="shared" si="74"/>
        <v>60654</v>
      </c>
      <c r="CA160" s="10" t="str">
        <f t="shared" si="75"/>
        <v>US</v>
      </c>
      <c r="CB160" s="15" t="s">
        <v>131</v>
      </c>
      <c r="CC160" s="62"/>
      <c r="CD160" s="15" t="s">
        <v>132</v>
      </c>
      <c r="CE160" s="64">
        <v>0</v>
      </c>
      <c r="CF160" s="4">
        <v>0</v>
      </c>
      <c r="CG160" s="132">
        <f t="shared" si="76"/>
        <v>0</v>
      </c>
      <c r="CH160" s="4" t="s">
        <v>132</v>
      </c>
      <c r="CI160" s="5">
        <v>0</v>
      </c>
      <c r="CJ160" s="4">
        <v>0</v>
      </c>
      <c r="CK160" s="132">
        <f t="shared" si="77"/>
        <v>0</v>
      </c>
      <c r="CL160" s="4" t="s">
        <v>132</v>
      </c>
      <c r="CM160" s="5">
        <v>0</v>
      </c>
      <c r="CN160" s="4">
        <v>0</v>
      </c>
      <c r="CO160" s="132">
        <f t="shared" si="78"/>
        <v>0</v>
      </c>
      <c r="CP160" s="4" t="s">
        <v>132</v>
      </c>
      <c r="CQ160" s="5">
        <v>0</v>
      </c>
      <c r="CR160" s="4">
        <v>0</v>
      </c>
      <c r="CS160" s="132">
        <f t="shared" si="79"/>
        <v>0</v>
      </c>
      <c r="CT160" s="159">
        <f t="shared" si="80"/>
        <v>0</v>
      </c>
      <c r="CU160" s="168">
        <f t="shared" si="81"/>
        <v>350</v>
      </c>
      <c r="CV160" s="183">
        <f t="shared" si="65"/>
        <v>0</v>
      </c>
      <c r="CW160" s="82">
        <f t="shared" si="88"/>
        <v>325.5</v>
      </c>
      <c r="CX160" s="79">
        <f>IF(ISBLANK(E160),"AddQuickPay",IF(E160=2,CU160*0.98,IF(E160=2.4,CU160*0.976,IF(E160=3,CU160*0.97,IF(E160=5,CU160*0.95,IF(E160=1.5,CU160*0.985,IF(E160=2.5,CU160*0.975,IF(E160=1.3,CU160*0.987,IF(E160=1,CU160*0.99,IF(E160=4,CU160*0.96,CU160*1))))))))))-Table1[[#This Row],[ComCheck+QuickPayFee]]</f>
        <v>343</v>
      </c>
      <c r="CY160" s="5">
        <f t="shared" si="82"/>
        <v>24.5</v>
      </c>
      <c r="CZ160" s="5">
        <f t="shared" si="83"/>
        <v>7</v>
      </c>
      <c r="DA160" s="258">
        <f>Table1[[#This Row],[OriginalDispatch]]-Table1[[#This Row],[QuickPayCharge]]</f>
        <v>17.5</v>
      </c>
      <c r="DB160" s="5">
        <v>0</v>
      </c>
      <c r="DC160" s="5" t="s">
        <v>1287</v>
      </c>
      <c r="DD160" s="104">
        <f t="shared" si="84"/>
        <v>42321</v>
      </c>
      <c r="DE160" s="15">
        <f>MONTH(Table1[[#This Row],[Weekending]])</f>
        <v>11</v>
      </c>
      <c r="DF160" s="15">
        <f>YEAR(Table1[[#This Row],[Weekending]])</f>
        <v>2015</v>
      </c>
      <c r="DG160" s="4"/>
    </row>
    <row r="161" spans="1:111">
      <c r="A161" s="20" t="str">
        <f t="shared" si="66"/>
        <v>74074849</v>
      </c>
      <c r="B161" s="146">
        <v>42318</v>
      </c>
      <c r="C161" s="144">
        <v>185601274</v>
      </c>
      <c r="D161" s="298" t="s">
        <v>111</v>
      </c>
      <c r="E161" s="298">
        <v>2</v>
      </c>
      <c r="F161" s="142" t="str">
        <f>INDEX(BrokerTBL!$B:$B,MATCH(D161,BrokerTBL!$A:$A,0))</f>
        <v>P.O. Box 3474</v>
      </c>
      <c r="G161" s="142" t="str">
        <f>INDEX(BrokerTBL!$C:$C,MATCH(D161,BrokerTBL!$A:$A,0))</f>
        <v>Chicago</v>
      </c>
      <c r="H161" s="142" t="str">
        <f>INDEX(BrokerTBL!$D:$D,MATCH(D161,BrokerTBL!$A:$A,0))</f>
        <v>Il</v>
      </c>
      <c r="I161" s="142" t="str">
        <f>INDEX(BrokerTBL!$E:$E,MATCH(D161,BrokerTBL!$A:$A,0))</f>
        <v>US</v>
      </c>
      <c r="J161" s="142">
        <f>INDEX(BrokerTBL!$F:$F,MATCH(D161,BrokerTBL!$A:$A,0))</f>
        <v>60654</v>
      </c>
      <c r="K161" s="298" t="s">
        <v>585</v>
      </c>
      <c r="L161" s="145">
        <v>2107</v>
      </c>
      <c r="M161" s="146">
        <v>42318</v>
      </c>
      <c r="N161" s="144" t="s">
        <v>1294</v>
      </c>
      <c r="O161" s="298" t="s">
        <v>1295</v>
      </c>
      <c r="P161" s="298" t="s">
        <v>429</v>
      </c>
      <c r="Q161" s="298" t="s">
        <v>139</v>
      </c>
      <c r="R161" s="298">
        <v>93446</v>
      </c>
      <c r="S161" s="298" t="s">
        <v>118</v>
      </c>
      <c r="T161" s="298" t="s">
        <v>136</v>
      </c>
      <c r="U161" s="298" t="s">
        <v>120</v>
      </c>
      <c r="V161" s="298">
        <v>53</v>
      </c>
      <c r="W161" s="298" t="s">
        <v>376</v>
      </c>
      <c r="X161" s="144">
        <v>27000</v>
      </c>
      <c r="Y161" s="298" t="s">
        <v>26</v>
      </c>
      <c r="Z161" s="298">
        <v>15</v>
      </c>
      <c r="AA161" s="298">
        <v>15</v>
      </c>
      <c r="AB161" s="298" t="s">
        <v>123</v>
      </c>
      <c r="AC161" s="298" t="s">
        <v>1296</v>
      </c>
      <c r="AD161" s="145" t="s">
        <v>1297</v>
      </c>
      <c r="AE161" s="146">
        <v>42319</v>
      </c>
      <c r="AF161" s="298" t="s">
        <v>1298</v>
      </c>
      <c r="AG161" s="298" t="s">
        <v>781</v>
      </c>
      <c r="AH161" s="298" t="s">
        <v>184</v>
      </c>
      <c r="AI161" s="298" t="s">
        <v>139</v>
      </c>
      <c r="AJ161" s="298">
        <v>95215</v>
      </c>
      <c r="AK161" s="298" t="s">
        <v>118</v>
      </c>
      <c r="AL161" s="298" t="s">
        <v>123</v>
      </c>
      <c r="AM161" s="142" t="str">
        <f>INDEX(CarrierDriverTBL!$B:$B,MATCH(Table1[[#This Row],[DriverID]],CarrierDriverTBL!$A:$A,0))</f>
        <v>UBTrucking</v>
      </c>
      <c r="AN161" s="10" t="s">
        <v>192</v>
      </c>
      <c r="AO161" s="10" t="str">
        <f>INDEX(CarrierDriverTBL!$C:$C,MATCH(Table1[[#This Row],[DriverID]],CarrierDriverTBL!$A:$A,0))</f>
        <v>Albel</v>
      </c>
      <c r="AP161" s="142" t="str">
        <f>INDEX(CarrierDriverTBL!$D:$D,MATCH(Table1[[#This Row],[DriverID]],CarrierDriverTBL!$A:$A,0))</f>
        <v>Chahil</v>
      </c>
      <c r="AQ161" s="142" t="str">
        <f>INDEX(CarrierDriverTBL!$X:$X,MATCH(Table1[[#This Row],[DriverID]],CarrierDriverTBL!$A:$A,0))</f>
        <v>A8390649</v>
      </c>
      <c r="AR161" s="160">
        <f>INDEX(CarrierDriverTBL!$Y:$Y,MATCH(Table1[[#This Row],[DriverID]],CarrierDriverTBL!$A:$A,0))</f>
        <v>42402</v>
      </c>
      <c r="AS161" s="142" t="str">
        <f t="shared" si="67"/>
        <v>GOOD</v>
      </c>
      <c r="AT161" s="160">
        <f>INDEX(CarrierDriverTBL!$E:$E,MATCH(Table1[[#This Row],[DriverID]],CarrierDriverTBL!$A:$A,0))</f>
        <v>22314</v>
      </c>
      <c r="AU161" s="163">
        <f ca="1">INDEX(CarrierDriverTBL!$F:$F,MATCH(Table1[[#This Row],[DriverID]],CarrierDriverTBL!$A:$A,0))</f>
        <v>55.512328767123286</v>
      </c>
      <c r="AV161" s="142" t="str">
        <f>INDEX(CarrierDriverTBL!$K:$K,MATCH(Table1[[#This Row],[DriverID]],CarrierDriverTBL!$A:$A,0))</f>
        <v>510-773-9450</v>
      </c>
      <c r="AW161" s="142" t="str">
        <f>INDEX(CarrierDriverTBL!$M:$M,MATCH(Table1[[#This Row],[DriverID]],CarrierDriverTBL!$A:$A,0))</f>
        <v>3124 Cynthia CT</v>
      </c>
      <c r="AX161" s="142" t="str">
        <f>INDEX(CarrierDriverTBL!$N:$N,MATCH(Table1[[#This Row],[DriverID]],CarrierDriverTBL!$A:$A,0))</f>
        <v>Tracy</v>
      </c>
      <c r="AY161" s="142" t="str">
        <f>INDEX(CarrierDriverTBL!$O:$O,MATCH(Table1[[#This Row],[DriverID]],CarrierDriverTBL!$A:$A,0))</f>
        <v>CA</v>
      </c>
      <c r="AZ161" s="142">
        <f>INDEX(CarrierDriverTBL!$P:$P,MATCH(Table1[[#This Row],[DriverID]],CarrierDriverTBL!$A:$A,0))</f>
        <v>95377</v>
      </c>
      <c r="BA161" s="142" t="str">
        <f>INDEX(CarrierDriverTBL!$Q:$Q,MATCH(Table1[[#This Row],[DriverID]],CarrierDriverTBL!$A:$A,0))</f>
        <v>US</v>
      </c>
      <c r="BB161" s="176" t="str">
        <f>INDEX(CarrierDriverTBL!$R:$R,MATCH(Table1[[#This Row],[DriverID]],CarrierDriverTBL!$A:$A,0))</f>
        <v>ubgollc@gmail.com</v>
      </c>
      <c r="BC161" s="160">
        <f>INDEX(CarrierDriverTBL!$AB:$AB,MATCH(Table1[[#This Row],[DriverID]],CarrierDriverTBL!$A:$A,0))</f>
        <v>42167</v>
      </c>
      <c r="BD161" s="142" t="str">
        <f ca="1">INDEX(CarrierDriverTBL!$AD:$AD,MATCH(LoadMaster!$AN:$AN,CarrierDriverTBL!$A:$A,0))</f>
        <v>MISSING</v>
      </c>
      <c r="BE161" s="142">
        <f>INDEX(CarrierDriverTBL!$AE:$AE,MATCH(Table1[DriverID],CarrierDriverTBL!$A:$A,0))</f>
        <v>913971</v>
      </c>
      <c r="BF161" s="142">
        <f>INDEX(CarrierDriverTBL!$AF:$AF,MATCH(Table1[DriverID],CarrierDriverTBL!$A:$A,0))</f>
        <v>2627544</v>
      </c>
      <c r="BG161" s="142">
        <f>INDEX(CarrierDriverTBL!$AG:$AG,MATCH(Table1[DriverID],CarrierDriverTBL!$A:$A,0))</f>
        <v>466133</v>
      </c>
      <c r="BH161" s="142" t="str">
        <f>INDEX(CarrierDriverTBL!$AH:$AH,MATCH(Table1[DriverID],CarrierDriverTBL!$A:$A,0))</f>
        <v>GM Lawrence Ins</v>
      </c>
      <c r="BI161" s="142" t="str">
        <f>INDEX(CarrierDriverTBL!$AI:$AI,MATCH(Table1[DriverID],CarrierDriverTBL!$A:$A,0))</f>
        <v>DSK2842P160210</v>
      </c>
      <c r="BJ161" s="160">
        <f>INDEX(CarrierDriverTBL!$AJ:$AJ,MATCH(Table1[[#This Row],[DriverID]],CarrierDriverTBL!$A:$A,0))</f>
        <v>42778</v>
      </c>
      <c r="BK161" s="10">
        <f t="shared" si="68"/>
        <v>460</v>
      </c>
      <c r="BL161" s="174">
        <v>675</v>
      </c>
      <c r="BM161" s="144">
        <v>228</v>
      </c>
      <c r="BN161" s="159">
        <f t="shared" si="85"/>
        <v>2.9605263157894739</v>
      </c>
      <c r="BO161" s="167">
        <v>625</v>
      </c>
      <c r="BP161" s="159">
        <f t="shared" si="86"/>
        <v>2.7412280701754388</v>
      </c>
      <c r="BQ161" s="133">
        <v>2.7989999999999999</v>
      </c>
      <c r="BR161" s="166">
        <f t="shared" si="87"/>
        <v>0.14983333333333335</v>
      </c>
      <c r="BS161" s="167">
        <f t="shared" si="69"/>
        <v>2.5913947368421053</v>
      </c>
      <c r="BT161" s="159">
        <f t="shared" si="70"/>
        <v>34.162000000000006</v>
      </c>
      <c r="BU161" s="10" t="str">
        <f t="shared" si="71"/>
        <v>Ch Robinson</v>
      </c>
      <c r="BV161" s="4"/>
      <c r="BW161" s="4" t="str">
        <f>Table1[[#This Row],[BrokerAddress]]</f>
        <v>P.O. Box 3474</v>
      </c>
      <c r="BX161" s="4" t="str">
        <f t="shared" si="72"/>
        <v>Chicago</v>
      </c>
      <c r="BY161" s="4" t="str">
        <f t="shared" si="73"/>
        <v>Il</v>
      </c>
      <c r="BZ161" s="4">
        <f t="shared" si="74"/>
        <v>60654</v>
      </c>
      <c r="CA161" s="10" t="str">
        <f t="shared" si="75"/>
        <v>US</v>
      </c>
      <c r="CB161" s="15" t="s">
        <v>131</v>
      </c>
      <c r="CC161" s="62"/>
      <c r="CD161" s="15" t="s">
        <v>1299</v>
      </c>
      <c r="CE161" s="64">
        <v>50</v>
      </c>
      <c r="CF161" s="4">
        <v>1</v>
      </c>
      <c r="CG161" s="132">
        <f t="shared" si="76"/>
        <v>50</v>
      </c>
      <c r="CH161" s="4" t="s">
        <v>1300</v>
      </c>
      <c r="CI161" s="5">
        <v>53</v>
      </c>
      <c r="CJ161" s="4">
        <v>1</v>
      </c>
      <c r="CK161" s="132">
        <f t="shared" si="77"/>
        <v>53</v>
      </c>
      <c r="CL161" s="4" t="s">
        <v>1301</v>
      </c>
      <c r="CM161" s="5">
        <v>-68</v>
      </c>
      <c r="CN161" s="4">
        <v>1</v>
      </c>
      <c r="CO161" s="132">
        <f t="shared" si="78"/>
        <v>-68</v>
      </c>
      <c r="CP161" s="4" t="s">
        <v>132</v>
      </c>
      <c r="CQ161" s="5">
        <v>0</v>
      </c>
      <c r="CR161" s="4">
        <v>0</v>
      </c>
      <c r="CS161" s="132">
        <f t="shared" si="79"/>
        <v>0</v>
      </c>
      <c r="CT161" s="159">
        <f t="shared" si="80"/>
        <v>35</v>
      </c>
      <c r="CU161" s="168">
        <f t="shared" si="81"/>
        <v>710</v>
      </c>
      <c r="CV161" s="183">
        <f t="shared" si="65"/>
        <v>35</v>
      </c>
      <c r="CW161" s="82">
        <f t="shared" si="88"/>
        <v>660</v>
      </c>
      <c r="CX161" s="79">
        <f>IF(ISBLANK(E161),"AddQuickPay",IF(E161=2,CU161*0.98,IF(E161=2.4,CU161*0.976,IF(E161=3,CU161*0.97,IF(E161=5,CU161*0.95,IF(E161=1.5,CU161*0.985,IF(E161=2.5,CU161*0.975,IF(E161=1.3,CU161*0.987,IF(E161=1,CU161*0.99,IF(E161=4,CU161*0.96,CU161*1))))))))))-Table1[[#This Row],[ComCheck+QuickPayFee]]</f>
        <v>695.8</v>
      </c>
      <c r="CY161" s="5">
        <f t="shared" si="82"/>
        <v>50</v>
      </c>
      <c r="CZ161" s="5">
        <f t="shared" si="83"/>
        <v>14.200000000000001</v>
      </c>
      <c r="DA161" s="258">
        <f>Table1[[#This Row],[OriginalDispatch]]-Table1[[#This Row],[QuickPayCharge]]</f>
        <v>35.799999999999997</v>
      </c>
      <c r="DB161" s="5">
        <v>0</v>
      </c>
      <c r="DC161" s="5" t="s">
        <v>1287</v>
      </c>
      <c r="DD161" s="104">
        <f t="shared" si="84"/>
        <v>42321</v>
      </c>
      <c r="DE161" s="15">
        <f>MONTH(Table1[[#This Row],[Weekending]])</f>
        <v>11</v>
      </c>
      <c r="DF161" s="15">
        <f>YEAR(Table1[[#This Row],[Weekending]])</f>
        <v>2015</v>
      </c>
      <c r="DG161" s="4"/>
    </row>
    <row r="162" spans="1:111">
      <c r="A162" s="20" t="str">
        <f t="shared" si="66"/>
        <v>37nenk88</v>
      </c>
      <c r="B162" s="146">
        <v>42319</v>
      </c>
      <c r="C162" s="144">
        <v>185904137</v>
      </c>
      <c r="D162" s="298" t="s">
        <v>111</v>
      </c>
      <c r="E162" s="298">
        <v>2</v>
      </c>
      <c r="F162" s="142" t="str">
        <f>INDEX(BrokerTBL!$B:$B,MATCH(D162,BrokerTBL!$A:$A,0))</f>
        <v>P.O. Box 3474</v>
      </c>
      <c r="G162" s="142" t="str">
        <f>INDEX(BrokerTBL!$C:$C,MATCH(D162,BrokerTBL!$A:$A,0))</f>
        <v>Chicago</v>
      </c>
      <c r="H162" s="142" t="str">
        <f>INDEX(BrokerTBL!$D:$D,MATCH(D162,BrokerTBL!$A:$A,0))</f>
        <v>Il</v>
      </c>
      <c r="I162" s="142" t="str">
        <f>INDEX(BrokerTBL!$E:$E,MATCH(D162,BrokerTBL!$A:$A,0))</f>
        <v>US</v>
      </c>
      <c r="J162" s="142">
        <f>INDEX(BrokerTBL!$F:$F,MATCH(D162,BrokerTBL!$A:$A,0))</f>
        <v>60654</v>
      </c>
      <c r="K162" s="298" t="s">
        <v>1302</v>
      </c>
      <c r="L162" s="145" t="s">
        <v>132</v>
      </c>
      <c r="M162" s="146">
        <v>42319</v>
      </c>
      <c r="N162" s="162" t="s">
        <v>136</v>
      </c>
      <c r="O162" s="298" t="s">
        <v>1303</v>
      </c>
      <c r="P162" s="298" t="s">
        <v>1304</v>
      </c>
      <c r="Q162" s="298" t="s">
        <v>139</v>
      </c>
      <c r="R162" s="298">
        <v>91411</v>
      </c>
      <c r="S162" s="298" t="s">
        <v>118</v>
      </c>
      <c r="T162" s="298" t="s">
        <v>136</v>
      </c>
      <c r="U162" s="298" t="s">
        <v>120</v>
      </c>
      <c r="V162" s="298">
        <v>53</v>
      </c>
      <c r="W162" s="298" t="s">
        <v>1305</v>
      </c>
      <c r="X162" s="144">
        <v>43500</v>
      </c>
      <c r="Y162" s="298" t="s">
        <v>26</v>
      </c>
      <c r="Z162" s="298" t="s">
        <v>123</v>
      </c>
      <c r="AA162" s="298">
        <v>28</v>
      </c>
      <c r="AB162" s="298" t="s">
        <v>123</v>
      </c>
      <c r="AC162" s="298" t="s">
        <v>1306</v>
      </c>
      <c r="AD162" s="145" t="s">
        <v>1179</v>
      </c>
      <c r="AE162" s="146">
        <v>42320</v>
      </c>
      <c r="AF162" s="416" t="s">
        <v>123</v>
      </c>
      <c r="AG162" s="298" t="s">
        <v>1307</v>
      </c>
      <c r="AH162" s="298" t="s">
        <v>1308</v>
      </c>
      <c r="AI162" s="298" t="s">
        <v>139</v>
      </c>
      <c r="AJ162" s="298">
        <v>94513</v>
      </c>
      <c r="AK162" s="298" t="s">
        <v>118</v>
      </c>
      <c r="AL162" s="298" t="s">
        <v>123</v>
      </c>
      <c r="AM162" s="142" t="str">
        <f>INDEX(CarrierDriverTBL!$B:$B,MATCH(Table1[[#This Row],[DriverID]],CarrierDriverTBL!$A:$A,0))</f>
        <v>UBTrucking</v>
      </c>
      <c r="AN162" s="10" t="s">
        <v>948</v>
      </c>
      <c r="AO162" s="10" t="str">
        <f>INDEX(CarrierDriverTBL!$C:$C,MATCH(Table1[[#This Row],[DriverID]],CarrierDriverTBL!$A:$A,0))</f>
        <v>Wesley</v>
      </c>
      <c r="AP162" s="10" t="str">
        <f>INDEX(CarrierDriverTBL!$D:$D,MATCH(Table1[[#This Row],[DriverID]],CarrierDriverTBL!$A:$A,0))</f>
        <v>Cousain</v>
      </c>
      <c r="AQ162" s="10" t="str">
        <f>INDEX(CarrierDriverTBL!$X:$X,MATCH(Table1[[#This Row],[DriverID]],CarrierDriverTBL!$A:$A,0))</f>
        <v>D4903588</v>
      </c>
      <c r="AR162" s="11">
        <f>INDEX(CarrierDriverTBL!$Y:$Y,MATCH(Table1[[#This Row],[DriverID]],CarrierDriverTBL!$A:$A,0))</f>
        <v>43458</v>
      </c>
      <c r="AS162" s="142" t="str">
        <f t="shared" si="67"/>
        <v>GOOD</v>
      </c>
      <c r="AT162" s="11">
        <f>INDEX(CarrierDriverTBL!$E:$E,MATCH(Table1[[#This Row],[DriverID]],CarrierDriverTBL!$A:$A,0))</f>
        <v>31405</v>
      </c>
      <c r="AU162" s="163">
        <f ca="1">INDEX(CarrierDriverTBL!$F:$F,MATCH(Table1[[#This Row],[DriverID]],CarrierDriverTBL!$A:$A,0))</f>
        <v>30.605479452054794</v>
      </c>
      <c r="AV162" s="10" t="str">
        <f>INDEX(CarrierDriverTBL!$K:$K,MATCH(Table1[[#This Row],[DriverID]],CarrierDriverTBL!$A:$A,0))</f>
        <v>925-383-5364</v>
      </c>
      <c r="AW162" s="10" t="str">
        <f>INDEX(CarrierDriverTBL!$M:$M,MATCH(Table1[[#This Row],[DriverID]],CarrierDriverTBL!$A:$A,0))</f>
        <v>110 Cordova Ln</v>
      </c>
      <c r="AX162" s="10" t="str">
        <f>INDEX(CarrierDriverTBL!$N:$N,MATCH(Table1[[#This Row],[DriverID]],CarrierDriverTBL!$A:$A,0))</f>
        <v>Stockton</v>
      </c>
      <c r="AY162" s="10" t="str">
        <f>INDEX(CarrierDriverTBL!$O:$O,MATCH(Table1[[#This Row],[DriverID]],CarrierDriverTBL!$A:$A,0))</f>
        <v>CA</v>
      </c>
      <c r="AZ162" s="10">
        <f>INDEX(CarrierDriverTBL!$P:$P,MATCH(Table1[[#This Row],[DriverID]],CarrierDriverTBL!$A:$A,0))</f>
        <v>95207</v>
      </c>
      <c r="BA162" s="10" t="str">
        <f>INDEX(CarrierDriverTBL!$Q:$Q,MATCH(Table1[[#This Row],[DriverID]],CarrierDriverTBL!$A:$A,0))</f>
        <v>US</v>
      </c>
      <c r="BB162" s="173" t="str">
        <f>INDEX(CarrierDriverTBL!$R:$R,MATCH(Table1[[#This Row],[DriverID]],CarrierDriverTBL!$A:$A,0))</f>
        <v>wesleycousain1@gmail.com</v>
      </c>
      <c r="BC162" s="160">
        <f>INDEX(CarrierDriverTBL!$AB:$AB,MATCH(Table1[[#This Row],[DriverID]],CarrierDriverTBL!$A:$A,0))</f>
        <v>42271</v>
      </c>
      <c r="BD162" s="142" t="str">
        <f ca="1">INDEX(CarrierDriverTBL!$AD:$AD,MATCH(LoadMaster!$AN:$AN,CarrierDriverTBL!$A:$A,0))</f>
        <v>MISSING</v>
      </c>
      <c r="BE162" s="142">
        <f>INDEX(CarrierDriverTBL!$AE:$AE,MATCH(Table1[DriverID],CarrierDriverTBL!$A:$A,0))</f>
        <v>913971</v>
      </c>
      <c r="BF162" s="142">
        <f>INDEX(CarrierDriverTBL!$AF:$AF,MATCH(Table1[DriverID],CarrierDriverTBL!$A:$A,0))</f>
        <v>2627544</v>
      </c>
      <c r="BG162" s="142">
        <f>INDEX(CarrierDriverTBL!$AG:$AG,MATCH(Table1[DriverID],CarrierDriverTBL!$A:$A,0))</f>
        <v>466133</v>
      </c>
      <c r="BH162" s="142" t="str">
        <f>INDEX(CarrierDriverTBL!$AH:$AH,MATCH(Table1[DriverID],CarrierDriverTBL!$A:$A,0))</f>
        <v>GM Lawrence Ins</v>
      </c>
      <c r="BI162" s="142" t="str">
        <f>INDEX(CarrierDriverTBL!$AI:$AI,MATCH(Table1[DriverID],CarrierDriverTBL!$A:$A,0))</f>
        <v>DSK2842P160210</v>
      </c>
      <c r="BJ162" s="160">
        <f>INDEX(CarrierDriverTBL!$AJ:$AJ,MATCH(Table1[[#This Row],[DriverID]],CarrierDriverTBL!$A:$A,0))</f>
        <v>42778</v>
      </c>
      <c r="BK162" s="10">
        <f t="shared" si="68"/>
        <v>459</v>
      </c>
      <c r="BL162" s="174">
        <v>750</v>
      </c>
      <c r="BM162" s="144">
        <v>334</v>
      </c>
      <c r="BN162" s="159">
        <f t="shared" si="85"/>
        <v>2.2455089820359282</v>
      </c>
      <c r="BO162" s="167">
        <f>0.93*750</f>
        <v>697.5</v>
      </c>
      <c r="BP162" s="159">
        <f t="shared" si="86"/>
        <v>2.0883233532934131</v>
      </c>
      <c r="BQ162" s="133">
        <v>2.7989999999999999</v>
      </c>
      <c r="BR162" s="166">
        <f t="shared" si="87"/>
        <v>0.14983333333333335</v>
      </c>
      <c r="BS162" s="167">
        <f t="shared" si="69"/>
        <v>1.9384900199600799</v>
      </c>
      <c r="BT162" s="159">
        <f t="shared" si="70"/>
        <v>50.044333333333334</v>
      </c>
      <c r="BU162" s="10" t="str">
        <f t="shared" si="71"/>
        <v>Ch Robinson</v>
      </c>
      <c r="BV162" s="4"/>
      <c r="BW162" s="4" t="str">
        <f>Table1[[#This Row],[BrokerAddress]]</f>
        <v>P.O. Box 3474</v>
      </c>
      <c r="BX162" s="4" t="str">
        <f t="shared" si="72"/>
        <v>Chicago</v>
      </c>
      <c r="BY162" s="4" t="str">
        <f t="shared" si="73"/>
        <v>Il</v>
      </c>
      <c r="BZ162" s="4">
        <f t="shared" si="74"/>
        <v>60654</v>
      </c>
      <c r="CA162" s="10" t="str">
        <f t="shared" si="75"/>
        <v>US</v>
      </c>
      <c r="CB162" s="15" t="s">
        <v>131</v>
      </c>
      <c r="CC162" s="62"/>
      <c r="CD162" s="15" t="s">
        <v>132</v>
      </c>
      <c r="CE162" s="64">
        <v>0</v>
      </c>
      <c r="CF162" s="4">
        <v>0</v>
      </c>
      <c r="CG162" s="132">
        <f t="shared" si="76"/>
        <v>0</v>
      </c>
      <c r="CH162" s="4" t="s">
        <v>132</v>
      </c>
      <c r="CI162" s="5">
        <v>0</v>
      </c>
      <c r="CJ162" s="4">
        <v>0</v>
      </c>
      <c r="CK162" s="132">
        <f t="shared" si="77"/>
        <v>0</v>
      </c>
      <c r="CL162" s="4" t="s">
        <v>132</v>
      </c>
      <c r="CM162" s="5">
        <v>0</v>
      </c>
      <c r="CN162" s="4">
        <v>0</v>
      </c>
      <c r="CO162" s="132">
        <f t="shared" si="78"/>
        <v>0</v>
      </c>
      <c r="CP162" s="4" t="s">
        <v>132</v>
      </c>
      <c r="CQ162" s="5">
        <v>0</v>
      </c>
      <c r="CR162" s="4">
        <v>0</v>
      </c>
      <c r="CS162" s="132">
        <f t="shared" si="79"/>
        <v>0</v>
      </c>
      <c r="CT162" s="159">
        <f t="shared" si="80"/>
        <v>0</v>
      </c>
      <c r="CU162" s="168">
        <f t="shared" si="81"/>
        <v>750</v>
      </c>
      <c r="CV162" s="183">
        <f t="shared" si="65"/>
        <v>0</v>
      </c>
      <c r="CW162" s="82">
        <f t="shared" si="88"/>
        <v>697.5</v>
      </c>
      <c r="CX162" s="79">
        <f>IF(ISBLANK(E162),"AddQuickPay",IF(E162=2,CU162*0.98,IF(E162=2.4,CU162*0.976,IF(E162=3,CU162*0.97,IF(E162=5,CU162*0.95,IF(E162=1.5,CU162*0.985,IF(E162=2.5,CU162*0.975,IF(E162=1.3,CU162*0.987,IF(E162=1,CU162*0.99,IF(E162=4,CU162*0.96,CU162*1))))))))))-Table1[[#This Row],[ComCheck+QuickPayFee]]</f>
        <v>735</v>
      </c>
      <c r="CY162" s="5">
        <f t="shared" si="82"/>
        <v>52.5</v>
      </c>
      <c r="CZ162" s="5">
        <f t="shared" si="83"/>
        <v>15</v>
      </c>
      <c r="DA162" s="258">
        <f>Table1[[#This Row],[OriginalDispatch]]-Table1[[#This Row],[QuickPayCharge]]</f>
        <v>37.5</v>
      </c>
      <c r="DB162" s="5">
        <v>0</v>
      </c>
      <c r="DC162" s="5" t="s">
        <v>1287</v>
      </c>
      <c r="DD162" s="104">
        <f t="shared" si="84"/>
        <v>42321</v>
      </c>
      <c r="DE162" s="15">
        <f>MONTH(Table1[[#This Row],[Weekending]])</f>
        <v>11</v>
      </c>
      <c r="DF162" s="15">
        <f>YEAR(Table1[[#This Row],[Weekending]])</f>
        <v>2015</v>
      </c>
      <c r="DG162" s="4"/>
    </row>
    <row r="163" spans="1:111">
      <c r="A163" s="20" t="str">
        <f t="shared" si="66"/>
        <v>05ngne88</v>
      </c>
      <c r="B163" s="146">
        <v>41590</v>
      </c>
      <c r="C163" s="144">
        <v>186116005</v>
      </c>
      <c r="D163" s="298" t="s">
        <v>111</v>
      </c>
      <c r="E163" s="298">
        <v>2</v>
      </c>
      <c r="F163" s="142" t="str">
        <f>INDEX(BrokerTBL!$B:$B,MATCH(D163,BrokerTBL!$A:$A,0))</f>
        <v>P.O. Box 3474</v>
      </c>
      <c r="G163" s="142" t="str">
        <f>INDEX(BrokerTBL!$C:$C,MATCH(D163,BrokerTBL!$A:$A,0))</f>
        <v>Chicago</v>
      </c>
      <c r="H163" s="142" t="str">
        <f>INDEX(BrokerTBL!$D:$D,MATCH(D163,BrokerTBL!$A:$A,0))</f>
        <v>Il</v>
      </c>
      <c r="I163" s="142" t="str">
        <f>INDEX(BrokerTBL!$E:$E,MATCH(D163,BrokerTBL!$A:$A,0))</f>
        <v>US</v>
      </c>
      <c r="J163" s="142">
        <f>INDEX(BrokerTBL!$F:$F,MATCH(D163,BrokerTBL!$A:$A,0))</f>
        <v>60654</v>
      </c>
      <c r="K163" s="298" t="s">
        <v>1282</v>
      </c>
      <c r="L163" s="145" t="s">
        <v>1309</v>
      </c>
      <c r="M163" s="146">
        <v>42320</v>
      </c>
      <c r="N163" s="162" t="s">
        <v>136</v>
      </c>
      <c r="O163" s="298" t="s">
        <v>943</v>
      </c>
      <c r="P163" s="298" t="s">
        <v>366</v>
      </c>
      <c r="Q163" s="298" t="s">
        <v>139</v>
      </c>
      <c r="R163" s="298">
        <v>95776</v>
      </c>
      <c r="S163" s="298" t="s">
        <v>118</v>
      </c>
      <c r="T163" s="298" t="s">
        <v>136</v>
      </c>
      <c r="U163" s="298" t="s">
        <v>120</v>
      </c>
      <c r="V163" s="298">
        <v>53</v>
      </c>
      <c r="W163" s="298" t="s">
        <v>944</v>
      </c>
      <c r="X163" s="144">
        <v>40000</v>
      </c>
      <c r="Y163" s="298" t="s">
        <v>26</v>
      </c>
      <c r="Z163" s="298" t="s">
        <v>123</v>
      </c>
      <c r="AA163" s="298" t="s">
        <v>123</v>
      </c>
      <c r="AB163" s="298" t="s">
        <v>123</v>
      </c>
      <c r="AC163" s="298" t="s">
        <v>1310</v>
      </c>
      <c r="AD163" s="145" t="s">
        <v>132</v>
      </c>
      <c r="AE163" s="146">
        <v>42321</v>
      </c>
      <c r="AF163" s="416" t="s">
        <v>123</v>
      </c>
      <c r="AG163" s="298" t="s">
        <v>1311</v>
      </c>
      <c r="AH163" s="298" t="s">
        <v>1312</v>
      </c>
      <c r="AI163" s="298" t="s">
        <v>139</v>
      </c>
      <c r="AJ163" s="298">
        <v>93452</v>
      </c>
      <c r="AK163" s="298" t="s">
        <v>118</v>
      </c>
      <c r="AL163" s="298" t="s">
        <v>123</v>
      </c>
      <c r="AM163" s="142" t="str">
        <f>INDEX(CarrierDriverTBL!$B:$B,MATCH(Table1[[#This Row],[DriverID]],CarrierDriverTBL!$A:$A,0))</f>
        <v>UBTrucking</v>
      </c>
      <c r="AN163" s="10" t="s">
        <v>948</v>
      </c>
      <c r="AO163" s="10" t="str">
        <f>INDEX(CarrierDriverTBL!$C:$C,MATCH(Table1[[#This Row],[DriverID]],CarrierDriverTBL!$A:$A,0))</f>
        <v>Wesley</v>
      </c>
      <c r="AP163" s="10" t="str">
        <f>INDEX(CarrierDriverTBL!$D:$D,MATCH(Table1[[#This Row],[DriverID]],CarrierDriverTBL!$A:$A,0))</f>
        <v>Cousain</v>
      </c>
      <c r="AQ163" s="10" t="str">
        <f>INDEX(CarrierDriverTBL!$X:$X,MATCH(Table1[[#This Row],[DriverID]],CarrierDriverTBL!$A:$A,0))</f>
        <v>D4903588</v>
      </c>
      <c r="AR163" s="11">
        <f>INDEX(CarrierDriverTBL!$Y:$Y,MATCH(Table1[[#This Row],[DriverID]],CarrierDriverTBL!$A:$A,0))</f>
        <v>43458</v>
      </c>
      <c r="AS163" s="142" t="str">
        <f t="shared" si="67"/>
        <v>GOOD</v>
      </c>
      <c r="AT163" s="11">
        <f>INDEX(CarrierDriverTBL!$E:$E,MATCH(Table1[[#This Row],[DriverID]],CarrierDriverTBL!$A:$A,0))</f>
        <v>31405</v>
      </c>
      <c r="AU163" s="163">
        <f ca="1">INDEX(CarrierDriverTBL!$F:$F,MATCH(Table1[[#This Row],[DriverID]],CarrierDriverTBL!$A:$A,0))</f>
        <v>30.605479452054794</v>
      </c>
      <c r="AV163" s="10" t="str">
        <f>INDEX(CarrierDriverTBL!$K:$K,MATCH(Table1[[#This Row],[DriverID]],CarrierDriverTBL!$A:$A,0))</f>
        <v>925-383-5364</v>
      </c>
      <c r="AW163" s="10" t="str">
        <f>INDEX(CarrierDriverTBL!$M:$M,MATCH(Table1[[#This Row],[DriverID]],CarrierDriverTBL!$A:$A,0))</f>
        <v>110 Cordova Ln</v>
      </c>
      <c r="AX163" s="10" t="str">
        <f>INDEX(CarrierDriverTBL!$N:$N,MATCH(Table1[[#This Row],[DriverID]],CarrierDriverTBL!$A:$A,0))</f>
        <v>Stockton</v>
      </c>
      <c r="AY163" s="10" t="str">
        <f>INDEX(CarrierDriverTBL!$O:$O,MATCH(Table1[[#This Row],[DriverID]],CarrierDriverTBL!$A:$A,0))</f>
        <v>CA</v>
      </c>
      <c r="AZ163" s="10">
        <f>INDEX(CarrierDriverTBL!$P:$P,MATCH(Table1[[#This Row],[DriverID]],CarrierDriverTBL!$A:$A,0))</f>
        <v>95207</v>
      </c>
      <c r="BA163" s="10" t="str">
        <f>INDEX(CarrierDriverTBL!$Q:$Q,MATCH(Table1[[#This Row],[DriverID]],CarrierDriverTBL!$A:$A,0))</f>
        <v>US</v>
      </c>
      <c r="BB163" s="173" t="str">
        <f>INDEX(CarrierDriverTBL!$R:$R,MATCH(Table1[[#This Row],[DriverID]],CarrierDriverTBL!$A:$A,0))</f>
        <v>wesleycousain1@gmail.com</v>
      </c>
      <c r="BC163" s="160">
        <f>INDEX(CarrierDriverTBL!$AB:$AB,MATCH(Table1[[#This Row],[DriverID]],CarrierDriverTBL!$A:$A,0))</f>
        <v>42271</v>
      </c>
      <c r="BD163" s="142" t="str">
        <f ca="1">INDEX(CarrierDriverTBL!$AD:$AD,MATCH(LoadMaster!$AN:$AN,CarrierDriverTBL!$A:$A,0))</f>
        <v>MISSING</v>
      </c>
      <c r="BE163" s="142">
        <f>INDEX(CarrierDriverTBL!$AE:$AE,MATCH(Table1[DriverID],CarrierDriverTBL!$A:$A,0))</f>
        <v>913971</v>
      </c>
      <c r="BF163" s="142">
        <f>INDEX(CarrierDriverTBL!$AF:$AF,MATCH(Table1[DriverID],CarrierDriverTBL!$A:$A,0))</f>
        <v>2627544</v>
      </c>
      <c r="BG163" s="142">
        <f>INDEX(CarrierDriverTBL!$AG:$AG,MATCH(Table1[DriverID],CarrierDriverTBL!$A:$A,0))</f>
        <v>466133</v>
      </c>
      <c r="BH163" s="142" t="str">
        <f>INDEX(CarrierDriverTBL!$AH:$AH,MATCH(Table1[DriverID],CarrierDriverTBL!$A:$A,0))</f>
        <v>GM Lawrence Ins</v>
      </c>
      <c r="BI163" s="142" t="str">
        <f>INDEX(CarrierDriverTBL!$AI:$AI,MATCH(Table1[DriverID],CarrierDriverTBL!$A:$A,0))</f>
        <v>DSK2842P160210</v>
      </c>
      <c r="BJ163" s="160">
        <f>INDEX(CarrierDriverTBL!$AJ:$AJ,MATCH(Table1[[#This Row],[DriverID]],CarrierDriverTBL!$A:$A,0))</f>
        <v>42778</v>
      </c>
      <c r="BK163" s="10">
        <f t="shared" si="68"/>
        <v>458</v>
      </c>
      <c r="BL163" s="174">
        <v>750</v>
      </c>
      <c r="BM163" s="144">
        <v>310</v>
      </c>
      <c r="BN163" s="159">
        <f t="shared" si="85"/>
        <v>2.4193548387096775</v>
      </c>
      <c r="BO163" s="167">
        <f>0.93*750</f>
        <v>697.5</v>
      </c>
      <c r="BP163" s="159">
        <f t="shared" si="86"/>
        <v>2.25</v>
      </c>
      <c r="BQ163" s="133">
        <v>2.7989999999999999</v>
      </c>
      <c r="BR163" s="166">
        <f t="shared" si="87"/>
        <v>0.14983333333333335</v>
      </c>
      <c r="BS163" s="167">
        <f t="shared" si="69"/>
        <v>2.1001666666666665</v>
      </c>
      <c r="BT163" s="159">
        <f t="shared" si="70"/>
        <v>46.448333333333338</v>
      </c>
      <c r="BU163" s="10" t="str">
        <f t="shared" si="71"/>
        <v>Ch Robinson</v>
      </c>
      <c r="BV163" s="4"/>
      <c r="BW163" s="4" t="str">
        <f>Table1[[#This Row],[BrokerAddress]]</f>
        <v>P.O. Box 3474</v>
      </c>
      <c r="BX163" s="4" t="str">
        <f t="shared" si="72"/>
        <v>Chicago</v>
      </c>
      <c r="BY163" s="4" t="str">
        <f t="shared" si="73"/>
        <v>Il</v>
      </c>
      <c r="BZ163" s="4">
        <f t="shared" si="74"/>
        <v>60654</v>
      </c>
      <c r="CA163" s="10" t="str">
        <f t="shared" si="75"/>
        <v>US</v>
      </c>
      <c r="CB163" s="15" t="s">
        <v>131</v>
      </c>
      <c r="CC163" s="62"/>
      <c r="CD163" s="15" t="s">
        <v>1313</v>
      </c>
      <c r="CE163" s="64">
        <v>50</v>
      </c>
      <c r="CF163" s="4">
        <v>1</v>
      </c>
      <c r="CG163" s="132">
        <f t="shared" si="76"/>
        <v>50</v>
      </c>
      <c r="CH163" s="4" t="s">
        <v>1314</v>
      </c>
      <c r="CI163" s="5">
        <v>75</v>
      </c>
      <c r="CJ163" s="4">
        <v>1</v>
      </c>
      <c r="CK163" s="132">
        <f t="shared" si="77"/>
        <v>75</v>
      </c>
      <c r="CL163" s="4" t="s">
        <v>132</v>
      </c>
      <c r="CM163" s="5">
        <v>0</v>
      </c>
      <c r="CN163" s="4">
        <v>0</v>
      </c>
      <c r="CO163" s="132">
        <f t="shared" si="78"/>
        <v>0</v>
      </c>
      <c r="CP163" s="4" t="s">
        <v>132</v>
      </c>
      <c r="CQ163" s="5">
        <v>0</v>
      </c>
      <c r="CR163" s="4">
        <v>0</v>
      </c>
      <c r="CS163" s="132">
        <f t="shared" si="79"/>
        <v>0</v>
      </c>
      <c r="CT163" s="159">
        <f t="shared" si="80"/>
        <v>125</v>
      </c>
      <c r="CU163" s="168">
        <f t="shared" si="81"/>
        <v>875</v>
      </c>
      <c r="CV163" s="183">
        <f t="shared" si="65"/>
        <v>125</v>
      </c>
      <c r="CW163" s="82">
        <f t="shared" si="88"/>
        <v>822.5</v>
      </c>
      <c r="CX163" s="79">
        <f>IF(ISBLANK(E163),"AddQuickPay",IF(E163=2,CU163*0.98,IF(E163=2.4,CU163*0.976,IF(E163=3,CU163*0.97,IF(E163=5,CU163*0.95,IF(E163=1.5,CU163*0.985,IF(E163=2.5,CU163*0.975,IF(E163=1.3,CU163*0.987,IF(E163=1,CU163*0.99,IF(E163=4,CU163*0.96,CU163*1))))))))))-Table1[[#This Row],[ComCheck+QuickPayFee]]</f>
        <v>857.5</v>
      </c>
      <c r="CY163" s="5">
        <f t="shared" si="82"/>
        <v>52.5</v>
      </c>
      <c r="CZ163" s="5">
        <f t="shared" si="83"/>
        <v>17.5</v>
      </c>
      <c r="DA163" s="258">
        <f>Table1[[#This Row],[OriginalDispatch]]-Table1[[#This Row],[QuickPayCharge]]</f>
        <v>35</v>
      </c>
      <c r="DB163" s="5">
        <v>0</v>
      </c>
      <c r="DC163" s="5" t="s">
        <v>1287</v>
      </c>
      <c r="DD163" s="104">
        <f t="shared" si="84"/>
        <v>42321</v>
      </c>
      <c r="DE163" s="15">
        <f>MONTH(Table1[[#This Row],[Weekending]])</f>
        <v>11</v>
      </c>
      <c r="DF163" s="15">
        <f>YEAR(Table1[[#This Row],[Weekending]])</f>
        <v>2015</v>
      </c>
      <c r="DG163" s="4"/>
    </row>
    <row r="164" spans="1:111">
      <c r="A164" s="20" t="str">
        <f t="shared" si="66"/>
        <v>5216nk49</v>
      </c>
      <c r="B164" s="146">
        <v>42320</v>
      </c>
      <c r="C164" s="144">
        <v>1582352</v>
      </c>
      <c r="D164" s="298" t="s">
        <v>384</v>
      </c>
      <c r="E164" s="144">
        <v>1.5</v>
      </c>
      <c r="F164" s="298" t="str">
        <f>INDEX(BrokerTBL!$B:$B,MATCH(D164,BrokerTBL!$A:$A,0))</f>
        <v>11707 21St Ave Ct So</v>
      </c>
      <c r="G164" s="298" t="str">
        <f>INDEX(BrokerTBL!$C:$C,MATCH(D164,BrokerTBL!$A:$A,0))</f>
        <v>Tacoma</v>
      </c>
      <c r="H164" s="142" t="str">
        <f>INDEX(BrokerTBL!$D:$D,MATCH(D164,BrokerTBL!$A:$A,0))</f>
        <v>Wa</v>
      </c>
      <c r="I164" s="142" t="str">
        <f>INDEX(BrokerTBL!$E:$E,MATCH(D164,BrokerTBL!$A:$A,0))</f>
        <v>US</v>
      </c>
      <c r="J164" s="298">
        <f>INDEX(BrokerTBL!$F:$F,MATCH(D164,BrokerTBL!$A:$A,0))</f>
        <v>98444</v>
      </c>
      <c r="K164" s="298" t="s">
        <v>587</v>
      </c>
      <c r="L164" s="145">
        <v>965316</v>
      </c>
      <c r="M164" s="146">
        <v>42320</v>
      </c>
      <c r="N164" s="162" t="s">
        <v>136</v>
      </c>
      <c r="O164" s="298" t="s">
        <v>589</v>
      </c>
      <c r="P164" s="298" t="s">
        <v>429</v>
      </c>
      <c r="Q164" s="298" t="s">
        <v>139</v>
      </c>
      <c r="R164" s="298">
        <v>93446</v>
      </c>
      <c r="S164" s="298" t="s">
        <v>118</v>
      </c>
      <c r="T164" s="298" t="s">
        <v>136</v>
      </c>
      <c r="U164" s="298" t="s">
        <v>120</v>
      </c>
      <c r="V164" s="298">
        <v>53</v>
      </c>
      <c r="W164" s="298" t="s">
        <v>590</v>
      </c>
      <c r="X164" s="185">
        <v>42042</v>
      </c>
      <c r="Y164" s="298" t="s">
        <v>123</v>
      </c>
      <c r="Z164" s="298" t="s">
        <v>123</v>
      </c>
      <c r="AA164" s="298" t="s">
        <v>123</v>
      </c>
      <c r="AB164" s="298" t="s">
        <v>123</v>
      </c>
      <c r="AC164" s="298" t="s">
        <v>591</v>
      </c>
      <c r="AD164" s="145" t="s">
        <v>1179</v>
      </c>
      <c r="AE164" s="146">
        <v>42321</v>
      </c>
      <c r="AF164" s="416" t="s">
        <v>123</v>
      </c>
      <c r="AG164" s="298" t="s">
        <v>1240</v>
      </c>
      <c r="AH164" s="298" t="s">
        <v>320</v>
      </c>
      <c r="AI164" s="298" t="s">
        <v>139</v>
      </c>
      <c r="AJ164" s="298">
        <v>94587</v>
      </c>
      <c r="AK164" s="298" t="s">
        <v>118</v>
      </c>
      <c r="AL164" s="298" t="s">
        <v>1315</v>
      </c>
      <c r="AM164" s="142" t="str">
        <f>INDEX(CarrierDriverTBL!$B:$B,MATCH(Table1[[#This Row],[DriverID]],CarrierDriverTBL!$A:$A,0))</f>
        <v>UBTrucking</v>
      </c>
      <c r="AN164" s="10" t="s">
        <v>192</v>
      </c>
      <c r="AO164" s="10" t="str">
        <f>INDEX(CarrierDriverTBL!$C:$C,MATCH(Table1[[#This Row],[DriverID]],CarrierDriverTBL!$A:$A,0))</f>
        <v>Albel</v>
      </c>
      <c r="AP164" s="142" t="str">
        <f>INDEX(CarrierDriverTBL!$D:$D,MATCH(Table1[[#This Row],[DriverID]],CarrierDriverTBL!$A:$A,0))</f>
        <v>Chahil</v>
      </c>
      <c r="AQ164" s="142" t="str">
        <f>INDEX(CarrierDriverTBL!$X:$X,MATCH(Table1[[#This Row],[DriverID]],CarrierDriverTBL!$A:$A,0))</f>
        <v>A8390649</v>
      </c>
      <c r="AR164" s="160">
        <f>INDEX(CarrierDriverTBL!$Y:$Y,MATCH(Table1[[#This Row],[DriverID]],CarrierDriverTBL!$A:$A,0))</f>
        <v>42402</v>
      </c>
      <c r="AS164" s="142" t="str">
        <f t="shared" si="67"/>
        <v>GOOD</v>
      </c>
      <c r="AT164" s="160">
        <f>INDEX(CarrierDriverTBL!$E:$E,MATCH(Table1[[#This Row],[DriverID]],CarrierDriverTBL!$A:$A,0))</f>
        <v>22314</v>
      </c>
      <c r="AU164" s="163">
        <f ca="1">INDEX(CarrierDriverTBL!$F:$F,MATCH(Table1[[#This Row],[DriverID]],CarrierDriverTBL!$A:$A,0))</f>
        <v>55.512328767123286</v>
      </c>
      <c r="AV164" s="142" t="str">
        <f>INDEX(CarrierDriverTBL!$K:$K,MATCH(Table1[[#This Row],[DriverID]],CarrierDriverTBL!$A:$A,0))</f>
        <v>510-773-9450</v>
      </c>
      <c r="AW164" s="142" t="str">
        <f>INDEX(CarrierDriverTBL!$M:$M,MATCH(Table1[[#This Row],[DriverID]],CarrierDriverTBL!$A:$A,0))</f>
        <v>3124 Cynthia CT</v>
      </c>
      <c r="AX164" s="142" t="str">
        <f>INDEX(CarrierDriverTBL!$N:$N,MATCH(Table1[[#This Row],[DriverID]],CarrierDriverTBL!$A:$A,0))</f>
        <v>Tracy</v>
      </c>
      <c r="AY164" s="142" t="str">
        <f>INDEX(CarrierDriverTBL!$O:$O,MATCH(Table1[[#This Row],[DriverID]],CarrierDriverTBL!$A:$A,0))</f>
        <v>CA</v>
      </c>
      <c r="AZ164" s="142">
        <f>INDEX(CarrierDriverTBL!$P:$P,MATCH(Table1[[#This Row],[DriverID]],CarrierDriverTBL!$A:$A,0))</f>
        <v>95377</v>
      </c>
      <c r="BA164" s="142" t="str">
        <f>INDEX(CarrierDriverTBL!$Q:$Q,MATCH(Table1[[#This Row],[DriverID]],CarrierDriverTBL!$A:$A,0))</f>
        <v>US</v>
      </c>
      <c r="BB164" s="176" t="str">
        <f>INDEX(CarrierDriverTBL!$R:$R,MATCH(Table1[[#This Row],[DriverID]],CarrierDriverTBL!$A:$A,0))</f>
        <v>ubgollc@gmail.com</v>
      </c>
      <c r="BC164" s="160">
        <f>INDEX(CarrierDriverTBL!$AB:$AB,MATCH(Table1[[#This Row],[DriverID]],CarrierDriverTBL!$A:$A,0))</f>
        <v>42167</v>
      </c>
      <c r="BD164" s="142" t="str">
        <f ca="1">INDEX(CarrierDriverTBL!$AD:$AD,MATCH(LoadMaster!$AN:$AN,CarrierDriverTBL!$A:$A,0))</f>
        <v>MISSING</v>
      </c>
      <c r="BE164" s="142">
        <f>INDEX(CarrierDriverTBL!$AE:$AE,MATCH(Table1[DriverID],CarrierDriverTBL!$A:$A,0))</f>
        <v>913971</v>
      </c>
      <c r="BF164" s="142">
        <f>INDEX(CarrierDriverTBL!$AF:$AF,MATCH(Table1[DriverID],CarrierDriverTBL!$A:$A,0))</f>
        <v>2627544</v>
      </c>
      <c r="BG164" s="142">
        <f>INDEX(CarrierDriverTBL!$AG:$AG,MATCH(Table1[DriverID],CarrierDriverTBL!$A:$A,0))</f>
        <v>466133</v>
      </c>
      <c r="BH164" s="142" t="str">
        <f>INDEX(CarrierDriverTBL!$AH:$AH,MATCH(Table1[DriverID],CarrierDriverTBL!$A:$A,0))</f>
        <v>GM Lawrence Ins</v>
      </c>
      <c r="BI164" s="142" t="str">
        <f>INDEX(CarrierDriverTBL!$AI:$AI,MATCH(Table1[DriverID],CarrierDriverTBL!$A:$A,0))</f>
        <v>DSK2842P160210</v>
      </c>
      <c r="BJ164" s="160">
        <f>INDEX(CarrierDriverTBL!$AJ:$AJ,MATCH(Table1[[#This Row],[DriverID]],CarrierDriverTBL!$A:$A,0))</f>
        <v>42778</v>
      </c>
      <c r="BK164" s="10">
        <f t="shared" si="68"/>
        <v>458</v>
      </c>
      <c r="BL164" s="174">
        <v>625</v>
      </c>
      <c r="BM164" s="144">
        <v>180</v>
      </c>
      <c r="BN164" s="159">
        <f t="shared" si="85"/>
        <v>3.4722222222222223</v>
      </c>
      <c r="BO164" s="167">
        <v>575</v>
      </c>
      <c r="BP164" s="159">
        <f t="shared" si="86"/>
        <v>3.1944444444444446</v>
      </c>
      <c r="BQ164" s="133">
        <v>2.7989999999999999</v>
      </c>
      <c r="BR164" s="166">
        <f t="shared" si="87"/>
        <v>0.14983333333333335</v>
      </c>
      <c r="BS164" s="167">
        <f t="shared" si="69"/>
        <v>3.0446111111111112</v>
      </c>
      <c r="BT164" s="159">
        <f t="shared" si="70"/>
        <v>26.970000000000002</v>
      </c>
      <c r="BU164" s="10" t="str">
        <f t="shared" si="71"/>
        <v>Interstate Distributor Co</v>
      </c>
      <c r="BV164" s="298"/>
      <c r="BW164" s="4" t="str">
        <f>Table1[[#This Row],[BrokerAddress]]</f>
        <v>11707 21St Ave Ct So</v>
      </c>
      <c r="BX164" s="4" t="str">
        <f t="shared" si="72"/>
        <v>Tacoma</v>
      </c>
      <c r="BY164" s="4" t="str">
        <f t="shared" si="73"/>
        <v>Wa</v>
      </c>
      <c r="BZ164" s="4">
        <f t="shared" si="74"/>
        <v>98444</v>
      </c>
      <c r="CA164" s="10" t="str">
        <f t="shared" si="75"/>
        <v>US</v>
      </c>
      <c r="CB164" s="15" t="s">
        <v>131</v>
      </c>
      <c r="CC164" s="62"/>
      <c r="CD164" s="15" t="s">
        <v>132</v>
      </c>
      <c r="CE164" s="64">
        <v>0</v>
      </c>
      <c r="CF164" s="4">
        <v>0</v>
      </c>
      <c r="CG164" s="132">
        <f t="shared" si="76"/>
        <v>0</v>
      </c>
      <c r="CH164" s="4" t="s">
        <v>132</v>
      </c>
      <c r="CI164" s="5">
        <v>0</v>
      </c>
      <c r="CJ164" s="4">
        <v>0</v>
      </c>
      <c r="CK164" s="132">
        <f t="shared" si="77"/>
        <v>0</v>
      </c>
      <c r="CL164" s="4" t="s">
        <v>132</v>
      </c>
      <c r="CM164" s="5">
        <v>0</v>
      </c>
      <c r="CN164" s="4">
        <v>0</v>
      </c>
      <c r="CO164" s="132">
        <f t="shared" si="78"/>
        <v>0</v>
      </c>
      <c r="CP164" s="4" t="s">
        <v>132</v>
      </c>
      <c r="CQ164" s="5">
        <v>0</v>
      </c>
      <c r="CR164" s="4">
        <v>0</v>
      </c>
      <c r="CS164" s="132">
        <f t="shared" si="79"/>
        <v>0</v>
      </c>
      <c r="CT164" s="159">
        <f t="shared" si="80"/>
        <v>0</v>
      </c>
      <c r="CU164" s="168">
        <f t="shared" si="81"/>
        <v>625</v>
      </c>
      <c r="CV164" s="183">
        <f t="shared" si="65"/>
        <v>0</v>
      </c>
      <c r="CW164" s="82">
        <f t="shared" si="88"/>
        <v>575</v>
      </c>
      <c r="CX164" s="79">
        <f>IF(ISBLANK(E164),"AddQuickPay",IF(E164=2,CU164*0.98,IF(E164=2.4,CU164*0.976,IF(E164=3,CU164*0.97,IF(E164=5,CU164*0.95,IF(E164=1.5,CU164*0.985,IF(E164=2.5,CU164*0.975,IF(E164=1.3,CU164*0.987,IF(E164=1,CU164*0.99,IF(E164=4,CU164*0.96,CU164*1))))))))))-Table1[[#This Row],[ComCheck+QuickPayFee]]</f>
        <v>615.625</v>
      </c>
      <c r="CY164" s="5">
        <f t="shared" si="82"/>
        <v>50</v>
      </c>
      <c r="CZ164" s="5">
        <f t="shared" si="83"/>
        <v>9.375</v>
      </c>
      <c r="DA164" s="258">
        <f>Table1[[#This Row],[OriginalDispatch]]-Table1[[#This Row],[QuickPayCharge]]</f>
        <v>40.625</v>
      </c>
      <c r="DB164" s="5">
        <v>0</v>
      </c>
      <c r="DC164" s="5" t="s">
        <v>1287</v>
      </c>
      <c r="DD164" s="104">
        <f t="shared" si="84"/>
        <v>42321</v>
      </c>
      <c r="DE164" s="15">
        <f>MONTH(Table1[[#This Row],[Weekending]])</f>
        <v>11</v>
      </c>
      <c r="DF164" s="15">
        <f>YEAR(Table1[[#This Row],[Weekending]])</f>
        <v>2015</v>
      </c>
      <c r="DG164" s="4"/>
    </row>
    <row r="165" spans="1:111">
      <c r="A165" s="20" t="str">
        <f t="shared" si="66"/>
        <v>51adto49</v>
      </c>
      <c r="B165" s="146">
        <v>41590</v>
      </c>
      <c r="C165" s="144">
        <v>186108551</v>
      </c>
      <c r="D165" s="298" t="s">
        <v>111</v>
      </c>
      <c r="E165" s="298">
        <v>2</v>
      </c>
      <c r="F165" s="142" t="str">
        <f>INDEX(BrokerTBL!$B:$B,MATCH(D165,BrokerTBL!$A:$A,0))</f>
        <v>P.O. Box 3474</v>
      </c>
      <c r="G165" s="142" t="str">
        <f>INDEX(BrokerTBL!$C:$C,MATCH(D165,BrokerTBL!$A:$A,0))</f>
        <v>Chicago</v>
      </c>
      <c r="H165" s="142" t="str">
        <f>INDEX(BrokerTBL!$D:$D,MATCH(D165,BrokerTBL!$A:$A,0))</f>
        <v>Il</v>
      </c>
      <c r="I165" s="142" t="str">
        <f>INDEX(BrokerTBL!$E:$E,MATCH(D165,BrokerTBL!$A:$A,0))</f>
        <v>US</v>
      </c>
      <c r="J165" s="142">
        <f>INDEX(BrokerTBL!$F:$F,MATCH(D165,BrokerTBL!$A:$A,0))</f>
        <v>60654</v>
      </c>
      <c r="K165" s="298" t="s">
        <v>1263</v>
      </c>
      <c r="L165" s="145" t="s">
        <v>1278</v>
      </c>
      <c r="M165" s="146">
        <v>42320</v>
      </c>
      <c r="N165" s="144" t="s">
        <v>1316</v>
      </c>
      <c r="O165" s="298" t="s">
        <v>1265</v>
      </c>
      <c r="P165" s="298" t="s">
        <v>395</v>
      </c>
      <c r="Q165" s="298" t="s">
        <v>139</v>
      </c>
      <c r="R165" s="298">
        <v>95358</v>
      </c>
      <c r="S165" s="298" t="s">
        <v>118</v>
      </c>
      <c r="T165" s="298" t="s">
        <v>136</v>
      </c>
      <c r="U165" s="298" t="s">
        <v>120</v>
      </c>
      <c r="V165" s="298">
        <v>53</v>
      </c>
      <c r="W165" s="298" t="s">
        <v>1266</v>
      </c>
      <c r="X165" s="185">
        <v>15000</v>
      </c>
      <c r="Y165" s="298" t="s">
        <v>26</v>
      </c>
      <c r="Z165" s="298" t="s">
        <v>123</v>
      </c>
      <c r="AA165" s="298">
        <v>52</v>
      </c>
      <c r="AB165" s="298" t="s">
        <v>123</v>
      </c>
      <c r="AC165" s="298" t="s">
        <v>1267</v>
      </c>
      <c r="AD165" s="145" t="s">
        <v>395</v>
      </c>
      <c r="AE165" s="146">
        <v>42321</v>
      </c>
      <c r="AF165" s="182">
        <v>0.45833333333333298</v>
      </c>
      <c r="AG165" s="298" t="s">
        <v>1269</v>
      </c>
      <c r="AH165" s="298" t="s">
        <v>1270</v>
      </c>
      <c r="AI165" s="298" t="s">
        <v>139</v>
      </c>
      <c r="AJ165" s="298">
        <v>93930</v>
      </c>
      <c r="AK165" s="298" t="s">
        <v>118</v>
      </c>
      <c r="AL165" s="298" t="s">
        <v>123</v>
      </c>
      <c r="AM165" s="142" t="str">
        <f>INDEX(CarrierDriverTBL!$B:$B,MATCH(Table1[[#This Row],[DriverID]],CarrierDriverTBL!$A:$A,0))</f>
        <v>UBTrucking</v>
      </c>
      <c r="AN165" s="10" t="s">
        <v>192</v>
      </c>
      <c r="AO165" s="10" t="str">
        <f>INDEX(CarrierDriverTBL!$C:$C,MATCH(Table1[[#This Row],[DriverID]],CarrierDriverTBL!$A:$A,0))</f>
        <v>Albel</v>
      </c>
      <c r="AP165" s="142" t="str">
        <f>INDEX(CarrierDriverTBL!$D:$D,MATCH(Table1[[#This Row],[DriverID]],CarrierDriverTBL!$A:$A,0))</f>
        <v>Chahil</v>
      </c>
      <c r="AQ165" s="142" t="str">
        <f>INDEX(CarrierDriverTBL!$X:$X,MATCH(Table1[[#This Row],[DriverID]],CarrierDriverTBL!$A:$A,0))</f>
        <v>A8390649</v>
      </c>
      <c r="AR165" s="160">
        <f>INDEX(CarrierDriverTBL!$Y:$Y,MATCH(Table1[[#This Row],[DriverID]],CarrierDriverTBL!$A:$A,0))</f>
        <v>42402</v>
      </c>
      <c r="AS165" s="142" t="str">
        <f t="shared" si="67"/>
        <v>GOOD</v>
      </c>
      <c r="AT165" s="160">
        <f>INDEX(CarrierDriverTBL!$E:$E,MATCH(Table1[[#This Row],[DriverID]],CarrierDriverTBL!$A:$A,0))</f>
        <v>22314</v>
      </c>
      <c r="AU165" s="163">
        <f ca="1">INDEX(CarrierDriverTBL!$F:$F,MATCH(Table1[[#This Row],[DriverID]],CarrierDriverTBL!$A:$A,0))</f>
        <v>55.512328767123286</v>
      </c>
      <c r="AV165" s="142" t="str">
        <f>INDEX(CarrierDriverTBL!$K:$K,MATCH(Table1[[#This Row],[DriverID]],CarrierDriverTBL!$A:$A,0))</f>
        <v>510-773-9450</v>
      </c>
      <c r="AW165" s="142" t="str">
        <f>INDEX(CarrierDriverTBL!$M:$M,MATCH(Table1[[#This Row],[DriverID]],CarrierDriverTBL!$A:$A,0))</f>
        <v>3124 Cynthia CT</v>
      </c>
      <c r="AX165" s="142" t="str">
        <f>INDEX(CarrierDriverTBL!$N:$N,MATCH(Table1[[#This Row],[DriverID]],CarrierDriverTBL!$A:$A,0))</f>
        <v>Tracy</v>
      </c>
      <c r="AY165" s="142" t="str">
        <f>INDEX(CarrierDriverTBL!$O:$O,MATCH(Table1[[#This Row],[DriverID]],CarrierDriverTBL!$A:$A,0))</f>
        <v>CA</v>
      </c>
      <c r="AZ165" s="142">
        <f>INDEX(CarrierDriverTBL!$P:$P,MATCH(Table1[[#This Row],[DriverID]],CarrierDriverTBL!$A:$A,0))</f>
        <v>95377</v>
      </c>
      <c r="BA165" s="142" t="str">
        <f>INDEX(CarrierDriverTBL!$Q:$Q,MATCH(Table1[[#This Row],[DriverID]],CarrierDriverTBL!$A:$A,0))</f>
        <v>US</v>
      </c>
      <c r="BB165" s="176" t="str">
        <f>INDEX(CarrierDriverTBL!$R:$R,MATCH(Table1[[#This Row],[DriverID]],CarrierDriverTBL!$A:$A,0))</f>
        <v>ubgollc@gmail.com</v>
      </c>
      <c r="BC165" s="160">
        <f>INDEX(CarrierDriverTBL!$AB:$AB,MATCH(Table1[[#This Row],[DriverID]],CarrierDriverTBL!$A:$A,0))</f>
        <v>42167</v>
      </c>
      <c r="BD165" s="142" t="str">
        <f ca="1">INDEX(CarrierDriverTBL!$AD:$AD,MATCH(LoadMaster!$AN:$AN,CarrierDriverTBL!$A:$A,0))</f>
        <v>MISSING</v>
      </c>
      <c r="BE165" s="142">
        <f>INDEX(CarrierDriverTBL!$AE:$AE,MATCH(Table1[DriverID],CarrierDriverTBL!$A:$A,0))</f>
        <v>913971</v>
      </c>
      <c r="BF165" s="142">
        <f>INDEX(CarrierDriverTBL!$AF:$AF,MATCH(Table1[DriverID],CarrierDriverTBL!$A:$A,0))</f>
        <v>2627544</v>
      </c>
      <c r="BG165" s="142">
        <f>INDEX(CarrierDriverTBL!$AG:$AG,MATCH(Table1[DriverID],CarrierDriverTBL!$A:$A,0))</f>
        <v>466133</v>
      </c>
      <c r="BH165" s="142" t="str">
        <f>INDEX(CarrierDriverTBL!$AH:$AH,MATCH(Table1[DriverID],CarrierDriverTBL!$A:$A,0))</f>
        <v>GM Lawrence Ins</v>
      </c>
      <c r="BI165" s="142" t="str">
        <f>INDEX(CarrierDriverTBL!$AI:$AI,MATCH(Table1[DriverID],CarrierDriverTBL!$A:$A,0))</f>
        <v>DSK2842P160210</v>
      </c>
      <c r="BJ165" s="160">
        <f>INDEX(CarrierDriverTBL!$AJ:$AJ,MATCH(Table1[[#This Row],[DriverID]],CarrierDriverTBL!$A:$A,0))</f>
        <v>42778</v>
      </c>
      <c r="BK165" s="10">
        <f t="shared" si="68"/>
        <v>458</v>
      </c>
      <c r="BL165" s="174">
        <v>450</v>
      </c>
      <c r="BM165" s="144">
        <v>135</v>
      </c>
      <c r="BN165" s="159">
        <f t="shared" si="85"/>
        <v>3.3333333333333335</v>
      </c>
      <c r="BO165" s="167">
        <v>400</v>
      </c>
      <c r="BP165" s="159">
        <f t="shared" si="86"/>
        <v>2.9629629629629628</v>
      </c>
      <c r="BQ165" s="133">
        <v>2.7989999999999999</v>
      </c>
      <c r="BR165" s="166">
        <f t="shared" si="87"/>
        <v>0.14983333333333335</v>
      </c>
      <c r="BS165" s="167">
        <f t="shared" si="69"/>
        <v>2.8131296296296293</v>
      </c>
      <c r="BT165" s="159">
        <f t="shared" si="70"/>
        <v>20.227500000000003</v>
      </c>
      <c r="BU165" s="10" t="str">
        <f t="shared" si="71"/>
        <v>Ch Robinson</v>
      </c>
      <c r="BV165" s="4"/>
      <c r="BW165" s="4" t="str">
        <f>Table1[[#This Row],[BrokerAddress]]</f>
        <v>P.O. Box 3474</v>
      </c>
      <c r="BX165" s="4" t="str">
        <f t="shared" si="72"/>
        <v>Chicago</v>
      </c>
      <c r="BY165" s="4" t="str">
        <f t="shared" si="73"/>
        <v>Il</v>
      </c>
      <c r="BZ165" s="4">
        <f t="shared" si="74"/>
        <v>60654</v>
      </c>
      <c r="CA165" s="10" t="str">
        <f t="shared" si="75"/>
        <v>US</v>
      </c>
      <c r="CB165" s="15" t="s">
        <v>131</v>
      </c>
      <c r="CC165" s="62"/>
      <c r="CD165" s="15" t="s">
        <v>132</v>
      </c>
      <c r="CE165" s="64">
        <v>0</v>
      </c>
      <c r="CF165" s="4">
        <v>0</v>
      </c>
      <c r="CG165" s="132">
        <f t="shared" si="76"/>
        <v>0</v>
      </c>
      <c r="CH165" s="4" t="s">
        <v>132</v>
      </c>
      <c r="CI165" s="5">
        <v>0</v>
      </c>
      <c r="CJ165" s="4">
        <v>0</v>
      </c>
      <c r="CK165" s="132">
        <f t="shared" si="77"/>
        <v>0</v>
      </c>
      <c r="CL165" s="4" t="s">
        <v>132</v>
      </c>
      <c r="CM165" s="5">
        <v>0</v>
      </c>
      <c r="CN165" s="4">
        <v>0</v>
      </c>
      <c r="CO165" s="132">
        <f t="shared" si="78"/>
        <v>0</v>
      </c>
      <c r="CP165" s="4" t="s">
        <v>132</v>
      </c>
      <c r="CQ165" s="5">
        <v>0</v>
      </c>
      <c r="CR165" s="4">
        <v>0</v>
      </c>
      <c r="CS165" s="132">
        <f t="shared" si="79"/>
        <v>0</v>
      </c>
      <c r="CT165" s="159">
        <f t="shared" si="80"/>
        <v>0</v>
      </c>
      <c r="CU165" s="168">
        <f t="shared" si="81"/>
        <v>450</v>
      </c>
      <c r="CV165" s="183">
        <f t="shared" si="65"/>
        <v>0</v>
      </c>
      <c r="CW165" s="82">
        <f t="shared" si="88"/>
        <v>400</v>
      </c>
      <c r="CX165" s="79">
        <f>IF(ISBLANK(E165),"AddQuickPay",IF(E165=2,CU165*0.98,IF(E165=2.4,CU165*0.976,IF(E165=3,CU165*0.97,IF(E165=5,CU165*0.95,IF(E165=1.5,CU165*0.985,IF(E165=2.5,CU165*0.975,IF(E165=1.3,CU165*0.987,IF(E165=1,CU165*0.99,IF(E165=4,CU165*0.96,CU165*1))))))))))-Table1[[#This Row],[ComCheck+QuickPayFee]]</f>
        <v>441</v>
      </c>
      <c r="CY165" s="5">
        <f t="shared" si="82"/>
        <v>50</v>
      </c>
      <c r="CZ165" s="5">
        <f t="shared" si="83"/>
        <v>9</v>
      </c>
      <c r="DA165" s="258">
        <f>Table1[[#This Row],[OriginalDispatch]]-Table1[[#This Row],[QuickPayCharge]]</f>
        <v>41</v>
      </c>
      <c r="DB165" s="5">
        <v>0</v>
      </c>
      <c r="DC165" s="5" t="s">
        <v>1287</v>
      </c>
      <c r="DD165" s="104">
        <f t="shared" si="84"/>
        <v>42321</v>
      </c>
      <c r="DE165" s="15">
        <f>MONTH(Table1[[#This Row],[Weekending]])</f>
        <v>11</v>
      </c>
      <c r="DF165" s="15">
        <f>YEAR(Table1[[#This Row],[Weekending]])</f>
        <v>2015</v>
      </c>
      <c r="DG165" s="4"/>
    </row>
    <row r="166" spans="1:111">
      <c r="A166" s="20" t="str">
        <f t="shared" si="66"/>
        <v>76nu2388</v>
      </c>
      <c r="B166" s="146">
        <v>42321</v>
      </c>
      <c r="C166" s="144">
        <v>186195876</v>
      </c>
      <c r="D166" s="298" t="s">
        <v>111</v>
      </c>
      <c r="E166" s="298">
        <v>2</v>
      </c>
      <c r="F166" s="142" t="str">
        <f>INDEX(BrokerTBL!$B:$B,MATCH(D166,BrokerTBL!$A:$A,0))</f>
        <v>P.O. Box 3474</v>
      </c>
      <c r="G166" s="142" t="str">
        <f>INDEX(BrokerTBL!$C:$C,MATCH(D166,BrokerTBL!$A:$A,0))</f>
        <v>Chicago</v>
      </c>
      <c r="H166" s="142" t="str">
        <f>INDEX(BrokerTBL!$D:$D,MATCH(D166,BrokerTBL!$A:$A,0))</f>
        <v>Il</v>
      </c>
      <c r="I166" s="142" t="str">
        <f>INDEX(BrokerTBL!$E:$E,MATCH(D166,BrokerTBL!$A:$A,0))</f>
        <v>US</v>
      </c>
      <c r="J166" s="142">
        <f>INDEX(BrokerTBL!$F:$F,MATCH(D166,BrokerTBL!$A:$A,0))</f>
        <v>60654</v>
      </c>
      <c r="K166" s="298" t="s">
        <v>1317</v>
      </c>
      <c r="L166" s="145" t="s">
        <v>976</v>
      </c>
      <c r="M166" s="146">
        <v>42321</v>
      </c>
      <c r="N166" s="162" t="s">
        <v>136</v>
      </c>
      <c r="O166" s="298" t="s">
        <v>1318</v>
      </c>
      <c r="P166" s="298" t="s">
        <v>634</v>
      </c>
      <c r="Q166" s="298" t="s">
        <v>139</v>
      </c>
      <c r="R166" s="298">
        <v>93458</v>
      </c>
      <c r="S166" s="298" t="s">
        <v>118</v>
      </c>
      <c r="T166" s="298" t="s">
        <v>136</v>
      </c>
      <c r="U166" s="298" t="s">
        <v>120</v>
      </c>
      <c r="V166" s="298">
        <v>53</v>
      </c>
      <c r="W166" s="298" t="s">
        <v>1319</v>
      </c>
      <c r="X166" s="144">
        <v>40000</v>
      </c>
      <c r="Y166" s="298" t="s">
        <v>26</v>
      </c>
      <c r="Z166" s="298" t="s">
        <v>123</v>
      </c>
      <c r="AA166" s="298" t="s">
        <v>123</v>
      </c>
      <c r="AB166" s="298" t="s">
        <v>123</v>
      </c>
      <c r="AC166" s="298" t="s">
        <v>1320</v>
      </c>
      <c r="AD166" s="145" t="s">
        <v>1321</v>
      </c>
      <c r="AE166" s="146">
        <v>42324</v>
      </c>
      <c r="AF166" s="416" t="s">
        <v>123</v>
      </c>
      <c r="AG166" s="298" t="s">
        <v>1322</v>
      </c>
      <c r="AH166" s="298" t="s">
        <v>1323</v>
      </c>
      <c r="AI166" s="298" t="s">
        <v>139</v>
      </c>
      <c r="AJ166" s="298">
        <v>92507</v>
      </c>
      <c r="AK166" s="298" t="s">
        <v>118</v>
      </c>
      <c r="AL166" s="298" t="s">
        <v>123</v>
      </c>
      <c r="AM166" s="142" t="str">
        <f>INDEX(CarrierDriverTBL!$B:$B,MATCH(Table1[[#This Row],[DriverID]],CarrierDriverTBL!$A:$A,0))</f>
        <v>UBTrucking</v>
      </c>
      <c r="AN166" s="10" t="s">
        <v>948</v>
      </c>
      <c r="AO166" s="10" t="str">
        <f>INDEX(CarrierDriverTBL!$C:$C,MATCH(Table1[[#This Row],[DriverID]],CarrierDriverTBL!$A:$A,0))</f>
        <v>Wesley</v>
      </c>
      <c r="AP166" s="10" t="str">
        <f>INDEX(CarrierDriverTBL!$D:$D,MATCH(Table1[[#This Row],[DriverID]],CarrierDriverTBL!$A:$A,0))</f>
        <v>Cousain</v>
      </c>
      <c r="AQ166" s="10" t="str">
        <f>INDEX(CarrierDriverTBL!$X:$X,MATCH(Table1[[#This Row],[DriverID]],CarrierDriverTBL!$A:$A,0))</f>
        <v>D4903588</v>
      </c>
      <c r="AR166" s="11">
        <f>INDEX(CarrierDriverTBL!$Y:$Y,MATCH(Table1[[#This Row],[DriverID]],CarrierDriverTBL!$A:$A,0))</f>
        <v>43458</v>
      </c>
      <c r="AS166" s="142" t="str">
        <f t="shared" si="67"/>
        <v>GOOD</v>
      </c>
      <c r="AT166" s="11">
        <f>INDEX(CarrierDriverTBL!$E:$E,MATCH(Table1[[#This Row],[DriverID]],CarrierDriverTBL!$A:$A,0))</f>
        <v>31405</v>
      </c>
      <c r="AU166" s="163">
        <f ca="1">INDEX(CarrierDriverTBL!$F:$F,MATCH(Table1[[#This Row],[DriverID]],CarrierDriverTBL!$A:$A,0))</f>
        <v>30.605479452054794</v>
      </c>
      <c r="AV166" s="10" t="str">
        <f>INDEX(CarrierDriverTBL!$K:$K,MATCH(Table1[[#This Row],[DriverID]],CarrierDriverTBL!$A:$A,0))</f>
        <v>925-383-5364</v>
      </c>
      <c r="AW166" s="10" t="str">
        <f>INDEX(CarrierDriverTBL!$M:$M,MATCH(Table1[[#This Row],[DriverID]],CarrierDriverTBL!$A:$A,0))</f>
        <v>110 Cordova Ln</v>
      </c>
      <c r="AX166" s="10" t="str">
        <f>INDEX(CarrierDriverTBL!$N:$N,MATCH(Table1[[#This Row],[DriverID]],CarrierDriverTBL!$A:$A,0))</f>
        <v>Stockton</v>
      </c>
      <c r="AY166" s="10" t="str">
        <f>INDEX(CarrierDriverTBL!$O:$O,MATCH(Table1[[#This Row],[DriverID]],CarrierDriverTBL!$A:$A,0))</f>
        <v>CA</v>
      </c>
      <c r="AZ166" s="10">
        <f>INDEX(CarrierDriverTBL!$P:$P,MATCH(Table1[[#This Row],[DriverID]],CarrierDriverTBL!$A:$A,0))</f>
        <v>95207</v>
      </c>
      <c r="BA166" s="10" t="str">
        <f>INDEX(CarrierDriverTBL!$Q:$Q,MATCH(Table1[[#This Row],[DriverID]],CarrierDriverTBL!$A:$A,0))</f>
        <v>US</v>
      </c>
      <c r="BB166" s="173" t="str">
        <f>INDEX(CarrierDriverTBL!$R:$R,MATCH(Table1[[#This Row],[DriverID]],CarrierDriverTBL!$A:$A,0))</f>
        <v>wesleycousain1@gmail.com</v>
      </c>
      <c r="BC166" s="160">
        <f>INDEX(CarrierDriverTBL!$AB:$AB,MATCH(Table1[[#This Row],[DriverID]],CarrierDriverTBL!$A:$A,0))</f>
        <v>42271</v>
      </c>
      <c r="BD166" s="142" t="str">
        <f ca="1">INDEX(CarrierDriverTBL!$AD:$AD,MATCH(LoadMaster!$AN:$AN,CarrierDriverTBL!$A:$A,0))</f>
        <v>MISSING</v>
      </c>
      <c r="BE166" s="142">
        <f>INDEX(CarrierDriverTBL!$AE:$AE,MATCH(Table1[DriverID],CarrierDriverTBL!$A:$A,0))</f>
        <v>913971</v>
      </c>
      <c r="BF166" s="142">
        <f>INDEX(CarrierDriverTBL!$AF:$AF,MATCH(Table1[DriverID],CarrierDriverTBL!$A:$A,0))</f>
        <v>2627544</v>
      </c>
      <c r="BG166" s="142">
        <f>INDEX(CarrierDriverTBL!$AG:$AG,MATCH(Table1[DriverID],CarrierDriverTBL!$A:$A,0))</f>
        <v>466133</v>
      </c>
      <c r="BH166" s="142" t="str">
        <f>INDEX(CarrierDriverTBL!$AH:$AH,MATCH(Table1[DriverID],CarrierDriverTBL!$A:$A,0))</f>
        <v>GM Lawrence Ins</v>
      </c>
      <c r="BI166" s="142" t="str">
        <f>INDEX(CarrierDriverTBL!$AI:$AI,MATCH(Table1[DriverID],CarrierDriverTBL!$A:$A,0))</f>
        <v>DSK2842P160210</v>
      </c>
      <c r="BJ166" s="160">
        <f>INDEX(CarrierDriverTBL!$AJ:$AJ,MATCH(Table1[[#This Row],[DriverID]],CarrierDriverTBL!$A:$A,0))</f>
        <v>42778</v>
      </c>
      <c r="BK166" s="10">
        <f t="shared" si="68"/>
        <v>457</v>
      </c>
      <c r="BL166" s="64">
        <v>150</v>
      </c>
      <c r="BM166" s="171">
        <v>1</v>
      </c>
      <c r="BN166" s="159">
        <f t="shared" si="85"/>
        <v>150</v>
      </c>
      <c r="BO166" s="134">
        <v>125</v>
      </c>
      <c r="BP166" s="159">
        <f t="shared" si="86"/>
        <v>125</v>
      </c>
      <c r="BQ166" s="133"/>
      <c r="BR166" s="166"/>
      <c r="BS166" s="167">
        <f t="shared" si="69"/>
        <v>125</v>
      </c>
      <c r="BT166" s="159">
        <f t="shared" si="70"/>
        <v>0</v>
      </c>
      <c r="BU166" s="10" t="str">
        <f t="shared" si="71"/>
        <v>Ch Robinson</v>
      </c>
      <c r="BV166" s="4"/>
      <c r="BW166" s="4" t="str">
        <f>Table1[[#This Row],[BrokerAddress]]</f>
        <v>P.O. Box 3474</v>
      </c>
      <c r="BX166" s="4" t="str">
        <f t="shared" si="72"/>
        <v>Chicago</v>
      </c>
      <c r="BY166" s="4" t="str">
        <f t="shared" si="73"/>
        <v>Il</v>
      </c>
      <c r="BZ166" s="4">
        <f t="shared" si="74"/>
        <v>60654</v>
      </c>
      <c r="CA166" s="10" t="str">
        <f t="shared" si="75"/>
        <v>US</v>
      </c>
      <c r="CB166" s="15" t="s">
        <v>131</v>
      </c>
      <c r="CC166" s="62"/>
      <c r="CD166" s="15" t="s">
        <v>132</v>
      </c>
      <c r="CE166" s="64">
        <v>0</v>
      </c>
      <c r="CF166" s="4">
        <v>0</v>
      </c>
      <c r="CG166" s="132">
        <f t="shared" si="76"/>
        <v>0</v>
      </c>
      <c r="CH166" s="4" t="s">
        <v>132</v>
      </c>
      <c r="CI166" s="5">
        <v>0</v>
      </c>
      <c r="CJ166" s="4">
        <v>0</v>
      </c>
      <c r="CK166" s="132">
        <f t="shared" si="77"/>
        <v>0</v>
      </c>
      <c r="CL166" s="4" t="s">
        <v>132</v>
      </c>
      <c r="CM166" s="5">
        <v>0</v>
      </c>
      <c r="CN166" s="4">
        <v>0</v>
      </c>
      <c r="CO166" s="132">
        <f t="shared" si="78"/>
        <v>0</v>
      </c>
      <c r="CP166" s="4" t="s">
        <v>132</v>
      </c>
      <c r="CQ166" s="5">
        <v>0</v>
      </c>
      <c r="CR166" s="4">
        <v>0</v>
      </c>
      <c r="CS166" s="132">
        <f t="shared" si="79"/>
        <v>0</v>
      </c>
      <c r="CT166" s="159">
        <f t="shared" si="80"/>
        <v>0</v>
      </c>
      <c r="CU166" s="168">
        <f t="shared" si="81"/>
        <v>150</v>
      </c>
      <c r="CV166" s="183">
        <f t="shared" si="65"/>
        <v>0</v>
      </c>
      <c r="CW166" s="82">
        <f t="shared" si="88"/>
        <v>125</v>
      </c>
      <c r="CX166" s="79">
        <f>IF(ISBLANK(E166),"AddQuickPay",IF(E166=2,CU166*0.98,IF(E166=2.4,CU166*0.976,IF(E166=3,CU166*0.97,IF(E166=5,CU166*0.95,IF(E166=1.5,CU166*0.985,IF(E166=2.5,CU166*0.975,IF(E166=1.3,CU166*0.987,IF(E166=1,CU166*0.99,IF(E166=4,CU166*0.96,CU166*1))))))))))-Table1[[#This Row],[ComCheck+QuickPayFee]]</f>
        <v>147</v>
      </c>
      <c r="CY166" s="5">
        <f t="shared" si="82"/>
        <v>25</v>
      </c>
      <c r="CZ166" s="5">
        <f t="shared" si="83"/>
        <v>3</v>
      </c>
      <c r="DA166" s="258">
        <f>Table1[[#This Row],[OriginalDispatch]]-Table1[[#This Row],[QuickPayCharge]]</f>
        <v>22</v>
      </c>
      <c r="DB166" s="5">
        <v>0</v>
      </c>
      <c r="DC166" s="5" t="s">
        <v>1287</v>
      </c>
      <c r="DD166" s="104">
        <f t="shared" si="84"/>
        <v>42321</v>
      </c>
      <c r="DE166" s="15">
        <f>MONTH(Table1[[#This Row],[Weekending]])</f>
        <v>11</v>
      </c>
      <c r="DF166" s="15">
        <f>YEAR(Table1[[#This Row],[Weekending]])</f>
        <v>2015</v>
      </c>
      <c r="DG166" s="4"/>
    </row>
    <row r="167" spans="1:111">
      <c r="A167" s="20" t="str">
        <f t="shared" si="66"/>
        <v>96842088</v>
      </c>
      <c r="B167" s="146">
        <v>42321</v>
      </c>
      <c r="C167" s="144">
        <v>185716896</v>
      </c>
      <c r="D167" s="298" t="s">
        <v>111</v>
      </c>
      <c r="E167" s="298">
        <v>2</v>
      </c>
      <c r="F167" s="142" t="str">
        <f>INDEX(BrokerTBL!$B:$B,MATCH(D167,BrokerTBL!$A:$A,0))</f>
        <v>P.O. Box 3474</v>
      </c>
      <c r="G167" s="142" t="str">
        <f>INDEX(BrokerTBL!$C:$C,MATCH(D167,BrokerTBL!$A:$A,0))</f>
        <v>Chicago</v>
      </c>
      <c r="H167" s="142" t="str">
        <f>INDEX(BrokerTBL!$D:$D,MATCH(D167,BrokerTBL!$A:$A,0))</f>
        <v>Il</v>
      </c>
      <c r="I167" s="142" t="str">
        <f>INDEX(BrokerTBL!$E:$E,MATCH(D167,BrokerTBL!$A:$A,0))</f>
        <v>US</v>
      </c>
      <c r="J167" s="142">
        <f>INDEX(BrokerTBL!$F:$F,MATCH(D167,BrokerTBL!$A:$A,0))</f>
        <v>60654</v>
      </c>
      <c r="K167" s="298" t="s">
        <v>1324</v>
      </c>
      <c r="L167" s="145" t="s">
        <v>1325</v>
      </c>
      <c r="M167" s="146">
        <v>42321</v>
      </c>
      <c r="N167" s="162" t="s">
        <v>136</v>
      </c>
      <c r="O167" s="298" t="s">
        <v>1326</v>
      </c>
      <c r="P167" s="298" t="s">
        <v>1327</v>
      </c>
      <c r="Q167" s="298" t="s">
        <v>139</v>
      </c>
      <c r="R167" s="298">
        <v>92230</v>
      </c>
      <c r="S167" s="298" t="s">
        <v>118</v>
      </c>
      <c r="T167" s="298" t="s">
        <v>136</v>
      </c>
      <c r="U167" s="298" t="s">
        <v>120</v>
      </c>
      <c r="V167" s="298">
        <v>53</v>
      </c>
      <c r="W167" s="298" t="s">
        <v>620</v>
      </c>
      <c r="X167" s="144">
        <v>45680</v>
      </c>
      <c r="Y167" s="298" t="s">
        <v>26</v>
      </c>
      <c r="Z167" s="298">
        <v>1512</v>
      </c>
      <c r="AA167" s="298">
        <v>28</v>
      </c>
      <c r="AB167" s="298" t="s">
        <v>123</v>
      </c>
      <c r="AC167" s="298" t="s">
        <v>1328</v>
      </c>
      <c r="AD167" s="145">
        <v>890420</v>
      </c>
      <c r="AE167" s="146">
        <v>42322</v>
      </c>
      <c r="AF167" s="416" t="s">
        <v>123</v>
      </c>
      <c r="AG167" s="298" t="s">
        <v>1329</v>
      </c>
      <c r="AH167" s="298" t="s">
        <v>380</v>
      </c>
      <c r="AI167" s="298" t="s">
        <v>139</v>
      </c>
      <c r="AJ167" s="298">
        <v>95377</v>
      </c>
      <c r="AK167" s="298" t="s">
        <v>118</v>
      </c>
      <c r="AL167" s="298" t="s">
        <v>1330</v>
      </c>
      <c r="AM167" s="142" t="str">
        <f>INDEX(CarrierDriverTBL!$B:$B,MATCH(Table1[[#This Row],[DriverID]],CarrierDriverTBL!$A:$A,0))</f>
        <v>UBTrucking</v>
      </c>
      <c r="AN167" s="10" t="s">
        <v>948</v>
      </c>
      <c r="AO167" s="10" t="str">
        <f>INDEX(CarrierDriverTBL!$C:$C,MATCH(Table1[[#This Row],[DriverID]],CarrierDriverTBL!$A:$A,0))</f>
        <v>Wesley</v>
      </c>
      <c r="AP167" s="10" t="str">
        <f>INDEX(CarrierDriverTBL!$D:$D,MATCH(Table1[[#This Row],[DriverID]],CarrierDriverTBL!$A:$A,0))</f>
        <v>Cousain</v>
      </c>
      <c r="AQ167" s="10" t="str">
        <f>INDEX(CarrierDriverTBL!$X:$X,MATCH(Table1[[#This Row],[DriverID]],CarrierDriverTBL!$A:$A,0))</f>
        <v>D4903588</v>
      </c>
      <c r="AR167" s="11">
        <f>INDEX(CarrierDriverTBL!$Y:$Y,MATCH(Table1[[#This Row],[DriverID]],CarrierDriverTBL!$A:$A,0))</f>
        <v>43458</v>
      </c>
      <c r="AS167" s="142" t="str">
        <f t="shared" si="67"/>
        <v>GOOD</v>
      </c>
      <c r="AT167" s="11">
        <f>INDEX(CarrierDriverTBL!$E:$E,MATCH(Table1[[#This Row],[DriverID]],CarrierDriverTBL!$A:$A,0))</f>
        <v>31405</v>
      </c>
      <c r="AU167" s="163">
        <f ca="1">INDEX(CarrierDriverTBL!$F:$F,MATCH(Table1[[#This Row],[DriverID]],CarrierDriverTBL!$A:$A,0))</f>
        <v>30.605479452054794</v>
      </c>
      <c r="AV167" s="10" t="str">
        <f>INDEX(CarrierDriverTBL!$K:$K,MATCH(Table1[[#This Row],[DriverID]],CarrierDriverTBL!$A:$A,0))</f>
        <v>925-383-5364</v>
      </c>
      <c r="AW167" s="10" t="str">
        <f>INDEX(CarrierDriverTBL!$M:$M,MATCH(Table1[[#This Row],[DriverID]],CarrierDriverTBL!$A:$A,0))</f>
        <v>110 Cordova Ln</v>
      </c>
      <c r="AX167" s="10" t="str">
        <f>INDEX(CarrierDriverTBL!$N:$N,MATCH(Table1[[#This Row],[DriverID]],CarrierDriverTBL!$A:$A,0))</f>
        <v>Stockton</v>
      </c>
      <c r="AY167" s="10" t="str">
        <f>INDEX(CarrierDriverTBL!$O:$O,MATCH(Table1[[#This Row],[DriverID]],CarrierDriverTBL!$A:$A,0))</f>
        <v>CA</v>
      </c>
      <c r="AZ167" s="10">
        <f>INDEX(CarrierDriverTBL!$P:$P,MATCH(Table1[[#This Row],[DriverID]],CarrierDriverTBL!$A:$A,0))</f>
        <v>95207</v>
      </c>
      <c r="BA167" s="10" t="str">
        <f>INDEX(CarrierDriverTBL!$Q:$Q,MATCH(Table1[[#This Row],[DriverID]],CarrierDriverTBL!$A:$A,0))</f>
        <v>US</v>
      </c>
      <c r="BB167" s="173" t="str">
        <f>INDEX(CarrierDriverTBL!$R:$R,MATCH(Table1[[#This Row],[DriverID]],CarrierDriverTBL!$A:$A,0))</f>
        <v>wesleycousain1@gmail.com</v>
      </c>
      <c r="BC167" s="160">
        <f>INDEX(CarrierDriverTBL!$AB:$AB,MATCH(Table1[[#This Row],[DriverID]],CarrierDriverTBL!$A:$A,0))</f>
        <v>42271</v>
      </c>
      <c r="BD167" s="142" t="str">
        <f ca="1">INDEX(CarrierDriverTBL!$AD:$AD,MATCH(LoadMaster!$AN:$AN,CarrierDriverTBL!$A:$A,0))</f>
        <v>MISSING</v>
      </c>
      <c r="BE167" s="142">
        <f>INDEX(CarrierDriverTBL!$AE:$AE,MATCH(Table1[DriverID],CarrierDriverTBL!$A:$A,0))</f>
        <v>913971</v>
      </c>
      <c r="BF167" s="142">
        <f>INDEX(CarrierDriverTBL!$AF:$AF,MATCH(Table1[DriverID],CarrierDriverTBL!$A:$A,0))</f>
        <v>2627544</v>
      </c>
      <c r="BG167" s="142">
        <f>INDEX(CarrierDriverTBL!$AG:$AG,MATCH(Table1[DriverID],CarrierDriverTBL!$A:$A,0))</f>
        <v>466133</v>
      </c>
      <c r="BH167" s="142" t="str">
        <f>INDEX(CarrierDriverTBL!$AH:$AH,MATCH(Table1[DriverID],CarrierDriverTBL!$A:$A,0))</f>
        <v>GM Lawrence Ins</v>
      </c>
      <c r="BI167" s="142" t="str">
        <f>INDEX(CarrierDriverTBL!$AI:$AI,MATCH(Table1[DriverID],CarrierDriverTBL!$A:$A,0))</f>
        <v>DSK2842P160210</v>
      </c>
      <c r="BJ167" s="160">
        <f>INDEX(CarrierDriverTBL!$AJ:$AJ,MATCH(Table1[[#This Row],[DriverID]],CarrierDriverTBL!$A:$A,0))</f>
        <v>42778</v>
      </c>
      <c r="BK167" s="10">
        <f t="shared" si="68"/>
        <v>457</v>
      </c>
      <c r="BL167" s="174">
        <v>1100</v>
      </c>
      <c r="BM167" s="144">
        <v>416</v>
      </c>
      <c r="BN167" s="159">
        <f t="shared" si="85"/>
        <v>2.6442307692307692</v>
      </c>
      <c r="BO167" s="167">
        <f>0.93*1100</f>
        <v>1023</v>
      </c>
      <c r="BP167" s="159">
        <f t="shared" si="86"/>
        <v>2.4591346153846154</v>
      </c>
      <c r="BQ167" s="133">
        <v>2.7989999999999999</v>
      </c>
      <c r="BR167" s="166">
        <f t="shared" ref="BR167:BR196" si="89">(BQ167-1.9)/6</f>
        <v>0.14983333333333335</v>
      </c>
      <c r="BS167" s="167">
        <f t="shared" si="69"/>
        <v>2.3093012820512819</v>
      </c>
      <c r="BT167" s="159">
        <f t="shared" si="70"/>
        <v>62.330666666666673</v>
      </c>
      <c r="BU167" s="10" t="str">
        <f t="shared" si="71"/>
        <v>Ch Robinson</v>
      </c>
      <c r="BV167" s="4"/>
      <c r="BW167" s="4" t="str">
        <f>Table1[[#This Row],[BrokerAddress]]</f>
        <v>P.O. Box 3474</v>
      </c>
      <c r="BX167" s="4" t="str">
        <f t="shared" si="72"/>
        <v>Chicago</v>
      </c>
      <c r="BY167" s="4" t="str">
        <f t="shared" si="73"/>
        <v>Il</v>
      </c>
      <c r="BZ167" s="4">
        <f t="shared" si="74"/>
        <v>60654</v>
      </c>
      <c r="CA167" s="10" t="str">
        <f t="shared" si="75"/>
        <v>US</v>
      </c>
      <c r="CB167" s="15" t="s">
        <v>131</v>
      </c>
      <c r="CC167" s="62"/>
      <c r="CD167" s="15" t="s">
        <v>132</v>
      </c>
      <c r="CE167" s="64">
        <v>0</v>
      </c>
      <c r="CF167" s="4">
        <v>0</v>
      </c>
      <c r="CG167" s="132">
        <f t="shared" si="76"/>
        <v>0</v>
      </c>
      <c r="CH167" s="4" t="s">
        <v>132</v>
      </c>
      <c r="CI167" s="5">
        <v>0</v>
      </c>
      <c r="CJ167" s="4">
        <v>0</v>
      </c>
      <c r="CK167" s="132">
        <f t="shared" si="77"/>
        <v>0</v>
      </c>
      <c r="CL167" s="4" t="s">
        <v>132</v>
      </c>
      <c r="CM167" s="5">
        <v>0</v>
      </c>
      <c r="CN167" s="4">
        <v>0</v>
      </c>
      <c r="CO167" s="132">
        <f t="shared" si="78"/>
        <v>0</v>
      </c>
      <c r="CP167" s="4" t="s">
        <v>132</v>
      </c>
      <c r="CQ167" s="5">
        <v>0</v>
      </c>
      <c r="CR167" s="4">
        <v>0</v>
      </c>
      <c r="CS167" s="132">
        <f t="shared" si="79"/>
        <v>0</v>
      </c>
      <c r="CT167" s="159">
        <f t="shared" si="80"/>
        <v>0</v>
      </c>
      <c r="CU167" s="168">
        <f t="shared" si="81"/>
        <v>1100</v>
      </c>
      <c r="CV167" s="183">
        <f t="shared" si="65"/>
        <v>0</v>
      </c>
      <c r="CW167" s="82">
        <f t="shared" si="88"/>
        <v>1023</v>
      </c>
      <c r="CX167" s="79">
        <f>IF(ISBLANK(E167),"AddQuickPay",IF(E167=2,CU167*0.98,IF(E167=2.4,CU167*0.976,IF(E167=3,CU167*0.97,IF(E167=5,CU167*0.95,IF(E167=1.5,CU167*0.985,IF(E167=2.5,CU167*0.975,IF(E167=1.3,CU167*0.987,IF(E167=1,CU167*0.99,IF(E167=4,CU167*0.96,CU167*1))))))))))-Table1[[#This Row],[ComCheck+QuickPayFee]]</f>
        <v>1078</v>
      </c>
      <c r="CY167" s="5">
        <f t="shared" si="82"/>
        <v>77</v>
      </c>
      <c r="CZ167" s="5">
        <f t="shared" si="83"/>
        <v>22</v>
      </c>
      <c r="DA167" s="258">
        <f>Table1[[#This Row],[OriginalDispatch]]-Table1[[#This Row],[QuickPayCharge]]</f>
        <v>55</v>
      </c>
      <c r="DB167" s="5">
        <v>0</v>
      </c>
      <c r="DC167" s="5" t="s">
        <v>1287</v>
      </c>
      <c r="DD167" s="104">
        <f t="shared" si="84"/>
        <v>42321</v>
      </c>
      <c r="DE167" s="15">
        <f>MONTH(Table1[[#This Row],[Weekending]])</f>
        <v>11</v>
      </c>
      <c r="DF167" s="15">
        <f>YEAR(Table1[[#This Row],[Weekending]])</f>
        <v>2015</v>
      </c>
      <c r="DG167" s="4"/>
    </row>
    <row r="168" spans="1:111">
      <c r="A168" s="20" t="str">
        <f t="shared" si="66"/>
        <v>05nkng49</v>
      </c>
      <c r="B168" s="146">
        <v>42321</v>
      </c>
      <c r="C168" s="144">
        <v>186150705</v>
      </c>
      <c r="D168" s="298" t="s">
        <v>111</v>
      </c>
      <c r="E168" s="298">
        <v>2</v>
      </c>
      <c r="F168" s="142" t="str">
        <f>INDEX(BrokerTBL!$B:$B,MATCH(D168,BrokerTBL!$A:$A,0))</f>
        <v>P.O. Box 3474</v>
      </c>
      <c r="G168" s="142" t="str">
        <f>INDEX(BrokerTBL!$C:$C,MATCH(D168,BrokerTBL!$A:$A,0))</f>
        <v>Chicago</v>
      </c>
      <c r="H168" s="142" t="str">
        <f>INDEX(BrokerTBL!$D:$D,MATCH(D168,BrokerTBL!$A:$A,0))</f>
        <v>Il</v>
      </c>
      <c r="I168" s="142" t="str">
        <f>INDEX(BrokerTBL!$E:$E,MATCH(D168,BrokerTBL!$A:$A,0))</f>
        <v>US</v>
      </c>
      <c r="J168" s="142">
        <f>INDEX(BrokerTBL!$F:$F,MATCH(D168,BrokerTBL!$A:$A,0))</f>
        <v>60654</v>
      </c>
      <c r="K168" s="298" t="s">
        <v>1331</v>
      </c>
      <c r="L168" s="145" t="s">
        <v>1179</v>
      </c>
      <c r="M168" s="146">
        <v>42321</v>
      </c>
      <c r="N168" s="162" t="s">
        <v>136</v>
      </c>
      <c r="O168" s="298" t="s">
        <v>1332</v>
      </c>
      <c r="P168" s="298" t="s">
        <v>320</v>
      </c>
      <c r="Q168" s="298" t="s">
        <v>139</v>
      </c>
      <c r="R168" s="298">
        <v>94587</v>
      </c>
      <c r="S168" s="298" t="s">
        <v>118</v>
      </c>
      <c r="T168" s="298" t="s">
        <v>136</v>
      </c>
      <c r="U168" s="298" t="s">
        <v>120</v>
      </c>
      <c r="V168" s="298">
        <v>53</v>
      </c>
      <c r="W168" s="298" t="s">
        <v>1333</v>
      </c>
      <c r="X168" s="144">
        <v>20000</v>
      </c>
      <c r="Y168" s="298" t="s">
        <v>798</v>
      </c>
      <c r="Z168" s="298" t="s">
        <v>123</v>
      </c>
      <c r="AA168" s="298" t="s">
        <v>123</v>
      </c>
      <c r="AB168" s="298" t="s">
        <v>123</v>
      </c>
      <c r="AC168" s="298" t="s">
        <v>1334</v>
      </c>
      <c r="AD168" s="145" t="s">
        <v>1309</v>
      </c>
      <c r="AE168" s="146">
        <v>42324</v>
      </c>
      <c r="AF168" s="416" t="s">
        <v>123</v>
      </c>
      <c r="AG168" s="298" t="s">
        <v>1335</v>
      </c>
      <c r="AH168" s="298" t="s">
        <v>325</v>
      </c>
      <c r="AI168" s="298" t="s">
        <v>139</v>
      </c>
      <c r="AJ168" s="298">
        <v>94510</v>
      </c>
      <c r="AK168" s="298" t="s">
        <v>118</v>
      </c>
      <c r="AL168" s="298" t="s">
        <v>123</v>
      </c>
      <c r="AM168" s="142" t="str">
        <f>INDEX(CarrierDriverTBL!$B:$B,MATCH(Table1[[#This Row],[DriverID]],CarrierDriverTBL!$A:$A,0))</f>
        <v>UBTrucking</v>
      </c>
      <c r="AN168" s="10" t="s">
        <v>192</v>
      </c>
      <c r="AO168" s="10" t="str">
        <f>INDEX(CarrierDriverTBL!$C:$C,MATCH(Table1[[#This Row],[DriverID]],CarrierDriverTBL!$A:$A,0))</f>
        <v>Albel</v>
      </c>
      <c r="AP168" s="142" t="str">
        <f>INDEX(CarrierDriverTBL!$D:$D,MATCH(Table1[[#This Row],[DriverID]],CarrierDriverTBL!$A:$A,0))</f>
        <v>Chahil</v>
      </c>
      <c r="AQ168" s="142" t="str">
        <f>INDEX(CarrierDriverTBL!$X:$X,MATCH(Table1[[#This Row],[DriverID]],CarrierDriverTBL!$A:$A,0))</f>
        <v>A8390649</v>
      </c>
      <c r="AR168" s="160">
        <f>INDEX(CarrierDriverTBL!$Y:$Y,MATCH(Table1[[#This Row],[DriverID]],CarrierDriverTBL!$A:$A,0))</f>
        <v>42402</v>
      </c>
      <c r="AS168" s="142" t="str">
        <f t="shared" si="67"/>
        <v>GOOD</v>
      </c>
      <c r="AT168" s="160">
        <f>INDEX(CarrierDriverTBL!$E:$E,MATCH(Table1[[#This Row],[DriverID]],CarrierDriverTBL!$A:$A,0))</f>
        <v>22314</v>
      </c>
      <c r="AU168" s="163">
        <f ca="1">INDEX(CarrierDriverTBL!$F:$F,MATCH(Table1[[#This Row],[DriverID]],CarrierDriverTBL!$A:$A,0))</f>
        <v>55.512328767123286</v>
      </c>
      <c r="AV168" s="142" t="str">
        <f>INDEX(CarrierDriverTBL!$K:$K,MATCH(Table1[[#This Row],[DriverID]],CarrierDriverTBL!$A:$A,0))</f>
        <v>510-773-9450</v>
      </c>
      <c r="AW168" s="142" t="str">
        <f>INDEX(CarrierDriverTBL!$M:$M,MATCH(Table1[[#This Row],[DriverID]],CarrierDriverTBL!$A:$A,0))</f>
        <v>3124 Cynthia CT</v>
      </c>
      <c r="AX168" s="142" t="str">
        <f>INDEX(CarrierDriverTBL!$N:$N,MATCH(Table1[[#This Row],[DriverID]],CarrierDriverTBL!$A:$A,0))</f>
        <v>Tracy</v>
      </c>
      <c r="AY168" s="142" t="str">
        <f>INDEX(CarrierDriverTBL!$O:$O,MATCH(Table1[[#This Row],[DriverID]],CarrierDriverTBL!$A:$A,0))</f>
        <v>CA</v>
      </c>
      <c r="AZ168" s="142">
        <f>INDEX(CarrierDriverTBL!$P:$P,MATCH(Table1[[#This Row],[DriverID]],CarrierDriverTBL!$A:$A,0))</f>
        <v>95377</v>
      </c>
      <c r="BA168" s="142" t="str">
        <f>INDEX(CarrierDriverTBL!$Q:$Q,MATCH(Table1[[#This Row],[DriverID]],CarrierDriverTBL!$A:$A,0))</f>
        <v>US</v>
      </c>
      <c r="BB168" s="176" t="str">
        <f>INDEX(CarrierDriverTBL!$R:$R,MATCH(Table1[[#This Row],[DriverID]],CarrierDriverTBL!$A:$A,0))</f>
        <v>ubgollc@gmail.com</v>
      </c>
      <c r="BC168" s="160">
        <f>INDEX(CarrierDriverTBL!$AB:$AB,MATCH(Table1[[#This Row],[DriverID]],CarrierDriverTBL!$A:$A,0))</f>
        <v>42167</v>
      </c>
      <c r="BD168" s="142" t="str">
        <f ca="1">INDEX(CarrierDriverTBL!$AD:$AD,MATCH(LoadMaster!$AN:$AN,CarrierDriverTBL!$A:$A,0))</f>
        <v>MISSING</v>
      </c>
      <c r="BE168" s="142">
        <f>INDEX(CarrierDriverTBL!$AE:$AE,MATCH(Table1[DriverID],CarrierDriverTBL!$A:$A,0))</f>
        <v>913971</v>
      </c>
      <c r="BF168" s="142">
        <f>INDEX(CarrierDriverTBL!$AF:$AF,MATCH(Table1[DriverID],CarrierDriverTBL!$A:$A,0))</f>
        <v>2627544</v>
      </c>
      <c r="BG168" s="142">
        <f>INDEX(CarrierDriverTBL!$AG:$AG,MATCH(Table1[DriverID],CarrierDriverTBL!$A:$A,0))</f>
        <v>466133</v>
      </c>
      <c r="BH168" s="142" t="str">
        <f>INDEX(CarrierDriverTBL!$AH:$AH,MATCH(Table1[DriverID],CarrierDriverTBL!$A:$A,0))</f>
        <v>GM Lawrence Ins</v>
      </c>
      <c r="BI168" s="142" t="str">
        <f>INDEX(CarrierDriverTBL!$AI:$AI,MATCH(Table1[DriverID],CarrierDriverTBL!$A:$A,0))</f>
        <v>DSK2842P160210</v>
      </c>
      <c r="BJ168" s="160">
        <f>INDEX(CarrierDriverTBL!$AJ:$AJ,MATCH(Table1[[#This Row],[DriverID]],CarrierDriverTBL!$A:$A,0))</f>
        <v>42778</v>
      </c>
      <c r="BK168" s="10">
        <f t="shared" si="68"/>
        <v>457</v>
      </c>
      <c r="BL168" s="174">
        <v>450</v>
      </c>
      <c r="BM168" s="144">
        <v>52</v>
      </c>
      <c r="BN168" s="159">
        <f t="shared" si="85"/>
        <v>8.6538461538461533</v>
      </c>
      <c r="BO168" s="167">
        <v>400</v>
      </c>
      <c r="BP168" s="159">
        <f t="shared" si="86"/>
        <v>7.6923076923076925</v>
      </c>
      <c r="BQ168" s="133">
        <v>2.7989999999999999</v>
      </c>
      <c r="BR168" s="166">
        <f t="shared" si="89"/>
        <v>0.14983333333333335</v>
      </c>
      <c r="BS168" s="167">
        <f t="shared" si="69"/>
        <v>7.542474358974359</v>
      </c>
      <c r="BT168" s="159">
        <f t="shared" si="70"/>
        <v>7.7913333333333341</v>
      </c>
      <c r="BU168" s="10" t="str">
        <f t="shared" si="71"/>
        <v>Ch Robinson</v>
      </c>
      <c r="BV168" s="4"/>
      <c r="BW168" s="4" t="str">
        <f>Table1[[#This Row],[BrokerAddress]]</f>
        <v>P.O. Box 3474</v>
      </c>
      <c r="BX168" s="4" t="str">
        <f t="shared" si="72"/>
        <v>Chicago</v>
      </c>
      <c r="BY168" s="4" t="str">
        <f t="shared" si="73"/>
        <v>Il</v>
      </c>
      <c r="BZ168" s="4">
        <f t="shared" si="74"/>
        <v>60654</v>
      </c>
      <c r="CA168" s="10" t="str">
        <f t="shared" si="75"/>
        <v>US</v>
      </c>
      <c r="CB168" s="15" t="s">
        <v>131</v>
      </c>
      <c r="CC168" s="62"/>
      <c r="CD168" s="15" t="s">
        <v>132</v>
      </c>
      <c r="CE168" s="64">
        <v>0</v>
      </c>
      <c r="CF168" s="4">
        <v>0</v>
      </c>
      <c r="CG168" s="132">
        <f t="shared" si="76"/>
        <v>0</v>
      </c>
      <c r="CH168" s="4" t="s">
        <v>132</v>
      </c>
      <c r="CI168" s="5">
        <v>0</v>
      </c>
      <c r="CJ168" s="4">
        <v>0</v>
      </c>
      <c r="CK168" s="132">
        <f t="shared" si="77"/>
        <v>0</v>
      </c>
      <c r="CL168" s="4" t="s">
        <v>132</v>
      </c>
      <c r="CM168" s="5">
        <v>0</v>
      </c>
      <c r="CN168" s="4">
        <v>0</v>
      </c>
      <c r="CO168" s="132">
        <f t="shared" si="78"/>
        <v>0</v>
      </c>
      <c r="CP168" s="4" t="s">
        <v>132</v>
      </c>
      <c r="CQ168" s="5">
        <v>0</v>
      </c>
      <c r="CR168" s="4">
        <v>0</v>
      </c>
      <c r="CS168" s="132">
        <f t="shared" si="79"/>
        <v>0</v>
      </c>
      <c r="CT168" s="159">
        <f t="shared" si="80"/>
        <v>0</v>
      </c>
      <c r="CU168" s="168">
        <f t="shared" si="81"/>
        <v>450</v>
      </c>
      <c r="CV168" s="183">
        <f t="shared" si="65"/>
        <v>0</v>
      </c>
      <c r="CW168" s="82">
        <f t="shared" si="88"/>
        <v>400</v>
      </c>
      <c r="CX168" s="79">
        <f>IF(ISBLANK(E168),"AddQuickPay",IF(E168=2,CU168*0.98,IF(E168=2.4,CU168*0.976,IF(E168=3,CU168*0.97,IF(E168=5,CU168*0.95,IF(E168=1.5,CU168*0.985,IF(E168=2.5,CU168*0.975,IF(E168=1.3,CU168*0.987,IF(E168=1,CU168*0.99,IF(E168=4,CU168*0.96,CU168*1))))))))))-Table1[[#This Row],[ComCheck+QuickPayFee]]</f>
        <v>441</v>
      </c>
      <c r="CY168" s="5">
        <f t="shared" si="82"/>
        <v>50</v>
      </c>
      <c r="CZ168" s="5">
        <f t="shared" si="83"/>
        <v>9</v>
      </c>
      <c r="DA168" s="258">
        <f>Table1[[#This Row],[OriginalDispatch]]-Table1[[#This Row],[QuickPayCharge]]</f>
        <v>41</v>
      </c>
      <c r="DB168" s="5">
        <v>0</v>
      </c>
      <c r="DC168" s="5" t="s">
        <v>1287</v>
      </c>
      <c r="DD168" s="104">
        <f t="shared" si="84"/>
        <v>42321</v>
      </c>
      <c r="DE168" s="15">
        <f>MONTH(Table1[[#This Row],[Weekending]])</f>
        <v>11</v>
      </c>
      <c r="DF168" s="15">
        <f>YEAR(Table1[[#This Row],[Weekending]])</f>
        <v>2015</v>
      </c>
      <c r="DG168" s="4"/>
    </row>
    <row r="169" spans="1:111">
      <c r="A169" s="20" t="str">
        <f t="shared" si="66"/>
        <v>36640449</v>
      </c>
      <c r="B169" s="146">
        <v>42321</v>
      </c>
      <c r="C169" s="144">
        <v>185634136</v>
      </c>
      <c r="D169" s="298" t="s">
        <v>111</v>
      </c>
      <c r="E169" s="298">
        <v>2</v>
      </c>
      <c r="F169" s="142" t="str">
        <f>INDEX(BrokerTBL!$B:$B,MATCH(D169,BrokerTBL!$A:$A,0))</f>
        <v>P.O. Box 3474</v>
      </c>
      <c r="G169" s="142" t="str">
        <f>INDEX(BrokerTBL!$C:$C,MATCH(D169,BrokerTBL!$A:$A,0))</f>
        <v>Chicago</v>
      </c>
      <c r="H169" s="142" t="str">
        <f>INDEX(BrokerTBL!$D:$D,MATCH(D169,BrokerTBL!$A:$A,0))</f>
        <v>Il</v>
      </c>
      <c r="I169" s="142" t="str">
        <f>INDEX(BrokerTBL!$E:$E,MATCH(D169,BrokerTBL!$A:$A,0))</f>
        <v>US</v>
      </c>
      <c r="J169" s="142">
        <f>INDEX(BrokerTBL!$F:$F,MATCH(D169,BrokerTBL!$A:$A,0))</f>
        <v>60654</v>
      </c>
      <c r="K169" s="298" t="s">
        <v>1336</v>
      </c>
      <c r="L169" s="145" t="s">
        <v>1337</v>
      </c>
      <c r="M169" s="146">
        <v>42324</v>
      </c>
      <c r="N169" s="162" t="s">
        <v>136</v>
      </c>
      <c r="O169" s="298" t="s">
        <v>1338</v>
      </c>
      <c r="P169" s="298" t="s">
        <v>414</v>
      </c>
      <c r="Q169" s="298" t="s">
        <v>139</v>
      </c>
      <c r="R169" s="298">
        <v>95076</v>
      </c>
      <c r="S169" s="298" t="s">
        <v>118</v>
      </c>
      <c r="T169" s="298" t="s">
        <v>136</v>
      </c>
      <c r="U169" s="298" t="s">
        <v>120</v>
      </c>
      <c r="V169" s="298">
        <v>53</v>
      </c>
      <c r="W169" s="298" t="s">
        <v>1339</v>
      </c>
      <c r="X169" s="185">
        <v>41629</v>
      </c>
      <c r="Y169" s="298" t="s">
        <v>26</v>
      </c>
      <c r="Z169" s="298" t="s">
        <v>123</v>
      </c>
      <c r="AA169" s="298">
        <v>19</v>
      </c>
      <c r="AB169" s="298" t="s">
        <v>123</v>
      </c>
      <c r="AC169" s="298" t="s">
        <v>1340</v>
      </c>
      <c r="AD169" s="145" t="s">
        <v>1341</v>
      </c>
      <c r="AE169" s="146">
        <v>42325</v>
      </c>
      <c r="AF169" s="416" t="s">
        <v>123</v>
      </c>
      <c r="AG169" s="298" t="s">
        <v>1342</v>
      </c>
      <c r="AH169" s="298" t="s">
        <v>1343</v>
      </c>
      <c r="AI169" s="298" t="s">
        <v>139</v>
      </c>
      <c r="AJ169" s="298">
        <v>96080</v>
      </c>
      <c r="AK169" s="298" t="s">
        <v>118</v>
      </c>
      <c r="AL169" s="298" t="s">
        <v>123</v>
      </c>
      <c r="AM169" s="142" t="str">
        <f>INDEX(CarrierDriverTBL!$B:$B,MATCH(Table1[[#This Row],[DriverID]],CarrierDriverTBL!$A:$A,0))</f>
        <v>UBTrucking</v>
      </c>
      <c r="AN169" s="10" t="s">
        <v>192</v>
      </c>
      <c r="AO169" s="10" t="str">
        <f>INDEX(CarrierDriverTBL!$C:$C,MATCH(Table1[[#This Row],[DriverID]],CarrierDriverTBL!$A:$A,0))</f>
        <v>Albel</v>
      </c>
      <c r="AP169" s="142" t="str">
        <f>INDEX(CarrierDriverTBL!$D:$D,MATCH(Table1[[#This Row],[DriverID]],CarrierDriverTBL!$A:$A,0))</f>
        <v>Chahil</v>
      </c>
      <c r="AQ169" s="142" t="str">
        <f>INDEX(CarrierDriverTBL!$X:$X,MATCH(Table1[[#This Row],[DriverID]],CarrierDriverTBL!$A:$A,0))</f>
        <v>A8390649</v>
      </c>
      <c r="AR169" s="160">
        <f>INDEX(CarrierDriverTBL!$Y:$Y,MATCH(Table1[[#This Row],[DriverID]],CarrierDriverTBL!$A:$A,0))</f>
        <v>42402</v>
      </c>
      <c r="AS169" s="142" t="str">
        <f t="shared" si="67"/>
        <v>GOOD</v>
      </c>
      <c r="AT169" s="160">
        <f>INDEX(CarrierDriverTBL!$E:$E,MATCH(Table1[[#This Row],[DriverID]],CarrierDriverTBL!$A:$A,0))</f>
        <v>22314</v>
      </c>
      <c r="AU169" s="163">
        <f ca="1">INDEX(CarrierDriverTBL!$F:$F,MATCH(Table1[[#This Row],[DriverID]],CarrierDriverTBL!$A:$A,0))</f>
        <v>55.512328767123286</v>
      </c>
      <c r="AV169" s="142" t="str">
        <f>INDEX(CarrierDriverTBL!$K:$K,MATCH(Table1[[#This Row],[DriverID]],CarrierDriverTBL!$A:$A,0))</f>
        <v>510-773-9450</v>
      </c>
      <c r="AW169" s="142" t="str">
        <f>INDEX(CarrierDriverTBL!$M:$M,MATCH(Table1[[#This Row],[DriverID]],CarrierDriverTBL!$A:$A,0))</f>
        <v>3124 Cynthia CT</v>
      </c>
      <c r="AX169" s="142" t="str">
        <f>INDEX(CarrierDriverTBL!$N:$N,MATCH(Table1[[#This Row],[DriverID]],CarrierDriverTBL!$A:$A,0))</f>
        <v>Tracy</v>
      </c>
      <c r="AY169" s="142" t="str">
        <f>INDEX(CarrierDriverTBL!$O:$O,MATCH(Table1[[#This Row],[DriverID]],CarrierDriverTBL!$A:$A,0))</f>
        <v>CA</v>
      </c>
      <c r="AZ169" s="142">
        <f>INDEX(CarrierDriverTBL!$P:$P,MATCH(Table1[[#This Row],[DriverID]],CarrierDriverTBL!$A:$A,0))</f>
        <v>95377</v>
      </c>
      <c r="BA169" s="142" t="str">
        <f>INDEX(CarrierDriverTBL!$Q:$Q,MATCH(Table1[[#This Row],[DriverID]],CarrierDriverTBL!$A:$A,0))</f>
        <v>US</v>
      </c>
      <c r="BB169" s="176" t="str">
        <f>INDEX(CarrierDriverTBL!$R:$R,MATCH(Table1[[#This Row],[DriverID]],CarrierDriverTBL!$A:$A,0))</f>
        <v>ubgollc@gmail.com</v>
      </c>
      <c r="BC169" s="160">
        <f>INDEX(CarrierDriverTBL!$AB:$AB,MATCH(Table1[[#This Row],[DriverID]],CarrierDriverTBL!$A:$A,0))</f>
        <v>42167</v>
      </c>
      <c r="BD169" s="142" t="str">
        <f ca="1">INDEX(CarrierDriverTBL!$AD:$AD,MATCH(LoadMaster!$AN:$AN,CarrierDriverTBL!$A:$A,0))</f>
        <v>MISSING</v>
      </c>
      <c r="BE169" s="142">
        <f>INDEX(CarrierDriverTBL!$AE:$AE,MATCH(Table1[DriverID],CarrierDriverTBL!$A:$A,0))</f>
        <v>913971</v>
      </c>
      <c r="BF169" s="142">
        <f>INDEX(CarrierDriverTBL!$AF:$AF,MATCH(Table1[DriverID],CarrierDriverTBL!$A:$A,0))</f>
        <v>2627544</v>
      </c>
      <c r="BG169" s="142">
        <f>INDEX(CarrierDriverTBL!$AG:$AG,MATCH(Table1[DriverID],CarrierDriverTBL!$A:$A,0))</f>
        <v>466133</v>
      </c>
      <c r="BH169" s="142" t="str">
        <f>INDEX(CarrierDriverTBL!$AH:$AH,MATCH(Table1[DriverID],CarrierDriverTBL!$A:$A,0))</f>
        <v>GM Lawrence Ins</v>
      </c>
      <c r="BI169" s="142" t="str">
        <f>INDEX(CarrierDriverTBL!$AI:$AI,MATCH(Table1[DriverID],CarrierDriverTBL!$A:$A,0))</f>
        <v>DSK2842P160210</v>
      </c>
      <c r="BJ169" s="160">
        <f>INDEX(CarrierDriverTBL!$AJ:$AJ,MATCH(Table1[[#This Row],[DriverID]],CarrierDriverTBL!$A:$A,0))</f>
        <v>42778</v>
      </c>
      <c r="BK169" s="10">
        <f t="shared" si="68"/>
        <v>454</v>
      </c>
      <c r="BL169" s="174">
        <v>750</v>
      </c>
      <c r="BM169" s="144">
        <v>260</v>
      </c>
      <c r="BN169" s="159">
        <f t="shared" si="85"/>
        <v>2.8846153846153846</v>
      </c>
      <c r="BO169" s="167">
        <v>700</v>
      </c>
      <c r="BP169" s="159">
        <f t="shared" si="86"/>
        <v>2.6923076923076925</v>
      </c>
      <c r="BQ169" s="133">
        <v>2.7989999999999999</v>
      </c>
      <c r="BR169" s="166">
        <f t="shared" si="89"/>
        <v>0.14983333333333335</v>
      </c>
      <c r="BS169" s="167">
        <f t="shared" si="69"/>
        <v>2.542474358974359</v>
      </c>
      <c r="BT169" s="159">
        <f t="shared" si="70"/>
        <v>38.956666666666671</v>
      </c>
      <c r="BU169" s="10" t="str">
        <f t="shared" si="71"/>
        <v>Ch Robinson</v>
      </c>
      <c r="BV169" s="4"/>
      <c r="BW169" s="4" t="str">
        <f>Table1[[#This Row],[BrokerAddress]]</f>
        <v>P.O. Box 3474</v>
      </c>
      <c r="BX169" s="4" t="str">
        <f t="shared" si="72"/>
        <v>Chicago</v>
      </c>
      <c r="BY169" s="4" t="str">
        <f t="shared" si="73"/>
        <v>Il</v>
      </c>
      <c r="BZ169" s="4">
        <f t="shared" si="74"/>
        <v>60654</v>
      </c>
      <c r="CA169" s="10" t="str">
        <f t="shared" si="75"/>
        <v>US</v>
      </c>
      <c r="CB169" s="15" t="s">
        <v>131</v>
      </c>
      <c r="CC169" s="62"/>
      <c r="CD169" s="15" t="s">
        <v>132</v>
      </c>
      <c r="CE169" s="64">
        <v>0</v>
      </c>
      <c r="CF169" s="4">
        <v>0</v>
      </c>
      <c r="CG169" s="132">
        <f t="shared" si="76"/>
        <v>0</v>
      </c>
      <c r="CH169" s="4" t="s">
        <v>132</v>
      </c>
      <c r="CI169" s="5">
        <v>0</v>
      </c>
      <c r="CJ169" s="4">
        <v>0</v>
      </c>
      <c r="CK169" s="132">
        <f t="shared" si="77"/>
        <v>0</v>
      </c>
      <c r="CL169" s="4" t="s">
        <v>132</v>
      </c>
      <c r="CM169" s="5">
        <v>0</v>
      </c>
      <c r="CN169" s="4">
        <v>0</v>
      </c>
      <c r="CO169" s="132">
        <f t="shared" si="78"/>
        <v>0</v>
      </c>
      <c r="CP169" s="4" t="s">
        <v>132</v>
      </c>
      <c r="CQ169" s="5">
        <v>0</v>
      </c>
      <c r="CR169" s="4">
        <v>0</v>
      </c>
      <c r="CS169" s="132">
        <f t="shared" si="79"/>
        <v>0</v>
      </c>
      <c r="CT169" s="159">
        <f t="shared" si="80"/>
        <v>0</v>
      </c>
      <c r="CU169" s="168">
        <f t="shared" si="81"/>
        <v>750</v>
      </c>
      <c r="CV169" s="183">
        <f t="shared" si="65"/>
        <v>0</v>
      </c>
      <c r="CW169" s="82">
        <f t="shared" si="88"/>
        <v>700</v>
      </c>
      <c r="CX169" s="79">
        <f>IF(ISBLANK(E169),"AddQuickPay",IF(E169=2,CU169*0.98,IF(E169=2.4,CU169*0.976,IF(E169=3,CU169*0.97,IF(E169=5,CU169*0.95,IF(E169=1.5,CU169*0.985,IF(E169=2.5,CU169*0.975,IF(E169=1.3,CU169*0.987,IF(E169=1,CU169*0.99,IF(E169=4,CU169*0.96,CU169*1))))))))))-Table1[[#This Row],[ComCheck+QuickPayFee]]</f>
        <v>735</v>
      </c>
      <c r="CY169" s="5">
        <f t="shared" si="82"/>
        <v>50</v>
      </c>
      <c r="CZ169" s="5">
        <f t="shared" si="83"/>
        <v>15</v>
      </c>
      <c r="DA169" s="258">
        <f>Table1[[#This Row],[OriginalDispatch]]-Table1[[#This Row],[QuickPayCharge]]</f>
        <v>35</v>
      </c>
      <c r="DB169" s="5">
        <v>0</v>
      </c>
      <c r="DC169" s="5" t="s">
        <v>1287</v>
      </c>
      <c r="DD169" s="104">
        <f t="shared" si="84"/>
        <v>42328</v>
      </c>
      <c r="DE169" s="15">
        <f>MONTH(Table1[[#This Row],[Weekending]])</f>
        <v>11</v>
      </c>
      <c r="DF169" s="15">
        <f>YEAR(Table1[[#This Row],[Weekending]])</f>
        <v>2015</v>
      </c>
      <c r="DG169" s="4"/>
    </row>
    <row r="170" spans="1:111" s="43" customFormat="1">
      <c r="A170" s="193" t="str">
        <f t="shared" si="66"/>
        <v>89nkne88</v>
      </c>
      <c r="B170" s="194">
        <v>42325</v>
      </c>
      <c r="C170" s="198">
        <v>186427289</v>
      </c>
      <c r="D170" s="196" t="s">
        <v>111</v>
      </c>
      <c r="E170" s="196">
        <v>2</v>
      </c>
      <c r="F170" s="197" t="str">
        <f>INDEX(BrokerTBL!$B:$B,MATCH(D170,BrokerTBL!$A:$A,0))</f>
        <v>P.O. Box 3474</v>
      </c>
      <c r="G170" s="197" t="str">
        <f>INDEX(BrokerTBL!$C:$C,MATCH(D170,BrokerTBL!$A:$A,0))</f>
        <v>Chicago</v>
      </c>
      <c r="H170" s="197" t="str">
        <f>INDEX(BrokerTBL!$D:$D,MATCH(D170,BrokerTBL!$A:$A,0))</f>
        <v>Il</v>
      </c>
      <c r="I170" s="197" t="str">
        <f>INDEX(BrokerTBL!$E:$E,MATCH(D170,BrokerTBL!$A:$A,0))</f>
        <v>US</v>
      </c>
      <c r="J170" s="197">
        <f>INDEX(BrokerTBL!$F:$F,MATCH(D170,BrokerTBL!$A:$A,0))</f>
        <v>60654</v>
      </c>
      <c r="K170" s="196" t="s">
        <v>1282</v>
      </c>
      <c r="L170" s="195" t="s">
        <v>1179</v>
      </c>
      <c r="M170" s="194">
        <v>42325</v>
      </c>
      <c r="N170" s="162" t="s">
        <v>136</v>
      </c>
      <c r="O170" s="196" t="s">
        <v>1070</v>
      </c>
      <c r="P170" s="196" t="s">
        <v>366</v>
      </c>
      <c r="Q170" s="196" t="s">
        <v>139</v>
      </c>
      <c r="R170" s="196">
        <v>95776</v>
      </c>
      <c r="S170" s="196" t="s">
        <v>118</v>
      </c>
      <c r="T170" s="298" t="s">
        <v>136</v>
      </c>
      <c r="U170" s="196" t="s">
        <v>120</v>
      </c>
      <c r="V170" s="196">
        <v>53</v>
      </c>
      <c r="W170" s="196" t="s">
        <v>944</v>
      </c>
      <c r="X170" s="198">
        <v>15000</v>
      </c>
      <c r="Y170" s="196" t="s">
        <v>26</v>
      </c>
      <c r="Z170" s="196" t="s">
        <v>123</v>
      </c>
      <c r="AA170" s="196" t="s">
        <v>123</v>
      </c>
      <c r="AB170" s="196" t="s">
        <v>123</v>
      </c>
      <c r="AC170" s="196" t="s">
        <v>1344</v>
      </c>
      <c r="AD170" s="195" t="s">
        <v>132</v>
      </c>
      <c r="AE170" s="194">
        <v>42325</v>
      </c>
      <c r="AF170" s="416" t="s">
        <v>123</v>
      </c>
      <c r="AG170" s="196" t="s">
        <v>1345</v>
      </c>
      <c r="AH170" s="196" t="s">
        <v>595</v>
      </c>
      <c r="AI170" s="196" t="s">
        <v>139</v>
      </c>
      <c r="AJ170" s="196">
        <v>95112</v>
      </c>
      <c r="AK170" s="196" t="s">
        <v>118</v>
      </c>
      <c r="AL170" s="196" t="s">
        <v>123</v>
      </c>
      <c r="AM170" s="197" t="str">
        <f>INDEX(CarrierDriverTBL!$B:$B,MATCH(Table1[[#This Row],[DriverID]],CarrierDriverTBL!$A:$A,0))</f>
        <v>UBTrucking</v>
      </c>
      <c r="AN170" s="10" t="s">
        <v>948</v>
      </c>
      <c r="AO170" s="199" t="str">
        <f>INDEX(CarrierDriverTBL!$C:$C,MATCH(Table1[[#This Row],[DriverID]],CarrierDriverTBL!$A:$A,0))</f>
        <v>Wesley</v>
      </c>
      <c r="AP170" s="199" t="str">
        <f>INDEX(CarrierDriverTBL!$D:$D,MATCH(Table1[[#This Row],[DriverID]],CarrierDriverTBL!$A:$A,0))</f>
        <v>Cousain</v>
      </c>
      <c r="AQ170" s="199" t="str">
        <f>INDEX(CarrierDriverTBL!$X:$X,MATCH(Table1[[#This Row],[DriverID]],CarrierDriverTBL!$A:$A,0))</f>
        <v>D4903588</v>
      </c>
      <c r="AR170" s="200">
        <f>INDEX(CarrierDriverTBL!$Y:$Y,MATCH(Table1[[#This Row],[DriverID]],CarrierDriverTBL!$A:$A,0))</f>
        <v>43458</v>
      </c>
      <c r="AS170" s="142" t="str">
        <f t="shared" si="67"/>
        <v>GOOD</v>
      </c>
      <c r="AT170" s="200">
        <f>INDEX(CarrierDriverTBL!$E:$E,MATCH(Table1[[#This Row],[DriverID]],CarrierDriverTBL!$A:$A,0))</f>
        <v>31405</v>
      </c>
      <c r="AU170" s="163">
        <f ca="1">INDEX(CarrierDriverTBL!$F:$F,MATCH(Table1[[#This Row],[DriverID]],CarrierDriverTBL!$A:$A,0))</f>
        <v>30.605479452054794</v>
      </c>
      <c r="AV170" s="199" t="str">
        <f>INDEX(CarrierDriverTBL!$K:$K,MATCH(Table1[[#This Row],[DriverID]],CarrierDriverTBL!$A:$A,0))</f>
        <v>925-383-5364</v>
      </c>
      <c r="AW170" s="199" t="str">
        <f>INDEX(CarrierDriverTBL!$M:$M,MATCH(Table1[[#This Row],[DriverID]],CarrierDriverTBL!$A:$A,0))</f>
        <v>110 Cordova Ln</v>
      </c>
      <c r="AX170" s="199" t="str">
        <f>INDEX(CarrierDriverTBL!$N:$N,MATCH(Table1[[#This Row],[DriverID]],CarrierDriverTBL!$A:$A,0))</f>
        <v>Stockton</v>
      </c>
      <c r="AY170" s="199" t="str">
        <f>INDEX(CarrierDriverTBL!$O:$O,MATCH(Table1[[#This Row],[DriverID]],CarrierDriverTBL!$A:$A,0))</f>
        <v>CA</v>
      </c>
      <c r="AZ170" s="199">
        <f>INDEX(CarrierDriverTBL!$P:$P,MATCH(Table1[[#This Row],[DriverID]],CarrierDriverTBL!$A:$A,0))</f>
        <v>95207</v>
      </c>
      <c r="BA170" s="199" t="str">
        <f>INDEX(CarrierDriverTBL!$Q:$Q,MATCH(Table1[[#This Row],[DriverID]],CarrierDriverTBL!$A:$A,0))</f>
        <v>US</v>
      </c>
      <c r="BB170" s="201" t="str">
        <f>INDEX(CarrierDriverTBL!$R:$R,MATCH(Table1[[#This Row],[DriverID]],CarrierDriverTBL!$A:$A,0))</f>
        <v>wesleycousain1@gmail.com</v>
      </c>
      <c r="BC170" s="160">
        <f>INDEX(CarrierDriverTBL!$AB:$AB,MATCH(Table1[[#This Row],[DriverID]],CarrierDriverTBL!$A:$A,0))</f>
        <v>42271</v>
      </c>
      <c r="BD170" s="142" t="str">
        <f ca="1">INDEX(CarrierDriverTBL!$AD:$AD,MATCH(LoadMaster!$AN:$AN,CarrierDriverTBL!$A:$A,0))</f>
        <v>MISSING</v>
      </c>
      <c r="BE170" s="197">
        <f>INDEX(CarrierDriverTBL!$AE:$AE,MATCH(Table1[DriverID],CarrierDriverTBL!$A:$A,0))</f>
        <v>913971</v>
      </c>
      <c r="BF170" s="197">
        <f>INDEX(CarrierDriverTBL!$AF:$AF,MATCH(Table1[DriverID],CarrierDriverTBL!$A:$A,0))</f>
        <v>2627544</v>
      </c>
      <c r="BG170" s="197">
        <f>INDEX(CarrierDriverTBL!$AG:$AG,MATCH(Table1[DriverID],CarrierDriverTBL!$A:$A,0))</f>
        <v>466133</v>
      </c>
      <c r="BH170" s="197" t="str">
        <f>INDEX(CarrierDriverTBL!$AH:$AH,MATCH(Table1[DriverID],CarrierDriverTBL!$A:$A,0))</f>
        <v>GM Lawrence Ins</v>
      </c>
      <c r="BI170" s="197" t="str">
        <f>INDEX(CarrierDriverTBL!$AI:$AI,MATCH(Table1[DriverID],CarrierDriverTBL!$A:$A,0))</f>
        <v>DSK2842P160210</v>
      </c>
      <c r="BJ170" s="202">
        <f>INDEX(CarrierDriverTBL!$AJ:$AJ,MATCH(Table1[[#This Row],[DriverID]],CarrierDriverTBL!$A:$A,0))</f>
        <v>42778</v>
      </c>
      <c r="BK170" s="10">
        <f t="shared" si="68"/>
        <v>453</v>
      </c>
      <c r="BL170" s="203">
        <v>575</v>
      </c>
      <c r="BM170" s="198">
        <v>190</v>
      </c>
      <c r="BN170" s="159">
        <f t="shared" si="85"/>
        <v>3.0263157894736841</v>
      </c>
      <c r="BO170" s="204">
        <f>0.93*575</f>
        <v>534.75</v>
      </c>
      <c r="BP170" s="159">
        <f t="shared" si="86"/>
        <v>2.8144736842105265</v>
      </c>
      <c r="BQ170" s="205">
        <v>2.7989999999999999</v>
      </c>
      <c r="BR170" s="166">
        <f t="shared" si="89"/>
        <v>0.14983333333333335</v>
      </c>
      <c r="BS170" s="167">
        <f t="shared" si="69"/>
        <v>2.664640350877193</v>
      </c>
      <c r="BT170" s="159">
        <f t="shared" si="70"/>
        <v>28.468333333333337</v>
      </c>
      <c r="BU170" s="10" t="str">
        <f t="shared" si="71"/>
        <v>Ch Robinson</v>
      </c>
      <c r="BW170" s="4" t="str">
        <f>Table1[[#This Row],[BrokerAddress]]</f>
        <v>P.O. Box 3474</v>
      </c>
      <c r="BX170" s="4" t="str">
        <f t="shared" si="72"/>
        <v>Chicago</v>
      </c>
      <c r="BY170" s="4" t="str">
        <f t="shared" si="73"/>
        <v>Il</v>
      </c>
      <c r="BZ170" s="4">
        <f t="shared" si="74"/>
        <v>60654</v>
      </c>
      <c r="CA170" s="10" t="str">
        <f t="shared" si="75"/>
        <v>US</v>
      </c>
      <c r="CB170" s="15" t="s">
        <v>131</v>
      </c>
      <c r="CC170" s="63"/>
      <c r="CD170" s="206" t="s">
        <v>132</v>
      </c>
      <c r="CE170" s="207">
        <v>0</v>
      </c>
      <c r="CF170" s="43">
        <v>0</v>
      </c>
      <c r="CG170" s="132">
        <f t="shared" si="76"/>
        <v>0</v>
      </c>
      <c r="CH170" s="43" t="s">
        <v>132</v>
      </c>
      <c r="CI170" s="44">
        <v>0</v>
      </c>
      <c r="CJ170" s="43">
        <v>0</v>
      </c>
      <c r="CK170" s="271">
        <f t="shared" si="77"/>
        <v>0</v>
      </c>
      <c r="CL170" s="43" t="s">
        <v>132</v>
      </c>
      <c r="CM170" s="44">
        <v>0</v>
      </c>
      <c r="CN170" s="43">
        <v>0</v>
      </c>
      <c r="CO170" s="271">
        <f t="shared" si="78"/>
        <v>0</v>
      </c>
      <c r="CP170" s="43" t="s">
        <v>132</v>
      </c>
      <c r="CQ170" s="44">
        <v>0</v>
      </c>
      <c r="CR170" s="43">
        <v>0</v>
      </c>
      <c r="CS170" s="271">
        <f t="shared" si="79"/>
        <v>0</v>
      </c>
      <c r="CT170" s="273">
        <f t="shared" si="80"/>
        <v>0</v>
      </c>
      <c r="CU170" s="208">
        <f t="shared" si="81"/>
        <v>575</v>
      </c>
      <c r="CV170" s="209">
        <f t="shared" ref="CV170:CV187" si="90">IF(AO170="Albel",(CT170*1),(CT170*0.93))</f>
        <v>0</v>
      </c>
      <c r="CW170" s="83">
        <f t="shared" si="88"/>
        <v>534.75</v>
      </c>
      <c r="CX170" s="79">
        <f>IF(ISBLANK(E170),"AddQuickPay",IF(E170=2,CU170*0.98,IF(E170=2.4,CU170*0.976,IF(E170=3,CU170*0.97,IF(E170=5,CU170*0.95,IF(E170=1.5,CU170*0.985,IF(E170=2.5,CU170*0.975,IF(E170=1.3,CU170*0.987,IF(E170=1,CU170*0.99,IF(E170=4,CU170*0.96,CU170*1))))))))))-Table1[[#This Row],[ComCheck+QuickPayFee]]</f>
        <v>563.5</v>
      </c>
      <c r="CY170" s="44">
        <f t="shared" si="82"/>
        <v>40.25</v>
      </c>
      <c r="CZ170" s="44">
        <f t="shared" si="83"/>
        <v>11.5</v>
      </c>
      <c r="DA170" s="260">
        <f>Table1[[#This Row],[OriginalDispatch]]-Table1[[#This Row],[QuickPayCharge]]</f>
        <v>28.75</v>
      </c>
      <c r="DB170" s="5">
        <v>0</v>
      </c>
      <c r="DC170" s="44" t="s">
        <v>1287</v>
      </c>
      <c r="DD170" s="210">
        <f t="shared" si="84"/>
        <v>42328</v>
      </c>
      <c r="DE170" s="206">
        <f>MONTH(Table1[[#This Row],[Weekending]])</f>
        <v>11</v>
      </c>
      <c r="DF170" s="206">
        <f>YEAR(Table1[[#This Row],[Weekending]])</f>
        <v>2015</v>
      </c>
    </row>
    <row r="171" spans="1:111">
      <c r="A171" s="20" t="str">
        <f t="shared" si="66"/>
        <v>37neng49</v>
      </c>
      <c r="B171" s="146">
        <v>42325</v>
      </c>
      <c r="C171" s="144">
        <v>186426437</v>
      </c>
      <c r="D171" s="298" t="s">
        <v>111</v>
      </c>
      <c r="E171" s="298">
        <v>2</v>
      </c>
      <c r="F171" s="142" t="str">
        <f>INDEX(BrokerTBL!$B:$B,MATCH(D171,BrokerTBL!$A:$A,0))</f>
        <v>P.O. Box 3474</v>
      </c>
      <c r="G171" s="142" t="str">
        <f>INDEX(BrokerTBL!$C:$C,MATCH(D171,BrokerTBL!$A:$A,0))</f>
        <v>Chicago</v>
      </c>
      <c r="H171" s="142" t="str">
        <f>INDEX(BrokerTBL!$D:$D,MATCH(D171,BrokerTBL!$A:$A,0))</f>
        <v>Il</v>
      </c>
      <c r="I171" s="142" t="str">
        <f>INDEX(BrokerTBL!$E:$E,MATCH(D171,BrokerTBL!$A:$A,0))</f>
        <v>US</v>
      </c>
      <c r="J171" s="142">
        <f>INDEX(BrokerTBL!$F:$F,MATCH(D171,BrokerTBL!$A:$A,0))</f>
        <v>60654</v>
      </c>
      <c r="K171" s="298" t="s">
        <v>1282</v>
      </c>
      <c r="L171" s="145" t="s">
        <v>132</v>
      </c>
      <c r="M171" s="146">
        <v>42325</v>
      </c>
      <c r="N171" s="162" t="s">
        <v>136</v>
      </c>
      <c r="O171" s="298" t="s">
        <v>1070</v>
      </c>
      <c r="P171" s="298" t="s">
        <v>366</v>
      </c>
      <c r="Q171" s="298" t="s">
        <v>139</v>
      </c>
      <c r="R171" s="298">
        <v>95776</v>
      </c>
      <c r="S171" s="298" t="s">
        <v>118</v>
      </c>
      <c r="T171" s="298" t="s">
        <v>136</v>
      </c>
      <c r="U171" s="298" t="s">
        <v>120</v>
      </c>
      <c r="V171" s="298">
        <v>53</v>
      </c>
      <c r="W171" s="298" t="s">
        <v>944</v>
      </c>
      <c r="X171" s="144">
        <v>30000</v>
      </c>
      <c r="Y171" s="298" t="s">
        <v>26</v>
      </c>
      <c r="Z171" s="298" t="s">
        <v>123</v>
      </c>
      <c r="AA171" s="298" t="s">
        <v>123</v>
      </c>
      <c r="AB171" s="298" t="s">
        <v>123</v>
      </c>
      <c r="AC171" s="298" t="s">
        <v>1346</v>
      </c>
      <c r="AD171" s="145" t="s">
        <v>1309</v>
      </c>
      <c r="AE171" s="146">
        <v>42325</v>
      </c>
      <c r="AF171" s="416" t="s">
        <v>123</v>
      </c>
      <c r="AG171" s="298" t="s">
        <v>1347</v>
      </c>
      <c r="AH171" s="298" t="s">
        <v>570</v>
      </c>
      <c r="AI171" s="298" t="s">
        <v>139</v>
      </c>
      <c r="AJ171" s="298">
        <v>94952</v>
      </c>
      <c r="AK171" s="298" t="s">
        <v>118</v>
      </c>
      <c r="AL171" s="298" t="s">
        <v>123</v>
      </c>
      <c r="AM171" s="142" t="str">
        <f>INDEX(CarrierDriverTBL!$B:$B,MATCH(Table1[[#This Row],[DriverID]],CarrierDriverTBL!$A:$A,0))</f>
        <v>UBTrucking</v>
      </c>
      <c r="AN171" s="10" t="s">
        <v>192</v>
      </c>
      <c r="AO171" s="10" t="str">
        <f>INDEX(CarrierDriverTBL!$C:$C,MATCH(Table1[[#This Row],[DriverID]],CarrierDriverTBL!$A:$A,0))</f>
        <v>Albel</v>
      </c>
      <c r="AP171" s="142" t="str">
        <f>INDEX(CarrierDriverTBL!$D:$D,MATCH(Table1[[#This Row],[DriverID]],CarrierDriverTBL!$A:$A,0))</f>
        <v>Chahil</v>
      </c>
      <c r="AQ171" s="142" t="str">
        <f>INDEX(CarrierDriverTBL!$X:$X,MATCH(Table1[[#This Row],[DriverID]],CarrierDriverTBL!$A:$A,0))</f>
        <v>A8390649</v>
      </c>
      <c r="AR171" s="160">
        <f>INDEX(CarrierDriverTBL!$Y:$Y,MATCH(Table1[[#This Row],[DriverID]],CarrierDriverTBL!$A:$A,0))</f>
        <v>42402</v>
      </c>
      <c r="AS171" s="142" t="str">
        <f t="shared" si="67"/>
        <v>GOOD</v>
      </c>
      <c r="AT171" s="160">
        <f>INDEX(CarrierDriverTBL!$E:$E,MATCH(Table1[[#This Row],[DriverID]],CarrierDriverTBL!$A:$A,0))</f>
        <v>22314</v>
      </c>
      <c r="AU171" s="163">
        <f ca="1">INDEX(CarrierDriverTBL!$F:$F,MATCH(Table1[[#This Row],[DriverID]],CarrierDriverTBL!$A:$A,0))</f>
        <v>55.512328767123286</v>
      </c>
      <c r="AV171" s="142" t="str">
        <f>INDEX(CarrierDriverTBL!$K:$K,MATCH(Table1[[#This Row],[DriverID]],CarrierDriverTBL!$A:$A,0))</f>
        <v>510-773-9450</v>
      </c>
      <c r="AW171" s="142" t="str">
        <f>INDEX(CarrierDriverTBL!$M:$M,MATCH(Table1[[#This Row],[DriverID]],CarrierDriverTBL!$A:$A,0))</f>
        <v>3124 Cynthia CT</v>
      </c>
      <c r="AX171" s="142" t="str">
        <f>INDEX(CarrierDriverTBL!$N:$N,MATCH(Table1[[#This Row],[DriverID]],CarrierDriverTBL!$A:$A,0))</f>
        <v>Tracy</v>
      </c>
      <c r="AY171" s="142" t="str">
        <f>INDEX(CarrierDriverTBL!$O:$O,MATCH(Table1[[#This Row],[DriverID]],CarrierDriverTBL!$A:$A,0))</f>
        <v>CA</v>
      </c>
      <c r="AZ171" s="142">
        <f>INDEX(CarrierDriverTBL!$P:$P,MATCH(Table1[[#This Row],[DriverID]],CarrierDriverTBL!$A:$A,0))</f>
        <v>95377</v>
      </c>
      <c r="BA171" s="142" t="str">
        <f>INDEX(CarrierDriverTBL!$Q:$Q,MATCH(Table1[[#This Row],[DriverID]],CarrierDriverTBL!$A:$A,0))</f>
        <v>US</v>
      </c>
      <c r="BB171" s="176" t="str">
        <f>INDEX(CarrierDriverTBL!$R:$R,MATCH(Table1[[#This Row],[DriverID]],CarrierDriverTBL!$A:$A,0))</f>
        <v>ubgollc@gmail.com</v>
      </c>
      <c r="BC171" s="160">
        <f>INDEX(CarrierDriverTBL!$AB:$AB,MATCH(Table1[[#This Row],[DriverID]],CarrierDriverTBL!$A:$A,0))</f>
        <v>42167</v>
      </c>
      <c r="BD171" s="142" t="str">
        <f ca="1">INDEX(CarrierDriverTBL!$AD:$AD,MATCH(LoadMaster!$AN:$AN,CarrierDriverTBL!$A:$A,0))</f>
        <v>MISSING</v>
      </c>
      <c r="BE171" s="142">
        <f>INDEX(CarrierDriverTBL!$AE:$AE,MATCH(Table1[DriverID],CarrierDriverTBL!$A:$A,0))</f>
        <v>913971</v>
      </c>
      <c r="BF171" s="142">
        <f>INDEX(CarrierDriverTBL!$AF:$AF,MATCH(Table1[DriverID],CarrierDriverTBL!$A:$A,0))</f>
        <v>2627544</v>
      </c>
      <c r="BG171" s="142">
        <f>INDEX(CarrierDriverTBL!$AG:$AG,MATCH(Table1[DriverID],CarrierDriverTBL!$A:$A,0))</f>
        <v>466133</v>
      </c>
      <c r="BH171" s="142" t="str">
        <f>INDEX(CarrierDriverTBL!$AH:$AH,MATCH(Table1[DriverID],CarrierDriverTBL!$A:$A,0))</f>
        <v>GM Lawrence Ins</v>
      </c>
      <c r="BI171" s="142" t="str">
        <f>INDEX(CarrierDriverTBL!$AI:$AI,MATCH(Table1[DriverID],CarrierDriverTBL!$A:$A,0))</f>
        <v>DSK2842P160210</v>
      </c>
      <c r="BJ171" s="160">
        <f>INDEX(CarrierDriverTBL!$AJ:$AJ,MATCH(Table1[[#This Row],[DriverID]],CarrierDriverTBL!$A:$A,0))</f>
        <v>42778</v>
      </c>
      <c r="BK171" s="10">
        <f t="shared" si="68"/>
        <v>453</v>
      </c>
      <c r="BL171" s="174">
        <v>400</v>
      </c>
      <c r="BM171" s="144">
        <v>85</v>
      </c>
      <c r="BN171" s="159">
        <f t="shared" si="85"/>
        <v>4.7058823529411766</v>
      </c>
      <c r="BO171" s="167">
        <v>350</v>
      </c>
      <c r="BP171" s="159">
        <f t="shared" si="86"/>
        <v>4.117647058823529</v>
      </c>
      <c r="BQ171" s="133">
        <v>2.7989999999999999</v>
      </c>
      <c r="BR171" s="166">
        <f t="shared" si="89"/>
        <v>0.14983333333333335</v>
      </c>
      <c r="BS171" s="167">
        <f t="shared" si="69"/>
        <v>3.9678137254901955</v>
      </c>
      <c r="BT171" s="159">
        <f t="shared" si="70"/>
        <v>12.735833333333334</v>
      </c>
      <c r="BU171" s="10" t="str">
        <f t="shared" si="71"/>
        <v>Ch Robinson</v>
      </c>
      <c r="BV171" s="4"/>
      <c r="BW171" s="4" t="str">
        <f>Table1[[#This Row],[BrokerAddress]]</f>
        <v>P.O. Box 3474</v>
      </c>
      <c r="BX171" s="4" t="str">
        <f t="shared" si="72"/>
        <v>Chicago</v>
      </c>
      <c r="BY171" s="4" t="str">
        <f t="shared" si="73"/>
        <v>Il</v>
      </c>
      <c r="BZ171" s="4">
        <f t="shared" si="74"/>
        <v>60654</v>
      </c>
      <c r="CA171" s="10" t="str">
        <f t="shared" si="75"/>
        <v>US</v>
      </c>
      <c r="CB171" s="15" t="s">
        <v>131</v>
      </c>
      <c r="CC171" s="62"/>
      <c r="CD171" s="15" t="s">
        <v>132</v>
      </c>
      <c r="CE171" s="64">
        <v>0</v>
      </c>
      <c r="CF171" s="4">
        <v>0</v>
      </c>
      <c r="CG171" s="132">
        <f t="shared" si="76"/>
        <v>0</v>
      </c>
      <c r="CH171" s="4" t="s">
        <v>132</v>
      </c>
      <c r="CI171" s="5">
        <v>0</v>
      </c>
      <c r="CJ171" s="4">
        <v>0</v>
      </c>
      <c r="CK171" s="132">
        <f t="shared" si="77"/>
        <v>0</v>
      </c>
      <c r="CL171" s="4" t="s">
        <v>132</v>
      </c>
      <c r="CM171" s="5">
        <v>0</v>
      </c>
      <c r="CN171" s="4">
        <v>0</v>
      </c>
      <c r="CO171" s="132">
        <f t="shared" si="78"/>
        <v>0</v>
      </c>
      <c r="CP171" s="4" t="s">
        <v>132</v>
      </c>
      <c r="CQ171" s="5">
        <v>0</v>
      </c>
      <c r="CR171" s="4">
        <v>0</v>
      </c>
      <c r="CS171" s="132">
        <f t="shared" si="79"/>
        <v>0</v>
      </c>
      <c r="CT171" s="159">
        <f t="shared" si="80"/>
        <v>0</v>
      </c>
      <c r="CU171" s="168">
        <f t="shared" si="81"/>
        <v>400</v>
      </c>
      <c r="CV171" s="211">
        <f t="shared" si="90"/>
        <v>0</v>
      </c>
      <c r="CW171" s="82">
        <f t="shared" si="88"/>
        <v>350</v>
      </c>
      <c r="CX171" s="79">
        <f>IF(ISBLANK(E171),"AddQuickPay",IF(E171=2,CU171*0.98,IF(E171=2.4,CU171*0.976,IF(E171=3,CU171*0.97,IF(E171=5,CU171*0.95,IF(E171=1.5,CU171*0.985,IF(E171=2.5,CU171*0.975,IF(E171=1.3,CU171*0.987,IF(E171=1,CU171*0.99,IF(E171=4,CU171*0.96,CU171*1))))))))))-Table1[[#This Row],[ComCheck+QuickPayFee]]</f>
        <v>392</v>
      </c>
      <c r="CY171" s="5">
        <f t="shared" si="82"/>
        <v>50</v>
      </c>
      <c r="CZ171" s="5">
        <f t="shared" si="83"/>
        <v>8</v>
      </c>
      <c r="DA171" s="258">
        <f>Table1[[#This Row],[OriginalDispatch]]-Table1[[#This Row],[QuickPayCharge]]</f>
        <v>42</v>
      </c>
      <c r="DB171" s="5">
        <v>0</v>
      </c>
      <c r="DC171" s="5" t="s">
        <v>1287</v>
      </c>
      <c r="DD171" s="104">
        <f t="shared" si="84"/>
        <v>42328</v>
      </c>
      <c r="DE171" s="15">
        <f>MONTH(Table1[[#This Row],[Weekending]])</f>
        <v>11</v>
      </c>
      <c r="DF171" s="15">
        <f>YEAR(Table1[[#This Row],[Weekending]])</f>
        <v>2015</v>
      </c>
      <c r="DG171" s="4"/>
    </row>
    <row r="172" spans="1:111" ht="30">
      <c r="A172" s="20" t="str">
        <f t="shared" si="66"/>
        <v>121149</v>
      </c>
      <c r="B172" s="146">
        <v>42326</v>
      </c>
      <c r="C172" s="144">
        <v>186527812</v>
      </c>
      <c r="D172" s="298" t="s">
        <v>111</v>
      </c>
      <c r="E172" s="298">
        <v>2</v>
      </c>
      <c r="F172" s="142" t="str">
        <f>INDEX(BrokerTBL!$B:$B,MATCH(D172,BrokerTBL!$A:$A,0))</f>
        <v>P.O. Box 3474</v>
      </c>
      <c r="G172" s="142" t="str">
        <f>INDEX(BrokerTBL!$C:$C,MATCH(D172,BrokerTBL!$A:$A,0))</f>
        <v>Chicago</v>
      </c>
      <c r="H172" s="142" t="str">
        <f>INDEX(BrokerTBL!$D:$D,MATCH(D172,BrokerTBL!$A:$A,0))</f>
        <v>Il</v>
      </c>
      <c r="I172" s="142" t="str">
        <f>INDEX(BrokerTBL!$E:$E,MATCH(D172,BrokerTBL!$A:$A,0))</f>
        <v>US</v>
      </c>
      <c r="J172" s="142">
        <f>INDEX(BrokerTBL!$F:$F,MATCH(D172,BrokerTBL!$A:$A,0))</f>
        <v>60654</v>
      </c>
      <c r="K172" s="298" t="s">
        <v>1348</v>
      </c>
      <c r="L172" s="145">
        <v>995611</v>
      </c>
      <c r="M172" s="146">
        <v>42326</v>
      </c>
      <c r="N172" s="162" t="s">
        <v>136</v>
      </c>
      <c r="O172" s="187" t="s">
        <v>1349</v>
      </c>
      <c r="P172" s="187" t="s">
        <v>1350</v>
      </c>
      <c r="Q172" s="298" t="s">
        <v>139</v>
      </c>
      <c r="R172" s="187" t="s">
        <v>1351</v>
      </c>
      <c r="S172" s="298" t="s">
        <v>118</v>
      </c>
      <c r="T172" s="298" t="s">
        <v>1352</v>
      </c>
      <c r="U172" s="298" t="s">
        <v>120</v>
      </c>
      <c r="V172" s="298">
        <v>53</v>
      </c>
      <c r="W172" s="298" t="s">
        <v>590</v>
      </c>
      <c r="X172" s="144">
        <v>11700</v>
      </c>
      <c r="Y172" s="298" t="s">
        <v>26</v>
      </c>
      <c r="Z172" s="298" t="s">
        <v>123</v>
      </c>
      <c r="AA172" s="298">
        <v>6</v>
      </c>
      <c r="AB172" s="298" t="s">
        <v>123</v>
      </c>
      <c r="AC172" s="298" t="s">
        <v>1353</v>
      </c>
      <c r="AD172" s="145"/>
      <c r="AE172" s="146">
        <v>42326</v>
      </c>
      <c r="AF172" s="416" t="s">
        <v>123</v>
      </c>
      <c r="AG172" s="298" t="s">
        <v>1354</v>
      </c>
      <c r="AH172" s="146" t="s">
        <v>380</v>
      </c>
      <c r="AI172" s="298" t="s">
        <v>139</v>
      </c>
      <c r="AJ172" s="298">
        <v>95377</v>
      </c>
      <c r="AK172" s="298"/>
      <c r="AL172" s="298" t="s">
        <v>123</v>
      </c>
      <c r="AM172" s="142" t="str">
        <f>INDEX(CarrierDriverTBL!$B:$B,MATCH(Table1[[#This Row],[DriverID]],CarrierDriverTBL!$A:$A,0))</f>
        <v>UBTrucking</v>
      </c>
      <c r="AN172" s="10" t="s">
        <v>192</v>
      </c>
      <c r="AO172" s="10" t="str">
        <f>INDEX(CarrierDriverTBL!$C:$C,MATCH(Table1[[#This Row],[DriverID]],CarrierDriverTBL!$A:$A,0))</f>
        <v>Albel</v>
      </c>
      <c r="AP172" s="142" t="str">
        <f>INDEX(CarrierDriverTBL!$D:$D,MATCH(Table1[[#This Row],[DriverID]],CarrierDriverTBL!$A:$A,0))</f>
        <v>Chahil</v>
      </c>
      <c r="AQ172" s="142" t="str">
        <f>INDEX(CarrierDriverTBL!$X:$X,MATCH(Table1[[#This Row],[DriverID]],CarrierDriverTBL!$A:$A,0))</f>
        <v>A8390649</v>
      </c>
      <c r="AR172" s="160">
        <f>INDEX(CarrierDriverTBL!$Y:$Y,MATCH(Table1[[#This Row],[DriverID]],CarrierDriverTBL!$A:$A,0))</f>
        <v>42402</v>
      </c>
      <c r="AS172" s="142" t="str">
        <f t="shared" si="67"/>
        <v>GOOD</v>
      </c>
      <c r="AT172" s="160">
        <f>INDEX(CarrierDriverTBL!$E:$E,MATCH(Table1[[#This Row],[DriverID]],CarrierDriverTBL!$A:$A,0))</f>
        <v>22314</v>
      </c>
      <c r="AU172" s="163">
        <f ca="1">INDEX(CarrierDriverTBL!$F:$F,MATCH(Table1[[#This Row],[DriverID]],CarrierDriverTBL!$A:$A,0))</f>
        <v>55.512328767123286</v>
      </c>
      <c r="AV172" s="142" t="str">
        <f>INDEX(CarrierDriverTBL!$K:$K,MATCH(Table1[[#This Row],[DriverID]],CarrierDriverTBL!$A:$A,0))</f>
        <v>510-773-9450</v>
      </c>
      <c r="AW172" s="142" t="str">
        <f>INDEX(CarrierDriverTBL!$M:$M,MATCH(Table1[[#This Row],[DriverID]],CarrierDriverTBL!$A:$A,0))</f>
        <v>3124 Cynthia CT</v>
      </c>
      <c r="AX172" s="142" t="str">
        <f>INDEX(CarrierDriverTBL!$N:$N,MATCH(Table1[[#This Row],[DriverID]],CarrierDriverTBL!$A:$A,0))</f>
        <v>Tracy</v>
      </c>
      <c r="AY172" s="142" t="str">
        <f>INDEX(CarrierDriverTBL!$O:$O,MATCH(Table1[[#This Row],[DriverID]],CarrierDriverTBL!$A:$A,0))</f>
        <v>CA</v>
      </c>
      <c r="AZ172" s="142">
        <f>INDEX(CarrierDriverTBL!$P:$P,MATCH(Table1[[#This Row],[DriverID]],CarrierDriverTBL!$A:$A,0))</f>
        <v>95377</v>
      </c>
      <c r="BA172" s="142" t="str">
        <f>INDEX(CarrierDriverTBL!$Q:$Q,MATCH(Table1[[#This Row],[DriverID]],CarrierDriverTBL!$A:$A,0))</f>
        <v>US</v>
      </c>
      <c r="BB172" s="176" t="str">
        <f>INDEX(CarrierDriverTBL!$R:$R,MATCH(Table1[[#This Row],[DriverID]],CarrierDriverTBL!$A:$A,0))</f>
        <v>ubgollc@gmail.com</v>
      </c>
      <c r="BC172" s="160">
        <f>INDEX(CarrierDriverTBL!$AB:$AB,MATCH(Table1[[#This Row],[DriverID]],CarrierDriverTBL!$A:$A,0))</f>
        <v>42167</v>
      </c>
      <c r="BD172" s="142" t="str">
        <f ca="1">INDEX(CarrierDriverTBL!$AD:$AD,MATCH(LoadMaster!$AN:$AN,CarrierDriverTBL!$A:$A,0))</f>
        <v>MISSING</v>
      </c>
      <c r="BE172" s="142">
        <f>INDEX(CarrierDriverTBL!$AE:$AE,MATCH(Table1[DriverID],CarrierDriverTBL!$A:$A,0))</f>
        <v>913971</v>
      </c>
      <c r="BF172" s="142">
        <f>INDEX(CarrierDriverTBL!$AF:$AF,MATCH(Table1[DriverID],CarrierDriverTBL!$A:$A,0))</f>
        <v>2627544</v>
      </c>
      <c r="BG172" s="142">
        <f>INDEX(CarrierDriverTBL!$AG:$AG,MATCH(Table1[DriverID],CarrierDriverTBL!$A:$A,0))</f>
        <v>466133</v>
      </c>
      <c r="BH172" s="142" t="str">
        <f>INDEX(CarrierDriverTBL!$AH:$AH,MATCH(Table1[DriverID],CarrierDriverTBL!$A:$A,0))</f>
        <v>GM Lawrence Ins</v>
      </c>
      <c r="BI172" s="142" t="str">
        <f>INDEX(CarrierDriverTBL!$AI:$AI,MATCH(Table1[DriverID],CarrierDriverTBL!$A:$A,0))</f>
        <v>DSK2842P160210</v>
      </c>
      <c r="BJ172" s="160">
        <f>INDEX(CarrierDriverTBL!$AJ:$AJ,MATCH(Table1[[#This Row],[DriverID]],CarrierDriverTBL!$A:$A,0))</f>
        <v>42778</v>
      </c>
      <c r="BK172" s="10">
        <f t="shared" si="68"/>
        <v>452</v>
      </c>
      <c r="BL172" s="174">
        <v>500</v>
      </c>
      <c r="BM172" s="144">
        <v>120</v>
      </c>
      <c r="BN172" s="159">
        <f t="shared" si="85"/>
        <v>4.166666666666667</v>
      </c>
      <c r="BO172" s="167">
        <v>450</v>
      </c>
      <c r="BP172" s="159">
        <f t="shared" si="86"/>
        <v>3.75</v>
      </c>
      <c r="BQ172" s="133">
        <v>2.7989999999999999</v>
      </c>
      <c r="BR172" s="166">
        <f t="shared" si="89"/>
        <v>0.14983333333333335</v>
      </c>
      <c r="BS172" s="167">
        <f t="shared" si="69"/>
        <v>3.6001666666666665</v>
      </c>
      <c r="BT172" s="159">
        <f t="shared" si="70"/>
        <v>17.98</v>
      </c>
      <c r="BU172" s="10" t="str">
        <f t="shared" si="71"/>
        <v>Ch Robinson</v>
      </c>
      <c r="BV172" s="4"/>
      <c r="BW172" s="4" t="str">
        <f>Table1[[#This Row],[BrokerAddress]]</f>
        <v>P.O. Box 3474</v>
      </c>
      <c r="BX172" s="4" t="str">
        <f t="shared" si="72"/>
        <v>Chicago</v>
      </c>
      <c r="BY172" s="4" t="str">
        <f t="shared" si="73"/>
        <v>Il</v>
      </c>
      <c r="BZ172" s="4">
        <f t="shared" si="74"/>
        <v>60654</v>
      </c>
      <c r="CA172" s="10" t="str">
        <f t="shared" si="75"/>
        <v>US</v>
      </c>
      <c r="CB172" s="15" t="s">
        <v>131</v>
      </c>
      <c r="CC172" s="62"/>
      <c r="CD172" s="15" t="s">
        <v>132</v>
      </c>
      <c r="CE172" s="64">
        <v>0</v>
      </c>
      <c r="CF172" s="4">
        <v>0</v>
      </c>
      <c r="CG172" s="132">
        <f t="shared" si="76"/>
        <v>0</v>
      </c>
      <c r="CH172" s="4" t="s">
        <v>132</v>
      </c>
      <c r="CI172" s="5">
        <v>0</v>
      </c>
      <c r="CJ172" s="4">
        <v>0</v>
      </c>
      <c r="CK172" s="132">
        <f t="shared" si="77"/>
        <v>0</v>
      </c>
      <c r="CL172" s="4" t="s">
        <v>132</v>
      </c>
      <c r="CM172" s="5">
        <v>0</v>
      </c>
      <c r="CN172" s="4">
        <v>0</v>
      </c>
      <c r="CO172" s="132">
        <f t="shared" si="78"/>
        <v>0</v>
      </c>
      <c r="CP172" s="4" t="s">
        <v>132</v>
      </c>
      <c r="CQ172" s="5">
        <v>0</v>
      </c>
      <c r="CR172" s="4">
        <v>0</v>
      </c>
      <c r="CS172" s="132">
        <f t="shared" si="79"/>
        <v>0</v>
      </c>
      <c r="CT172" s="159">
        <f t="shared" si="80"/>
        <v>0</v>
      </c>
      <c r="CU172" s="168">
        <f t="shared" si="81"/>
        <v>500</v>
      </c>
      <c r="CV172" s="169">
        <f t="shared" si="90"/>
        <v>0</v>
      </c>
      <c r="CW172" s="82">
        <f t="shared" si="88"/>
        <v>450</v>
      </c>
      <c r="CX172" s="79">
        <f>IF(ISBLANK(E172),"AddQuickPay",IF(E172=2,CU172*0.98,IF(E172=2.4,CU172*0.976,IF(E172=3,CU172*0.97,IF(E172=5,CU172*0.95,IF(E172=1.5,CU172*0.985,IF(E172=2.5,CU172*0.975,IF(E172=1.3,CU172*0.987,IF(E172=1,CU172*0.99,IF(E172=4,CU172*0.96,CU172*1))))))))))-Table1[[#This Row],[ComCheck+QuickPayFee]]</f>
        <v>490</v>
      </c>
      <c r="CY172" s="5">
        <f t="shared" si="82"/>
        <v>50</v>
      </c>
      <c r="CZ172" s="5">
        <f t="shared" si="83"/>
        <v>10</v>
      </c>
      <c r="DA172" s="258">
        <f>Table1[[#This Row],[OriginalDispatch]]-Table1[[#This Row],[QuickPayCharge]]</f>
        <v>40</v>
      </c>
      <c r="DB172" s="5">
        <v>0</v>
      </c>
      <c r="DC172" s="5" t="s">
        <v>1287</v>
      </c>
      <c r="DD172" s="104">
        <f t="shared" si="84"/>
        <v>42328</v>
      </c>
      <c r="DE172" s="15">
        <f>MONTH(Table1[[#This Row],[Weekending]])</f>
        <v>11</v>
      </c>
      <c r="DF172" s="15">
        <f>YEAR(Table1[[#This Row],[Weekending]])</f>
        <v>2015</v>
      </c>
      <c r="DG172" s="4"/>
    </row>
    <row r="173" spans="1:111">
      <c r="A173" s="20" t="str">
        <f t="shared" si="66"/>
        <v>39ngne49</v>
      </c>
      <c r="B173" s="146">
        <v>42327</v>
      </c>
      <c r="C173" s="144">
        <v>186641639</v>
      </c>
      <c r="D173" s="298" t="s">
        <v>111</v>
      </c>
      <c r="E173" s="298">
        <v>2</v>
      </c>
      <c r="F173" s="142" t="str">
        <f>INDEX(BrokerTBL!$B:$B,MATCH(D173,BrokerTBL!$A:$A,0))</f>
        <v>P.O. Box 3474</v>
      </c>
      <c r="G173" s="142" t="str">
        <f>INDEX(BrokerTBL!$C:$C,MATCH(D173,BrokerTBL!$A:$A,0))</f>
        <v>Chicago</v>
      </c>
      <c r="H173" s="142" t="str">
        <f>INDEX(BrokerTBL!$D:$D,MATCH(D173,BrokerTBL!$A:$A,0))</f>
        <v>Il</v>
      </c>
      <c r="I173" s="142" t="str">
        <f>INDEX(BrokerTBL!$E:$E,MATCH(D173,BrokerTBL!$A:$A,0))</f>
        <v>US</v>
      </c>
      <c r="J173" s="142">
        <f>INDEX(BrokerTBL!$F:$F,MATCH(D173,BrokerTBL!$A:$A,0))</f>
        <v>60654</v>
      </c>
      <c r="K173" s="298" t="s">
        <v>1282</v>
      </c>
      <c r="L173" s="145" t="s">
        <v>1309</v>
      </c>
      <c r="M173" s="146">
        <v>42327</v>
      </c>
      <c r="N173" s="144" t="s">
        <v>1055</v>
      </c>
      <c r="O173" s="298" t="s">
        <v>1355</v>
      </c>
      <c r="P173" s="298" t="s">
        <v>366</v>
      </c>
      <c r="Q173" s="298" t="s">
        <v>139</v>
      </c>
      <c r="R173" s="298">
        <v>95776</v>
      </c>
      <c r="S173" s="298" t="s">
        <v>118</v>
      </c>
      <c r="T173" s="298" t="s">
        <v>136</v>
      </c>
      <c r="U173" s="298" t="s">
        <v>120</v>
      </c>
      <c r="V173" s="298">
        <v>53</v>
      </c>
      <c r="W173" s="298" t="s">
        <v>944</v>
      </c>
      <c r="X173" s="144">
        <v>30000</v>
      </c>
      <c r="Y173" s="298" t="s">
        <v>26</v>
      </c>
      <c r="Z173" s="298" t="s">
        <v>123</v>
      </c>
      <c r="AA173" s="298" t="s">
        <v>123</v>
      </c>
      <c r="AB173" s="298" t="s">
        <v>123</v>
      </c>
      <c r="AC173" s="298" t="s">
        <v>1356</v>
      </c>
      <c r="AD173" s="145" t="s">
        <v>132</v>
      </c>
      <c r="AE173" s="146">
        <v>42327</v>
      </c>
      <c r="AF173" s="416" t="s">
        <v>123</v>
      </c>
      <c r="AG173" s="298" t="s">
        <v>1357</v>
      </c>
      <c r="AH173" s="298" t="s">
        <v>345</v>
      </c>
      <c r="AI173" s="298" t="s">
        <v>139</v>
      </c>
      <c r="AJ173" s="298">
        <v>93635</v>
      </c>
      <c r="AK173" s="298" t="s">
        <v>118</v>
      </c>
      <c r="AL173" s="298" t="s">
        <v>123</v>
      </c>
      <c r="AM173" s="142" t="str">
        <f>INDEX(CarrierDriverTBL!$B:$B,MATCH(Table1[[#This Row],[DriverID]],CarrierDriverTBL!$A:$A,0))</f>
        <v>UBTrucking</v>
      </c>
      <c r="AN173" s="10" t="s">
        <v>192</v>
      </c>
      <c r="AO173" s="10" t="str">
        <f>INDEX(CarrierDriverTBL!$C:$C,MATCH(Table1[[#This Row],[DriverID]],CarrierDriverTBL!$A:$A,0))</f>
        <v>Albel</v>
      </c>
      <c r="AP173" s="142" t="str">
        <f>INDEX(CarrierDriverTBL!$D:$D,MATCH(Table1[[#This Row],[DriverID]],CarrierDriverTBL!$A:$A,0))</f>
        <v>Chahil</v>
      </c>
      <c r="AQ173" s="142" t="str">
        <f>INDEX(CarrierDriverTBL!$X:$X,MATCH(Table1[[#This Row],[DriverID]],CarrierDriverTBL!$A:$A,0))</f>
        <v>A8390649</v>
      </c>
      <c r="AR173" s="160">
        <f>INDEX(CarrierDriverTBL!$Y:$Y,MATCH(Table1[[#This Row],[DriverID]],CarrierDriverTBL!$A:$A,0))</f>
        <v>42402</v>
      </c>
      <c r="AS173" s="142" t="str">
        <f t="shared" si="67"/>
        <v>GOOD</v>
      </c>
      <c r="AT173" s="160">
        <f>INDEX(CarrierDriverTBL!$E:$E,MATCH(Table1[[#This Row],[DriverID]],CarrierDriverTBL!$A:$A,0))</f>
        <v>22314</v>
      </c>
      <c r="AU173" s="163">
        <f ca="1">INDEX(CarrierDriverTBL!$F:$F,MATCH(Table1[[#This Row],[DriverID]],CarrierDriverTBL!$A:$A,0))</f>
        <v>55.512328767123286</v>
      </c>
      <c r="AV173" s="142" t="str">
        <f>INDEX(CarrierDriverTBL!$K:$K,MATCH(Table1[[#This Row],[DriverID]],CarrierDriverTBL!$A:$A,0))</f>
        <v>510-773-9450</v>
      </c>
      <c r="AW173" s="142" t="str">
        <f>INDEX(CarrierDriverTBL!$M:$M,MATCH(Table1[[#This Row],[DriverID]],CarrierDriverTBL!$A:$A,0))</f>
        <v>3124 Cynthia CT</v>
      </c>
      <c r="AX173" s="142" t="str">
        <f>INDEX(CarrierDriverTBL!$N:$N,MATCH(Table1[[#This Row],[DriverID]],CarrierDriverTBL!$A:$A,0))</f>
        <v>Tracy</v>
      </c>
      <c r="AY173" s="142" t="str">
        <f>INDEX(CarrierDriverTBL!$O:$O,MATCH(Table1[[#This Row],[DriverID]],CarrierDriverTBL!$A:$A,0))</f>
        <v>CA</v>
      </c>
      <c r="AZ173" s="142">
        <f>INDEX(CarrierDriverTBL!$P:$P,MATCH(Table1[[#This Row],[DriverID]],CarrierDriverTBL!$A:$A,0))</f>
        <v>95377</v>
      </c>
      <c r="BA173" s="142" t="str">
        <f>INDEX(CarrierDriverTBL!$Q:$Q,MATCH(Table1[[#This Row],[DriverID]],CarrierDriverTBL!$A:$A,0))</f>
        <v>US</v>
      </c>
      <c r="BB173" s="176" t="str">
        <f>INDEX(CarrierDriverTBL!$R:$R,MATCH(Table1[[#This Row],[DriverID]],CarrierDriverTBL!$A:$A,0))</f>
        <v>ubgollc@gmail.com</v>
      </c>
      <c r="BC173" s="160">
        <f>INDEX(CarrierDriverTBL!$AB:$AB,MATCH(Table1[[#This Row],[DriverID]],CarrierDriverTBL!$A:$A,0))</f>
        <v>42167</v>
      </c>
      <c r="BD173" s="142" t="str">
        <f ca="1">INDEX(CarrierDriverTBL!$AD:$AD,MATCH(LoadMaster!$AN:$AN,CarrierDriverTBL!$A:$A,0))</f>
        <v>MISSING</v>
      </c>
      <c r="BE173" s="142">
        <f>INDEX(CarrierDriverTBL!$AE:$AE,MATCH(Table1[DriverID],CarrierDriverTBL!$A:$A,0))</f>
        <v>913971</v>
      </c>
      <c r="BF173" s="142">
        <f>INDEX(CarrierDriverTBL!$AF:$AF,MATCH(Table1[DriverID],CarrierDriverTBL!$A:$A,0))</f>
        <v>2627544</v>
      </c>
      <c r="BG173" s="142">
        <f>INDEX(CarrierDriverTBL!$AG:$AG,MATCH(Table1[DriverID],CarrierDriverTBL!$A:$A,0))</f>
        <v>466133</v>
      </c>
      <c r="BH173" s="142" t="str">
        <f>INDEX(CarrierDriverTBL!$AH:$AH,MATCH(Table1[DriverID],CarrierDriverTBL!$A:$A,0))</f>
        <v>GM Lawrence Ins</v>
      </c>
      <c r="BI173" s="142" t="str">
        <f>INDEX(CarrierDriverTBL!$AI:$AI,MATCH(Table1[DriverID],CarrierDriverTBL!$A:$A,0))</f>
        <v>DSK2842P160210</v>
      </c>
      <c r="BJ173" s="160">
        <f>INDEX(CarrierDriverTBL!$AJ:$AJ,MATCH(Table1[[#This Row],[DriverID]],CarrierDriverTBL!$A:$A,0))</f>
        <v>42778</v>
      </c>
      <c r="BK173" s="10">
        <f t="shared" si="68"/>
        <v>451</v>
      </c>
      <c r="BL173" s="174">
        <v>500</v>
      </c>
      <c r="BM173" s="144">
        <v>150</v>
      </c>
      <c r="BN173" s="159">
        <f t="shared" si="85"/>
        <v>3.3333333333333335</v>
      </c>
      <c r="BO173" s="167">
        <v>450</v>
      </c>
      <c r="BP173" s="159">
        <f t="shared" si="86"/>
        <v>3</v>
      </c>
      <c r="BQ173" s="133">
        <v>2.7989999999999999</v>
      </c>
      <c r="BR173" s="166">
        <f t="shared" si="89"/>
        <v>0.14983333333333335</v>
      </c>
      <c r="BS173" s="167">
        <f t="shared" si="69"/>
        <v>2.8501666666666665</v>
      </c>
      <c r="BT173" s="159">
        <f t="shared" si="70"/>
        <v>22.475000000000001</v>
      </c>
      <c r="BU173" s="10" t="str">
        <f t="shared" si="71"/>
        <v>Ch Robinson</v>
      </c>
      <c r="BV173" s="4"/>
      <c r="BW173" s="4" t="str">
        <f>Table1[[#This Row],[BrokerAddress]]</f>
        <v>P.O. Box 3474</v>
      </c>
      <c r="BX173" s="4" t="str">
        <f t="shared" si="72"/>
        <v>Chicago</v>
      </c>
      <c r="BY173" s="4" t="str">
        <f t="shared" si="73"/>
        <v>Il</v>
      </c>
      <c r="BZ173" s="4">
        <f t="shared" si="74"/>
        <v>60654</v>
      </c>
      <c r="CA173" s="10" t="str">
        <f t="shared" si="75"/>
        <v>US</v>
      </c>
      <c r="CB173" s="15" t="s">
        <v>131</v>
      </c>
      <c r="CC173" s="62"/>
      <c r="CD173" s="15" t="s">
        <v>132</v>
      </c>
      <c r="CE173" s="64">
        <v>0</v>
      </c>
      <c r="CF173" s="4">
        <v>0</v>
      </c>
      <c r="CG173" s="132">
        <f t="shared" si="76"/>
        <v>0</v>
      </c>
      <c r="CH173" s="4" t="s">
        <v>132</v>
      </c>
      <c r="CI173" s="5">
        <v>0</v>
      </c>
      <c r="CJ173" s="4">
        <v>0</v>
      </c>
      <c r="CK173" s="132">
        <f t="shared" si="77"/>
        <v>0</v>
      </c>
      <c r="CL173" s="4" t="s">
        <v>132</v>
      </c>
      <c r="CM173" s="5">
        <v>0</v>
      </c>
      <c r="CN173" s="4">
        <v>0</v>
      </c>
      <c r="CO173" s="132">
        <f t="shared" si="78"/>
        <v>0</v>
      </c>
      <c r="CP173" s="4" t="s">
        <v>132</v>
      </c>
      <c r="CQ173" s="5">
        <v>0</v>
      </c>
      <c r="CR173" s="4">
        <v>0</v>
      </c>
      <c r="CS173" s="132">
        <f t="shared" si="79"/>
        <v>0</v>
      </c>
      <c r="CT173" s="159">
        <f t="shared" si="80"/>
        <v>0</v>
      </c>
      <c r="CU173" s="168">
        <f t="shared" si="81"/>
        <v>500</v>
      </c>
      <c r="CV173" s="169">
        <f t="shared" si="90"/>
        <v>0</v>
      </c>
      <c r="CW173" s="82">
        <f t="shared" si="88"/>
        <v>450</v>
      </c>
      <c r="CX173" s="79">
        <f>IF(ISBLANK(E173),"AddQuickPay",IF(E173=2,CU173*0.98,IF(E173=2.4,CU173*0.976,IF(E173=3,CU173*0.97,IF(E173=5,CU173*0.95,IF(E173=1.5,CU173*0.985,IF(E173=2.5,CU173*0.975,IF(E173=1.3,CU173*0.987,IF(E173=1,CU173*0.99,IF(E173=4,CU173*0.96,CU173*1))))))))))-Table1[[#This Row],[ComCheck+QuickPayFee]]</f>
        <v>490</v>
      </c>
      <c r="CY173" s="5">
        <f t="shared" si="82"/>
        <v>50</v>
      </c>
      <c r="CZ173" s="5">
        <f t="shared" si="83"/>
        <v>10</v>
      </c>
      <c r="DA173" s="258">
        <f>Table1[[#This Row],[OriginalDispatch]]-Table1[[#This Row],[QuickPayCharge]]</f>
        <v>40</v>
      </c>
      <c r="DB173" s="5">
        <v>0</v>
      </c>
      <c r="DC173" s="5" t="s">
        <v>1287</v>
      </c>
      <c r="DD173" s="104">
        <f t="shared" si="84"/>
        <v>42328</v>
      </c>
      <c r="DE173" s="15">
        <f>MONTH(Table1[[#This Row],[Weekending]])</f>
        <v>11</v>
      </c>
      <c r="DF173" s="15">
        <f>YEAR(Table1[[#This Row],[Weekending]])</f>
        <v>2015</v>
      </c>
      <c r="DG173" s="4"/>
    </row>
    <row r="174" spans="1:111" ht="30">
      <c r="A174" s="20" t="str">
        <f t="shared" si="66"/>
        <v>02350088</v>
      </c>
      <c r="B174" s="146">
        <v>42327</v>
      </c>
      <c r="C174" s="144">
        <v>186546602</v>
      </c>
      <c r="D174" s="298" t="s">
        <v>111</v>
      </c>
      <c r="E174" s="298">
        <v>2</v>
      </c>
      <c r="F174" s="142" t="str">
        <f>INDEX(BrokerTBL!$B:$B,MATCH(D174,BrokerTBL!$A:$A,0))</f>
        <v>P.O. Box 3474</v>
      </c>
      <c r="G174" s="142" t="str">
        <f>INDEX(BrokerTBL!$C:$C,MATCH(D174,BrokerTBL!$A:$A,0))</f>
        <v>Chicago</v>
      </c>
      <c r="H174" s="142" t="str">
        <f>INDEX(BrokerTBL!$D:$D,MATCH(D174,BrokerTBL!$A:$A,0))</f>
        <v>Il</v>
      </c>
      <c r="I174" s="142" t="str">
        <f>INDEX(BrokerTBL!$E:$E,MATCH(D174,BrokerTBL!$A:$A,0))</f>
        <v>US</v>
      </c>
      <c r="J174" s="142">
        <f>INDEX(BrokerTBL!$F:$F,MATCH(D174,BrokerTBL!$A:$A,0))</f>
        <v>60654</v>
      </c>
      <c r="K174" s="298" t="s">
        <v>1358</v>
      </c>
      <c r="L174" s="145">
        <v>485535</v>
      </c>
      <c r="M174" s="146">
        <v>42327</v>
      </c>
      <c r="N174" s="144" t="s">
        <v>1359</v>
      </c>
      <c r="O174" s="298" t="s">
        <v>1360</v>
      </c>
      <c r="P174" s="298" t="s">
        <v>1361</v>
      </c>
      <c r="Q174" s="298" t="s">
        <v>139</v>
      </c>
      <c r="R174" s="298">
        <v>93631</v>
      </c>
      <c r="S174" s="298" t="s">
        <v>118</v>
      </c>
      <c r="T174" s="298" t="s">
        <v>136</v>
      </c>
      <c r="U174" s="298" t="s">
        <v>120</v>
      </c>
      <c r="V174" s="298">
        <v>53</v>
      </c>
      <c r="W174" s="298" t="s">
        <v>1362</v>
      </c>
      <c r="X174" s="144">
        <v>43650</v>
      </c>
      <c r="Y174" s="298" t="s">
        <v>26</v>
      </c>
      <c r="Z174" s="298" t="s">
        <v>123</v>
      </c>
      <c r="AA174" s="298">
        <v>1380</v>
      </c>
      <c r="AB174" s="298" t="s">
        <v>123</v>
      </c>
      <c r="AC174" s="187" t="s">
        <v>1363</v>
      </c>
      <c r="AD174" s="188" t="s">
        <v>1364</v>
      </c>
      <c r="AE174" s="190" t="s">
        <v>1365</v>
      </c>
      <c r="AF174" s="416" t="s">
        <v>123</v>
      </c>
      <c r="AG174" s="187" t="s">
        <v>1366</v>
      </c>
      <c r="AH174" s="187" t="s">
        <v>1367</v>
      </c>
      <c r="AI174" s="298" t="s">
        <v>264</v>
      </c>
      <c r="AJ174" s="187" t="s">
        <v>1368</v>
      </c>
      <c r="AK174" s="298" t="s">
        <v>118</v>
      </c>
      <c r="AL174" s="298" t="s">
        <v>123</v>
      </c>
      <c r="AM174" s="142" t="str">
        <f>INDEX(CarrierDriverTBL!$B:$B,MATCH(Table1[[#This Row],[DriverID]],CarrierDriverTBL!$A:$A,0))</f>
        <v>UBTrucking</v>
      </c>
      <c r="AN174" s="10" t="s">
        <v>948</v>
      </c>
      <c r="AO174" s="10" t="str">
        <f>INDEX(CarrierDriverTBL!$C:$C,MATCH(Table1[[#This Row],[DriverID]],CarrierDriverTBL!$A:$A,0))</f>
        <v>Wesley</v>
      </c>
      <c r="AP174" s="10" t="str">
        <f>INDEX(CarrierDriverTBL!$D:$D,MATCH(Table1[[#This Row],[DriverID]],CarrierDriverTBL!$A:$A,0))</f>
        <v>Cousain</v>
      </c>
      <c r="AQ174" s="10" t="str">
        <f>INDEX(CarrierDriverTBL!$X:$X,MATCH(Table1[[#This Row],[DriverID]],CarrierDriverTBL!$A:$A,0))</f>
        <v>D4903588</v>
      </c>
      <c r="AR174" s="11">
        <f>INDEX(CarrierDriverTBL!$Y:$Y,MATCH(Table1[[#This Row],[DriverID]],CarrierDriverTBL!$A:$A,0))</f>
        <v>43458</v>
      </c>
      <c r="AS174" s="142" t="str">
        <f t="shared" si="67"/>
        <v>GOOD</v>
      </c>
      <c r="AT174" s="11">
        <f>INDEX(CarrierDriverTBL!$E:$E,MATCH(Table1[[#This Row],[DriverID]],CarrierDriverTBL!$A:$A,0))</f>
        <v>31405</v>
      </c>
      <c r="AU174" s="163">
        <f ca="1">INDEX(CarrierDriverTBL!$F:$F,MATCH(Table1[[#This Row],[DriverID]],CarrierDriverTBL!$A:$A,0))</f>
        <v>30.605479452054794</v>
      </c>
      <c r="AV174" s="10" t="str">
        <f>INDEX(CarrierDriverTBL!$K:$K,MATCH(Table1[[#This Row],[DriverID]],CarrierDriverTBL!$A:$A,0))</f>
        <v>925-383-5364</v>
      </c>
      <c r="AW174" s="10" t="str">
        <f>INDEX(CarrierDriverTBL!$M:$M,MATCH(Table1[[#This Row],[DriverID]],CarrierDriverTBL!$A:$A,0))</f>
        <v>110 Cordova Ln</v>
      </c>
      <c r="AX174" s="10" t="str">
        <f>INDEX(CarrierDriverTBL!$N:$N,MATCH(Table1[[#This Row],[DriverID]],CarrierDriverTBL!$A:$A,0))</f>
        <v>Stockton</v>
      </c>
      <c r="AY174" s="10" t="str">
        <f>INDEX(CarrierDriverTBL!$O:$O,MATCH(Table1[[#This Row],[DriverID]],CarrierDriverTBL!$A:$A,0))</f>
        <v>CA</v>
      </c>
      <c r="AZ174" s="10">
        <f>INDEX(CarrierDriverTBL!$P:$P,MATCH(Table1[[#This Row],[DriverID]],CarrierDriverTBL!$A:$A,0))</f>
        <v>95207</v>
      </c>
      <c r="BA174" s="10" t="str">
        <f>INDEX(CarrierDriverTBL!$Q:$Q,MATCH(Table1[[#This Row],[DriverID]],CarrierDriverTBL!$A:$A,0))</f>
        <v>US</v>
      </c>
      <c r="BB174" s="173" t="str">
        <f>INDEX(CarrierDriverTBL!$R:$R,MATCH(Table1[[#This Row],[DriverID]],CarrierDriverTBL!$A:$A,0))</f>
        <v>wesleycousain1@gmail.com</v>
      </c>
      <c r="BC174" s="160">
        <f>INDEX(CarrierDriverTBL!$AB:$AB,MATCH(Table1[[#This Row],[DriverID]],CarrierDriverTBL!$A:$A,0))</f>
        <v>42271</v>
      </c>
      <c r="BD174" s="142" t="str">
        <f ca="1">INDEX(CarrierDriverTBL!$AD:$AD,MATCH(LoadMaster!$AN:$AN,CarrierDriverTBL!$A:$A,0))</f>
        <v>MISSING</v>
      </c>
      <c r="BE174" s="142">
        <f>INDEX(CarrierDriverTBL!$AE:$AE,MATCH(Table1[DriverID],CarrierDriverTBL!$A:$A,0))</f>
        <v>913971</v>
      </c>
      <c r="BF174" s="142">
        <f>INDEX(CarrierDriverTBL!$AF:$AF,MATCH(Table1[DriverID],CarrierDriverTBL!$A:$A,0))</f>
        <v>2627544</v>
      </c>
      <c r="BG174" s="142">
        <f>INDEX(CarrierDriverTBL!$AG:$AG,MATCH(Table1[DriverID],CarrierDriverTBL!$A:$A,0))</f>
        <v>466133</v>
      </c>
      <c r="BH174" s="142" t="str">
        <f>INDEX(CarrierDriverTBL!$AH:$AH,MATCH(Table1[DriverID],CarrierDriverTBL!$A:$A,0))</f>
        <v>GM Lawrence Ins</v>
      </c>
      <c r="BI174" s="142" t="str">
        <f>INDEX(CarrierDriverTBL!$AI:$AI,MATCH(Table1[DriverID],CarrierDriverTBL!$A:$A,0))</f>
        <v>DSK2842P160210</v>
      </c>
      <c r="BJ174" s="160">
        <f>INDEX(CarrierDriverTBL!$AJ:$AJ,MATCH(Table1[[#This Row],[DriverID]],CarrierDriverTBL!$A:$A,0))</f>
        <v>42778</v>
      </c>
      <c r="BK174" s="10">
        <f t="shared" si="68"/>
        <v>451</v>
      </c>
      <c r="BL174" s="174">
        <v>2100</v>
      </c>
      <c r="BM174" s="144">
        <v>824</v>
      </c>
      <c r="BN174" s="159">
        <f t="shared" ref="BN174:BN196" si="91">BL174/BM174</f>
        <v>2.5485436893203883</v>
      </c>
      <c r="BO174" s="167">
        <f>0.93*BL174</f>
        <v>1953</v>
      </c>
      <c r="BP174" s="159">
        <f t="shared" ref="BP174:BP196" si="92">BO174/BM174</f>
        <v>2.3701456310679609</v>
      </c>
      <c r="BQ174" s="133">
        <v>2.7989999999999999</v>
      </c>
      <c r="BR174" s="166">
        <f t="shared" si="89"/>
        <v>0.14983333333333335</v>
      </c>
      <c r="BS174" s="167">
        <f t="shared" si="69"/>
        <v>2.2203122977346275</v>
      </c>
      <c r="BT174" s="159">
        <f t="shared" si="70"/>
        <v>123.46266666666668</v>
      </c>
      <c r="BU174" s="10" t="str">
        <f t="shared" si="71"/>
        <v>Ch Robinson</v>
      </c>
      <c r="BV174" s="4"/>
      <c r="BW174" s="4" t="str">
        <f>Table1[[#This Row],[BrokerAddress]]</f>
        <v>P.O. Box 3474</v>
      </c>
      <c r="BX174" s="4" t="str">
        <f t="shared" si="72"/>
        <v>Chicago</v>
      </c>
      <c r="BY174" s="4" t="str">
        <f t="shared" si="73"/>
        <v>Il</v>
      </c>
      <c r="BZ174" s="4">
        <f t="shared" si="74"/>
        <v>60654</v>
      </c>
      <c r="CA174" s="10" t="str">
        <f t="shared" si="75"/>
        <v>US</v>
      </c>
      <c r="CB174" s="15" t="s">
        <v>131</v>
      </c>
      <c r="CC174" s="62"/>
      <c r="CD174" s="15" t="s">
        <v>132</v>
      </c>
      <c r="CE174" s="64">
        <v>0</v>
      </c>
      <c r="CF174" s="4">
        <v>0</v>
      </c>
      <c r="CG174" s="132">
        <f t="shared" si="76"/>
        <v>0</v>
      </c>
      <c r="CH174" s="4" t="s">
        <v>132</v>
      </c>
      <c r="CI174" s="5">
        <v>0</v>
      </c>
      <c r="CJ174" s="4">
        <v>0</v>
      </c>
      <c r="CK174" s="132">
        <f t="shared" si="77"/>
        <v>0</v>
      </c>
      <c r="CL174" s="4" t="s">
        <v>132</v>
      </c>
      <c r="CM174" s="5">
        <v>0</v>
      </c>
      <c r="CN174" s="4">
        <v>0</v>
      </c>
      <c r="CO174" s="132">
        <f t="shared" si="78"/>
        <v>0</v>
      </c>
      <c r="CP174" s="4" t="s">
        <v>132</v>
      </c>
      <c r="CQ174" s="5">
        <v>0</v>
      </c>
      <c r="CR174" s="4">
        <v>0</v>
      </c>
      <c r="CS174" s="132">
        <f t="shared" si="79"/>
        <v>0</v>
      </c>
      <c r="CT174" s="159">
        <f t="shared" si="80"/>
        <v>0</v>
      </c>
      <c r="CU174" s="168">
        <f t="shared" si="81"/>
        <v>2100</v>
      </c>
      <c r="CV174" s="169">
        <f t="shared" si="90"/>
        <v>0</v>
      </c>
      <c r="CW174" s="82">
        <f t="shared" si="88"/>
        <v>1953</v>
      </c>
      <c r="CX174" s="79">
        <f>IF(ISBLANK(E174),"AddQuickPay",IF(E174=2,CU174*0.98,IF(E174=2.4,CU174*0.976,IF(E174=3,CU174*0.97,IF(E174=5,CU174*0.95,IF(E174=1.5,CU174*0.985,IF(E174=2.5,CU174*0.975,IF(E174=1.3,CU174*0.987,IF(E174=1,CU174*0.99,IF(E174=4,CU174*0.96,CU174*1))))))))))-Table1[[#This Row],[ComCheck+QuickPayFee]]</f>
        <v>2058</v>
      </c>
      <c r="CY174" s="5">
        <f t="shared" si="82"/>
        <v>147</v>
      </c>
      <c r="CZ174" s="5">
        <f t="shared" si="83"/>
        <v>42</v>
      </c>
      <c r="DA174" s="258">
        <f>Table1[[#This Row],[OriginalDispatch]]-Table1[[#This Row],[QuickPayCharge]]</f>
        <v>105</v>
      </c>
      <c r="DB174" s="5">
        <v>0</v>
      </c>
      <c r="DC174" s="5" t="s">
        <v>1287</v>
      </c>
      <c r="DD174" s="104">
        <f t="shared" si="84"/>
        <v>42328</v>
      </c>
      <c r="DE174" s="15">
        <f>MONTH(Table1[[#This Row],[Weekending]])</f>
        <v>11</v>
      </c>
      <c r="DF174" s="15">
        <f>YEAR(Table1[[#This Row],[Weekending]])</f>
        <v>2015</v>
      </c>
      <c r="DG174" s="4"/>
    </row>
    <row r="175" spans="1:111" ht="30">
      <c r="A175" s="20" t="str">
        <f t="shared" si="66"/>
        <v>13nkwn49</v>
      </c>
      <c r="B175" s="146">
        <v>42331</v>
      </c>
      <c r="C175" s="144">
        <v>186810213</v>
      </c>
      <c r="D175" s="298" t="s">
        <v>111</v>
      </c>
      <c r="E175" s="298">
        <v>2</v>
      </c>
      <c r="F175" s="142" t="str">
        <f>INDEX(BrokerTBL!$B:$B,MATCH(D175,BrokerTBL!$A:$A,0))</f>
        <v>P.O. Box 3474</v>
      </c>
      <c r="G175" s="142" t="str">
        <f>INDEX(BrokerTBL!$C:$C,MATCH(D175,BrokerTBL!$A:$A,0))</f>
        <v>Chicago</v>
      </c>
      <c r="H175" s="142" t="str">
        <f>INDEX(BrokerTBL!$D:$D,MATCH(D175,BrokerTBL!$A:$A,0))</f>
        <v>Il</v>
      </c>
      <c r="I175" s="142" t="str">
        <f>INDEX(BrokerTBL!$E:$E,MATCH(D175,BrokerTBL!$A:$A,0))</f>
        <v>US</v>
      </c>
      <c r="J175" s="142">
        <f>INDEX(BrokerTBL!$F:$F,MATCH(D175,BrokerTBL!$A:$A,0))</f>
        <v>60654</v>
      </c>
      <c r="K175" s="298" t="s">
        <v>1282</v>
      </c>
      <c r="L175" s="145" t="s">
        <v>1179</v>
      </c>
      <c r="M175" s="146">
        <v>42331</v>
      </c>
      <c r="N175" s="144" t="s">
        <v>1369</v>
      </c>
      <c r="O175" s="298" t="s">
        <v>943</v>
      </c>
      <c r="P175" s="298" t="s">
        <v>366</v>
      </c>
      <c r="Q175" s="298" t="s">
        <v>139</v>
      </c>
      <c r="R175" s="298">
        <v>95776</v>
      </c>
      <c r="S175" s="298" t="s">
        <v>118</v>
      </c>
      <c r="T175" s="298" t="s">
        <v>136</v>
      </c>
      <c r="U175" s="298" t="s">
        <v>120</v>
      </c>
      <c r="V175" s="298">
        <v>53</v>
      </c>
      <c r="W175" s="298" t="s">
        <v>944</v>
      </c>
      <c r="X175" s="144">
        <v>30000</v>
      </c>
      <c r="Y175" s="298" t="s">
        <v>26</v>
      </c>
      <c r="Z175" s="298" t="s">
        <v>123</v>
      </c>
      <c r="AA175" s="298" t="s">
        <v>123</v>
      </c>
      <c r="AB175" s="298" t="s">
        <v>123</v>
      </c>
      <c r="AC175" s="187" t="s">
        <v>1370</v>
      </c>
      <c r="AD175" s="145" t="s">
        <v>1205</v>
      </c>
      <c r="AE175" s="190" t="s">
        <v>1371</v>
      </c>
      <c r="AF175" s="416" t="s">
        <v>123</v>
      </c>
      <c r="AG175" s="187" t="s">
        <v>1372</v>
      </c>
      <c r="AH175" s="187" t="s">
        <v>1373</v>
      </c>
      <c r="AI175" s="298" t="s">
        <v>139</v>
      </c>
      <c r="AJ175" s="187" t="s">
        <v>1374</v>
      </c>
      <c r="AK175" s="298" t="s">
        <v>118</v>
      </c>
      <c r="AL175" s="298" t="s">
        <v>123</v>
      </c>
      <c r="AM175" s="142" t="str">
        <f>INDEX(CarrierDriverTBL!$B:$B,MATCH(Table1[[#This Row],[DriverID]],CarrierDriverTBL!$A:$A,0))</f>
        <v>UBTrucking</v>
      </c>
      <c r="AN175" s="10" t="s">
        <v>192</v>
      </c>
      <c r="AO175" s="10" t="str">
        <f>INDEX(CarrierDriverTBL!$C:$C,MATCH(Table1[[#This Row],[DriverID]],CarrierDriverTBL!$A:$A,0))</f>
        <v>Albel</v>
      </c>
      <c r="AP175" s="142" t="str">
        <f>INDEX(CarrierDriverTBL!$D:$D,MATCH(Table1[[#This Row],[DriverID]],CarrierDriverTBL!$A:$A,0))</f>
        <v>Chahil</v>
      </c>
      <c r="AQ175" s="142" t="str">
        <f>INDEX(CarrierDriverTBL!$X:$X,MATCH(Table1[[#This Row],[DriverID]],CarrierDriverTBL!$A:$A,0))</f>
        <v>A8390649</v>
      </c>
      <c r="AR175" s="160">
        <f>INDEX(CarrierDriverTBL!$Y:$Y,MATCH(Table1[[#This Row],[DriverID]],CarrierDriverTBL!$A:$A,0))</f>
        <v>42402</v>
      </c>
      <c r="AS175" s="142" t="str">
        <f t="shared" si="67"/>
        <v>GOOD</v>
      </c>
      <c r="AT175" s="160">
        <f>INDEX(CarrierDriverTBL!$E:$E,MATCH(Table1[[#This Row],[DriverID]],CarrierDriverTBL!$A:$A,0))</f>
        <v>22314</v>
      </c>
      <c r="AU175" s="163">
        <f ca="1">INDEX(CarrierDriverTBL!$F:$F,MATCH(Table1[[#This Row],[DriverID]],CarrierDriverTBL!$A:$A,0))</f>
        <v>55.512328767123286</v>
      </c>
      <c r="AV175" s="142" t="str">
        <f>INDEX(CarrierDriverTBL!$K:$K,MATCH(Table1[[#This Row],[DriverID]],CarrierDriverTBL!$A:$A,0))</f>
        <v>510-773-9450</v>
      </c>
      <c r="AW175" s="142" t="str">
        <f>INDEX(CarrierDriverTBL!$M:$M,MATCH(Table1[[#This Row],[DriverID]],CarrierDriverTBL!$A:$A,0))</f>
        <v>3124 Cynthia CT</v>
      </c>
      <c r="AX175" s="142" t="str">
        <f>INDEX(CarrierDriverTBL!$N:$N,MATCH(Table1[[#This Row],[DriverID]],CarrierDriverTBL!$A:$A,0))</f>
        <v>Tracy</v>
      </c>
      <c r="AY175" s="142" t="str">
        <f>INDEX(CarrierDriverTBL!$O:$O,MATCH(Table1[[#This Row],[DriverID]],CarrierDriverTBL!$A:$A,0))</f>
        <v>CA</v>
      </c>
      <c r="AZ175" s="142">
        <f>INDEX(CarrierDriverTBL!$P:$P,MATCH(Table1[[#This Row],[DriverID]],CarrierDriverTBL!$A:$A,0))</f>
        <v>95377</v>
      </c>
      <c r="BA175" s="142" t="str">
        <f>INDEX(CarrierDriverTBL!$Q:$Q,MATCH(Table1[[#This Row],[DriverID]],CarrierDriverTBL!$A:$A,0))</f>
        <v>US</v>
      </c>
      <c r="BB175" s="176" t="str">
        <f>INDEX(CarrierDriverTBL!$R:$R,MATCH(Table1[[#This Row],[DriverID]],CarrierDriverTBL!$A:$A,0))</f>
        <v>ubgollc@gmail.com</v>
      </c>
      <c r="BC175" s="160">
        <f>INDEX(CarrierDriverTBL!$AB:$AB,MATCH(Table1[[#This Row],[DriverID]],CarrierDriverTBL!$A:$A,0))</f>
        <v>42167</v>
      </c>
      <c r="BD175" s="142" t="str">
        <f ca="1">INDEX(CarrierDriverTBL!$AD:$AD,MATCH(LoadMaster!$AN:$AN,CarrierDriverTBL!$A:$A,0))</f>
        <v>MISSING</v>
      </c>
      <c r="BE175" s="142">
        <f>INDEX(CarrierDriverTBL!$AE:$AE,MATCH(Table1[DriverID],CarrierDriverTBL!$A:$A,0))</f>
        <v>913971</v>
      </c>
      <c r="BF175" s="142">
        <f>INDEX(CarrierDriverTBL!$AF:$AF,MATCH(Table1[DriverID],CarrierDriverTBL!$A:$A,0))</f>
        <v>2627544</v>
      </c>
      <c r="BG175" s="142">
        <f>INDEX(CarrierDriverTBL!$AG:$AG,MATCH(Table1[DriverID],CarrierDriverTBL!$A:$A,0))</f>
        <v>466133</v>
      </c>
      <c r="BH175" s="142" t="str">
        <f>INDEX(CarrierDriverTBL!$AH:$AH,MATCH(Table1[DriverID],CarrierDriverTBL!$A:$A,0))</f>
        <v>GM Lawrence Ins</v>
      </c>
      <c r="BI175" s="142" t="str">
        <f>INDEX(CarrierDriverTBL!$AI:$AI,MATCH(Table1[DriverID],CarrierDriverTBL!$A:$A,0))</f>
        <v>DSK2842P160210</v>
      </c>
      <c r="BJ175" s="160">
        <f>INDEX(CarrierDriverTBL!$AJ:$AJ,MATCH(Table1[[#This Row],[DriverID]],CarrierDriverTBL!$A:$A,0))</f>
        <v>42778</v>
      </c>
      <c r="BK175" s="10">
        <f t="shared" si="68"/>
        <v>447</v>
      </c>
      <c r="BL175" s="174">
        <v>750</v>
      </c>
      <c r="BM175" s="144">
        <v>470</v>
      </c>
      <c r="BN175" s="159">
        <f t="shared" si="91"/>
        <v>1.5957446808510638</v>
      </c>
      <c r="BO175" s="167">
        <v>700</v>
      </c>
      <c r="BP175" s="159">
        <f t="shared" si="92"/>
        <v>1.4893617021276595</v>
      </c>
      <c r="BQ175" s="133">
        <v>2.7989999999999999</v>
      </c>
      <c r="BR175" s="166">
        <f t="shared" si="89"/>
        <v>0.14983333333333335</v>
      </c>
      <c r="BS175" s="167">
        <f t="shared" si="69"/>
        <v>1.3395283687943262</v>
      </c>
      <c r="BT175" s="159">
        <f t="shared" si="70"/>
        <v>70.421666666666667</v>
      </c>
      <c r="BU175" s="10" t="str">
        <f t="shared" si="71"/>
        <v>Ch Robinson</v>
      </c>
      <c r="BV175" s="4"/>
      <c r="BW175" s="4" t="str">
        <f>Table1[[#This Row],[BrokerAddress]]</f>
        <v>P.O. Box 3474</v>
      </c>
      <c r="BX175" s="4" t="str">
        <f t="shared" si="72"/>
        <v>Chicago</v>
      </c>
      <c r="BY175" s="4" t="str">
        <f t="shared" si="73"/>
        <v>Il</v>
      </c>
      <c r="BZ175" s="4">
        <f t="shared" si="74"/>
        <v>60654</v>
      </c>
      <c r="CA175" s="10" t="str">
        <f t="shared" si="75"/>
        <v>US</v>
      </c>
      <c r="CB175" s="15" t="s">
        <v>131</v>
      </c>
      <c r="CC175" s="62"/>
      <c r="CD175" s="15" t="s">
        <v>1375</v>
      </c>
      <c r="CE175" s="64">
        <v>50</v>
      </c>
      <c r="CF175" s="4">
        <v>1</v>
      </c>
      <c r="CG175" s="132">
        <f t="shared" si="76"/>
        <v>50</v>
      </c>
      <c r="CH175" s="4" t="s">
        <v>132</v>
      </c>
      <c r="CI175" s="5">
        <v>0</v>
      </c>
      <c r="CJ175" s="4">
        <v>0</v>
      </c>
      <c r="CK175" s="132">
        <f t="shared" si="77"/>
        <v>0</v>
      </c>
      <c r="CL175" s="4" t="s">
        <v>132</v>
      </c>
      <c r="CM175" s="5">
        <v>0</v>
      </c>
      <c r="CN175" s="4">
        <v>0</v>
      </c>
      <c r="CO175" s="132">
        <f t="shared" si="78"/>
        <v>0</v>
      </c>
      <c r="CP175" s="4" t="s">
        <v>132</v>
      </c>
      <c r="CQ175" s="5">
        <v>0</v>
      </c>
      <c r="CR175" s="4">
        <v>0</v>
      </c>
      <c r="CS175" s="132">
        <f t="shared" si="79"/>
        <v>0</v>
      </c>
      <c r="CT175" s="159">
        <f t="shared" si="80"/>
        <v>50</v>
      </c>
      <c r="CU175" s="168">
        <f t="shared" si="81"/>
        <v>800</v>
      </c>
      <c r="CV175" s="169">
        <f t="shared" si="90"/>
        <v>50</v>
      </c>
      <c r="CW175" s="82">
        <f t="shared" si="88"/>
        <v>750</v>
      </c>
      <c r="CX175" s="79">
        <f>IF(ISBLANK(E175),"AddQuickPay",IF(E175=2,CU175*0.98,IF(E175=2.4,CU175*0.976,IF(E175=3,CU175*0.97,IF(E175=5,CU175*0.95,IF(E175=1.5,CU175*0.985,IF(E175=2.5,CU175*0.975,IF(E175=1.3,CU175*0.987,IF(E175=1,CU175*0.99,IF(E175=4,CU175*0.96,CU175*1))))))))))-Table1[[#This Row],[ComCheck+QuickPayFee]]</f>
        <v>784</v>
      </c>
      <c r="CY175" s="5">
        <f t="shared" si="82"/>
        <v>50</v>
      </c>
      <c r="CZ175" s="5">
        <f t="shared" si="83"/>
        <v>16</v>
      </c>
      <c r="DA175" s="258">
        <f>Table1[[#This Row],[OriginalDispatch]]-Table1[[#This Row],[QuickPayCharge]]</f>
        <v>34</v>
      </c>
      <c r="DB175" s="5">
        <v>0</v>
      </c>
      <c r="DC175" s="5" t="s">
        <v>1287</v>
      </c>
      <c r="DD175" s="104">
        <f t="shared" si="84"/>
        <v>42335</v>
      </c>
      <c r="DE175" s="15">
        <f>MONTH(Table1[[#This Row],[Weekending]])</f>
        <v>11</v>
      </c>
      <c r="DF175" s="15">
        <f>YEAR(Table1[[#This Row],[Weekending]])</f>
        <v>2015</v>
      </c>
      <c r="DG175" s="4"/>
    </row>
    <row r="176" spans="1:111">
      <c r="A176" s="20" t="str">
        <f t="shared" si="66"/>
        <v>73029888</v>
      </c>
      <c r="B176" s="146">
        <v>42331</v>
      </c>
      <c r="C176" s="144">
        <v>186701373</v>
      </c>
      <c r="D176" s="298" t="s">
        <v>111</v>
      </c>
      <c r="E176" s="298">
        <v>2</v>
      </c>
      <c r="F176" s="142" t="str">
        <f>INDEX(BrokerTBL!$B:$B,MATCH(D176,BrokerTBL!$A:$A,0))</f>
        <v>P.O. Box 3474</v>
      </c>
      <c r="G176" s="142" t="str">
        <f>INDEX(BrokerTBL!$C:$C,MATCH(D176,BrokerTBL!$A:$A,0))</f>
        <v>Chicago</v>
      </c>
      <c r="H176" s="142" t="str">
        <f>INDEX(BrokerTBL!$D:$D,MATCH(D176,BrokerTBL!$A:$A,0))</f>
        <v>Il</v>
      </c>
      <c r="I176" s="142" t="str">
        <f>INDEX(BrokerTBL!$E:$E,MATCH(D176,BrokerTBL!$A:$A,0))</f>
        <v>US</v>
      </c>
      <c r="J176" s="142">
        <f>INDEX(BrokerTBL!$F:$F,MATCH(D176,BrokerTBL!$A:$A,0))</f>
        <v>60654</v>
      </c>
      <c r="K176" s="298" t="s">
        <v>1376</v>
      </c>
      <c r="L176" s="145" t="s">
        <v>1377</v>
      </c>
      <c r="M176" s="146">
        <v>42331</v>
      </c>
      <c r="N176" s="144" t="s">
        <v>1378</v>
      </c>
      <c r="O176" s="298" t="s">
        <v>1379</v>
      </c>
      <c r="P176" s="298" t="s">
        <v>1380</v>
      </c>
      <c r="Q176" s="298" t="s">
        <v>264</v>
      </c>
      <c r="R176" s="298">
        <v>89423</v>
      </c>
      <c r="S176" s="298" t="s">
        <v>118</v>
      </c>
      <c r="T176" s="298" t="s">
        <v>136</v>
      </c>
      <c r="U176" s="298" t="s">
        <v>120</v>
      </c>
      <c r="V176" s="298">
        <v>53</v>
      </c>
      <c r="W176" s="298" t="s">
        <v>136</v>
      </c>
      <c r="X176" s="144">
        <v>43000</v>
      </c>
      <c r="Y176" s="298" t="s">
        <v>740</v>
      </c>
      <c r="Z176" s="298">
        <v>28</v>
      </c>
      <c r="AA176" s="298">
        <v>28</v>
      </c>
      <c r="AB176" s="298" t="s">
        <v>123</v>
      </c>
      <c r="AC176" s="298" t="s">
        <v>1381</v>
      </c>
      <c r="AD176" s="145" t="s">
        <v>1382</v>
      </c>
      <c r="AE176" s="146">
        <v>42332</v>
      </c>
      <c r="AF176" s="416" t="s">
        <v>123</v>
      </c>
      <c r="AG176" s="298" t="s">
        <v>1383</v>
      </c>
      <c r="AH176" s="298" t="s">
        <v>184</v>
      </c>
      <c r="AI176" s="298" t="s">
        <v>139</v>
      </c>
      <c r="AJ176" s="298">
        <v>95215</v>
      </c>
      <c r="AK176" s="298" t="s">
        <v>118</v>
      </c>
      <c r="AL176" s="298" t="s">
        <v>123</v>
      </c>
      <c r="AM176" s="142" t="str">
        <f>INDEX(CarrierDriverTBL!$B:$B,MATCH(Table1[[#This Row],[DriverID]],CarrierDriverTBL!$A:$A,0))</f>
        <v>UBTrucking</v>
      </c>
      <c r="AN176" s="10" t="s">
        <v>948</v>
      </c>
      <c r="AO176" s="10" t="str">
        <f>INDEX(CarrierDriverTBL!$C:$C,MATCH(Table1[[#This Row],[DriverID]],CarrierDriverTBL!$A:$A,0))</f>
        <v>Wesley</v>
      </c>
      <c r="AP176" s="10" t="str">
        <f>INDEX(CarrierDriverTBL!$D:$D,MATCH(Table1[[#This Row],[DriverID]],CarrierDriverTBL!$A:$A,0))</f>
        <v>Cousain</v>
      </c>
      <c r="AQ176" s="10" t="str">
        <f>INDEX(CarrierDriverTBL!$X:$X,MATCH(Table1[[#This Row],[DriverID]],CarrierDriverTBL!$A:$A,0))</f>
        <v>D4903588</v>
      </c>
      <c r="AR176" s="11">
        <f>INDEX(CarrierDriverTBL!$Y:$Y,MATCH(Table1[[#This Row],[DriverID]],CarrierDriverTBL!$A:$A,0))</f>
        <v>43458</v>
      </c>
      <c r="AS176" s="142" t="str">
        <f t="shared" si="67"/>
        <v>GOOD</v>
      </c>
      <c r="AT176" s="11">
        <f>INDEX(CarrierDriverTBL!$E:$E,MATCH(Table1[[#This Row],[DriverID]],CarrierDriverTBL!$A:$A,0))</f>
        <v>31405</v>
      </c>
      <c r="AU176" s="163">
        <f ca="1">INDEX(CarrierDriverTBL!$F:$F,MATCH(Table1[[#This Row],[DriverID]],CarrierDriverTBL!$A:$A,0))</f>
        <v>30.605479452054794</v>
      </c>
      <c r="AV176" s="10" t="str">
        <f>INDEX(CarrierDriverTBL!$K:$K,MATCH(Table1[[#This Row],[DriverID]],CarrierDriverTBL!$A:$A,0))</f>
        <v>925-383-5364</v>
      </c>
      <c r="AW176" s="10" t="str">
        <f>INDEX(CarrierDriverTBL!$M:$M,MATCH(Table1[[#This Row],[DriverID]],CarrierDriverTBL!$A:$A,0))</f>
        <v>110 Cordova Ln</v>
      </c>
      <c r="AX176" s="10" t="str">
        <f>INDEX(CarrierDriverTBL!$N:$N,MATCH(Table1[[#This Row],[DriverID]],CarrierDriverTBL!$A:$A,0))</f>
        <v>Stockton</v>
      </c>
      <c r="AY176" s="10" t="str">
        <f>INDEX(CarrierDriverTBL!$O:$O,MATCH(Table1[[#This Row],[DriverID]],CarrierDriverTBL!$A:$A,0))</f>
        <v>CA</v>
      </c>
      <c r="AZ176" s="10">
        <f>INDEX(CarrierDriverTBL!$P:$P,MATCH(Table1[[#This Row],[DriverID]],CarrierDriverTBL!$A:$A,0))</f>
        <v>95207</v>
      </c>
      <c r="BA176" s="10" t="str">
        <f>INDEX(CarrierDriverTBL!$Q:$Q,MATCH(Table1[[#This Row],[DriverID]],CarrierDriverTBL!$A:$A,0))</f>
        <v>US</v>
      </c>
      <c r="BB176" s="173" t="str">
        <f>INDEX(CarrierDriverTBL!$R:$R,MATCH(Table1[[#This Row],[DriverID]],CarrierDriverTBL!$A:$A,0))</f>
        <v>wesleycousain1@gmail.com</v>
      </c>
      <c r="BC176" s="160">
        <f>INDEX(CarrierDriverTBL!$AB:$AB,MATCH(Table1[[#This Row],[DriverID]],CarrierDriverTBL!$A:$A,0))</f>
        <v>42271</v>
      </c>
      <c r="BD176" s="142" t="str">
        <f ca="1">INDEX(CarrierDriverTBL!$AD:$AD,MATCH(LoadMaster!$AN:$AN,CarrierDriverTBL!$A:$A,0))</f>
        <v>MISSING</v>
      </c>
      <c r="BE176" s="142">
        <f>INDEX(CarrierDriverTBL!$AE:$AE,MATCH(Table1[DriverID],CarrierDriverTBL!$A:$A,0))</f>
        <v>913971</v>
      </c>
      <c r="BF176" s="142">
        <f>INDEX(CarrierDriverTBL!$AF:$AF,MATCH(Table1[DriverID],CarrierDriverTBL!$A:$A,0))</f>
        <v>2627544</v>
      </c>
      <c r="BG176" s="142">
        <f>INDEX(CarrierDriverTBL!$AG:$AG,MATCH(Table1[DriverID],CarrierDriverTBL!$A:$A,0))</f>
        <v>466133</v>
      </c>
      <c r="BH176" s="142" t="str">
        <f>INDEX(CarrierDriverTBL!$AH:$AH,MATCH(Table1[DriverID],CarrierDriverTBL!$A:$A,0))</f>
        <v>GM Lawrence Ins</v>
      </c>
      <c r="BI176" s="142" t="str">
        <f>INDEX(CarrierDriverTBL!$AI:$AI,MATCH(Table1[DriverID],CarrierDriverTBL!$A:$A,0))</f>
        <v>DSK2842P160210</v>
      </c>
      <c r="BJ176" s="160">
        <f>INDEX(CarrierDriverTBL!$AJ:$AJ,MATCH(Table1[[#This Row],[DriverID]],CarrierDriverTBL!$A:$A,0))</f>
        <v>42778</v>
      </c>
      <c r="BK176" s="10">
        <f t="shared" si="68"/>
        <v>447</v>
      </c>
      <c r="BL176" s="174">
        <v>500</v>
      </c>
      <c r="BM176" s="144">
        <v>180</v>
      </c>
      <c r="BN176" s="159">
        <f t="shared" si="91"/>
        <v>2.7777777777777777</v>
      </c>
      <c r="BO176" s="167">
        <f>0.93*BL176</f>
        <v>465</v>
      </c>
      <c r="BP176" s="159">
        <f t="shared" si="92"/>
        <v>2.5833333333333335</v>
      </c>
      <c r="BQ176" s="133">
        <v>2.7989999999999999</v>
      </c>
      <c r="BR176" s="166">
        <f t="shared" si="89"/>
        <v>0.14983333333333335</v>
      </c>
      <c r="BS176" s="167">
        <f t="shared" si="69"/>
        <v>2.4335</v>
      </c>
      <c r="BT176" s="159">
        <f t="shared" si="70"/>
        <v>26.970000000000002</v>
      </c>
      <c r="BU176" s="10" t="str">
        <f t="shared" si="71"/>
        <v>Ch Robinson</v>
      </c>
      <c r="BV176" s="4"/>
      <c r="BW176" s="4" t="str">
        <f>Table1[[#This Row],[BrokerAddress]]</f>
        <v>P.O. Box 3474</v>
      </c>
      <c r="BX176" s="4" t="str">
        <f t="shared" si="72"/>
        <v>Chicago</v>
      </c>
      <c r="BY176" s="4" t="str">
        <f t="shared" si="73"/>
        <v>Il</v>
      </c>
      <c r="BZ176" s="4">
        <f t="shared" si="74"/>
        <v>60654</v>
      </c>
      <c r="CA176" s="10" t="str">
        <f t="shared" si="75"/>
        <v>US</v>
      </c>
      <c r="CB176" s="15" t="s">
        <v>131</v>
      </c>
      <c r="CC176" s="62"/>
      <c r="CD176" s="15" t="s">
        <v>149</v>
      </c>
      <c r="CE176" s="64">
        <v>40</v>
      </c>
      <c r="CF176" s="4">
        <v>2</v>
      </c>
      <c r="CG176" s="132">
        <f t="shared" si="76"/>
        <v>80</v>
      </c>
      <c r="CH176" s="4" t="s">
        <v>132</v>
      </c>
      <c r="CI176" s="5">
        <v>0</v>
      </c>
      <c r="CJ176" s="4">
        <v>0</v>
      </c>
      <c r="CK176" s="132">
        <f t="shared" si="77"/>
        <v>0</v>
      </c>
      <c r="CL176" s="4" t="s">
        <v>132</v>
      </c>
      <c r="CM176" s="5">
        <v>0</v>
      </c>
      <c r="CN176" s="4">
        <v>0</v>
      </c>
      <c r="CO176" s="132">
        <f t="shared" si="78"/>
        <v>0</v>
      </c>
      <c r="CP176" s="4" t="s">
        <v>132</v>
      </c>
      <c r="CQ176" s="5">
        <v>0</v>
      </c>
      <c r="CR176" s="4">
        <v>0</v>
      </c>
      <c r="CS176" s="132">
        <f t="shared" si="79"/>
        <v>0</v>
      </c>
      <c r="CT176" s="159">
        <f t="shared" si="80"/>
        <v>80</v>
      </c>
      <c r="CU176" s="168">
        <f t="shared" si="81"/>
        <v>580</v>
      </c>
      <c r="CV176" s="169">
        <f t="shared" si="90"/>
        <v>74.400000000000006</v>
      </c>
      <c r="CW176" s="82">
        <f t="shared" si="88"/>
        <v>539.4</v>
      </c>
      <c r="CX176" s="79">
        <f>IF(ISBLANK(E176),"AddQuickPay",IF(E176=2,CU176*0.98,IF(E176=2.4,CU176*0.976,IF(E176=3,CU176*0.97,IF(E176=5,CU176*0.95,IF(E176=1.5,CU176*0.985,IF(E176=2.5,CU176*0.975,IF(E176=1.3,CU176*0.987,IF(E176=1,CU176*0.99,IF(E176=4,CU176*0.96,CU176*1))))))))))-Table1[[#This Row],[ComCheck+QuickPayFee]]</f>
        <v>568.4</v>
      </c>
      <c r="CY176" s="5">
        <f t="shared" si="82"/>
        <v>40.600000000000023</v>
      </c>
      <c r="CZ176" s="5">
        <f t="shared" si="83"/>
        <v>11.6</v>
      </c>
      <c r="DA176" s="258">
        <f>Table1[[#This Row],[OriginalDispatch]]-Table1[[#This Row],[QuickPayCharge]]</f>
        <v>29.000000000000021</v>
      </c>
      <c r="DB176" s="5">
        <v>0</v>
      </c>
      <c r="DC176" s="5" t="s">
        <v>1287</v>
      </c>
      <c r="DD176" s="104">
        <f t="shared" si="84"/>
        <v>42335</v>
      </c>
      <c r="DE176" s="15">
        <f>MONTH(Table1[[#This Row],[Weekending]])</f>
        <v>11</v>
      </c>
      <c r="DF176" s="15">
        <f>YEAR(Table1[[#This Row],[Weekending]])</f>
        <v>2015</v>
      </c>
      <c r="DG176" s="4"/>
    </row>
    <row r="177" spans="1:111">
      <c r="A177" s="20" t="str">
        <f t="shared" si="66"/>
        <v>79667149</v>
      </c>
      <c r="B177" s="146">
        <v>42332</v>
      </c>
      <c r="C177" s="144">
        <v>186658379</v>
      </c>
      <c r="D177" s="298" t="s">
        <v>111</v>
      </c>
      <c r="E177" s="298">
        <v>2</v>
      </c>
      <c r="F177" s="142" t="str">
        <f>INDEX(BrokerTBL!$B:$B,MATCH(D177,BrokerTBL!$A:$A,0))</f>
        <v>P.O. Box 3474</v>
      </c>
      <c r="G177" s="142" t="str">
        <f>INDEX(BrokerTBL!$C:$C,MATCH(D177,BrokerTBL!$A:$A,0))</f>
        <v>Chicago</v>
      </c>
      <c r="H177" s="142" t="str">
        <f>INDEX(BrokerTBL!$D:$D,MATCH(D177,BrokerTBL!$A:$A,0))</f>
        <v>Il</v>
      </c>
      <c r="I177" s="142" t="str">
        <f>INDEX(BrokerTBL!$E:$E,MATCH(D177,BrokerTBL!$A:$A,0))</f>
        <v>US</v>
      </c>
      <c r="J177" s="142">
        <f>INDEX(BrokerTBL!$F:$F,MATCH(D177,BrokerTBL!$A:$A,0))</f>
        <v>60654</v>
      </c>
      <c r="K177" s="298" t="s">
        <v>1384</v>
      </c>
      <c r="L177" s="145">
        <v>306266</v>
      </c>
      <c r="M177" s="146">
        <v>42332</v>
      </c>
      <c r="N177" s="182" t="s">
        <v>1385</v>
      </c>
      <c r="O177" s="298" t="s">
        <v>1386</v>
      </c>
      <c r="P177" s="298" t="s">
        <v>1387</v>
      </c>
      <c r="Q177" s="298" t="s">
        <v>139</v>
      </c>
      <c r="R177" s="298">
        <v>91708</v>
      </c>
      <c r="S177" s="298" t="s">
        <v>118</v>
      </c>
      <c r="T177" s="298" t="s">
        <v>136</v>
      </c>
      <c r="U177" s="298" t="s">
        <v>120</v>
      </c>
      <c r="V177" s="298">
        <v>53</v>
      </c>
      <c r="W177" s="298" t="s">
        <v>1388</v>
      </c>
      <c r="X177" s="144">
        <v>22000</v>
      </c>
      <c r="Y177" s="298" t="s">
        <v>566</v>
      </c>
      <c r="Z177" s="298" t="s">
        <v>123</v>
      </c>
      <c r="AA177" s="298">
        <v>1112</v>
      </c>
      <c r="AB177" s="298" t="s">
        <v>123</v>
      </c>
      <c r="AC177" s="298" t="s">
        <v>1389</v>
      </c>
      <c r="AD177" s="145">
        <v>713671</v>
      </c>
      <c r="AE177" s="146">
        <v>42333</v>
      </c>
      <c r="AF177" s="416" t="s">
        <v>123</v>
      </c>
      <c r="AG177" s="298" t="s">
        <v>1390</v>
      </c>
      <c r="AH177" s="298" t="s">
        <v>1391</v>
      </c>
      <c r="AI177" s="298" t="s">
        <v>139</v>
      </c>
      <c r="AJ177" s="298">
        <v>94005</v>
      </c>
      <c r="AK177" s="298" t="s">
        <v>118</v>
      </c>
      <c r="AL177" s="298" t="s">
        <v>123</v>
      </c>
      <c r="AM177" s="142" t="str">
        <f>INDEX(CarrierDriverTBL!$B:$B,MATCH(Table1[[#This Row],[DriverID]],CarrierDriverTBL!$A:$A,0))</f>
        <v>UBTrucking</v>
      </c>
      <c r="AN177" s="10" t="s">
        <v>192</v>
      </c>
      <c r="AO177" s="10" t="str">
        <f>INDEX(CarrierDriverTBL!$C:$C,MATCH(Table1[[#This Row],[DriverID]],CarrierDriverTBL!$A:$A,0))</f>
        <v>Albel</v>
      </c>
      <c r="AP177" s="142" t="str">
        <f>INDEX(CarrierDriverTBL!$D:$D,MATCH(Table1[[#This Row],[DriverID]],CarrierDriverTBL!$A:$A,0))</f>
        <v>Chahil</v>
      </c>
      <c r="AQ177" s="142" t="str">
        <f>INDEX(CarrierDriverTBL!$X:$X,MATCH(Table1[[#This Row],[DriverID]],CarrierDriverTBL!$A:$A,0))</f>
        <v>A8390649</v>
      </c>
      <c r="AR177" s="160">
        <f>INDEX(CarrierDriverTBL!$Y:$Y,MATCH(Table1[[#This Row],[DriverID]],CarrierDriverTBL!$A:$A,0))</f>
        <v>42402</v>
      </c>
      <c r="AS177" s="142" t="str">
        <f t="shared" si="67"/>
        <v>GOOD</v>
      </c>
      <c r="AT177" s="160">
        <f>INDEX(CarrierDriverTBL!$E:$E,MATCH(Table1[[#This Row],[DriverID]],CarrierDriverTBL!$A:$A,0))</f>
        <v>22314</v>
      </c>
      <c r="AU177" s="163">
        <f ca="1">INDEX(CarrierDriverTBL!$F:$F,MATCH(Table1[[#This Row],[DriverID]],CarrierDriverTBL!$A:$A,0))</f>
        <v>55.512328767123286</v>
      </c>
      <c r="AV177" s="142" t="str">
        <f>INDEX(CarrierDriverTBL!$K:$K,MATCH(Table1[[#This Row],[DriverID]],CarrierDriverTBL!$A:$A,0))</f>
        <v>510-773-9450</v>
      </c>
      <c r="AW177" s="142" t="str">
        <f>INDEX(CarrierDriverTBL!$M:$M,MATCH(Table1[[#This Row],[DriverID]],CarrierDriverTBL!$A:$A,0))</f>
        <v>3124 Cynthia CT</v>
      </c>
      <c r="AX177" s="142" t="str">
        <f>INDEX(CarrierDriverTBL!$N:$N,MATCH(Table1[[#This Row],[DriverID]],CarrierDriverTBL!$A:$A,0))</f>
        <v>Tracy</v>
      </c>
      <c r="AY177" s="142" t="str">
        <f>INDEX(CarrierDriverTBL!$O:$O,MATCH(Table1[[#This Row],[DriverID]],CarrierDriverTBL!$A:$A,0))</f>
        <v>CA</v>
      </c>
      <c r="AZ177" s="142">
        <f>INDEX(CarrierDriverTBL!$P:$P,MATCH(Table1[[#This Row],[DriverID]],CarrierDriverTBL!$A:$A,0))</f>
        <v>95377</v>
      </c>
      <c r="BA177" s="142" t="str">
        <f>INDEX(CarrierDriverTBL!$Q:$Q,MATCH(Table1[[#This Row],[DriverID]],CarrierDriverTBL!$A:$A,0))</f>
        <v>US</v>
      </c>
      <c r="BB177" s="176" t="str">
        <f>INDEX(CarrierDriverTBL!$R:$R,MATCH(Table1[[#This Row],[DriverID]],CarrierDriverTBL!$A:$A,0))</f>
        <v>ubgollc@gmail.com</v>
      </c>
      <c r="BC177" s="160">
        <f>INDEX(CarrierDriverTBL!$AB:$AB,MATCH(Table1[[#This Row],[DriverID]],CarrierDriverTBL!$A:$A,0))</f>
        <v>42167</v>
      </c>
      <c r="BD177" s="142" t="str">
        <f ca="1">INDEX(CarrierDriverTBL!$AD:$AD,MATCH(LoadMaster!$AN:$AN,CarrierDriverTBL!$A:$A,0))</f>
        <v>MISSING</v>
      </c>
      <c r="BE177" s="142">
        <f>INDEX(CarrierDriverTBL!$AE:$AE,MATCH(Table1[DriverID],CarrierDriverTBL!$A:$A,0))</f>
        <v>913971</v>
      </c>
      <c r="BF177" s="142">
        <f>INDEX(CarrierDriverTBL!$AF:$AF,MATCH(Table1[DriverID],CarrierDriverTBL!$A:$A,0))</f>
        <v>2627544</v>
      </c>
      <c r="BG177" s="142">
        <f>INDEX(CarrierDriverTBL!$AG:$AG,MATCH(Table1[DriverID],CarrierDriverTBL!$A:$A,0))</f>
        <v>466133</v>
      </c>
      <c r="BH177" s="142" t="str">
        <f>INDEX(CarrierDriverTBL!$AH:$AH,MATCH(Table1[DriverID],CarrierDriverTBL!$A:$A,0))</f>
        <v>GM Lawrence Ins</v>
      </c>
      <c r="BI177" s="142" t="str">
        <f>INDEX(CarrierDriverTBL!$AI:$AI,MATCH(Table1[DriverID],CarrierDriverTBL!$A:$A,0))</f>
        <v>DSK2842P160210</v>
      </c>
      <c r="BJ177" s="160">
        <f>INDEX(CarrierDriverTBL!$AJ:$AJ,MATCH(Table1[[#This Row],[DriverID]],CarrierDriverTBL!$A:$A,0))</f>
        <v>42778</v>
      </c>
      <c r="BK177" s="10">
        <f t="shared" si="68"/>
        <v>446</v>
      </c>
      <c r="BL177" s="174">
        <v>850</v>
      </c>
      <c r="BM177" s="144">
        <v>465</v>
      </c>
      <c r="BN177" s="159">
        <f t="shared" si="91"/>
        <v>1.8279569892473118</v>
      </c>
      <c r="BO177" s="167">
        <v>800</v>
      </c>
      <c r="BP177" s="159">
        <f t="shared" si="92"/>
        <v>1.7204301075268817</v>
      </c>
      <c r="BQ177" s="133">
        <v>2.7989999999999999</v>
      </c>
      <c r="BR177" s="166">
        <f t="shared" si="89"/>
        <v>0.14983333333333335</v>
      </c>
      <c r="BS177" s="167">
        <f t="shared" si="69"/>
        <v>1.5705967741935485</v>
      </c>
      <c r="BT177" s="159">
        <f t="shared" si="70"/>
        <v>69.672499999999999</v>
      </c>
      <c r="BU177" s="10" t="str">
        <f t="shared" si="71"/>
        <v>Ch Robinson</v>
      </c>
      <c r="BV177" s="4"/>
      <c r="BW177" s="4" t="str">
        <f>Table1[[#This Row],[BrokerAddress]]</f>
        <v>P.O. Box 3474</v>
      </c>
      <c r="BX177" s="4" t="str">
        <f t="shared" si="72"/>
        <v>Chicago</v>
      </c>
      <c r="BY177" s="4" t="str">
        <f t="shared" si="73"/>
        <v>Il</v>
      </c>
      <c r="BZ177" s="4">
        <f t="shared" si="74"/>
        <v>60654</v>
      </c>
      <c r="CA177" s="10" t="str">
        <f t="shared" si="75"/>
        <v>US</v>
      </c>
      <c r="CB177" s="15" t="s">
        <v>131</v>
      </c>
      <c r="CC177" s="62"/>
      <c r="CD177" s="15" t="s">
        <v>194</v>
      </c>
      <c r="CE177" s="64">
        <v>180</v>
      </c>
      <c r="CF177" s="4">
        <v>1</v>
      </c>
      <c r="CG177" s="132">
        <f t="shared" si="76"/>
        <v>180</v>
      </c>
      <c r="CH177" s="4" t="s">
        <v>132</v>
      </c>
      <c r="CI177" s="5">
        <v>0</v>
      </c>
      <c r="CJ177" s="4">
        <v>0</v>
      </c>
      <c r="CK177" s="132">
        <f t="shared" si="77"/>
        <v>0</v>
      </c>
      <c r="CL177" s="4" t="s">
        <v>132</v>
      </c>
      <c r="CM177" s="5">
        <v>0</v>
      </c>
      <c r="CN177" s="4">
        <v>0</v>
      </c>
      <c r="CO177" s="132">
        <f t="shared" si="78"/>
        <v>0</v>
      </c>
      <c r="CP177" s="4" t="s">
        <v>132</v>
      </c>
      <c r="CQ177" s="5">
        <v>0</v>
      </c>
      <c r="CR177" s="4">
        <v>0</v>
      </c>
      <c r="CS177" s="132">
        <f t="shared" si="79"/>
        <v>0</v>
      </c>
      <c r="CT177" s="159">
        <f t="shared" si="80"/>
        <v>180</v>
      </c>
      <c r="CU177" s="168">
        <f t="shared" si="81"/>
        <v>1030</v>
      </c>
      <c r="CV177" s="169">
        <f t="shared" si="90"/>
        <v>180</v>
      </c>
      <c r="CW177" s="82">
        <f t="shared" si="88"/>
        <v>980</v>
      </c>
      <c r="CX177" s="79">
        <f>IF(ISBLANK(E177),"AddQuickPay",IF(E177=2,CU177*0.98,IF(E177=2.4,CU177*0.976,IF(E177=3,CU177*0.97,IF(E177=5,CU177*0.95,IF(E177=1.5,CU177*0.985,IF(E177=2.5,CU177*0.975,IF(E177=1.3,CU177*0.987,IF(E177=1,CU177*0.99,IF(E177=4,CU177*0.96,CU177*1))))))))))-Table1[[#This Row],[ComCheck+QuickPayFee]]</f>
        <v>1009.4</v>
      </c>
      <c r="CY177" s="5">
        <f t="shared" si="82"/>
        <v>50</v>
      </c>
      <c r="CZ177" s="5">
        <f t="shared" si="83"/>
        <v>20.6</v>
      </c>
      <c r="DA177" s="258">
        <f>Table1[[#This Row],[OriginalDispatch]]-Table1[[#This Row],[QuickPayCharge]]</f>
        <v>29.4</v>
      </c>
      <c r="DB177" s="5">
        <v>0</v>
      </c>
      <c r="DC177" s="5" t="s">
        <v>1287</v>
      </c>
      <c r="DD177" s="104">
        <f t="shared" si="84"/>
        <v>42335</v>
      </c>
      <c r="DE177" s="15">
        <f>MONTH(Table1[[#This Row],[Weekending]])</f>
        <v>11</v>
      </c>
      <c r="DF177" s="15">
        <f>YEAR(Table1[[#This Row],[Weekending]])</f>
        <v>2015</v>
      </c>
      <c r="DG177" s="4"/>
    </row>
    <row r="178" spans="1:111">
      <c r="A178" s="20" t="str">
        <f t="shared" si="66"/>
        <v>03bd9349</v>
      </c>
      <c r="B178" s="146">
        <v>42338</v>
      </c>
      <c r="C178" s="144">
        <v>187258103</v>
      </c>
      <c r="D178" s="298" t="s">
        <v>111</v>
      </c>
      <c r="E178" s="298">
        <v>2</v>
      </c>
      <c r="F178" s="142" t="str">
        <f>INDEX(BrokerTBL!$B:$B,MATCH(D178,BrokerTBL!$A:$A,0))</f>
        <v>P.O. Box 3474</v>
      </c>
      <c r="G178" s="142" t="str">
        <f>INDEX(BrokerTBL!$C:$C,MATCH(D178,BrokerTBL!$A:$A,0))</f>
        <v>Chicago</v>
      </c>
      <c r="H178" s="142" t="str">
        <f>INDEX(BrokerTBL!$D:$D,MATCH(D178,BrokerTBL!$A:$A,0))</f>
        <v>Il</v>
      </c>
      <c r="I178" s="142" t="str">
        <f>INDEX(BrokerTBL!$E:$E,MATCH(D178,BrokerTBL!$A:$A,0))</f>
        <v>US</v>
      </c>
      <c r="J178" s="142">
        <f>INDEX(BrokerTBL!$F:$F,MATCH(D178,BrokerTBL!$A:$A,0))</f>
        <v>60654</v>
      </c>
      <c r="K178" s="298" t="s">
        <v>903</v>
      </c>
      <c r="L178" s="145" t="s">
        <v>1392</v>
      </c>
      <c r="M178" s="146">
        <v>42338</v>
      </c>
      <c r="N178" s="162" t="s">
        <v>136</v>
      </c>
      <c r="O178" s="298" t="s">
        <v>1393</v>
      </c>
      <c r="P178" s="298" t="s">
        <v>906</v>
      </c>
      <c r="Q178" s="298" t="s">
        <v>139</v>
      </c>
      <c r="R178" s="298">
        <v>95449</v>
      </c>
      <c r="S178" s="298" t="s">
        <v>118</v>
      </c>
      <c r="T178" s="298" t="s">
        <v>136</v>
      </c>
      <c r="U178" s="298" t="s">
        <v>120</v>
      </c>
      <c r="V178" s="298">
        <v>53</v>
      </c>
      <c r="W178" s="298" t="s">
        <v>376</v>
      </c>
      <c r="X178" s="185">
        <v>42056</v>
      </c>
      <c r="Y178" s="298" t="s">
        <v>26</v>
      </c>
      <c r="Z178" s="298">
        <v>1120</v>
      </c>
      <c r="AA178" s="298" t="s">
        <v>123</v>
      </c>
      <c r="AB178" s="298" t="s">
        <v>123</v>
      </c>
      <c r="AC178" s="298" t="s">
        <v>1394</v>
      </c>
      <c r="AD178" s="145" t="s">
        <v>1395</v>
      </c>
      <c r="AE178" s="146">
        <v>42339</v>
      </c>
      <c r="AF178" s="298" t="s">
        <v>369</v>
      </c>
      <c r="AG178" s="298" t="s">
        <v>1396</v>
      </c>
      <c r="AH178" s="298" t="s">
        <v>380</v>
      </c>
      <c r="AI178" s="298" t="s">
        <v>139</v>
      </c>
      <c r="AJ178" s="298">
        <v>95304</v>
      </c>
      <c r="AK178" s="298" t="s">
        <v>118</v>
      </c>
      <c r="AL178" s="298" t="s">
        <v>123</v>
      </c>
      <c r="AM178" s="142" t="str">
        <f>INDEX(CarrierDriverTBL!$B:$B,MATCH(Table1[[#This Row],[DriverID]],CarrierDriverTBL!$A:$A,0))</f>
        <v>UBTrucking</v>
      </c>
      <c r="AN178" s="10" t="s">
        <v>192</v>
      </c>
      <c r="AO178" s="10" t="str">
        <f>INDEX(CarrierDriverTBL!$C:$C,MATCH(Table1[[#This Row],[DriverID]],CarrierDriverTBL!$A:$A,0))</f>
        <v>Albel</v>
      </c>
      <c r="AP178" s="142" t="str">
        <f>INDEX(CarrierDriverTBL!$D:$D,MATCH(Table1[[#This Row],[DriverID]],CarrierDriverTBL!$A:$A,0))</f>
        <v>Chahil</v>
      </c>
      <c r="AQ178" s="142" t="str">
        <f>INDEX(CarrierDriverTBL!$X:$X,MATCH(Table1[[#This Row],[DriverID]],CarrierDriverTBL!$A:$A,0))</f>
        <v>A8390649</v>
      </c>
      <c r="AR178" s="160">
        <f>INDEX(CarrierDriverTBL!$Y:$Y,MATCH(Table1[[#This Row],[DriverID]],CarrierDriverTBL!$A:$A,0))</f>
        <v>42402</v>
      </c>
      <c r="AS178" s="142" t="str">
        <f t="shared" si="67"/>
        <v>GOOD</v>
      </c>
      <c r="AT178" s="160">
        <f>INDEX(CarrierDriverTBL!$E:$E,MATCH(Table1[[#This Row],[DriverID]],CarrierDriverTBL!$A:$A,0))</f>
        <v>22314</v>
      </c>
      <c r="AU178" s="163">
        <f ca="1">INDEX(CarrierDriverTBL!$F:$F,MATCH(Table1[[#This Row],[DriverID]],CarrierDriverTBL!$A:$A,0))</f>
        <v>55.512328767123286</v>
      </c>
      <c r="AV178" s="142" t="str">
        <f>INDEX(CarrierDriverTBL!$K:$K,MATCH(Table1[[#This Row],[DriverID]],CarrierDriverTBL!$A:$A,0))</f>
        <v>510-773-9450</v>
      </c>
      <c r="AW178" s="142" t="str">
        <f>INDEX(CarrierDriverTBL!$M:$M,MATCH(Table1[[#This Row],[DriverID]],CarrierDriverTBL!$A:$A,0))</f>
        <v>3124 Cynthia CT</v>
      </c>
      <c r="AX178" s="142" t="str">
        <f>INDEX(CarrierDriverTBL!$N:$N,MATCH(Table1[[#This Row],[DriverID]],CarrierDriverTBL!$A:$A,0))</f>
        <v>Tracy</v>
      </c>
      <c r="AY178" s="142" t="str">
        <f>INDEX(CarrierDriverTBL!$O:$O,MATCH(Table1[[#This Row],[DriverID]],CarrierDriverTBL!$A:$A,0))</f>
        <v>CA</v>
      </c>
      <c r="AZ178" s="142">
        <f>INDEX(CarrierDriverTBL!$P:$P,MATCH(Table1[[#This Row],[DriverID]],CarrierDriverTBL!$A:$A,0))</f>
        <v>95377</v>
      </c>
      <c r="BA178" s="142" t="str">
        <f>INDEX(CarrierDriverTBL!$Q:$Q,MATCH(Table1[[#This Row],[DriverID]],CarrierDriverTBL!$A:$A,0))</f>
        <v>US</v>
      </c>
      <c r="BB178" s="176" t="str">
        <f>INDEX(CarrierDriverTBL!$R:$R,MATCH(Table1[[#This Row],[DriverID]],CarrierDriverTBL!$A:$A,0))</f>
        <v>ubgollc@gmail.com</v>
      </c>
      <c r="BC178" s="160">
        <f>INDEX(CarrierDriverTBL!$AB:$AB,MATCH(Table1[[#This Row],[DriverID]],CarrierDriverTBL!$A:$A,0))</f>
        <v>42167</v>
      </c>
      <c r="BD178" s="142" t="str">
        <f ca="1">INDEX(CarrierDriverTBL!$AD:$AD,MATCH(LoadMaster!$AN:$AN,CarrierDriverTBL!$A:$A,0))</f>
        <v>MISSING</v>
      </c>
      <c r="BE178" s="142">
        <f>INDEX(CarrierDriverTBL!$AE:$AE,MATCH(Table1[DriverID],CarrierDriverTBL!$A:$A,0))</f>
        <v>913971</v>
      </c>
      <c r="BF178" s="142">
        <f>INDEX(CarrierDriverTBL!$AF:$AF,MATCH(Table1[DriverID],CarrierDriverTBL!$A:$A,0))</f>
        <v>2627544</v>
      </c>
      <c r="BG178" s="142">
        <f>INDEX(CarrierDriverTBL!$AG:$AG,MATCH(Table1[DriverID],CarrierDriverTBL!$A:$A,0))</f>
        <v>466133</v>
      </c>
      <c r="BH178" s="142" t="str">
        <f>INDEX(CarrierDriverTBL!$AH:$AH,MATCH(Table1[DriverID],CarrierDriverTBL!$A:$A,0))</f>
        <v>GM Lawrence Ins</v>
      </c>
      <c r="BI178" s="142" t="str">
        <f>INDEX(CarrierDriverTBL!$AI:$AI,MATCH(Table1[DriverID],CarrierDriverTBL!$A:$A,0))</f>
        <v>DSK2842P160210</v>
      </c>
      <c r="BJ178" s="160">
        <f>INDEX(CarrierDriverTBL!$AJ:$AJ,MATCH(Table1[[#This Row],[DriverID]],CarrierDriverTBL!$A:$A,0))</f>
        <v>42778</v>
      </c>
      <c r="BK178" s="10">
        <f t="shared" si="68"/>
        <v>440</v>
      </c>
      <c r="BL178" s="174">
        <v>600</v>
      </c>
      <c r="BM178" s="144">
        <v>153</v>
      </c>
      <c r="BN178" s="159">
        <f t="shared" si="91"/>
        <v>3.9215686274509802</v>
      </c>
      <c r="BO178" s="167">
        <v>550</v>
      </c>
      <c r="BP178" s="159">
        <f t="shared" si="92"/>
        <v>3.5947712418300655</v>
      </c>
      <c r="BQ178" s="133">
        <v>2.7989999999999999</v>
      </c>
      <c r="BR178" s="166">
        <f t="shared" si="89"/>
        <v>0.14983333333333335</v>
      </c>
      <c r="BS178" s="167">
        <f t="shared" si="69"/>
        <v>3.444937908496732</v>
      </c>
      <c r="BT178" s="159">
        <f t="shared" si="70"/>
        <v>22.924500000000002</v>
      </c>
      <c r="BU178" s="10" t="str">
        <f t="shared" si="71"/>
        <v>Ch Robinson</v>
      </c>
      <c r="BV178" s="4"/>
      <c r="BW178" s="4" t="str">
        <f>Table1[[#This Row],[BrokerAddress]]</f>
        <v>P.O. Box 3474</v>
      </c>
      <c r="BX178" s="4" t="str">
        <f t="shared" si="72"/>
        <v>Chicago</v>
      </c>
      <c r="BY178" s="4" t="str">
        <f t="shared" si="73"/>
        <v>Il</v>
      </c>
      <c r="BZ178" s="4">
        <f t="shared" si="74"/>
        <v>60654</v>
      </c>
      <c r="CA178" s="10" t="str">
        <f t="shared" si="75"/>
        <v>US</v>
      </c>
      <c r="CB178" s="15" t="s">
        <v>131</v>
      </c>
      <c r="CC178" s="62"/>
      <c r="CD178" s="15" t="s">
        <v>149</v>
      </c>
      <c r="CE178" s="64">
        <v>61</v>
      </c>
      <c r="CF178" s="4">
        <v>1</v>
      </c>
      <c r="CG178" s="132">
        <f t="shared" si="76"/>
        <v>61</v>
      </c>
      <c r="CH178" s="4" t="s">
        <v>132</v>
      </c>
      <c r="CI178" s="5">
        <v>0</v>
      </c>
      <c r="CJ178" s="4">
        <v>0</v>
      </c>
      <c r="CK178" s="132">
        <f t="shared" si="77"/>
        <v>0</v>
      </c>
      <c r="CL178" s="4" t="s">
        <v>132</v>
      </c>
      <c r="CM178" s="5">
        <v>0</v>
      </c>
      <c r="CN178" s="4">
        <v>0</v>
      </c>
      <c r="CO178" s="132">
        <f t="shared" si="78"/>
        <v>0</v>
      </c>
      <c r="CP178" s="4" t="s">
        <v>132</v>
      </c>
      <c r="CQ178" s="5">
        <v>0</v>
      </c>
      <c r="CR178" s="4">
        <v>0</v>
      </c>
      <c r="CS178" s="132">
        <f t="shared" si="79"/>
        <v>0</v>
      </c>
      <c r="CT178" s="159">
        <f t="shared" si="80"/>
        <v>61</v>
      </c>
      <c r="CU178" s="168">
        <f t="shared" si="81"/>
        <v>661</v>
      </c>
      <c r="CV178" s="169">
        <f t="shared" si="90"/>
        <v>61</v>
      </c>
      <c r="CW178" s="82">
        <f t="shared" si="88"/>
        <v>611</v>
      </c>
      <c r="CX178" s="79">
        <f>IF(ISBLANK(E178),"AddQuickPay",IF(E178=2,CU178*0.98,IF(E178=2.4,CU178*0.976,IF(E178=3,CU178*0.97,IF(E178=5,CU178*0.95,IF(E178=1.5,CU178*0.985,IF(E178=2.5,CU178*0.975,IF(E178=1.3,CU178*0.987,IF(E178=1,CU178*0.99,IF(E178=4,CU178*0.96,CU178*1))))))))))-Table1[[#This Row],[ComCheck+QuickPayFee]]</f>
        <v>647.78</v>
      </c>
      <c r="CY178" s="5">
        <f t="shared" si="82"/>
        <v>50</v>
      </c>
      <c r="CZ178" s="5">
        <f t="shared" si="83"/>
        <v>13.22</v>
      </c>
      <c r="DA178" s="258">
        <f>Table1[[#This Row],[OriginalDispatch]]-Table1[[#This Row],[QuickPayCharge]]</f>
        <v>36.78</v>
      </c>
      <c r="DB178" s="5">
        <v>0</v>
      </c>
      <c r="DC178" s="5" t="s">
        <v>1287</v>
      </c>
      <c r="DD178" s="104">
        <f t="shared" si="84"/>
        <v>42342</v>
      </c>
      <c r="DE178" s="15">
        <f>MONTH(Table1[[#This Row],[Weekending]])</f>
        <v>12</v>
      </c>
      <c r="DF178" s="15">
        <f>YEAR(Table1[[#This Row],[Weekending]])</f>
        <v>2015</v>
      </c>
      <c r="DG178" s="4"/>
    </row>
    <row r="179" spans="1:111">
      <c r="A179" s="20" t="str">
        <f t="shared" si="66"/>
        <v>57484888</v>
      </c>
      <c r="B179" s="146">
        <v>42338</v>
      </c>
      <c r="C179" s="144">
        <v>186992957</v>
      </c>
      <c r="D179" s="298" t="s">
        <v>111</v>
      </c>
      <c r="E179" s="298">
        <v>2</v>
      </c>
      <c r="F179" s="142" t="str">
        <f>INDEX(BrokerTBL!$B:$B,MATCH(D179,BrokerTBL!$A:$A,0))</f>
        <v>P.O. Box 3474</v>
      </c>
      <c r="G179" s="142" t="str">
        <f>INDEX(BrokerTBL!$C:$C,MATCH(D179,BrokerTBL!$A:$A,0))</f>
        <v>Chicago</v>
      </c>
      <c r="H179" s="142" t="str">
        <f>INDEX(BrokerTBL!$D:$D,MATCH(D179,BrokerTBL!$A:$A,0))</f>
        <v>Il</v>
      </c>
      <c r="I179" s="142" t="str">
        <f>INDEX(BrokerTBL!$E:$E,MATCH(D179,BrokerTBL!$A:$A,0))</f>
        <v>US</v>
      </c>
      <c r="J179" s="142">
        <f>INDEX(BrokerTBL!$F:$F,MATCH(D179,BrokerTBL!$A:$A,0))</f>
        <v>60654</v>
      </c>
      <c r="K179" s="298" t="s">
        <v>1397</v>
      </c>
      <c r="L179" s="145">
        <v>47748</v>
      </c>
      <c r="M179" s="146">
        <v>42338</v>
      </c>
      <c r="N179" s="144" t="s">
        <v>1398</v>
      </c>
      <c r="O179" s="298" t="s">
        <v>1399</v>
      </c>
      <c r="P179" s="298" t="s">
        <v>366</v>
      </c>
      <c r="Q179" s="298" t="s">
        <v>139</v>
      </c>
      <c r="R179" s="298">
        <v>95776</v>
      </c>
      <c r="S179" s="298" t="s">
        <v>118</v>
      </c>
      <c r="T179" s="298" t="s">
        <v>136</v>
      </c>
      <c r="U179" s="298" t="s">
        <v>120</v>
      </c>
      <c r="V179" s="298">
        <v>53</v>
      </c>
      <c r="W179" s="298" t="s">
        <v>1400</v>
      </c>
      <c r="X179" s="144">
        <v>42000</v>
      </c>
      <c r="Y179" s="298" t="s">
        <v>26</v>
      </c>
      <c r="Z179" s="298">
        <v>0</v>
      </c>
      <c r="AA179" s="298">
        <v>20</v>
      </c>
      <c r="AB179" s="298" t="s">
        <v>123</v>
      </c>
      <c r="AC179" s="298" t="s">
        <v>718</v>
      </c>
      <c r="AD179" s="145">
        <v>47748</v>
      </c>
      <c r="AE179" s="146">
        <v>42339</v>
      </c>
      <c r="AF179" s="298" t="s">
        <v>1401</v>
      </c>
      <c r="AG179" s="298" t="s">
        <v>719</v>
      </c>
      <c r="AH179" s="298" t="s">
        <v>263</v>
      </c>
      <c r="AI179" s="298" t="s">
        <v>264</v>
      </c>
      <c r="AJ179" s="298">
        <v>89434</v>
      </c>
      <c r="AK179" s="298" t="s">
        <v>118</v>
      </c>
      <c r="AL179" s="298" t="s">
        <v>123</v>
      </c>
      <c r="AM179" s="142" t="str">
        <f>INDEX(CarrierDriverTBL!$B:$B,MATCH(Table1[[#This Row],[DriverID]],CarrierDriverTBL!$A:$A,0))</f>
        <v>UBTrucking</v>
      </c>
      <c r="AN179" s="10" t="s">
        <v>948</v>
      </c>
      <c r="AO179" s="10" t="str">
        <f>INDEX(CarrierDriverTBL!$C:$C,MATCH(Table1[[#This Row],[DriverID]],CarrierDriverTBL!$A:$A,0))</f>
        <v>Wesley</v>
      </c>
      <c r="AP179" s="10" t="str">
        <f>INDEX(CarrierDriverTBL!$D:$D,MATCH(Table1[[#This Row],[DriverID]],CarrierDriverTBL!$A:$A,0))</f>
        <v>Cousain</v>
      </c>
      <c r="AQ179" s="10" t="str">
        <f>INDEX(CarrierDriverTBL!$X:$X,MATCH(Table1[[#This Row],[DriverID]],CarrierDriverTBL!$A:$A,0))</f>
        <v>D4903588</v>
      </c>
      <c r="AR179" s="11">
        <f>INDEX(CarrierDriverTBL!$Y:$Y,MATCH(Table1[[#This Row],[DriverID]],CarrierDriverTBL!$A:$A,0))</f>
        <v>43458</v>
      </c>
      <c r="AS179" s="142" t="str">
        <f t="shared" si="67"/>
        <v>GOOD</v>
      </c>
      <c r="AT179" s="11">
        <f>INDEX(CarrierDriverTBL!$E:$E,MATCH(Table1[[#This Row],[DriverID]],CarrierDriverTBL!$A:$A,0))</f>
        <v>31405</v>
      </c>
      <c r="AU179" s="163">
        <f ca="1">INDEX(CarrierDriverTBL!$F:$F,MATCH(Table1[[#This Row],[DriverID]],CarrierDriverTBL!$A:$A,0))</f>
        <v>30.605479452054794</v>
      </c>
      <c r="AV179" s="10" t="str">
        <f>INDEX(CarrierDriverTBL!$K:$K,MATCH(Table1[[#This Row],[DriverID]],CarrierDriverTBL!$A:$A,0))</f>
        <v>925-383-5364</v>
      </c>
      <c r="AW179" s="10" t="str">
        <f>INDEX(CarrierDriverTBL!$M:$M,MATCH(Table1[[#This Row],[DriverID]],CarrierDriverTBL!$A:$A,0))</f>
        <v>110 Cordova Ln</v>
      </c>
      <c r="AX179" s="10" t="str">
        <f>INDEX(CarrierDriverTBL!$N:$N,MATCH(Table1[[#This Row],[DriverID]],CarrierDriverTBL!$A:$A,0))</f>
        <v>Stockton</v>
      </c>
      <c r="AY179" s="10" t="str">
        <f>INDEX(CarrierDriverTBL!$O:$O,MATCH(Table1[[#This Row],[DriverID]],CarrierDriverTBL!$A:$A,0))</f>
        <v>CA</v>
      </c>
      <c r="AZ179" s="10">
        <f>INDEX(CarrierDriverTBL!$P:$P,MATCH(Table1[[#This Row],[DriverID]],CarrierDriverTBL!$A:$A,0))</f>
        <v>95207</v>
      </c>
      <c r="BA179" s="10" t="str">
        <f>INDEX(CarrierDriverTBL!$Q:$Q,MATCH(Table1[[#This Row],[DriverID]],CarrierDriverTBL!$A:$A,0))</f>
        <v>US</v>
      </c>
      <c r="BB179" s="173" t="str">
        <f>INDEX(CarrierDriverTBL!$R:$R,MATCH(Table1[[#This Row],[DriverID]],CarrierDriverTBL!$A:$A,0))</f>
        <v>wesleycousain1@gmail.com</v>
      </c>
      <c r="BC179" s="160">
        <f>INDEX(CarrierDriverTBL!$AB:$AB,MATCH(Table1[[#This Row],[DriverID]],CarrierDriverTBL!$A:$A,0))</f>
        <v>42271</v>
      </c>
      <c r="BD179" s="142" t="str">
        <f ca="1">INDEX(CarrierDriverTBL!$AD:$AD,MATCH(LoadMaster!$AN:$AN,CarrierDriverTBL!$A:$A,0))</f>
        <v>MISSING</v>
      </c>
      <c r="BE179" s="142">
        <f>INDEX(CarrierDriverTBL!$AE:$AE,MATCH(Table1[DriverID],CarrierDriverTBL!$A:$A,0))</f>
        <v>913971</v>
      </c>
      <c r="BF179" s="142">
        <f>INDEX(CarrierDriverTBL!$AF:$AF,MATCH(Table1[DriverID],CarrierDriverTBL!$A:$A,0))</f>
        <v>2627544</v>
      </c>
      <c r="BG179" s="142">
        <f>INDEX(CarrierDriverTBL!$AG:$AG,MATCH(Table1[DriverID],CarrierDriverTBL!$A:$A,0))</f>
        <v>466133</v>
      </c>
      <c r="BH179" s="142" t="str">
        <f>INDEX(CarrierDriverTBL!$AH:$AH,MATCH(Table1[DriverID],CarrierDriverTBL!$A:$A,0))</f>
        <v>GM Lawrence Ins</v>
      </c>
      <c r="BI179" s="142" t="str">
        <f>INDEX(CarrierDriverTBL!$AI:$AI,MATCH(Table1[DriverID],CarrierDriverTBL!$A:$A,0))</f>
        <v>DSK2842P160210</v>
      </c>
      <c r="BJ179" s="160">
        <f>INDEX(CarrierDriverTBL!$AJ:$AJ,MATCH(Table1[[#This Row],[DriverID]],CarrierDriverTBL!$A:$A,0))</f>
        <v>42778</v>
      </c>
      <c r="BK179" s="10">
        <f t="shared" si="68"/>
        <v>440</v>
      </c>
      <c r="BL179" s="174">
        <v>600</v>
      </c>
      <c r="BM179" s="144">
        <v>152</v>
      </c>
      <c r="BN179" s="159">
        <f t="shared" si="91"/>
        <v>3.9473684210526314</v>
      </c>
      <c r="BO179" s="167">
        <f>0.93*600</f>
        <v>558</v>
      </c>
      <c r="BP179" s="159">
        <f t="shared" si="92"/>
        <v>3.6710526315789473</v>
      </c>
      <c r="BQ179" s="133">
        <v>2.7989999999999999</v>
      </c>
      <c r="BR179" s="166">
        <f t="shared" si="89"/>
        <v>0.14983333333333335</v>
      </c>
      <c r="BS179" s="167">
        <f t="shared" si="69"/>
        <v>3.5212192982456139</v>
      </c>
      <c r="BT179" s="159">
        <f t="shared" si="70"/>
        <v>22.774666666666668</v>
      </c>
      <c r="BU179" s="10" t="str">
        <f t="shared" si="71"/>
        <v>Ch Robinson</v>
      </c>
      <c r="BV179" s="4"/>
      <c r="BW179" s="4" t="str">
        <f>Table1[[#This Row],[BrokerAddress]]</f>
        <v>P.O. Box 3474</v>
      </c>
      <c r="BX179" s="4" t="str">
        <f t="shared" si="72"/>
        <v>Chicago</v>
      </c>
      <c r="BY179" s="4" t="str">
        <f t="shared" si="73"/>
        <v>Il</v>
      </c>
      <c r="BZ179" s="4">
        <f t="shared" si="74"/>
        <v>60654</v>
      </c>
      <c r="CA179" s="10" t="str">
        <f t="shared" si="75"/>
        <v>US</v>
      </c>
      <c r="CB179" s="15" t="s">
        <v>131</v>
      </c>
      <c r="CC179" s="62"/>
      <c r="CD179" s="15" t="s">
        <v>132</v>
      </c>
      <c r="CE179" s="64">
        <v>0</v>
      </c>
      <c r="CF179" s="4">
        <v>0</v>
      </c>
      <c r="CG179" s="132">
        <f t="shared" si="76"/>
        <v>0</v>
      </c>
      <c r="CH179" s="4" t="s">
        <v>132</v>
      </c>
      <c r="CI179" s="5">
        <v>0</v>
      </c>
      <c r="CJ179" s="4">
        <v>0</v>
      </c>
      <c r="CK179" s="132">
        <f t="shared" si="77"/>
        <v>0</v>
      </c>
      <c r="CL179" s="4" t="s">
        <v>132</v>
      </c>
      <c r="CM179" s="5">
        <v>0</v>
      </c>
      <c r="CN179" s="4">
        <v>0</v>
      </c>
      <c r="CO179" s="132">
        <f t="shared" si="78"/>
        <v>0</v>
      </c>
      <c r="CP179" s="4" t="s">
        <v>132</v>
      </c>
      <c r="CQ179" s="5">
        <v>0</v>
      </c>
      <c r="CR179" s="4">
        <v>0</v>
      </c>
      <c r="CS179" s="132">
        <f t="shared" si="79"/>
        <v>0</v>
      </c>
      <c r="CT179" s="159">
        <f t="shared" si="80"/>
        <v>0</v>
      </c>
      <c r="CU179" s="168">
        <f t="shared" si="81"/>
        <v>600</v>
      </c>
      <c r="CV179" s="169">
        <f t="shared" si="90"/>
        <v>0</v>
      </c>
      <c r="CW179" s="82">
        <f t="shared" si="88"/>
        <v>558</v>
      </c>
      <c r="CX179" s="79">
        <f>IF(ISBLANK(E179),"AddQuickPay",IF(E179=2,CU179*0.98,IF(E179=2.4,CU179*0.976,IF(E179=3,CU179*0.97,IF(E179=5,CU179*0.95,IF(E179=1.5,CU179*0.985,IF(E179=2.5,CU179*0.975,IF(E179=1.3,CU179*0.987,IF(E179=1,CU179*0.99,IF(E179=4,CU179*0.96,CU179*1))))))))))-Table1[[#This Row],[ComCheck+QuickPayFee]]</f>
        <v>588</v>
      </c>
      <c r="CY179" s="5">
        <f t="shared" si="82"/>
        <v>42</v>
      </c>
      <c r="CZ179" s="5">
        <f t="shared" si="83"/>
        <v>12</v>
      </c>
      <c r="DA179" s="258">
        <f>Table1[[#This Row],[OriginalDispatch]]-Table1[[#This Row],[QuickPayCharge]]</f>
        <v>30</v>
      </c>
      <c r="DB179" s="5">
        <v>0</v>
      </c>
      <c r="DC179" s="5" t="s">
        <v>1287</v>
      </c>
      <c r="DD179" s="104">
        <f t="shared" si="84"/>
        <v>42342</v>
      </c>
      <c r="DE179" s="15">
        <f>MONTH(Table1[[#This Row],[Weekending]])</f>
        <v>12</v>
      </c>
      <c r="DF179" s="15">
        <f>YEAR(Table1[[#This Row],[Weekending]])</f>
        <v>2015</v>
      </c>
      <c r="DG179" s="4"/>
    </row>
    <row r="180" spans="1:111">
      <c r="A180" s="20" t="str">
        <f t="shared" si="66"/>
        <v>72313119</v>
      </c>
      <c r="B180" s="146">
        <v>42338</v>
      </c>
      <c r="C180" s="144">
        <v>186955072</v>
      </c>
      <c r="D180" s="298" t="s">
        <v>111</v>
      </c>
      <c r="E180" s="298">
        <v>2</v>
      </c>
      <c r="F180" s="142" t="str">
        <f>INDEX(BrokerTBL!$B:$B,MATCH(D180,BrokerTBL!$A:$A,0))</f>
        <v>P.O. Box 3474</v>
      </c>
      <c r="G180" s="142" t="str">
        <f>INDEX(BrokerTBL!$C:$C,MATCH(D180,BrokerTBL!$A:$A,0))</f>
        <v>Chicago</v>
      </c>
      <c r="H180" s="142" t="str">
        <f>INDEX(BrokerTBL!$D:$D,MATCH(D180,BrokerTBL!$A:$A,0))</f>
        <v>Il</v>
      </c>
      <c r="I180" s="142" t="str">
        <f>INDEX(BrokerTBL!$E:$E,MATCH(D180,BrokerTBL!$A:$A,0))</f>
        <v>US</v>
      </c>
      <c r="J180" s="142">
        <f>INDEX(BrokerTBL!$F:$F,MATCH(D180,BrokerTBL!$A:$A,0))</f>
        <v>60654</v>
      </c>
      <c r="K180" s="298" t="s">
        <v>1402</v>
      </c>
      <c r="L180" s="145" t="s">
        <v>1403</v>
      </c>
      <c r="M180" s="146">
        <v>42338</v>
      </c>
      <c r="N180" s="144" t="s">
        <v>1404</v>
      </c>
      <c r="O180" s="298" t="s">
        <v>1405</v>
      </c>
      <c r="P180" s="298" t="s">
        <v>160</v>
      </c>
      <c r="Q180" s="298" t="s">
        <v>139</v>
      </c>
      <c r="R180" s="298">
        <v>94533</v>
      </c>
      <c r="S180" s="298" t="s">
        <v>118</v>
      </c>
      <c r="T180" s="298" t="s">
        <v>136</v>
      </c>
      <c r="U180" s="298" t="s">
        <v>120</v>
      </c>
      <c r="V180" s="298">
        <v>53</v>
      </c>
      <c r="W180" s="298" t="s">
        <v>1406</v>
      </c>
      <c r="X180" s="144">
        <v>8347</v>
      </c>
      <c r="Y180" s="298" t="s">
        <v>26</v>
      </c>
      <c r="Z180" s="298">
        <v>17</v>
      </c>
      <c r="AA180" s="298">
        <v>17</v>
      </c>
      <c r="AB180" s="298" t="s">
        <v>123</v>
      </c>
      <c r="AC180" s="298" t="s">
        <v>1407</v>
      </c>
      <c r="AD180" s="145" t="s">
        <v>1403</v>
      </c>
      <c r="AE180" s="146">
        <v>42339</v>
      </c>
      <c r="AF180" s="416" t="s">
        <v>123</v>
      </c>
      <c r="AG180" s="298" t="s">
        <v>1408</v>
      </c>
      <c r="AH180" s="298" t="s">
        <v>738</v>
      </c>
      <c r="AI180" s="298" t="s">
        <v>139</v>
      </c>
      <c r="AJ180" s="298">
        <v>89521</v>
      </c>
      <c r="AK180" s="298" t="s">
        <v>118</v>
      </c>
      <c r="AL180" s="298" t="s">
        <v>123</v>
      </c>
      <c r="AM180" s="142" t="str">
        <f>INDEX(CarrierDriverTBL!$B:$B,MATCH(Table1[[#This Row],[DriverID]],CarrierDriverTBL!$A:$A,0))</f>
        <v>UBTrucking</v>
      </c>
      <c r="AN180" s="10" t="s">
        <v>1409</v>
      </c>
      <c r="AO180" s="298" t="str">
        <f>INDEX(CarrierDriverTBL!$C:$C,MATCH(Table1[[#This Row],[DriverID]],CarrierDriverTBL!$A:$A,0))</f>
        <v>Miguel Jaime</v>
      </c>
      <c r="AP180" s="298" t="str">
        <f>INDEX(CarrierDriverTBL!$D:$D,MATCH(Table1[[#This Row],[DriverID]],CarrierDriverTBL!$A:$A,0))</f>
        <v>Martin Del Campo Velarca</v>
      </c>
      <c r="AQ180" s="142" t="str">
        <f>INDEX(CarrierDriverTBL!$X:$X,MATCH(Table1[[#This Row],[DriverID]],CarrierDriverTBL!$A:$A,0))</f>
        <v>D5179619</v>
      </c>
      <c r="AR180" s="160">
        <f>INDEX(CarrierDriverTBL!$Y:$Y,MATCH(Table1[[#This Row],[DriverID]],CarrierDriverTBL!$A:$A,0))</f>
        <v>43843</v>
      </c>
      <c r="AS180" s="142" t="str">
        <f t="shared" si="67"/>
        <v>GOOD</v>
      </c>
      <c r="AT180" s="146">
        <f>INDEX(CarrierDriverTBL!$E:$E,MATCH(Table1[[#This Row],[DriverID]],CarrierDriverTBL!$A:$A,0))</f>
        <v>21198</v>
      </c>
      <c r="AU180" s="163">
        <f ca="1">INDEX(CarrierDriverTBL!$F:$F,MATCH(Table1[[#This Row],[DriverID]],CarrierDriverTBL!$A:$A,0))</f>
        <v>58.56986301369863</v>
      </c>
      <c r="AV180" s="298" t="str">
        <f>INDEX(CarrierDriverTBL!$K:$K,MATCH(Table1[[#This Row],[DriverID]],CarrierDriverTBL!$A:$A,0))</f>
        <v>209-322-5231</v>
      </c>
      <c r="AW180" s="298" t="str">
        <f>INDEX(CarrierDriverTBL!$M:$M,MATCH(Table1[[#This Row],[DriverID]],CarrierDriverTBL!$A:$A,0))</f>
        <v>572 Predersen RD</v>
      </c>
      <c r="AX180" s="298" t="str">
        <f>INDEX(CarrierDriverTBL!$N:$N,MATCH(Table1[[#This Row],[DriverID]],CarrierDriverTBL!$A:$A,0))</f>
        <v>Oakdale</v>
      </c>
      <c r="AY180" s="142" t="str">
        <f>INDEX(CarrierDriverTBL!$O:$O,MATCH(Table1[[#This Row],[DriverID]],CarrierDriverTBL!$A:$A,0))</f>
        <v>CA</v>
      </c>
      <c r="AZ180" s="298">
        <f>INDEX(CarrierDriverTBL!$P:$P,MATCH(Table1[[#This Row],[DriverID]],CarrierDriverTBL!$A:$A,0))</f>
        <v>95361</v>
      </c>
      <c r="BA180" s="298" t="str">
        <f>INDEX(CarrierDriverTBL!$Q:$Q,MATCH(Table1[[#This Row],[DriverID]],CarrierDriverTBL!$A:$A,0))</f>
        <v>US</v>
      </c>
      <c r="BB180" s="176" t="str">
        <f>INDEX(CarrierDriverTBL!$R:$R,MATCH(Table1[[#This Row],[DriverID]],CarrierDriverTBL!$A:$A,0))</f>
        <v>Miguelmartin52@yahoo.com</v>
      </c>
      <c r="BC180" s="160">
        <f>INDEX(CarrierDriverTBL!$AB:$AB,MATCH(Table1[[#This Row],[DriverID]],CarrierDriverTBL!$A:$A,0))</f>
        <v>42334</v>
      </c>
      <c r="BD180" s="142" t="str">
        <f ca="1">INDEX(CarrierDriverTBL!$AD:$AD,MATCH(LoadMaster!$AN:$AN,CarrierDriverTBL!$A:$A,0))</f>
        <v>MISSING</v>
      </c>
      <c r="BE180" s="142">
        <f>INDEX(CarrierDriverTBL!$AE:$AE,MATCH(Table1[DriverID],CarrierDriverTBL!$A:$A,0))</f>
        <v>913971</v>
      </c>
      <c r="BF180" s="142">
        <f>INDEX(CarrierDriverTBL!$AF:$AF,MATCH(Table1[DriverID],CarrierDriverTBL!$A:$A,0))</f>
        <v>2627544</v>
      </c>
      <c r="BG180" s="142">
        <f>INDEX(CarrierDriverTBL!$AG:$AG,MATCH(Table1[DriverID],CarrierDriverTBL!$A:$A,0))</f>
        <v>466133</v>
      </c>
      <c r="BH180" s="142" t="str">
        <f>INDEX(CarrierDriverTBL!$AH:$AH,MATCH(Table1[DriverID],CarrierDriverTBL!$A:$A,0))</f>
        <v>GM Lawrence Ins</v>
      </c>
      <c r="BI180" s="142" t="str">
        <f>INDEX(CarrierDriverTBL!$AI:$AI,MATCH(Table1[DriverID],CarrierDriverTBL!$A:$A,0))</f>
        <v>DSK2842P160210</v>
      </c>
      <c r="BJ180" s="160">
        <f>INDEX(CarrierDriverTBL!$AJ:$AJ,MATCH(Table1[[#This Row],[DriverID]],CarrierDriverTBL!$A:$A,0))</f>
        <v>42778</v>
      </c>
      <c r="BK180" s="10">
        <f t="shared" si="68"/>
        <v>440</v>
      </c>
      <c r="BL180" s="174">
        <v>775</v>
      </c>
      <c r="BM180" s="144">
        <v>200</v>
      </c>
      <c r="BN180" s="159">
        <f t="shared" si="91"/>
        <v>3.875</v>
      </c>
      <c r="BO180" s="167">
        <f>0.93*775</f>
        <v>720.75</v>
      </c>
      <c r="BP180" s="159">
        <f t="shared" si="92"/>
        <v>3.6037499999999998</v>
      </c>
      <c r="BQ180" s="133">
        <v>2.7989999999999999</v>
      </c>
      <c r="BR180" s="166">
        <f t="shared" si="89"/>
        <v>0.14983333333333335</v>
      </c>
      <c r="BS180" s="167">
        <f t="shared" si="69"/>
        <v>3.4539166666666663</v>
      </c>
      <c r="BT180" s="159">
        <f t="shared" si="70"/>
        <v>29.966666666666669</v>
      </c>
      <c r="BU180" s="10" t="str">
        <f t="shared" si="71"/>
        <v>Ch Robinson</v>
      </c>
      <c r="BV180" s="4"/>
      <c r="BW180" s="4" t="str">
        <f>Table1[[#This Row],[BrokerAddress]]</f>
        <v>P.O. Box 3474</v>
      </c>
      <c r="BX180" s="4" t="str">
        <f t="shared" si="72"/>
        <v>Chicago</v>
      </c>
      <c r="BY180" s="4" t="str">
        <f t="shared" si="73"/>
        <v>Il</v>
      </c>
      <c r="BZ180" s="4">
        <f t="shared" si="74"/>
        <v>60654</v>
      </c>
      <c r="CA180" s="10" t="str">
        <f t="shared" si="75"/>
        <v>US</v>
      </c>
      <c r="CB180" s="15" t="s">
        <v>131</v>
      </c>
      <c r="CC180" s="62"/>
      <c r="CD180" s="15" t="s">
        <v>132</v>
      </c>
      <c r="CE180" s="64">
        <v>0</v>
      </c>
      <c r="CF180" s="4">
        <v>0</v>
      </c>
      <c r="CG180" s="132">
        <f t="shared" si="76"/>
        <v>0</v>
      </c>
      <c r="CH180" s="4" t="s">
        <v>132</v>
      </c>
      <c r="CI180" s="5">
        <v>0</v>
      </c>
      <c r="CJ180" s="4">
        <v>0</v>
      </c>
      <c r="CK180" s="132">
        <f t="shared" si="77"/>
        <v>0</v>
      </c>
      <c r="CL180" s="4" t="s">
        <v>132</v>
      </c>
      <c r="CM180" s="5">
        <v>0</v>
      </c>
      <c r="CN180" s="4">
        <v>0</v>
      </c>
      <c r="CO180" s="132">
        <f t="shared" si="78"/>
        <v>0</v>
      </c>
      <c r="CP180" s="4" t="s">
        <v>132</v>
      </c>
      <c r="CQ180" s="5">
        <v>0</v>
      </c>
      <c r="CR180" s="4">
        <v>0</v>
      </c>
      <c r="CS180" s="132">
        <f t="shared" si="79"/>
        <v>0</v>
      </c>
      <c r="CT180" s="159">
        <f t="shared" si="80"/>
        <v>0</v>
      </c>
      <c r="CU180" s="168">
        <f t="shared" si="81"/>
        <v>775</v>
      </c>
      <c r="CV180" s="169">
        <f t="shared" si="90"/>
        <v>0</v>
      </c>
      <c r="CW180" s="82">
        <f t="shared" si="88"/>
        <v>720.75</v>
      </c>
      <c r="CX180" s="79">
        <f>IF(ISBLANK(E180),"AddQuickPay",IF(E180=2,CU180*0.98,IF(E180=2.4,CU180*0.976,IF(E180=3,CU180*0.97,IF(E180=5,CU180*0.95,IF(E180=1.5,CU180*0.985,IF(E180=2.5,CU180*0.975,IF(E180=1.3,CU180*0.987,IF(E180=1,CU180*0.99,IF(E180=4,CU180*0.96,CU180*1))))))))))-Table1[[#This Row],[ComCheck+QuickPayFee]]</f>
        <v>759.5</v>
      </c>
      <c r="CY180" s="5">
        <f t="shared" si="82"/>
        <v>54.25</v>
      </c>
      <c r="CZ180" s="5">
        <f t="shared" si="83"/>
        <v>15.5</v>
      </c>
      <c r="DA180" s="258">
        <f>Table1[[#This Row],[OriginalDispatch]]-Table1[[#This Row],[QuickPayCharge]]</f>
        <v>38.75</v>
      </c>
      <c r="DB180" s="5">
        <v>0</v>
      </c>
      <c r="DC180" s="5" t="s">
        <v>1287</v>
      </c>
      <c r="DD180" s="104">
        <f t="shared" si="84"/>
        <v>42342</v>
      </c>
      <c r="DE180" s="15">
        <f>MONTH(Table1[[#This Row],[Weekending]])</f>
        <v>12</v>
      </c>
      <c r="DF180" s="15">
        <f>YEAR(Table1[[#This Row],[Weekending]])</f>
        <v>2015</v>
      </c>
      <c r="DG180" s="4"/>
    </row>
    <row r="181" spans="1:111" ht="30">
      <c r="A181" s="20" t="str">
        <f t="shared" si="66"/>
        <v>79nkng49</v>
      </c>
      <c r="B181" s="146">
        <v>42339</v>
      </c>
      <c r="C181" s="144">
        <v>187317879</v>
      </c>
      <c r="D181" s="298" t="s">
        <v>111</v>
      </c>
      <c r="E181" s="298">
        <v>2</v>
      </c>
      <c r="F181" s="142" t="str">
        <f>INDEX(BrokerTBL!$B:$B,MATCH(D181,BrokerTBL!$A:$A,0))</f>
        <v>P.O. Box 3474</v>
      </c>
      <c r="G181" s="142" t="str">
        <f>INDEX(BrokerTBL!$C:$C,MATCH(D181,BrokerTBL!$A:$A,0))</f>
        <v>Chicago</v>
      </c>
      <c r="H181" s="142" t="str">
        <f>INDEX(BrokerTBL!$D:$D,MATCH(D181,BrokerTBL!$A:$A,0))</f>
        <v>Il</v>
      </c>
      <c r="I181" s="142" t="str">
        <f>INDEX(BrokerTBL!$E:$E,MATCH(D181,BrokerTBL!$A:$A,0))</f>
        <v>US</v>
      </c>
      <c r="J181" s="142">
        <f>INDEX(BrokerTBL!$F:$F,MATCH(D181,BrokerTBL!$A:$A,0))</f>
        <v>60654</v>
      </c>
      <c r="K181" s="298" t="s">
        <v>1282</v>
      </c>
      <c r="L181" s="145" t="s">
        <v>1179</v>
      </c>
      <c r="M181" s="146">
        <v>42339</v>
      </c>
      <c r="N181" s="162" t="s">
        <v>136</v>
      </c>
      <c r="O181" s="298" t="s">
        <v>943</v>
      </c>
      <c r="P181" s="298" t="s">
        <v>366</v>
      </c>
      <c r="Q181" s="298" t="s">
        <v>139</v>
      </c>
      <c r="R181" s="298">
        <v>95776</v>
      </c>
      <c r="S181" s="298" t="s">
        <v>118</v>
      </c>
      <c r="T181" s="298" t="s">
        <v>136</v>
      </c>
      <c r="U181" s="298" t="s">
        <v>120</v>
      </c>
      <c r="V181" s="298">
        <v>53</v>
      </c>
      <c r="W181" s="298" t="s">
        <v>944</v>
      </c>
      <c r="X181" s="144">
        <v>30000</v>
      </c>
      <c r="Y181" s="298" t="s">
        <v>26</v>
      </c>
      <c r="Z181" s="298" t="s">
        <v>123</v>
      </c>
      <c r="AA181" s="298" t="s">
        <v>123</v>
      </c>
      <c r="AB181" s="298" t="s">
        <v>123</v>
      </c>
      <c r="AC181" s="187" t="s">
        <v>1410</v>
      </c>
      <c r="AD181" s="145" t="s">
        <v>1309</v>
      </c>
      <c r="AE181" s="146">
        <v>42339</v>
      </c>
      <c r="AF181" s="416" t="s">
        <v>123</v>
      </c>
      <c r="AG181" s="187" t="s">
        <v>1411</v>
      </c>
      <c r="AH181" s="187" t="s">
        <v>1412</v>
      </c>
      <c r="AI181" s="187" t="s">
        <v>1413</v>
      </c>
      <c r="AJ181" s="187" t="s">
        <v>1414</v>
      </c>
      <c r="AK181" s="298" t="s">
        <v>118</v>
      </c>
      <c r="AL181" s="298" t="s">
        <v>123</v>
      </c>
      <c r="AM181" s="142" t="str">
        <f>INDEX(CarrierDriverTBL!$B:$B,MATCH(Table1[[#This Row],[DriverID]],CarrierDriverTBL!$A:$A,0))</f>
        <v>UBTrucking</v>
      </c>
      <c r="AN181" s="10" t="s">
        <v>192</v>
      </c>
      <c r="AO181" s="10" t="str">
        <f>INDEX(CarrierDriverTBL!$C:$C,MATCH(Table1[[#This Row],[DriverID]],CarrierDriverTBL!$A:$A,0))</f>
        <v>Albel</v>
      </c>
      <c r="AP181" s="142" t="str">
        <f>INDEX(CarrierDriverTBL!$D:$D,MATCH(Table1[[#This Row],[DriverID]],CarrierDriverTBL!$A:$A,0))</f>
        <v>Chahil</v>
      </c>
      <c r="AQ181" s="142" t="str">
        <f>INDEX(CarrierDriverTBL!$X:$X,MATCH(Table1[[#This Row],[DriverID]],CarrierDriverTBL!$A:$A,0))</f>
        <v>A8390649</v>
      </c>
      <c r="AR181" s="160">
        <f>INDEX(CarrierDriverTBL!$Y:$Y,MATCH(Table1[[#This Row],[DriverID]],CarrierDriverTBL!$A:$A,0))</f>
        <v>42402</v>
      </c>
      <c r="AS181" s="142" t="str">
        <f t="shared" si="67"/>
        <v>GOOD</v>
      </c>
      <c r="AT181" s="160">
        <f>INDEX(CarrierDriverTBL!$E:$E,MATCH(Table1[[#This Row],[DriverID]],CarrierDriverTBL!$A:$A,0))</f>
        <v>22314</v>
      </c>
      <c r="AU181" s="163">
        <f ca="1">INDEX(CarrierDriverTBL!$F:$F,MATCH(Table1[[#This Row],[DriverID]],CarrierDriverTBL!$A:$A,0))</f>
        <v>55.512328767123286</v>
      </c>
      <c r="AV181" s="142" t="str">
        <f>INDEX(CarrierDriverTBL!$K:$K,MATCH(Table1[[#This Row],[DriverID]],CarrierDriverTBL!$A:$A,0))</f>
        <v>510-773-9450</v>
      </c>
      <c r="AW181" s="142" t="str">
        <f>INDEX(CarrierDriverTBL!$M:$M,MATCH(Table1[[#This Row],[DriverID]],CarrierDriverTBL!$A:$A,0))</f>
        <v>3124 Cynthia CT</v>
      </c>
      <c r="AX181" s="142" t="str">
        <f>INDEX(CarrierDriverTBL!$N:$N,MATCH(Table1[[#This Row],[DriverID]],CarrierDriverTBL!$A:$A,0))</f>
        <v>Tracy</v>
      </c>
      <c r="AY181" s="142" t="str">
        <f>INDEX(CarrierDriverTBL!$O:$O,MATCH(Table1[[#This Row],[DriverID]],CarrierDriverTBL!$A:$A,0))</f>
        <v>CA</v>
      </c>
      <c r="AZ181" s="142">
        <f>INDEX(CarrierDriverTBL!$P:$P,MATCH(Table1[[#This Row],[DriverID]],CarrierDriverTBL!$A:$A,0))</f>
        <v>95377</v>
      </c>
      <c r="BA181" s="142" t="str">
        <f>INDEX(CarrierDriverTBL!$Q:$Q,MATCH(Table1[[#This Row],[DriverID]],CarrierDriverTBL!$A:$A,0))</f>
        <v>US</v>
      </c>
      <c r="BB181" s="176" t="str">
        <f>INDEX(CarrierDriverTBL!$R:$R,MATCH(Table1[[#This Row],[DriverID]],CarrierDriverTBL!$A:$A,0))</f>
        <v>ubgollc@gmail.com</v>
      </c>
      <c r="BC181" s="160">
        <f>INDEX(CarrierDriverTBL!$AB:$AB,MATCH(Table1[[#This Row],[DriverID]],CarrierDriverTBL!$A:$A,0))</f>
        <v>42167</v>
      </c>
      <c r="BD181" s="142" t="str">
        <f ca="1">INDEX(CarrierDriverTBL!$AD:$AD,MATCH(LoadMaster!$AN:$AN,CarrierDriverTBL!$A:$A,0))</f>
        <v>MISSING</v>
      </c>
      <c r="BE181" s="142">
        <f>INDEX(CarrierDriverTBL!$AE:$AE,MATCH(Table1[DriverID],CarrierDriverTBL!$A:$A,0))</f>
        <v>913971</v>
      </c>
      <c r="BF181" s="142">
        <f>INDEX(CarrierDriverTBL!$AF:$AF,MATCH(Table1[DriverID],CarrierDriverTBL!$A:$A,0))</f>
        <v>2627544</v>
      </c>
      <c r="BG181" s="142">
        <f>INDEX(CarrierDriverTBL!$AG:$AG,MATCH(Table1[DriverID],CarrierDriverTBL!$A:$A,0))</f>
        <v>466133</v>
      </c>
      <c r="BH181" s="142" t="str">
        <f>INDEX(CarrierDriverTBL!$AH:$AH,MATCH(Table1[DriverID],CarrierDriverTBL!$A:$A,0))</f>
        <v>GM Lawrence Ins</v>
      </c>
      <c r="BI181" s="142" t="str">
        <f>INDEX(CarrierDriverTBL!$AI:$AI,MATCH(Table1[DriverID],CarrierDriverTBL!$A:$A,0))</f>
        <v>DSK2842P160210</v>
      </c>
      <c r="BJ181" s="160">
        <f>INDEX(CarrierDriverTBL!$AJ:$AJ,MATCH(Table1[[#This Row],[DriverID]],CarrierDriverTBL!$A:$A,0))</f>
        <v>42778</v>
      </c>
      <c r="BK181" s="10">
        <f t="shared" si="68"/>
        <v>439</v>
      </c>
      <c r="BL181" s="174">
        <v>750</v>
      </c>
      <c r="BM181" s="144">
        <v>323</v>
      </c>
      <c r="BN181" s="159">
        <f t="shared" si="91"/>
        <v>2.321981424148607</v>
      </c>
      <c r="BO181" s="167">
        <v>700</v>
      </c>
      <c r="BP181" s="159">
        <f t="shared" si="92"/>
        <v>2.1671826625386998</v>
      </c>
      <c r="BQ181" s="133">
        <v>2.7989999999999999</v>
      </c>
      <c r="BR181" s="166">
        <f t="shared" si="89"/>
        <v>0.14983333333333335</v>
      </c>
      <c r="BS181" s="167">
        <f t="shared" si="69"/>
        <v>2.0173493292053664</v>
      </c>
      <c r="BT181" s="159">
        <f t="shared" si="70"/>
        <v>48.396166666666673</v>
      </c>
      <c r="BU181" s="10" t="str">
        <f t="shared" si="71"/>
        <v>Ch Robinson</v>
      </c>
      <c r="BV181" s="4"/>
      <c r="BW181" s="4" t="str">
        <f>Table1[[#This Row],[BrokerAddress]]</f>
        <v>P.O. Box 3474</v>
      </c>
      <c r="BX181" s="4" t="str">
        <f t="shared" si="72"/>
        <v>Chicago</v>
      </c>
      <c r="BY181" s="4" t="str">
        <f t="shared" si="73"/>
        <v>Il</v>
      </c>
      <c r="BZ181" s="4">
        <f t="shared" si="74"/>
        <v>60654</v>
      </c>
      <c r="CA181" s="10" t="str">
        <f t="shared" si="75"/>
        <v>US</v>
      </c>
      <c r="CB181" s="15" t="s">
        <v>131</v>
      </c>
      <c r="CC181" s="62"/>
      <c r="CD181" s="15" t="s">
        <v>1415</v>
      </c>
      <c r="CE181" s="64">
        <v>100</v>
      </c>
      <c r="CF181" s="4">
        <v>1</v>
      </c>
      <c r="CG181" s="132">
        <f t="shared" si="76"/>
        <v>100</v>
      </c>
      <c r="CH181" s="4" t="s">
        <v>132</v>
      </c>
      <c r="CI181" s="5">
        <v>0</v>
      </c>
      <c r="CJ181" s="4">
        <v>0</v>
      </c>
      <c r="CK181" s="132">
        <f t="shared" si="77"/>
        <v>0</v>
      </c>
      <c r="CL181" s="4" t="s">
        <v>132</v>
      </c>
      <c r="CM181" s="5">
        <v>0</v>
      </c>
      <c r="CN181" s="4">
        <v>0</v>
      </c>
      <c r="CO181" s="132">
        <f t="shared" si="78"/>
        <v>0</v>
      </c>
      <c r="CP181" s="4" t="s">
        <v>132</v>
      </c>
      <c r="CQ181" s="5">
        <v>0</v>
      </c>
      <c r="CR181" s="4">
        <v>0</v>
      </c>
      <c r="CS181" s="132">
        <f t="shared" si="79"/>
        <v>0</v>
      </c>
      <c r="CT181" s="159">
        <f t="shared" si="80"/>
        <v>100</v>
      </c>
      <c r="CU181" s="168">
        <f t="shared" si="81"/>
        <v>850</v>
      </c>
      <c r="CV181" s="169">
        <f t="shared" si="90"/>
        <v>100</v>
      </c>
      <c r="CW181" s="82">
        <f t="shared" si="88"/>
        <v>800</v>
      </c>
      <c r="CX181" s="79">
        <f>IF(ISBLANK(E181),"AddQuickPay",IF(E181=2,CU181*0.98,IF(E181=2.4,CU181*0.976,IF(E181=3,CU181*0.97,IF(E181=5,CU181*0.95,IF(E181=1.5,CU181*0.985,IF(E181=2.5,CU181*0.975,IF(E181=1.3,CU181*0.987,IF(E181=1,CU181*0.99,IF(E181=4,CU181*0.96,CU181*1))))))))))-Table1[[#This Row],[ComCheck+QuickPayFee]]</f>
        <v>833</v>
      </c>
      <c r="CY181" s="5">
        <f t="shared" si="82"/>
        <v>50</v>
      </c>
      <c r="CZ181" s="5">
        <f t="shared" si="83"/>
        <v>17</v>
      </c>
      <c r="DA181" s="258">
        <f>Table1[[#This Row],[OriginalDispatch]]-Table1[[#This Row],[QuickPayCharge]]</f>
        <v>33</v>
      </c>
      <c r="DB181" s="5">
        <v>0</v>
      </c>
      <c r="DC181" s="5" t="s">
        <v>1287</v>
      </c>
      <c r="DD181" s="104">
        <f t="shared" si="84"/>
        <v>42342</v>
      </c>
      <c r="DE181" s="15">
        <f>MONTH(Table1[[#This Row],[Weekending]])</f>
        <v>12</v>
      </c>
      <c r="DF181" s="15">
        <f>YEAR(Table1[[#This Row],[Weekending]])</f>
        <v>2015</v>
      </c>
      <c r="DG181" s="4"/>
    </row>
    <row r="182" spans="1:111">
      <c r="A182" s="20" t="str">
        <f t="shared" si="66"/>
        <v>1575ne19</v>
      </c>
      <c r="B182" s="146">
        <v>42339</v>
      </c>
      <c r="C182" s="144">
        <v>187292015</v>
      </c>
      <c r="D182" s="298" t="s">
        <v>111</v>
      </c>
      <c r="E182" s="298">
        <v>2</v>
      </c>
      <c r="F182" s="142" t="str">
        <f>INDEX(BrokerTBL!$B:$B,MATCH(D182,BrokerTBL!$A:$A,0))</f>
        <v>P.O. Box 3474</v>
      </c>
      <c r="G182" s="142" t="str">
        <f>INDEX(BrokerTBL!$C:$C,MATCH(D182,BrokerTBL!$A:$A,0))</f>
        <v>Chicago</v>
      </c>
      <c r="H182" s="142" t="str">
        <f>INDEX(BrokerTBL!$D:$D,MATCH(D182,BrokerTBL!$A:$A,0))</f>
        <v>Il</v>
      </c>
      <c r="I182" s="142" t="str">
        <f>INDEX(BrokerTBL!$E:$E,MATCH(D182,BrokerTBL!$A:$A,0))</f>
        <v>US</v>
      </c>
      <c r="J182" s="142">
        <f>INDEX(BrokerTBL!$F:$F,MATCH(D182,BrokerTBL!$A:$A,0))</f>
        <v>60654</v>
      </c>
      <c r="K182" s="298" t="s">
        <v>1416</v>
      </c>
      <c r="L182" s="145" t="s">
        <v>1417</v>
      </c>
      <c r="M182" s="146">
        <v>42339</v>
      </c>
      <c r="N182" s="144" t="s">
        <v>1418</v>
      </c>
      <c r="O182" s="298" t="s">
        <v>1419</v>
      </c>
      <c r="P182" s="298" t="s">
        <v>1420</v>
      </c>
      <c r="Q182" s="298" t="s">
        <v>264</v>
      </c>
      <c r="R182" s="298">
        <v>89408</v>
      </c>
      <c r="S182" s="298" t="s">
        <v>118</v>
      </c>
      <c r="T182" s="298" t="s">
        <v>1421</v>
      </c>
      <c r="U182" s="298" t="s">
        <v>120</v>
      </c>
      <c r="V182" s="298">
        <v>53</v>
      </c>
      <c r="W182" s="298" t="s">
        <v>1422</v>
      </c>
      <c r="X182" s="185">
        <v>45000</v>
      </c>
      <c r="Y182" s="298" t="s">
        <v>26</v>
      </c>
      <c r="Z182" s="298" t="s">
        <v>123</v>
      </c>
      <c r="AA182" s="298" t="s">
        <v>123</v>
      </c>
      <c r="AB182" s="298" t="s">
        <v>123</v>
      </c>
      <c r="AC182" s="298" t="s">
        <v>1416</v>
      </c>
      <c r="AD182" s="145" t="s">
        <v>132</v>
      </c>
      <c r="AE182" s="146">
        <v>42340</v>
      </c>
      <c r="AF182" s="298" t="s">
        <v>1398</v>
      </c>
      <c r="AG182" s="298" t="s">
        <v>1423</v>
      </c>
      <c r="AH182" s="298" t="s">
        <v>689</v>
      </c>
      <c r="AI182" s="298" t="s">
        <v>139</v>
      </c>
      <c r="AJ182" s="298">
        <v>95691</v>
      </c>
      <c r="AK182" s="298" t="s">
        <v>118</v>
      </c>
      <c r="AL182" s="298" t="s">
        <v>1424</v>
      </c>
      <c r="AM182" s="142" t="str">
        <f>INDEX(CarrierDriverTBL!$B:$B,MATCH(Table1[[#This Row],[DriverID]],CarrierDriverTBL!$A:$A,0))</f>
        <v>UBTrucking</v>
      </c>
      <c r="AN182" s="10" t="s">
        <v>1409</v>
      </c>
      <c r="AO182" s="298" t="str">
        <f>INDEX(CarrierDriverTBL!$C:$C,MATCH(Table1[[#This Row],[DriverID]],CarrierDriverTBL!$A:$A,0))</f>
        <v>Miguel Jaime</v>
      </c>
      <c r="AP182" s="298" t="str">
        <f>INDEX(CarrierDriverTBL!$D:$D,MATCH(Table1[[#This Row],[DriverID]],CarrierDriverTBL!$A:$A,0))</f>
        <v>Martin Del Campo Velarca</v>
      </c>
      <c r="AQ182" s="142" t="str">
        <f>INDEX(CarrierDriverTBL!$X:$X,MATCH(Table1[[#This Row],[DriverID]],CarrierDriverTBL!$A:$A,0))</f>
        <v>D5179619</v>
      </c>
      <c r="AR182" s="160">
        <f>INDEX(CarrierDriverTBL!$Y:$Y,MATCH(Table1[[#This Row],[DriverID]],CarrierDriverTBL!$A:$A,0))</f>
        <v>43843</v>
      </c>
      <c r="AS182" s="142" t="str">
        <f t="shared" si="67"/>
        <v>GOOD</v>
      </c>
      <c r="AT182" s="146">
        <f>INDEX(CarrierDriverTBL!$E:$E,MATCH(Table1[[#This Row],[DriverID]],CarrierDriverTBL!$A:$A,0))</f>
        <v>21198</v>
      </c>
      <c r="AU182" s="163">
        <f ca="1">INDEX(CarrierDriverTBL!$F:$F,MATCH(Table1[[#This Row],[DriverID]],CarrierDriverTBL!$A:$A,0))</f>
        <v>58.56986301369863</v>
      </c>
      <c r="AV182" s="298" t="str">
        <f>INDEX(CarrierDriverTBL!$K:$K,MATCH(Table1[[#This Row],[DriverID]],CarrierDriverTBL!$A:$A,0))</f>
        <v>209-322-5231</v>
      </c>
      <c r="AW182" s="298" t="str">
        <f>INDEX(CarrierDriverTBL!$M:$M,MATCH(Table1[[#This Row],[DriverID]],CarrierDriverTBL!$A:$A,0))</f>
        <v>572 Predersen RD</v>
      </c>
      <c r="AX182" s="298" t="str">
        <f>INDEX(CarrierDriverTBL!$N:$N,MATCH(Table1[[#This Row],[DriverID]],CarrierDriverTBL!$A:$A,0))</f>
        <v>Oakdale</v>
      </c>
      <c r="AY182" s="142" t="str">
        <f>INDEX(CarrierDriverTBL!$O:$O,MATCH(Table1[[#This Row],[DriverID]],CarrierDriverTBL!$A:$A,0))</f>
        <v>CA</v>
      </c>
      <c r="AZ182" s="298">
        <f>INDEX(CarrierDriverTBL!$P:$P,MATCH(Table1[[#This Row],[DriverID]],CarrierDriverTBL!$A:$A,0))</f>
        <v>95361</v>
      </c>
      <c r="BA182" s="298" t="str">
        <f>INDEX(CarrierDriverTBL!$Q:$Q,MATCH(Table1[[#This Row],[DriverID]],CarrierDriverTBL!$A:$A,0))</f>
        <v>US</v>
      </c>
      <c r="BB182" s="176" t="str">
        <f>INDEX(CarrierDriverTBL!$R:$R,MATCH(Table1[[#This Row],[DriverID]],CarrierDriverTBL!$A:$A,0))</f>
        <v>Miguelmartin52@yahoo.com</v>
      </c>
      <c r="BC182" s="160">
        <f>INDEX(CarrierDriverTBL!$AB:$AB,MATCH(Table1[[#This Row],[DriverID]],CarrierDriverTBL!$A:$A,0))</f>
        <v>42334</v>
      </c>
      <c r="BD182" s="142" t="str">
        <f ca="1">INDEX(CarrierDriverTBL!$AD:$AD,MATCH(LoadMaster!$AN:$AN,CarrierDriverTBL!$A:$A,0))</f>
        <v>MISSING</v>
      </c>
      <c r="BE182" s="142">
        <f>INDEX(CarrierDriverTBL!$AE:$AE,MATCH(Table1[DriverID],CarrierDriverTBL!$A:$A,0))</f>
        <v>913971</v>
      </c>
      <c r="BF182" s="142">
        <f>INDEX(CarrierDriverTBL!$AF:$AF,MATCH(Table1[DriverID],CarrierDriverTBL!$A:$A,0))</f>
        <v>2627544</v>
      </c>
      <c r="BG182" s="142">
        <f>INDEX(CarrierDriverTBL!$AG:$AG,MATCH(Table1[DriverID],CarrierDriverTBL!$A:$A,0))</f>
        <v>466133</v>
      </c>
      <c r="BH182" s="142" t="str">
        <f>INDEX(CarrierDriverTBL!$AH:$AH,MATCH(Table1[DriverID],CarrierDriverTBL!$A:$A,0))</f>
        <v>GM Lawrence Ins</v>
      </c>
      <c r="BI182" s="142" t="str">
        <f>INDEX(CarrierDriverTBL!$AI:$AI,MATCH(Table1[DriverID],CarrierDriverTBL!$A:$A,0))</f>
        <v>DSK2842P160210</v>
      </c>
      <c r="BJ182" s="160">
        <f>INDEX(CarrierDriverTBL!$AJ:$AJ,MATCH(Table1[[#This Row],[DriverID]],CarrierDriverTBL!$A:$A,0))</f>
        <v>42778</v>
      </c>
      <c r="BK182" s="10">
        <f t="shared" si="68"/>
        <v>439</v>
      </c>
      <c r="BL182" s="174">
        <v>575</v>
      </c>
      <c r="BM182" s="144">
        <v>176</v>
      </c>
      <c r="BN182" s="159">
        <f t="shared" si="91"/>
        <v>3.2670454545454546</v>
      </c>
      <c r="BO182" s="167">
        <f>0.93*575</f>
        <v>534.75</v>
      </c>
      <c r="BP182" s="159">
        <f t="shared" si="92"/>
        <v>3.0383522727272729</v>
      </c>
      <c r="BQ182" s="133">
        <v>2.7989999999999999</v>
      </c>
      <c r="BR182" s="166">
        <f t="shared" si="89"/>
        <v>0.14983333333333335</v>
      </c>
      <c r="BS182" s="167">
        <f t="shared" si="69"/>
        <v>2.8885189393939394</v>
      </c>
      <c r="BT182" s="159">
        <f t="shared" si="70"/>
        <v>26.370666666666668</v>
      </c>
      <c r="BU182" s="10" t="str">
        <f t="shared" si="71"/>
        <v>Ch Robinson</v>
      </c>
      <c r="BV182" s="4"/>
      <c r="BW182" s="4" t="str">
        <f>Table1[[#This Row],[BrokerAddress]]</f>
        <v>P.O. Box 3474</v>
      </c>
      <c r="BX182" s="4" t="str">
        <f t="shared" si="72"/>
        <v>Chicago</v>
      </c>
      <c r="BY182" s="4" t="str">
        <f t="shared" si="73"/>
        <v>Il</v>
      </c>
      <c r="BZ182" s="4">
        <f t="shared" si="74"/>
        <v>60654</v>
      </c>
      <c r="CA182" s="10" t="str">
        <f t="shared" si="75"/>
        <v>US</v>
      </c>
      <c r="CB182" s="15" t="s">
        <v>131</v>
      </c>
      <c r="CC182" s="62"/>
      <c r="CD182" s="15" t="s">
        <v>132</v>
      </c>
      <c r="CE182" s="64">
        <v>0</v>
      </c>
      <c r="CF182" s="4">
        <v>0</v>
      </c>
      <c r="CG182" s="132">
        <f t="shared" si="76"/>
        <v>0</v>
      </c>
      <c r="CH182" s="4" t="s">
        <v>132</v>
      </c>
      <c r="CI182" s="5">
        <v>0</v>
      </c>
      <c r="CJ182" s="4">
        <v>0</v>
      </c>
      <c r="CK182" s="132">
        <f t="shared" si="77"/>
        <v>0</v>
      </c>
      <c r="CL182" s="4" t="s">
        <v>132</v>
      </c>
      <c r="CM182" s="5">
        <v>0</v>
      </c>
      <c r="CN182" s="4">
        <v>0</v>
      </c>
      <c r="CO182" s="132">
        <f t="shared" si="78"/>
        <v>0</v>
      </c>
      <c r="CP182" s="4" t="s">
        <v>132</v>
      </c>
      <c r="CQ182" s="5">
        <v>0</v>
      </c>
      <c r="CR182" s="4">
        <v>0</v>
      </c>
      <c r="CS182" s="132">
        <f t="shared" si="79"/>
        <v>0</v>
      </c>
      <c r="CT182" s="159">
        <f t="shared" si="80"/>
        <v>0</v>
      </c>
      <c r="CU182" s="168">
        <f t="shared" si="81"/>
        <v>575</v>
      </c>
      <c r="CV182" s="169">
        <f t="shared" si="90"/>
        <v>0</v>
      </c>
      <c r="CW182" s="82">
        <f t="shared" si="88"/>
        <v>534.75</v>
      </c>
      <c r="CX182" s="79">
        <f>IF(ISBLANK(E182),"AddQuickPay",IF(E182=2,CU182*0.98,IF(E182=2.4,CU182*0.976,IF(E182=3,CU182*0.97,IF(E182=5,CU182*0.95,IF(E182=1.5,CU182*0.985,IF(E182=2.5,CU182*0.975,IF(E182=1.3,CU182*0.987,IF(E182=1,CU182*0.99,IF(E182=4,CU182*0.96,CU182*1))))))))))-Table1[[#This Row],[ComCheck+QuickPayFee]]</f>
        <v>563.5</v>
      </c>
      <c r="CY182" s="5">
        <f t="shared" si="82"/>
        <v>40.25</v>
      </c>
      <c r="CZ182" s="5">
        <f t="shared" si="83"/>
        <v>11.5</v>
      </c>
      <c r="DA182" s="258">
        <f>Table1[[#This Row],[OriginalDispatch]]-Table1[[#This Row],[QuickPayCharge]]</f>
        <v>28.75</v>
      </c>
      <c r="DB182" s="5">
        <v>0</v>
      </c>
      <c r="DC182" s="5" t="s">
        <v>1287</v>
      </c>
      <c r="DD182" s="104">
        <f t="shared" si="84"/>
        <v>42342</v>
      </c>
      <c r="DE182" s="15">
        <f>MONTH(Table1[[#This Row],[Weekending]])</f>
        <v>12</v>
      </c>
      <c r="DF182" s="15">
        <f>YEAR(Table1[[#This Row],[Weekending]])</f>
        <v>2015</v>
      </c>
      <c r="DG182" s="4"/>
    </row>
    <row r="183" spans="1:111">
      <c r="A183" s="20" t="str">
        <f t="shared" si="66"/>
        <v>47117088</v>
      </c>
      <c r="B183" s="146">
        <v>42339</v>
      </c>
      <c r="C183" s="144">
        <v>186680547</v>
      </c>
      <c r="D183" s="298" t="s">
        <v>111</v>
      </c>
      <c r="E183" s="298">
        <v>2</v>
      </c>
      <c r="F183" s="142" t="str">
        <f>INDEX(BrokerTBL!$B:$B,MATCH(D183,BrokerTBL!$A:$A,0))</f>
        <v>P.O. Box 3474</v>
      </c>
      <c r="G183" s="142" t="str">
        <f>INDEX(BrokerTBL!$C:$C,MATCH(D183,BrokerTBL!$A:$A,0))</f>
        <v>Chicago</v>
      </c>
      <c r="H183" s="142" t="str">
        <f>INDEX(BrokerTBL!$D:$D,MATCH(D183,BrokerTBL!$A:$A,0))</f>
        <v>Il</v>
      </c>
      <c r="I183" s="142" t="str">
        <f>INDEX(BrokerTBL!$E:$E,MATCH(D183,BrokerTBL!$A:$A,0))</f>
        <v>US</v>
      </c>
      <c r="J183" s="142">
        <f>INDEX(BrokerTBL!$F:$F,MATCH(D183,BrokerTBL!$A:$A,0))</f>
        <v>60654</v>
      </c>
      <c r="K183" s="298" t="s">
        <v>1425</v>
      </c>
      <c r="L183" s="145">
        <v>897011</v>
      </c>
      <c r="M183" s="146">
        <v>42339</v>
      </c>
      <c r="N183" s="162" t="s">
        <v>136</v>
      </c>
      <c r="O183" s="298" t="s">
        <v>1426</v>
      </c>
      <c r="P183" s="298" t="s">
        <v>263</v>
      </c>
      <c r="Q183" s="298" t="s">
        <v>264</v>
      </c>
      <c r="R183" s="298">
        <v>89434</v>
      </c>
      <c r="S183" s="298" t="s">
        <v>118</v>
      </c>
      <c r="T183" s="298" t="s">
        <v>136</v>
      </c>
      <c r="U183" s="298" t="s">
        <v>120</v>
      </c>
      <c r="V183" s="298">
        <v>53</v>
      </c>
      <c r="W183" s="298" t="s">
        <v>1427</v>
      </c>
      <c r="X183" s="144" t="s">
        <v>136</v>
      </c>
      <c r="Y183" s="298" t="s">
        <v>123</v>
      </c>
      <c r="Z183" s="298" t="s">
        <v>123</v>
      </c>
      <c r="AA183" s="298" t="s">
        <v>123</v>
      </c>
      <c r="AB183" s="298" t="s">
        <v>123</v>
      </c>
      <c r="AC183" s="298" t="s">
        <v>1428</v>
      </c>
      <c r="AD183" s="145">
        <v>827506170</v>
      </c>
      <c r="AE183" s="146">
        <v>42339</v>
      </c>
      <c r="AF183" s="416" t="s">
        <v>123</v>
      </c>
      <c r="AG183" s="298" t="s">
        <v>1429</v>
      </c>
      <c r="AH183" s="298" t="s">
        <v>380</v>
      </c>
      <c r="AI183" s="298" t="s">
        <v>139</v>
      </c>
      <c r="AJ183" s="298">
        <v>95376</v>
      </c>
      <c r="AK183" s="298" t="s">
        <v>118</v>
      </c>
      <c r="AL183" s="298" t="s">
        <v>123</v>
      </c>
      <c r="AM183" s="142" t="str">
        <f>INDEX(CarrierDriverTBL!$B:$B,MATCH(Table1[[#This Row],[DriverID]],CarrierDriverTBL!$A:$A,0))</f>
        <v>UBTrucking</v>
      </c>
      <c r="AN183" s="10" t="s">
        <v>948</v>
      </c>
      <c r="AO183" s="10" t="str">
        <f>INDEX(CarrierDriverTBL!$C:$C,MATCH(Table1[[#This Row],[DriverID]],CarrierDriverTBL!$A:$A,0))</f>
        <v>Wesley</v>
      </c>
      <c r="AP183" s="10" t="str">
        <f>INDEX(CarrierDriverTBL!$D:$D,MATCH(Table1[[#This Row],[DriverID]],CarrierDriverTBL!$A:$A,0))</f>
        <v>Cousain</v>
      </c>
      <c r="AQ183" s="10" t="str">
        <f>INDEX(CarrierDriverTBL!$X:$X,MATCH(Table1[[#This Row],[DriverID]],CarrierDriverTBL!$A:$A,0))</f>
        <v>D4903588</v>
      </c>
      <c r="AR183" s="11">
        <f>INDEX(CarrierDriverTBL!$Y:$Y,MATCH(Table1[[#This Row],[DriverID]],CarrierDriverTBL!$A:$A,0))</f>
        <v>43458</v>
      </c>
      <c r="AS183" s="142" t="str">
        <f t="shared" si="67"/>
        <v>GOOD</v>
      </c>
      <c r="AT183" s="11">
        <f>INDEX(CarrierDriverTBL!$E:$E,MATCH(Table1[[#This Row],[DriverID]],CarrierDriverTBL!$A:$A,0))</f>
        <v>31405</v>
      </c>
      <c r="AU183" s="163">
        <f ca="1">INDEX(CarrierDriverTBL!$F:$F,MATCH(Table1[[#This Row],[DriverID]],CarrierDriverTBL!$A:$A,0))</f>
        <v>30.605479452054794</v>
      </c>
      <c r="AV183" s="10" t="str">
        <f>INDEX(CarrierDriverTBL!$K:$K,MATCH(Table1[[#This Row],[DriverID]],CarrierDriverTBL!$A:$A,0))</f>
        <v>925-383-5364</v>
      </c>
      <c r="AW183" s="10" t="str">
        <f>INDEX(CarrierDriverTBL!$M:$M,MATCH(Table1[[#This Row],[DriverID]],CarrierDriverTBL!$A:$A,0))</f>
        <v>110 Cordova Ln</v>
      </c>
      <c r="AX183" s="10" t="str">
        <f>INDEX(CarrierDriverTBL!$N:$N,MATCH(Table1[[#This Row],[DriverID]],CarrierDriverTBL!$A:$A,0))</f>
        <v>Stockton</v>
      </c>
      <c r="AY183" s="10" t="str">
        <f>INDEX(CarrierDriverTBL!$O:$O,MATCH(Table1[[#This Row],[DriverID]],CarrierDriverTBL!$A:$A,0))</f>
        <v>CA</v>
      </c>
      <c r="AZ183" s="10">
        <f>INDEX(CarrierDriverTBL!$P:$P,MATCH(Table1[[#This Row],[DriverID]],CarrierDriverTBL!$A:$A,0))</f>
        <v>95207</v>
      </c>
      <c r="BA183" s="10" t="str">
        <f>INDEX(CarrierDriverTBL!$Q:$Q,MATCH(Table1[[#This Row],[DriverID]],CarrierDriverTBL!$A:$A,0))</f>
        <v>US</v>
      </c>
      <c r="BB183" s="173" t="str">
        <f>INDEX(CarrierDriverTBL!$R:$R,MATCH(Table1[[#This Row],[DriverID]],CarrierDriverTBL!$A:$A,0))</f>
        <v>wesleycousain1@gmail.com</v>
      </c>
      <c r="BC183" s="160">
        <f>INDEX(CarrierDriverTBL!$AB:$AB,MATCH(Table1[[#This Row],[DriverID]],CarrierDriverTBL!$A:$A,0))</f>
        <v>42271</v>
      </c>
      <c r="BD183" s="142" t="str">
        <f ca="1">INDEX(CarrierDriverTBL!$AD:$AD,MATCH(LoadMaster!$AN:$AN,CarrierDriverTBL!$A:$A,0))</f>
        <v>MISSING</v>
      </c>
      <c r="BE183" s="142">
        <f>INDEX(CarrierDriverTBL!$AE:$AE,MATCH(Table1[DriverID],CarrierDriverTBL!$A:$A,0))</f>
        <v>913971</v>
      </c>
      <c r="BF183" s="142">
        <f>INDEX(CarrierDriverTBL!$AF:$AF,MATCH(Table1[DriverID],CarrierDriverTBL!$A:$A,0))</f>
        <v>2627544</v>
      </c>
      <c r="BG183" s="142">
        <f>INDEX(CarrierDriverTBL!$AG:$AG,MATCH(Table1[DriverID],CarrierDriverTBL!$A:$A,0))</f>
        <v>466133</v>
      </c>
      <c r="BH183" s="142" t="str">
        <f>INDEX(CarrierDriverTBL!$AH:$AH,MATCH(Table1[DriverID],CarrierDriverTBL!$A:$A,0))</f>
        <v>GM Lawrence Ins</v>
      </c>
      <c r="BI183" s="142" t="str">
        <f>INDEX(CarrierDriverTBL!$AI:$AI,MATCH(Table1[DriverID],CarrierDriverTBL!$A:$A,0))</f>
        <v>DSK2842P160210</v>
      </c>
      <c r="BJ183" s="160">
        <f>INDEX(CarrierDriverTBL!$AJ:$AJ,MATCH(Table1[[#This Row],[DriverID]],CarrierDriverTBL!$A:$A,0))</f>
        <v>42778</v>
      </c>
      <c r="BK183" s="10">
        <f t="shared" si="68"/>
        <v>439</v>
      </c>
      <c r="BL183" s="174">
        <v>500</v>
      </c>
      <c r="BM183" s="144">
        <v>213</v>
      </c>
      <c r="BN183" s="159">
        <f t="shared" si="91"/>
        <v>2.347417840375587</v>
      </c>
      <c r="BO183" s="167">
        <f>0.93*500</f>
        <v>465</v>
      </c>
      <c r="BP183" s="159">
        <f t="shared" si="92"/>
        <v>2.183098591549296</v>
      </c>
      <c r="BQ183" s="133">
        <v>2.7989999999999999</v>
      </c>
      <c r="BR183" s="166">
        <f t="shared" si="89"/>
        <v>0.14983333333333335</v>
      </c>
      <c r="BS183" s="167">
        <f t="shared" si="69"/>
        <v>2.0332652582159625</v>
      </c>
      <c r="BT183" s="159">
        <f t="shared" si="70"/>
        <v>31.914500000000004</v>
      </c>
      <c r="BU183" s="10" t="str">
        <f t="shared" si="71"/>
        <v>Ch Robinson</v>
      </c>
      <c r="BV183" s="4"/>
      <c r="BW183" s="4" t="str">
        <f>Table1[[#This Row],[BrokerAddress]]</f>
        <v>P.O. Box 3474</v>
      </c>
      <c r="BX183" s="4" t="str">
        <f t="shared" si="72"/>
        <v>Chicago</v>
      </c>
      <c r="BY183" s="4" t="str">
        <f t="shared" si="73"/>
        <v>Il</v>
      </c>
      <c r="BZ183" s="4">
        <f t="shared" si="74"/>
        <v>60654</v>
      </c>
      <c r="CA183" s="10" t="str">
        <f t="shared" si="75"/>
        <v>US</v>
      </c>
      <c r="CB183" s="15" t="s">
        <v>131</v>
      </c>
      <c r="CC183" s="62"/>
      <c r="CD183" s="4" t="s">
        <v>149</v>
      </c>
      <c r="CE183" s="5">
        <v>36</v>
      </c>
      <c r="CF183" s="4">
        <v>1.5</v>
      </c>
      <c r="CG183" s="132">
        <f t="shared" si="76"/>
        <v>54</v>
      </c>
      <c r="CH183" s="4" t="s">
        <v>1430</v>
      </c>
      <c r="CI183" s="5">
        <v>-69</v>
      </c>
      <c r="CJ183" s="4">
        <v>1</v>
      </c>
      <c r="CK183" s="132">
        <f t="shared" si="77"/>
        <v>-69</v>
      </c>
      <c r="CL183" s="4" t="s">
        <v>132</v>
      </c>
      <c r="CM183" s="5">
        <v>0</v>
      </c>
      <c r="CN183" s="4">
        <v>0</v>
      </c>
      <c r="CO183" s="132">
        <f t="shared" si="78"/>
        <v>0</v>
      </c>
      <c r="CP183" s="4" t="s">
        <v>132</v>
      </c>
      <c r="CQ183" s="5">
        <v>0</v>
      </c>
      <c r="CR183" s="4">
        <v>0</v>
      </c>
      <c r="CS183" s="132">
        <f t="shared" si="79"/>
        <v>0</v>
      </c>
      <c r="CT183" s="159">
        <f t="shared" si="80"/>
        <v>-15</v>
      </c>
      <c r="CU183" s="168">
        <f t="shared" si="81"/>
        <v>485</v>
      </c>
      <c r="CV183" s="169">
        <f t="shared" si="90"/>
        <v>-13.950000000000001</v>
      </c>
      <c r="CW183" s="82">
        <f t="shared" si="88"/>
        <v>451.05</v>
      </c>
      <c r="CX183" s="79">
        <f>IF(ISBLANK(E183),"AddQuickPay",IF(E183=2,CU183*0.98,IF(E183=2.4,CU183*0.976,IF(E183=3,CU183*0.97,IF(E183=5,CU183*0.95,IF(E183=1.5,CU183*0.985,IF(E183=2.5,CU183*0.975,IF(E183=1.3,CU183*0.987,IF(E183=1,CU183*0.99,IF(E183=4,CU183*0.96,CU183*1))))))))))-Table1[[#This Row],[ComCheck+QuickPayFee]]</f>
        <v>475.3</v>
      </c>
      <c r="CY183" s="5">
        <f t="shared" si="82"/>
        <v>33.949999999999989</v>
      </c>
      <c r="CZ183" s="5">
        <f t="shared" si="83"/>
        <v>9.7000000000000011</v>
      </c>
      <c r="DA183" s="258">
        <f>Table1[[#This Row],[OriginalDispatch]]-Table1[[#This Row],[QuickPayCharge]]</f>
        <v>24.249999999999986</v>
      </c>
      <c r="DB183" s="5">
        <v>0</v>
      </c>
      <c r="DC183" s="5" t="s">
        <v>1287</v>
      </c>
      <c r="DD183" s="104">
        <f t="shared" si="84"/>
        <v>42342</v>
      </c>
      <c r="DE183" s="15">
        <f>MONTH(Table1[[#This Row],[Weekending]])</f>
        <v>12</v>
      </c>
      <c r="DF183" s="15">
        <f>YEAR(Table1[[#This Row],[Weekending]])</f>
        <v>2015</v>
      </c>
      <c r="DG183" s="4"/>
    </row>
    <row r="184" spans="1:111">
      <c r="A184" s="20" t="str">
        <f t="shared" si="66"/>
        <v>35d2nk49</v>
      </c>
      <c r="B184" s="146">
        <v>42340</v>
      </c>
      <c r="C184" s="144">
        <v>187423435</v>
      </c>
      <c r="D184" s="298" t="s">
        <v>111</v>
      </c>
      <c r="E184" s="298">
        <v>2</v>
      </c>
      <c r="F184" s="142" t="str">
        <f>INDEX(BrokerTBL!$B:$B,MATCH(D184,BrokerTBL!$A:$A,0))</f>
        <v>P.O. Box 3474</v>
      </c>
      <c r="G184" s="142" t="str">
        <f>INDEX(BrokerTBL!$C:$C,MATCH(D184,BrokerTBL!$A:$A,0))</f>
        <v>Chicago</v>
      </c>
      <c r="H184" s="142" t="str">
        <f>INDEX(BrokerTBL!$D:$D,MATCH(D184,BrokerTBL!$A:$A,0))</f>
        <v>Il</v>
      </c>
      <c r="I184" s="142" t="str">
        <f>INDEX(BrokerTBL!$E:$E,MATCH(D184,BrokerTBL!$A:$A,0))</f>
        <v>US</v>
      </c>
      <c r="J184" s="142">
        <f>INDEX(BrokerTBL!$F:$F,MATCH(D184,BrokerTBL!$A:$A,0))</f>
        <v>60654</v>
      </c>
      <c r="K184" s="298" t="s">
        <v>1431</v>
      </c>
      <c r="L184" s="145" t="s">
        <v>1432</v>
      </c>
      <c r="M184" s="146">
        <v>42340</v>
      </c>
      <c r="N184" s="144" t="s">
        <v>1197</v>
      </c>
      <c r="O184" s="298" t="s">
        <v>1433</v>
      </c>
      <c r="P184" s="298" t="s">
        <v>1434</v>
      </c>
      <c r="Q184" s="298" t="s">
        <v>139</v>
      </c>
      <c r="R184" s="298">
        <v>93245</v>
      </c>
      <c r="S184" s="298" t="s">
        <v>118</v>
      </c>
      <c r="T184" s="298" t="s">
        <v>136</v>
      </c>
      <c r="U184" s="298" t="s">
        <v>120</v>
      </c>
      <c r="V184" s="298">
        <v>53</v>
      </c>
      <c r="W184" s="298" t="s">
        <v>1435</v>
      </c>
      <c r="X184" s="185">
        <v>45000</v>
      </c>
      <c r="Y184" s="298" t="s">
        <v>26</v>
      </c>
      <c r="Z184" s="298" t="s">
        <v>123</v>
      </c>
      <c r="AA184" s="298" t="s">
        <v>123</v>
      </c>
      <c r="AB184" s="298" t="s">
        <v>123</v>
      </c>
      <c r="AC184" s="298" t="s">
        <v>1431</v>
      </c>
      <c r="AD184" s="145" t="s">
        <v>1179</v>
      </c>
      <c r="AE184" s="146">
        <v>42341</v>
      </c>
      <c r="AF184" s="298" t="s">
        <v>1436</v>
      </c>
      <c r="AG184" s="298" t="s">
        <v>365</v>
      </c>
      <c r="AH184" s="298" t="s">
        <v>366</v>
      </c>
      <c r="AI184" s="298" t="s">
        <v>139</v>
      </c>
      <c r="AJ184" s="298">
        <v>95776</v>
      </c>
      <c r="AK184" s="298" t="s">
        <v>118</v>
      </c>
      <c r="AL184" s="298" t="s">
        <v>123</v>
      </c>
      <c r="AM184" s="142" t="str">
        <f>INDEX(CarrierDriverTBL!$B:$B,MATCH(Table1[[#This Row],[DriverID]],CarrierDriverTBL!$A:$A,0))</f>
        <v>UBTrucking</v>
      </c>
      <c r="AN184" s="10" t="s">
        <v>192</v>
      </c>
      <c r="AO184" s="10" t="str">
        <f>INDEX(CarrierDriverTBL!$C:$C,MATCH(Table1[[#This Row],[DriverID]],CarrierDriverTBL!$A:$A,0))</f>
        <v>Albel</v>
      </c>
      <c r="AP184" s="142" t="str">
        <f>INDEX(CarrierDriverTBL!$D:$D,MATCH(Table1[[#This Row],[DriverID]],CarrierDriverTBL!$A:$A,0))</f>
        <v>Chahil</v>
      </c>
      <c r="AQ184" s="142" t="str">
        <f>INDEX(CarrierDriverTBL!$X:$X,MATCH(Table1[[#This Row],[DriverID]],CarrierDriverTBL!$A:$A,0))</f>
        <v>A8390649</v>
      </c>
      <c r="AR184" s="160">
        <f>INDEX(CarrierDriverTBL!$Y:$Y,MATCH(Table1[[#This Row],[DriverID]],CarrierDriverTBL!$A:$A,0))</f>
        <v>42402</v>
      </c>
      <c r="AS184" s="142" t="str">
        <f t="shared" si="67"/>
        <v>GOOD</v>
      </c>
      <c r="AT184" s="160">
        <f>INDEX(CarrierDriverTBL!$E:$E,MATCH(Table1[[#This Row],[DriverID]],CarrierDriverTBL!$A:$A,0))</f>
        <v>22314</v>
      </c>
      <c r="AU184" s="163">
        <f ca="1">INDEX(CarrierDriverTBL!$F:$F,MATCH(Table1[[#This Row],[DriverID]],CarrierDriverTBL!$A:$A,0))</f>
        <v>55.512328767123286</v>
      </c>
      <c r="AV184" s="142" t="str">
        <f>INDEX(CarrierDriverTBL!$K:$K,MATCH(Table1[[#This Row],[DriverID]],CarrierDriverTBL!$A:$A,0))</f>
        <v>510-773-9450</v>
      </c>
      <c r="AW184" s="142" t="str">
        <f>INDEX(CarrierDriverTBL!$M:$M,MATCH(Table1[[#This Row],[DriverID]],CarrierDriverTBL!$A:$A,0))</f>
        <v>3124 Cynthia CT</v>
      </c>
      <c r="AX184" s="142" t="str">
        <f>INDEX(CarrierDriverTBL!$N:$N,MATCH(Table1[[#This Row],[DriverID]],CarrierDriverTBL!$A:$A,0))</f>
        <v>Tracy</v>
      </c>
      <c r="AY184" s="142" t="str">
        <f>INDEX(CarrierDriverTBL!$O:$O,MATCH(Table1[[#This Row],[DriverID]],CarrierDriverTBL!$A:$A,0))</f>
        <v>CA</v>
      </c>
      <c r="AZ184" s="142">
        <f>INDEX(CarrierDriverTBL!$P:$P,MATCH(Table1[[#This Row],[DriverID]],CarrierDriverTBL!$A:$A,0))</f>
        <v>95377</v>
      </c>
      <c r="BA184" s="142" t="str">
        <f>INDEX(CarrierDriverTBL!$Q:$Q,MATCH(Table1[[#This Row],[DriverID]],CarrierDriverTBL!$A:$A,0))</f>
        <v>US</v>
      </c>
      <c r="BB184" s="176" t="str">
        <f>INDEX(CarrierDriverTBL!$R:$R,MATCH(Table1[[#This Row],[DriverID]],CarrierDriverTBL!$A:$A,0))</f>
        <v>ubgollc@gmail.com</v>
      </c>
      <c r="BC184" s="160">
        <f>INDEX(CarrierDriverTBL!$AB:$AB,MATCH(Table1[[#This Row],[DriverID]],CarrierDriverTBL!$A:$A,0))</f>
        <v>42167</v>
      </c>
      <c r="BD184" s="142" t="str">
        <f ca="1">INDEX(CarrierDriverTBL!$AD:$AD,MATCH(LoadMaster!$AN:$AN,CarrierDriverTBL!$A:$A,0))</f>
        <v>MISSING</v>
      </c>
      <c r="BE184" s="142">
        <f>INDEX(CarrierDriverTBL!$AE:$AE,MATCH(Table1[DriverID],CarrierDriverTBL!$A:$A,0))</f>
        <v>913971</v>
      </c>
      <c r="BF184" s="142">
        <f>INDEX(CarrierDriverTBL!$AF:$AF,MATCH(Table1[DriverID],CarrierDriverTBL!$A:$A,0))</f>
        <v>2627544</v>
      </c>
      <c r="BG184" s="142">
        <f>INDEX(CarrierDriverTBL!$AG:$AG,MATCH(Table1[DriverID],CarrierDriverTBL!$A:$A,0))</f>
        <v>466133</v>
      </c>
      <c r="BH184" s="142" t="str">
        <f>INDEX(CarrierDriverTBL!$AH:$AH,MATCH(Table1[DriverID],CarrierDriverTBL!$A:$A,0))</f>
        <v>GM Lawrence Ins</v>
      </c>
      <c r="BI184" s="142" t="str">
        <f>INDEX(CarrierDriverTBL!$AI:$AI,MATCH(Table1[DriverID],CarrierDriverTBL!$A:$A,0))</f>
        <v>DSK2842P160210</v>
      </c>
      <c r="BJ184" s="160">
        <f>INDEX(CarrierDriverTBL!$AJ:$AJ,MATCH(Table1[[#This Row],[DriverID]],CarrierDriverTBL!$A:$A,0))</f>
        <v>42778</v>
      </c>
      <c r="BK184" s="10">
        <f t="shared" si="68"/>
        <v>438</v>
      </c>
      <c r="BL184" s="174">
        <v>500</v>
      </c>
      <c r="BM184" s="144">
        <v>231</v>
      </c>
      <c r="BN184" s="159">
        <f t="shared" si="91"/>
        <v>2.1645021645021645</v>
      </c>
      <c r="BO184" s="167">
        <f>0.93*500</f>
        <v>465</v>
      </c>
      <c r="BP184" s="159">
        <f t="shared" si="92"/>
        <v>2.0129870129870131</v>
      </c>
      <c r="BQ184" s="133">
        <v>2.7989999999999999</v>
      </c>
      <c r="BR184" s="166">
        <f t="shared" si="89"/>
        <v>0.14983333333333335</v>
      </c>
      <c r="BS184" s="167">
        <f t="shared" si="69"/>
        <v>1.8631536796536798</v>
      </c>
      <c r="BT184" s="159">
        <f t="shared" si="70"/>
        <v>34.611499999999999</v>
      </c>
      <c r="BU184" s="10" t="str">
        <f t="shared" si="71"/>
        <v>Ch Robinson</v>
      </c>
      <c r="BV184" s="4"/>
      <c r="BW184" s="4" t="str">
        <f>Table1[[#This Row],[BrokerAddress]]</f>
        <v>P.O. Box 3474</v>
      </c>
      <c r="BX184" s="4" t="str">
        <f t="shared" si="72"/>
        <v>Chicago</v>
      </c>
      <c r="BY184" s="4" t="str">
        <f t="shared" si="73"/>
        <v>Il</v>
      </c>
      <c r="BZ184" s="4">
        <f t="shared" si="74"/>
        <v>60654</v>
      </c>
      <c r="CA184" s="10" t="str">
        <f t="shared" si="75"/>
        <v>US</v>
      </c>
      <c r="CB184" s="15" t="s">
        <v>131</v>
      </c>
      <c r="CC184" s="62"/>
      <c r="CD184" s="15" t="s">
        <v>132</v>
      </c>
      <c r="CE184" s="64">
        <v>0</v>
      </c>
      <c r="CF184" s="4">
        <v>0</v>
      </c>
      <c r="CG184" s="132">
        <f t="shared" si="76"/>
        <v>0</v>
      </c>
      <c r="CH184" s="4" t="s">
        <v>132</v>
      </c>
      <c r="CI184" s="5">
        <v>0</v>
      </c>
      <c r="CJ184" s="4">
        <v>0</v>
      </c>
      <c r="CK184" s="132">
        <f t="shared" si="77"/>
        <v>0</v>
      </c>
      <c r="CL184" s="4" t="s">
        <v>132</v>
      </c>
      <c r="CM184" s="5">
        <v>0</v>
      </c>
      <c r="CN184" s="4">
        <v>0</v>
      </c>
      <c r="CO184" s="132">
        <f t="shared" si="78"/>
        <v>0</v>
      </c>
      <c r="CP184" s="4" t="s">
        <v>132</v>
      </c>
      <c r="CQ184" s="5">
        <v>0</v>
      </c>
      <c r="CR184" s="4">
        <v>0</v>
      </c>
      <c r="CS184" s="132">
        <f t="shared" si="79"/>
        <v>0</v>
      </c>
      <c r="CT184" s="159">
        <f t="shared" si="80"/>
        <v>0</v>
      </c>
      <c r="CU184" s="168">
        <f t="shared" si="81"/>
        <v>500</v>
      </c>
      <c r="CV184" s="169">
        <f t="shared" si="90"/>
        <v>0</v>
      </c>
      <c r="CW184" s="82">
        <f t="shared" si="88"/>
        <v>465</v>
      </c>
      <c r="CX184" s="79">
        <f>IF(ISBLANK(E184),"AddQuickPay",IF(E184=2,CU184*0.98,IF(E184=2.4,CU184*0.976,IF(E184=3,CU184*0.97,IF(E184=5,CU184*0.95,IF(E184=1.5,CU184*0.985,IF(E184=2.5,CU184*0.975,IF(E184=1.3,CU184*0.987,IF(E184=1,CU184*0.99,IF(E184=4,CU184*0.96,CU184*1))))))))))-Table1[[#This Row],[ComCheck+QuickPayFee]]</f>
        <v>490</v>
      </c>
      <c r="CY184" s="5">
        <f t="shared" si="82"/>
        <v>35</v>
      </c>
      <c r="CZ184" s="5">
        <f t="shared" si="83"/>
        <v>10</v>
      </c>
      <c r="DA184" s="258">
        <f>Table1[[#This Row],[OriginalDispatch]]-Table1[[#This Row],[QuickPayCharge]]</f>
        <v>25</v>
      </c>
      <c r="DB184" s="5">
        <v>0</v>
      </c>
      <c r="DC184" s="5" t="s">
        <v>1287</v>
      </c>
      <c r="DD184" s="104">
        <f t="shared" si="84"/>
        <v>42342</v>
      </c>
      <c r="DE184" s="15">
        <f>MONTH(Table1[[#This Row],[Weekending]])</f>
        <v>12</v>
      </c>
      <c r="DF184" s="15">
        <f>YEAR(Table1[[#This Row],[Weekending]])</f>
        <v>2015</v>
      </c>
      <c r="DG184" s="4"/>
    </row>
    <row r="185" spans="1:111" ht="30">
      <c r="A185" s="20" t="str">
        <f t="shared" si="66"/>
        <v>28394488</v>
      </c>
      <c r="B185" s="146">
        <v>42340</v>
      </c>
      <c r="C185" s="144">
        <v>187118128</v>
      </c>
      <c r="D185" s="298" t="s">
        <v>111</v>
      </c>
      <c r="E185" s="298">
        <v>2</v>
      </c>
      <c r="F185" s="142" t="str">
        <f>INDEX(BrokerTBL!$B:$B,MATCH(D185,BrokerTBL!$A:$A,0))</f>
        <v>P.O. Box 3474</v>
      </c>
      <c r="G185" s="142" t="str">
        <f>INDEX(BrokerTBL!$C:$C,MATCH(D185,BrokerTBL!$A:$A,0))</f>
        <v>Chicago</v>
      </c>
      <c r="H185" s="142" t="str">
        <f>INDEX(BrokerTBL!$D:$D,MATCH(D185,BrokerTBL!$A:$A,0))</f>
        <v>Il</v>
      </c>
      <c r="I185" s="142" t="str">
        <f>INDEX(BrokerTBL!$E:$E,MATCH(D185,BrokerTBL!$A:$A,0))</f>
        <v>US</v>
      </c>
      <c r="J185" s="142">
        <f>INDEX(BrokerTBL!$F:$F,MATCH(D185,BrokerTBL!$A:$A,0))</f>
        <v>60654</v>
      </c>
      <c r="K185" s="298" t="s">
        <v>1437</v>
      </c>
      <c r="L185" s="145" t="s">
        <v>1438</v>
      </c>
      <c r="M185" s="146">
        <v>42340</v>
      </c>
      <c r="N185" s="144" t="s">
        <v>629</v>
      </c>
      <c r="O185" s="298" t="s">
        <v>1439</v>
      </c>
      <c r="P185" s="298" t="s">
        <v>1440</v>
      </c>
      <c r="Q185" s="298" t="s">
        <v>139</v>
      </c>
      <c r="R185" s="298">
        <v>95366</v>
      </c>
      <c r="S185" s="298" t="s">
        <v>118</v>
      </c>
      <c r="T185" s="298" t="s">
        <v>136</v>
      </c>
      <c r="U185" s="298" t="s">
        <v>120</v>
      </c>
      <c r="V185" s="298">
        <v>53</v>
      </c>
      <c r="W185" s="298" t="s">
        <v>141</v>
      </c>
      <c r="X185" s="144">
        <v>33840</v>
      </c>
      <c r="Y185" s="298" t="s">
        <v>123</v>
      </c>
      <c r="Z185" s="298" t="s">
        <v>123</v>
      </c>
      <c r="AA185" s="298" t="s">
        <v>123</v>
      </c>
      <c r="AB185" s="298" t="s">
        <v>123</v>
      </c>
      <c r="AC185" s="187" t="s">
        <v>1441</v>
      </c>
      <c r="AD185" s="188" t="s">
        <v>1442</v>
      </c>
      <c r="AE185" s="146">
        <v>42341</v>
      </c>
      <c r="AF185" s="298" t="s">
        <v>218</v>
      </c>
      <c r="AG185" s="187" t="s">
        <v>1443</v>
      </c>
      <c r="AH185" s="187" t="s">
        <v>1444</v>
      </c>
      <c r="AI185" s="187" t="s">
        <v>1445</v>
      </c>
      <c r="AJ185" s="187" t="s">
        <v>1446</v>
      </c>
      <c r="AK185" s="298" t="s">
        <v>118</v>
      </c>
      <c r="AL185" s="298" t="s">
        <v>123</v>
      </c>
      <c r="AM185" s="142" t="str">
        <f>INDEX(CarrierDriverTBL!$B:$B,MATCH(Table1[[#This Row],[DriverID]],CarrierDriverTBL!$A:$A,0))</f>
        <v>UBTrucking</v>
      </c>
      <c r="AN185" s="10" t="s">
        <v>948</v>
      </c>
      <c r="AO185" s="10" t="str">
        <f>INDEX(CarrierDriverTBL!$C:$C,MATCH(Table1[[#This Row],[DriverID]],CarrierDriverTBL!$A:$A,0))</f>
        <v>Wesley</v>
      </c>
      <c r="AP185" s="10" t="str">
        <f>INDEX(CarrierDriverTBL!$D:$D,MATCH(Table1[[#This Row],[DriverID]],CarrierDriverTBL!$A:$A,0))</f>
        <v>Cousain</v>
      </c>
      <c r="AQ185" s="10" t="str">
        <f>INDEX(CarrierDriverTBL!$X:$X,MATCH(Table1[[#This Row],[DriverID]],CarrierDriverTBL!$A:$A,0))</f>
        <v>D4903588</v>
      </c>
      <c r="AR185" s="11">
        <f>INDEX(CarrierDriverTBL!$Y:$Y,MATCH(Table1[[#This Row],[DriverID]],CarrierDriverTBL!$A:$A,0))</f>
        <v>43458</v>
      </c>
      <c r="AS185" s="142" t="str">
        <f t="shared" si="67"/>
        <v>GOOD</v>
      </c>
      <c r="AT185" s="11">
        <f>INDEX(CarrierDriverTBL!$E:$E,MATCH(Table1[[#This Row],[DriverID]],CarrierDriverTBL!$A:$A,0))</f>
        <v>31405</v>
      </c>
      <c r="AU185" s="163">
        <f ca="1">INDEX(CarrierDriverTBL!$F:$F,MATCH(Table1[[#This Row],[DriverID]],CarrierDriverTBL!$A:$A,0))</f>
        <v>30.605479452054794</v>
      </c>
      <c r="AV185" s="10" t="str">
        <f>INDEX(CarrierDriverTBL!$K:$K,MATCH(Table1[[#This Row],[DriverID]],CarrierDriverTBL!$A:$A,0))</f>
        <v>925-383-5364</v>
      </c>
      <c r="AW185" s="10" t="str">
        <f>INDEX(CarrierDriverTBL!$M:$M,MATCH(Table1[[#This Row],[DriverID]],CarrierDriverTBL!$A:$A,0))</f>
        <v>110 Cordova Ln</v>
      </c>
      <c r="AX185" s="10" t="str">
        <f>INDEX(CarrierDriverTBL!$N:$N,MATCH(Table1[[#This Row],[DriverID]],CarrierDriverTBL!$A:$A,0))</f>
        <v>Stockton</v>
      </c>
      <c r="AY185" s="10" t="str">
        <f>INDEX(CarrierDriverTBL!$O:$O,MATCH(Table1[[#This Row],[DriverID]],CarrierDriverTBL!$A:$A,0))</f>
        <v>CA</v>
      </c>
      <c r="AZ185" s="10">
        <f>INDEX(CarrierDriverTBL!$P:$P,MATCH(Table1[[#This Row],[DriverID]],CarrierDriverTBL!$A:$A,0))</f>
        <v>95207</v>
      </c>
      <c r="BA185" s="10" t="str">
        <f>INDEX(CarrierDriverTBL!$Q:$Q,MATCH(Table1[[#This Row],[DriverID]],CarrierDriverTBL!$A:$A,0))</f>
        <v>US</v>
      </c>
      <c r="BB185" s="173" t="str">
        <f>INDEX(CarrierDriverTBL!$R:$R,MATCH(Table1[[#This Row],[DriverID]],CarrierDriverTBL!$A:$A,0))</f>
        <v>wesleycousain1@gmail.com</v>
      </c>
      <c r="BC185" s="160">
        <f>INDEX(CarrierDriverTBL!$AB:$AB,MATCH(Table1[[#This Row],[DriverID]],CarrierDriverTBL!$A:$A,0))</f>
        <v>42271</v>
      </c>
      <c r="BD185" s="142" t="str">
        <f ca="1">INDEX(CarrierDriverTBL!$AD:$AD,MATCH(LoadMaster!$AN:$AN,CarrierDriverTBL!$A:$A,0))</f>
        <v>MISSING</v>
      </c>
      <c r="BE185" s="142">
        <f>INDEX(CarrierDriverTBL!$AE:$AE,MATCH(Table1[DriverID],CarrierDriverTBL!$A:$A,0))</f>
        <v>913971</v>
      </c>
      <c r="BF185" s="142">
        <f>INDEX(CarrierDriverTBL!$AF:$AF,MATCH(Table1[DriverID],CarrierDriverTBL!$A:$A,0))</f>
        <v>2627544</v>
      </c>
      <c r="BG185" s="142">
        <f>INDEX(CarrierDriverTBL!$AG:$AG,MATCH(Table1[DriverID],CarrierDriverTBL!$A:$A,0))</f>
        <v>466133</v>
      </c>
      <c r="BH185" s="142" t="str">
        <f>INDEX(CarrierDriverTBL!$AH:$AH,MATCH(Table1[DriverID],CarrierDriverTBL!$A:$A,0))</f>
        <v>GM Lawrence Ins</v>
      </c>
      <c r="BI185" s="142" t="str">
        <f>INDEX(CarrierDriverTBL!$AI:$AI,MATCH(Table1[DriverID],CarrierDriverTBL!$A:$A,0))</f>
        <v>DSK2842P160210</v>
      </c>
      <c r="BJ185" s="160">
        <f>INDEX(CarrierDriverTBL!$AJ:$AJ,MATCH(Table1[[#This Row],[DriverID]],CarrierDriverTBL!$A:$A,0))</f>
        <v>42778</v>
      </c>
      <c r="BK185" s="10">
        <f t="shared" si="68"/>
        <v>438</v>
      </c>
      <c r="BL185" s="174">
        <v>600</v>
      </c>
      <c r="BM185" s="144">
        <v>200</v>
      </c>
      <c r="BN185" s="159">
        <f t="shared" si="91"/>
        <v>3</v>
      </c>
      <c r="BO185" s="167">
        <f>0.93*600</f>
        <v>558</v>
      </c>
      <c r="BP185" s="159">
        <f t="shared" si="92"/>
        <v>2.79</v>
      </c>
      <c r="BQ185" s="133">
        <v>2.7989999999999999</v>
      </c>
      <c r="BR185" s="166">
        <f t="shared" si="89"/>
        <v>0.14983333333333335</v>
      </c>
      <c r="BS185" s="167">
        <f t="shared" si="69"/>
        <v>2.6401666666666666</v>
      </c>
      <c r="BT185" s="159">
        <f t="shared" si="70"/>
        <v>29.966666666666669</v>
      </c>
      <c r="BU185" s="10" t="str">
        <f t="shared" si="71"/>
        <v>Ch Robinson</v>
      </c>
      <c r="BV185" s="4"/>
      <c r="BW185" s="4" t="str">
        <f>Table1[[#This Row],[BrokerAddress]]</f>
        <v>P.O. Box 3474</v>
      </c>
      <c r="BX185" s="4" t="str">
        <f t="shared" si="72"/>
        <v>Chicago</v>
      </c>
      <c r="BY185" s="4" t="str">
        <f t="shared" si="73"/>
        <v>Il</v>
      </c>
      <c r="BZ185" s="4">
        <f t="shared" si="74"/>
        <v>60654</v>
      </c>
      <c r="CA185" s="10" t="str">
        <f t="shared" si="75"/>
        <v>US</v>
      </c>
      <c r="CB185" s="15" t="s">
        <v>131</v>
      </c>
      <c r="CC185" s="62"/>
      <c r="CD185" s="15" t="s">
        <v>132</v>
      </c>
      <c r="CE185" s="64">
        <v>0</v>
      </c>
      <c r="CF185" s="4">
        <v>0</v>
      </c>
      <c r="CG185" s="132">
        <f t="shared" si="76"/>
        <v>0</v>
      </c>
      <c r="CH185" s="4" t="s">
        <v>132</v>
      </c>
      <c r="CI185" s="5">
        <v>0</v>
      </c>
      <c r="CJ185" s="4">
        <v>0</v>
      </c>
      <c r="CK185" s="132">
        <f t="shared" si="77"/>
        <v>0</v>
      </c>
      <c r="CL185" s="4" t="s">
        <v>132</v>
      </c>
      <c r="CM185" s="5">
        <v>0</v>
      </c>
      <c r="CN185" s="4">
        <v>0</v>
      </c>
      <c r="CO185" s="132">
        <f t="shared" si="78"/>
        <v>0</v>
      </c>
      <c r="CP185" s="4" t="s">
        <v>132</v>
      </c>
      <c r="CQ185" s="5">
        <v>0</v>
      </c>
      <c r="CR185" s="4">
        <v>0</v>
      </c>
      <c r="CS185" s="132">
        <f t="shared" si="79"/>
        <v>0</v>
      </c>
      <c r="CT185" s="159">
        <f t="shared" si="80"/>
        <v>0</v>
      </c>
      <c r="CU185" s="168">
        <f t="shared" si="81"/>
        <v>600</v>
      </c>
      <c r="CV185" s="169">
        <f t="shared" si="90"/>
        <v>0</v>
      </c>
      <c r="CW185" s="82">
        <f t="shared" si="88"/>
        <v>558</v>
      </c>
      <c r="CX185" s="79">
        <f>IF(ISBLANK(E185),"AddQuickPay",IF(E185=2,CU185*0.98,IF(E185=2.4,CU185*0.976,IF(E185=3,CU185*0.97,IF(E185=5,CU185*0.95,IF(E185=1.5,CU185*0.985,IF(E185=2.5,CU185*0.975,IF(E185=1.3,CU185*0.987,IF(E185=1,CU185*0.99,IF(E185=4,CU185*0.96,CU185*1))))))))))-Table1[[#This Row],[ComCheck+QuickPayFee]]</f>
        <v>588</v>
      </c>
      <c r="CY185" s="5">
        <f t="shared" si="82"/>
        <v>42</v>
      </c>
      <c r="CZ185" s="5">
        <f t="shared" si="83"/>
        <v>12</v>
      </c>
      <c r="DA185" s="258">
        <f>Table1[[#This Row],[OriginalDispatch]]-Table1[[#This Row],[QuickPayCharge]]</f>
        <v>30</v>
      </c>
      <c r="DB185" s="5">
        <v>0</v>
      </c>
      <c r="DC185" s="5" t="s">
        <v>1287</v>
      </c>
      <c r="DD185" s="104">
        <f t="shared" si="84"/>
        <v>42342</v>
      </c>
      <c r="DE185" s="15">
        <f>MONTH(Table1[[#This Row],[Weekending]])</f>
        <v>12</v>
      </c>
      <c r="DF185" s="15">
        <f>YEAR(Table1[[#This Row],[Weekending]])</f>
        <v>2015</v>
      </c>
      <c r="DG185" s="4"/>
    </row>
    <row r="186" spans="1:111">
      <c r="A186" s="20" t="str">
        <f t="shared" si="66"/>
        <v>11nenk19</v>
      </c>
      <c r="B186" s="146">
        <v>42340</v>
      </c>
      <c r="C186" s="144">
        <v>187454111</v>
      </c>
      <c r="D186" s="298" t="s">
        <v>111</v>
      </c>
      <c r="E186" s="298">
        <v>2</v>
      </c>
      <c r="F186" s="142" t="str">
        <f>INDEX(BrokerTBL!$B:$B,MATCH(D186,BrokerTBL!$A:$A,0))</f>
        <v>P.O. Box 3474</v>
      </c>
      <c r="G186" s="142" t="str">
        <f>INDEX(BrokerTBL!$C:$C,MATCH(D186,BrokerTBL!$A:$A,0))</f>
        <v>Chicago</v>
      </c>
      <c r="H186" s="142" t="str">
        <f>INDEX(BrokerTBL!$D:$D,MATCH(D186,BrokerTBL!$A:$A,0))</f>
        <v>Il</v>
      </c>
      <c r="I186" s="142" t="str">
        <f>INDEX(BrokerTBL!$E:$E,MATCH(D186,BrokerTBL!$A:$A,0))</f>
        <v>US</v>
      </c>
      <c r="J186" s="142">
        <f>INDEX(BrokerTBL!$F:$F,MATCH(D186,BrokerTBL!$A:$A,0))</f>
        <v>60654</v>
      </c>
      <c r="K186" s="298" t="s">
        <v>1282</v>
      </c>
      <c r="L186" s="145" t="s">
        <v>132</v>
      </c>
      <c r="M186" s="146">
        <v>42340</v>
      </c>
      <c r="N186" s="144" t="s">
        <v>1447</v>
      </c>
      <c r="O186" s="298" t="s">
        <v>1448</v>
      </c>
      <c r="P186" s="298" t="s">
        <v>366</v>
      </c>
      <c r="Q186" s="298" t="s">
        <v>139</v>
      </c>
      <c r="R186" s="298">
        <v>95776</v>
      </c>
      <c r="S186" s="298" t="s">
        <v>118</v>
      </c>
      <c r="T186" s="298" t="s">
        <v>136</v>
      </c>
      <c r="U186" s="298" t="s">
        <v>120</v>
      </c>
      <c r="V186" s="298">
        <v>53</v>
      </c>
      <c r="W186" s="298" t="s">
        <v>944</v>
      </c>
      <c r="X186" s="185">
        <v>15000</v>
      </c>
      <c r="Y186" s="298" t="s">
        <v>26</v>
      </c>
      <c r="Z186" s="298" t="s">
        <v>123</v>
      </c>
      <c r="AA186" s="298" t="s">
        <v>123</v>
      </c>
      <c r="AB186" s="298" t="s">
        <v>123</v>
      </c>
      <c r="AC186" s="298" t="s">
        <v>1449</v>
      </c>
      <c r="AD186" s="145" t="s">
        <v>1179</v>
      </c>
      <c r="AE186" s="146">
        <v>42341</v>
      </c>
      <c r="AF186" s="298" t="s">
        <v>427</v>
      </c>
      <c r="AG186" s="298" t="s">
        <v>1450</v>
      </c>
      <c r="AH186" s="298" t="s">
        <v>1451</v>
      </c>
      <c r="AI186" s="298" t="s">
        <v>139</v>
      </c>
      <c r="AJ186" s="298">
        <v>92807</v>
      </c>
      <c r="AK186" s="298" t="s">
        <v>118</v>
      </c>
      <c r="AL186" s="298" t="s">
        <v>123</v>
      </c>
      <c r="AM186" s="142" t="str">
        <f>INDEX(CarrierDriverTBL!$B:$B,MATCH(Table1[[#This Row],[DriverID]],CarrierDriverTBL!$A:$A,0))</f>
        <v>UBTrucking</v>
      </c>
      <c r="AN186" s="10" t="s">
        <v>1409</v>
      </c>
      <c r="AO186" s="298" t="str">
        <f>INDEX(CarrierDriverTBL!$C:$C,MATCH(Table1[[#This Row],[DriverID]],CarrierDriverTBL!$A:$A,0))</f>
        <v>Miguel Jaime</v>
      </c>
      <c r="AP186" s="298" t="str">
        <f>INDEX(CarrierDriverTBL!$D:$D,MATCH(Table1[[#This Row],[DriverID]],CarrierDriverTBL!$A:$A,0))</f>
        <v>Martin Del Campo Velarca</v>
      </c>
      <c r="AQ186" s="142" t="str">
        <f>INDEX(CarrierDriverTBL!$X:$X,MATCH(Table1[[#This Row],[DriverID]],CarrierDriverTBL!$A:$A,0))</f>
        <v>D5179619</v>
      </c>
      <c r="AR186" s="160">
        <f>INDEX(CarrierDriverTBL!$Y:$Y,MATCH(Table1[[#This Row],[DriverID]],CarrierDriverTBL!$A:$A,0))</f>
        <v>43843</v>
      </c>
      <c r="AS186" s="142" t="str">
        <f t="shared" si="67"/>
        <v>GOOD</v>
      </c>
      <c r="AT186" s="146">
        <f>INDEX(CarrierDriverTBL!$E:$E,MATCH(Table1[[#This Row],[DriverID]],CarrierDriverTBL!$A:$A,0))</f>
        <v>21198</v>
      </c>
      <c r="AU186" s="163">
        <f ca="1">INDEX(CarrierDriverTBL!$F:$F,MATCH(Table1[[#This Row],[DriverID]],CarrierDriverTBL!$A:$A,0))</f>
        <v>58.56986301369863</v>
      </c>
      <c r="AV186" s="298" t="str">
        <f>INDEX(CarrierDriverTBL!$K:$K,MATCH(Table1[[#This Row],[DriverID]],CarrierDriverTBL!$A:$A,0))</f>
        <v>209-322-5231</v>
      </c>
      <c r="AW186" s="298" t="str">
        <f>INDEX(CarrierDriverTBL!$M:$M,MATCH(Table1[[#This Row],[DriverID]],CarrierDriverTBL!$A:$A,0))</f>
        <v>572 Predersen RD</v>
      </c>
      <c r="AX186" s="298" t="str">
        <f>INDEX(CarrierDriverTBL!$N:$N,MATCH(Table1[[#This Row],[DriverID]],CarrierDriverTBL!$A:$A,0))</f>
        <v>Oakdale</v>
      </c>
      <c r="AY186" s="142" t="str">
        <f>INDEX(CarrierDriverTBL!$O:$O,MATCH(Table1[[#This Row],[DriverID]],CarrierDriverTBL!$A:$A,0))</f>
        <v>CA</v>
      </c>
      <c r="AZ186" s="298">
        <f>INDEX(CarrierDriverTBL!$P:$P,MATCH(Table1[[#This Row],[DriverID]],CarrierDriverTBL!$A:$A,0))</f>
        <v>95361</v>
      </c>
      <c r="BA186" s="298" t="str">
        <f>INDEX(CarrierDriverTBL!$Q:$Q,MATCH(Table1[[#This Row],[DriverID]],CarrierDriverTBL!$A:$A,0))</f>
        <v>US</v>
      </c>
      <c r="BB186" s="176" t="str">
        <f>INDEX(CarrierDriverTBL!$R:$R,MATCH(Table1[[#This Row],[DriverID]],CarrierDriverTBL!$A:$A,0))</f>
        <v>Miguelmartin52@yahoo.com</v>
      </c>
      <c r="BC186" s="160">
        <f>INDEX(CarrierDriverTBL!$AB:$AB,MATCH(Table1[[#This Row],[DriverID]],CarrierDriverTBL!$A:$A,0))</f>
        <v>42334</v>
      </c>
      <c r="BD186" s="142" t="str">
        <f ca="1">INDEX(CarrierDriverTBL!$AD:$AD,MATCH(LoadMaster!$AN:$AN,CarrierDriverTBL!$A:$A,0))</f>
        <v>MISSING</v>
      </c>
      <c r="BE186" s="142">
        <f>INDEX(CarrierDriverTBL!$AE:$AE,MATCH(Table1[DriverID],CarrierDriverTBL!$A:$A,0))</f>
        <v>913971</v>
      </c>
      <c r="BF186" s="142">
        <f>INDEX(CarrierDriverTBL!$AF:$AF,MATCH(Table1[DriverID],CarrierDriverTBL!$A:$A,0))</f>
        <v>2627544</v>
      </c>
      <c r="BG186" s="142">
        <f>INDEX(CarrierDriverTBL!$AG:$AG,MATCH(Table1[DriverID],CarrierDriverTBL!$A:$A,0))</f>
        <v>466133</v>
      </c>
      <c r="BH186" s="142" t="str">
        <f>INDEX(CarrierDriverTBL!$AH:$AH,MATCH(Table1[DriverID],CarrierDriverTBL!$A:$A,0))</f>
        <v>GM Lawrence Ins</v>
      </c>
      <c r="BI186" s="142" t="str">
        <f>INDEX(CarrierDriverTBL!$AI:$AI,MATCH(Table1[DriverID],CarrierDriverTBL!$A:$A,0))</f>
        <v>DSK2842P160210</v>
      </c>
      <c r="BJ186" s="160">
        <f>INDEX(CarrierDriverTBL!$AJ:$AJ,MATCH(Table1[[#This Row],[DriverID]],CarrierDriverTBL!$A:$A,0))</f>
        <v>42778</v>
      </c>
      <c r="BK186" s="10">
        <f t="shared" si="68"/>
        <v>438</v>
      </c>
      <c r="BL186" s="174">
        <v>600</v>
      </c>
      <c r="BM186" s="144">
        <v>430</v>
      </c>
      <c r="BN186" s="159">
        <f t="shared" si="91"/>
        <v>1.3953488372093024</v>
      </c>
      <c r="BO186" s="167">
        <f>0.93*600</f>
        <v>558</v>
      </c>
      <c r="BP186" s="159">
        <f t="shared" si="92"/>
        <v>1.2976744186046512</v>
      </c>
      <c r="BQ186" s="133">
        <v>2.7989999999999999</v>
      </c>
      <c r="BR186" s="166">
        <f t="shared" si="89"/>
        <v>0.14983333333333335</v>
      </c>
      <c r="BS186" s="167">
        <f t="shared" si="69"/>
        <v>1.1478410852713179</v>
      </c>
      <c r="BT186" s="159">
        <f t="shared" si="70"/>
        <v>64.428333333333342</v>
      </c>
      <c r="BU186" s="10" t="str">
        <f t="shared" si="71"/>
        <v>Ch Robinson</v>
      </c>
      <c r="BV186" s="4"/>
      <c r="BW186" s="4" t="str">
        <f>Table1[[#This Row],[BrokerAddress]]</f>
        <v>P.O. Box 3474</v>
      </c>
      <c r="BX186" s="4" t="str">
        <f t="shared" si="72"/>
        <v>Chicago</v>
      </c>
      <c r="BY186" s="4" t="str">
        <f t="shared" si="73"/>
        <v>Il</v>
      </c>
      <c r="BZ186" s="4">
        <f t="shared" si="74"/>
        <v>60654</v>
      </c>
      <c r="CA186" s="10" t="str">
        <f t="shared" si="75"/>
        <v>US</v>
      </c>
      <c r="CB186" s="15" t="s">
        <v>131</v>
      </c>
      <c r="CC186" s="62"/>
      <c r="CD186" s="15" t="s">
        <v>132</v>
      </c>
      <c r="CE186" s="64">
        <v>0</v>
      </c>
      <c r="CF186" s="4">
        <v>0</v>
      </c>
      <c r="CG186" s="132">
        <f t="shared" si="76"/>
        <v>0</v>
      </c>
      <c r="CH186" s="4" t="s">
        <v>132</v>
      </c>
      <c r="CI186" s="5">
        <v>0</v>
      </c>
      <c r="CJ186" s="4">
        <v>0</v>
      </c>
      <c r="CK186" s="132">
        <f t="shared" si="77"/>
        <v>0</v>
      </c>
      <c r="CL186" s="4" t="s">
        <v>132</v>
      </c>
      <c r="CM186" s="5">
        <v>0</v>
      </c>
      <c r="CN186" s="4">
        <v>0</v>
      </c>
      <c r="CO186" s="132">
        <f t="shared" si="78"/>
        <v>0</v>
      </c>
      <c r="CP186" s="4" t="s">
        <v>132</v>
      </c>
      <c r="CQ186" s="5">
        <v>0</v>
      </c>
      <c r="CR186" s="4">
        <v>0</v>
      </c>
      <c r="CS186" s="132">
        <f t="shared" si="79"/>
        <v>0</v>
      </c>
      <c r="CT186" s="159">
        <f t="shared" si="80"/>
        <v>0</v>
      </c>
      <c r="CU186" s="168">
        <f t="shared" si="81"/>
        <v>600</v>
      </c>
      <c r="CV186" s="169">
        <f t="shared" si="90"/>
        <v>0</v>
      </c>
      <c r="CW186" s="82">
        <f t="shared" ref="CW186:CW188" si="93">BO186+CV186</f>
        <v>558</v>
      </c>
      <c r="CX186" s="79">
        <f>IF(ISBLANK(E186),"AddQuickPay",IF(E186=2,CU186*0.98,IF(E186=2.4,CU186*0.976,IF(E186=3,CU186*0.97,IF(E186=5,CU186*0.95,IF(E186=1.5,CU186*0.985,IF(E186=2.5,CU186*0.975,IF(E186=1.3,CU186*0.987,IF(E186=1,CU186*0.99,IF(E186=4,CU186*0.96,CU186*1))))))))))-Table1[[#This Row],[ComCheck+QuickPayFee]]</f>
        <v>588</v>
      </c>
      <c r="CY186" s="5">
        <f t="shared" si="82"/>
        <v>42</v>
      </c>
      <c r="CZ186" s="5">
        <f t="shared" si="83"/>
        <v>12</v>
      </c>
      <c r="DA186" s="258">
        <f>Table1[[#This Row],[OriginalDispatch]]-Table1[[#This Row],[QuickPayCharge]]</f>
        <v>30</v>
      </c>
      <c r="DB186" s="5">
        <v>0</v>
      </c>
      <c r="DC186" s="5" t="s">
        <v>1287</v>
      </c>
      <c r="DD186" s="104">
        <f t="shared" si="84"/>
        <v>42342</v>
      </c>
      <c r="DE186" s="15">
        <f>MONTH(Table1[[#This Row],[Weekending]])</f>
        <v>12</v>
      </c>
      <c r="DF186" s="15">
        <f>YEAR(Table1[[#This Row],[Weekending]])</f>
        <v>2015</v>
      </c>
      <c r="DG186" s="4"/>
    </row>
    <row r="187" spans="1:111">
      <c r="A187" s="20" t="str">
        <f t="shared" si="66"/>
        <v>7764rs88</v>
      </c>
      <c r="B187" s="146">
        <v>42341</v>
      </c>
      <c r="C187" s="144">
        <v>186998577</v>
      </c>
      <c r="D187" s="298" t="s">
        <v>111</v>
      </c>
      <c r="E187" s="298">
        <v>2</v>
      </c>
      <c r="F187" s="142" t="str">
        <f>INDEX(BrokerTBL!$B:$B,MATCH(D187,BrokerTBL!$A:$A,0))</f>
        <v>P.O. Box 3474</v>
      </c>
      <c r="G187" s="142" t="str">
        <f>INDEX(BrokerTBL!$C:$C,MATCH(D187,BrokerTBL!$A:$A,0))</f>
        <v>Chicago</v>
      </c>
      <c r="H187" s="142" t="str">
        <f>INDEX(BrokerTBL!$D:$D,MATCH(D187,BrokerTBL!$A:$A,0))</f>
        <v>Il</v>
      </c>
      <c r="I187" s="142" t="str">
        <f>INDEX(BrokerTBL!$E:$E,MATCH(D187,BrokerTBL!$A:$A,0))</f>
        <v>US</v>
      </c>
      <c r="J187" s="142">
        <f>INDEX(BrokerTBL!$F:$F,MATCH(D187,BrokerTBL!$A:$A,0))</f>
        <v>60654</v>
      </c>
      <c r="K187" s="298" t="s">
        <v>1452</v>
      </c>
      <c r="L187" s="145">
        <v>183764</v>
      </c>
      <c r="M187" s="146">
        <v>42341</v>
      </c>
      <c r="N187" s="144" t="s">
        <v>1453</v>
      </c>
      <c r="O187" s="298" t="s">
        <v>1454</v>
      </c>
      <c r="P187" s="298" t="s">
        <v>738</v>
      </c>
      <c r="Q187" s="298" t="s">
        <v>264</v>
      </c>
      <c r="R187" s="298">
        <v>89506</v>
      </c>
      <c r="S187" s="298" t="s">
        <v>118</v>
      </c>
      <c r="T187" s="298" t="s">
        <v>136</v>
      </c>
      <c r="U187" s="298" t="s">
        <v>120</v>
      </c>
      <c r="V187" s="298">
        <v>53</v>
      </c>
      <c r="W187" s="298" t="s">
        <v>995</v>
      </c>
      <c r="X187" s="144">
        <v>24554</v>
      </c>
      <c r="Y187" s="298" t="s">
        <v>26</v>
      </c>
      <c r="Z187" s="298">
        <v>4980</v>
      </c>
      <c r="AA187" s="298">
        <v>56</v>
      </c>
      <c r="AB187" s="298" t="s">
        <v>123</v>
      </c>
      <c r="AC187" s="298" t="s">
        <v>1455</v>
      </c>
      <c r="AD187" s="145" t="s">
        <v>1456</v>
      </c>
      <c r="AE187" s="146">
        <v>42342</v>
      </c>
      <c r="AF187" s="298" t="s">
        <v>1457</v>
      </c>
      <c r="AG187" s="298" t="s">
        <v>1458</v>
      </c>
      <c r="AH187" s="298" t="s">
        <v>299</v>
      </c>
      <c r="AI187" s="298" t="s">
        <v>139</v>
      </c>
      <c r="AJ187" s="298">
        <v>94607</v>
      </c>
      <c r="AK187" s="298" t="s">
        <v>118</v>
      </c>
      <c r="AL187" s="298" t="s">
        <v>123</v>
      </c>
      <c r="AM187" s="142" t="str">
        <f>INDEX(CarrierDriverTBL!$B:$B,MATCH(Table1[[#This Row],[DriverID]],CarrierDriverTBL!$A:$A,0))</f>
        <v>UBTrucking</v>
      </c>
      <c r="AN187" s="10" t="s">
        <v>948</v>
      </c>
      <c r="AO187" s="10" t="str">
        <f>INDEX(CarrierDriverTBL!$C:$C,MATCH(Table1[[#This Row],[DriverID]],CarrierDriverTBL!$A:$A,0))</f>
        <v>Wesley</v>
      </c>
      <c r="AP187" s="10" t="str">
        <f>INDEX(CarrierDriverTBL!$D:$D,MATCH(Table1[[#This Row],[DriverID]],CarrierDriverTBL!$A:$A,0))</f>
        <v>Cousain</v>
      </c>
      <c r="AQ187" s="10" t="str">
        <f>INDEX(CarrierDriverTBL!$X:$X,MATCH(Table1[[#This Row],[DriverID]],CarrierDriverTBL!$A:$A,0))</f>
        <v>D4903588</v>
      </c>
      <c r="AR187" s="11">
        <f>INDEX(CarrierDriverTBL!$Y:$Y,MATCH(Table1[[#This Row],[DriverID]],CarrierDriverTBL!$A:$A,0))</f>
        <v>43458</v>
      </c>
      <c r="AS187" s="142" t="str">
        <f t="shared" si="67"/>
        <v>GOOD</v>
      </c>
      <c r="AT187" s="11">
        <f>INDEX(CarrierDriverTBL!$E:$E,MATCH(Table1[[#This Row],[DriverID]],CarrierDriverTBL!$A:$A,0))</f>
        <v>31405</v>
      </c>
      <c r="AU187" s="163">
        <f ca="1">INDEX(CarrierDriverTBL!$F:$F,MATCH(Table1[[#This Row],[DriverID]],CarrierDriverTBL!$A:$A,0))</f>
        <v>30.605479452054794</v>
      </c>
      <c r="AV187" s="10" t="str">
        <f>INDEX(CarrierDriverTBL!$K:$K,MATCH(Table1[[#This Row],[DriverID]],CarrierDriverTBL!$A:$A,0))</f>
        <v>925-383-5364</v>
      </c>
      <c r="AW187" s="10" t="str">
        <f>INDEX(CarrierDriverTBL!$M:$M,MATCH(Table1[[#This Row],[DriverID]],CarrierDriverTBL!$A:$A,0))</f>
        <v>110 Cordova Ln</v>
      </c>
      <c r="AX187" s="10" t="str">
        <f>INDEX(CarrierDriverTBL!$N:$N,MATCH(Table1[[#This Row],[DriverID]],CarrierDriverTBL!$A:$A,0))</f>
        <v>Stockton</v>
      </c>
      <c r="AY187" s="10" t="str">
        <f>INDEX(CarrierDriverTBL!$O:$O,MATCH(Table1[[#This Row],[DriverID]],CarrierDriverTBL!$A:$A,0))</f>
        <v>CA</v>
      </c>
      <c r="AZ187" s="10">
        <f>INDEX(CarrierDriverTBL!$P:$P,MATCH(Table1[[#This Row],[DriverID]],CarrierDriverTBL!$A:$A,0))</f>
        <v>95207</v>
      </c>
      <c r="BA187" s="10" t="str">
        <f>INDEX(CarrierDriverTBL!$Q:$Q,MATCH(Table1[[#This Row],[DriverID]],CarrierDriverTBL!$A:$A,0))</f>
        <v>US</v>
      </c>
      <c r="BB187" s="173" t="str">
        <f>INDEX(CarrierDriverTBL!$R:$R,MATCH(Table1[[#This Row],[DriverID]],CarrierDriverTBL!$A:$A,0))</f>
        <v>wesleycousain1@gmail.com</v>
      </c>
      <c r="BC187" s="160">
        <f>INDEX(CarrierDriverTBL!$AB:$AB,MATCH(Table1[[#This Row],[DriverID]],CarrierDriverTBL!$A:$A,0))</f>
        <v>42271</v>
      </c>
      <c r="BD187" s="142" t="str">
        <f ca="1">INDEX(CarrierDriverTBL!$AD:$AD,MATCH(LoadMaster!$AN:$AN,CarrierDriverTBL!$A:$A,0))</f>
        <v>MISSING</v>
      </c>
      <c r="BE187" s="142">
        <f>INDEX(CarrierDriverTBL!$AE:$AE,MATCH(Table1[DriverID],CarrierDriverTBL!$A:$A,0))</f>
        <v>913971</v>
      </c>
      <c r="BF187" s="142">
        <f>INDEX(CarrierDriverTBL!$AF:$AF,MATCH(Table1[DriverID],CarrierDriverTBL!$A:$A,0))</f>
        <v>2627544</v>
      </c>
      <c r="BG187" s="142">
        <f>INDEX(CarrierDriverTBL!$AG:$AG,MATCH(Table1[DriverID],CarrierDriverTBL!$A:$A,0))</f>
        <v>466133</v>
      </c>
      <c r="BH187" s="142" t="str">
        <f>INDEX(CarrierDriverTBL!$AH:$AH,MATCH(Table1[DriverID],CarrierDriverTBL!$A:$A,0))</f>
        <v>GM Lawrence Ins</v>
      </c>
      <c r="BI187" s="142" t="str">
        <f>INDEX(CarrierDriverTBL!$AI:$AI,MATCH(Table1[DriverID],CarrierDriverTBL!$A:$A,0))</f>
        <v>DSK2842P160210</v>
      </c>
      <c r="BJ187" s="160">
        <f>INDEX(CarrierDriverTBL!$AJ:$AJ,MATCH(Table1[[#This Row],[DriverID]],CarrierDriverTBL!$A:$A,0))</f>
        <v>42778</v>
      </c>
      <c r="BK187" s="10">
        <f t="shared" si="68"/>
        <v>437</v>
      </c>
      <c r="BL187" s="174">
        <v>500</v>
      </c>
      <c r="BM187" s="144">
        <v>225</v>
      </c>
      <c r="BN187" s="159">
        <f t="shared" si="91"/>
        <v>2.2222222222222223</v>
      </c>
      <c r="BO187" s="167">
        <f>0.93*500</f>
        <v>465</v>
      </c>
      <c r="BP187" s="159">
        <f t="shared" si="92"/>
        <v>2.0666666666666669</v>
      </c>
      <c r="BQ187" s="133">
        <v>2.7989999999999999</v>
      </c>
      <c r="BR187" s="166">
        <f t="shared" si="89"/>
        <v>0.14983333333333335</v>
      </c>
      <c r="BS187" s="167">
        <f t="shared" si="69"/>
        <v>1.9168333333333336</v>
      </c>
      <c r="BT187" s="159">
        <f t="shared" si="70"/>
        <v>33.712500000000006</v>
      </c>
      <c r="BU187" s="10" t="str">
        <f t="shared" si="71"/>
        <v>Ch Robinson</v>
      </c>
      <c r="BV187" s="4"/>
      <c r="BW187" s="4" t="str">
        <f>Table1[[#This Row],[BrokerAddress]]</f>
        <v>P.O. Box 3474</v>
      </c>
      <c r="BX187" s="4" t="str">
        <f t="shared" si="72"/>
        <v>Chicago</v>
      </c>
      <c r="BY187" s="4" t="str">
        <f t="shared" si="73"/>
        <v>Il</v>
      </c>
      <c r="BZ187" s="4">
        <f t="shared" si="74"/>
        <v>60654</v>
      </c>
      <c r="CA187" s="10" t="str">
        <f t="shared" si="75"/>
        <v>US</v>
      </c>
      <c r="CB187" s="15" t="s">
        <v>131</v>
      </c>
      <c r="CC187" s="62"/>
      <c r="CD187" s="212" t="s">
        <v>149</v>
      </c>
      <c r="CE187" s="213">
        <v>40</v>
      </c>
      <c r="CF187" s="212">
        <v>1</v>
      </c>
      <c r="CG187" s="132">
        <f t="shared" si="76"/>
        <v>40</v>
      </c>
      <c r="CH187" s="4" t="s">
        <v>132</v>
      </c>
      <c r="CI187" s="5">
        <v>0</v>
      </c>
      <c r="CJ187" s="4">
        <v>0</v>
      </c>
      <c r="CK187" s="132">
        <f t="shared" si="77"/>
        <v>0</v>
      </c>
      <c r="CL187" s="4" t="s">
        <v>132</v>
      </c>
      <c r="CM187" s="5">
        <v>0</v>
      </c>
      <c r="CN187" s="4">
        <v>0</v>
      </c>
      <c r="CO187" s="132">
        <f t="shared" si="78"/>
        <v>0</v>
      </c>
      <c r="CP187" s="4" t="s">
        <v>132</v>
      </c>
      <c r="CQ187" s="5">
        <v>0</v>
      </c>
      <c r="CR187" s="4">
        <v>0</v>
      </c>
      <c r="CS187" s="132">
        <f t="shared" si="79"/>
        <v>0</v>
      </c>
      <c r="CT187" s="159">
        <f t="shared" si="80"/>
        <v>40</v>
      </c>
      <c r="CU187" s="168">
        <f t="shared" si="81"/>
        <v>540</v>
      </c>
      <c r="CV187" s="169">
        <f t="shared" si="90"/>
        <v>37.200000000000003</v>
      </c>
      <c r="CW187" s="82">
        <f t="shared" si="93"/>
        <v>502.2</v>
      </c>
      <c r="CX187" s="79">
        <f>IF(ISBLANK(E187),"AddQuickPay",IF(E187=2,CU187*0.98,IF(E187=2.4,CU187*0.976,IF(E187=3,CU187*0.97,IF(E187=5,CU187*0.95,IF(E187=1.5,CU187*0.985,IF(E187=2.5,CU187*0.975,IF(E187=1.3,CU187*0.987,IF(E187=1,CU187*0.99,IF(E187=4,CU187*0.96,CU187*1))))))))))-Table1[[#This Row],[ComCheck+QuickPayFee]]</f>
        <v>529.20000000000005</v>
      </c>
      <c r="CY187" s="5">
        <f t="shared" si="82"/>
        <v>37.800000000000011</v>
      </c>
      <c r="CZ187" s="5">
        <f t="shared" si="83"/>
        <v>10.8</v>
      </c>
      <c r="DA187" s="258">
        <f>Table1[[#This Row],[OriginalDispatch]]-Table1[[#This Row],[QuickPayCharge]]</f>
        <v>27.000000000000011</v>
      </c>
      <c r="DB187" s="5">
        <v>0</v>
      </c>
      <c r="DC187" s="5" t="s">
        <v>1287</v>
      </c>
      <c r="DD187" s="104">
        <f t="shared" si="84"/>
        <v>42342</v>
      </c>
      <c r="DE187" s="15">
        <f>MONTH(Table1[[#This Row],[Weekending]])</f>
        <v>12</v>
      </c>
      <c r="DF187" s="15">
        <f>YEAR(Table1[[#This Row],[Weekending]])</f>
        <v>2015</v>
      </c>
      <c r="DG187" s="47" t="s">
        <v>1459</v>
      </c>
    </row>
    <row r="188" spans="1:111">
      <c r="A188" s="20" t="str">
        <f t="shared" si="66"/>
        <v>05309719</v>
      </c>
      <c r="B188" s="146">
        <v>42341</v>
      </c>
      <c r="C188" s="144">
        <v>187375205</v>
      </c>
      <c r="D188" s="298" t="s">
        <v>111</v>
      </c>
      <c r="E188" s="298">
        <v>2</v>
      </c>
      <c r="F188" s="142" t="str">
        <f>INDEX(BrokerTBL!$B:$B,MATCH(D188,BrokerTBL!$A:$A,0))</f>
        <v>P.O. Box 3474</v>
      </c>
      <c r="G188" s="142" t="str">
        <f>INDEX(BrokerTBL!$C:$C,MATCH(D188,BrokerTBL!$A:$A,0))</f>
        <v>Chicago</v>
      </c>
      <c r="H188" s="142" t="str">
        <f>INDEX(BrokerTBL!$D:$D,MATCH(D188,BrokerTBL!$A:$A,0))</f>
        <v>Il</v>
      </c>
      <c r="I188" s="142" t="str">
        <f>INDEX(BrokerTBL!$E:$E,MATCH(D188,BrokerTBL!$A:$A,0))</f>
        <v>US</v>
      </c>
      <c r="J188" s="142">
        <f>INDEX(BrokerTBL!$F:$F,MATCH(D188,BrokerTBL!$A:$A,0))</f>
        <v>60654</v>
      </c>
      <c r="K188" s="298" t="s">
        <v>1460</v>
      </c>
      <c r="L188" s="145">
        <v>19859030</v>
      </c>
      <c r="M188" s="146">
        <v>42341</v>
      </c>
      <c r="N188" s="144" t="s">
        <v>1242</v>
      </c>
      <c r="O188" s="298" t="s">
        <v>1461</v>
      </c>
      <c r="P188" s="298" t="s">
        <v>1462</v>
      </c>
      <c r="Q188" s="298" t="s">
        <v>139</v>
      </c>
      <c r="R188" s="298">
        <v>92407</v>
      </c>
      <c r="S188" s="298" t="s">
        <v>118</v>
      </c>
      <c r="T188" s="298" t="s">
        <v>136</v>
      </c>
      <c r="U188" s="298" t="s">
        <v>120</v>
      </c>
      <c r="V188" s="298">
        <v>53</v>
      </c>
      <c r="W188" s="298" t="s">
        <v>1463</v>
      </c>
      <c r="X188" s="185">
        <v>41556</v>
      </c>
      <c r="Y188" s="298" t="s">
        <v>1464</v>
      </c>
      <c r="Z188" s="298">
        <v>3904</v>
      </c>
      <c r="AA188" s="298">
        <v>33</v>
      </c>
      <c r="AB188" s="298" t="s">
        <v>123</v>
      </c>
      <c r="AC188" s="298" t="s">
        <v>1465</v>
      </c>
      <c r="AD188" s="145" t="s">
        <v>1466</v>
      </c>
      <c r="AE188" s="146">
        <v>42342</v>
      </c>
      <c r="AF188" s="298" t="s">
        <v>1097</v>
      </c>
      <c r="AG188" s="298" t="s">
        <v>1467</v>
      </c>
      <c r="AH188" s="298" t="s">
        <v>765</v>
      </c>
      <c r="AI188" s="298" t="s">
        <v>139</v>
      </c>
      <c r="AJ188" s="298">
        <v>94538</v>
      </c>
      <c r="AK188" s="298" t="s">
        <v>118</v>
      </c>
      <c r="AL188" s="298" t="s">
        <v>123</v>
      </c>
      <c r="AM188" s="142" t="str">
        <f>INDEX(CarrierDriverTBL!$B:$B,MATCH(Table1[[#This Row],[DriverID]],CarrierDriverTBL!$A:$A,0))</f>
        <v>UBTrucking</v>
      </c>
      <c r="AN188" s="10" t="s">
        <v>1409</v>
      </c>
      <c r="AO188" s="298" t="str">
        <f>INDEX(CarrierDriverTBL!$C:$C,MATCH(Table1[[#This Row],[DriverID]],CarrierDriverTBL!$A:$A,0))</f>
        <v>Miguel Jaime</v>
      </c>
      <c r="AP188" s="298" t="str">
        <f>INDEX(CarrierDriverTBL!$D:$D,MATCH(Table1[[#This Row],[DriverID]],CarrierDriverTBL!$A:$A,0))</f>
        <v>Martin Del Campo Velarca</v>
      </c>
      <c r="AQ188" s="142" t="str">
        <f>INDEX(CarrierDriverTBL!$X:$X,MATCH(Table1[[#This Row],[DriverID]],CarrierDriverTBL!$A:$A,0))</f>
        <v>D5179619</v>
      </c>
      <c r="AR188" s="160">
        <f>INDEX(CarrierDriverTBL!$Y:$Y,MATCH(Table1[[#This Row],[DriverID]],CarrierDriverTBL!$A:$A,0))</f>
        <v>43843</v>
      </c>
      <c r="AS188" s="142" t="str">
        <f t="shared" si="67"/>
        <v>GOOD</v>
      </c>
      <c r="AT188" s="146">
        <f>INDEX(CarrierDriverTBL!$E:$E,MATCH(Table1[[#This Row],[DriverID]],CarrierDriverTBL!$A:$A,0))</f>
        <v>21198</v>
      </c>
      <c r="AU188" s="163">
        <f ca="1">INDEX(CarrierDriverTBL!$F:$F,MATCH(Table1[[#This Row],[DriverID]],CarrierDriverTBL!$A:$A,0))</f>
        <v>58.56986301369863</v>
      </c>
      <c r="AV188" s="298" t="str">
        <f>INDEX(CarrierDriverTBL!$K:$K,MATCH(Table1[[#This Row],[DriverID]],CarrierDriverTBL!$A:$A,0))</f>
        <v>209-322-5231</v>
      </c>
      <c r="AW188" s="298" t="str">
        <f>INDEX(CarrierDriverTBL!$M:$M,MATCH(Table1[[#This Row],[DriverID]],CarrierDriverTBL!$A:$A,0))</f>
        <v>572 Predersen RD</v>
      </c>
      <c r="AX188" s="298" t="str">
        <f>INDEX(CarrierDriverTBL!$N:$N,MATCH(Table1[[#This Row],[DriverID]],CarrierDriverTBL!$A:$A,0))</f>
        <v>Oakdale</v>
      </c>
      <c r="AY188" s="142" t="str">
        <f>INDEX(CarrierDriverTBL!$O:$O,MATCH(Table1[[#This Row],[DriverID]],CarrierDriverTBL!$A:$A,0))</f>
        <v>CA</v>
      </c>
      <c r="AZ188" s="298">
        <f>INDEX(CarrierDriverTBL!$P:$P,MATCH(Table1[[#This Row],[DriverID]],CarrierDriverTBL!$A:$A,0))</f>
        <v>95361</v>
      </c>
      <c r="BA188" s="298" t="str">
        <f>INDEX(CarrierDriverTBL!$Q:$Q,MATCH(Table1[[#This Row],[DriverID]],CarrierDriverTBL!$A:$A,0))</f>
        <v>US</v>
      </c>
      <c r="BB188" s="176" t="str">
        <f>INDEX(CarrierDriverTBL!$R:$R,MATCH(Table1[[#This Row],[DriverID]],CarrierDriverTBL!$A:$A,0))</f>
        <v>Miguelmartin52@yahoo.com</v>
      </c>
      <c r="BC188" s="160">
        <f>INDEX(CarrierDriverTBL!$AB:$AB,MATCH(Table1[[#This Row],[DriverID]],CarrierDriverTBL!$A:$A,0))</f>
        <v>42334</v>
      </c>
      <c r="BD188" s="142" t="str">
        <f ca="1">INDEX(CarrierDriverTBL!$AD:$AD,MATCH(LoadMaster!$AN:$AN,CarrierDriverTBL!$A:$A,0))</f>
        <v>MISSING</v>
      </c>
      <c r="BE188" s="142">
        <f>INDEX(CarrierDriverTBL!$AE:$AE,MATCH(Table1[DriverID],CarrierDriverTBL!$A:$A,0))</f>
        <v>913971</v>
      </c>
      <c r="BF188" s="142">
        <f>INDEX(CarrierDriverTBL!$AF:$AF,MATCH(Table1[DriverID],CarrierDriverTBL!$A:$A,0))</f>
        <v>2627544</v>
      </c>
      <c r="BG188" s="142">
        <f>INDEX(CarrierDriverTBL!$AG:$AG,MATCH(Table1[DriverID],CarrierDriverTBL!$A:$A,0))</f>
        <v>466133</v>
      </c>
      <c r="BH188" s="142" t="str">
        <f>INDEX(CarrierDriverTBL!$AH:$AH,MATCH(Table1[DriverID],CarrierDriverTBL!$A:$A,0))</f>
        <v>GM Lawrence Ins</v>
      </c>
      <c r="BI188" s="142" t="str">
        <f>INDEX(CarrierDriverTBL!$AI:$AI,MATCH(Table1[DriverID],CarrierDriverTBL!$A:$A,0))</f>
        <v>DSK2842P160210</v>
      </c>
      <c r="BJ188" s="160">
        <f>INDEX(CarrierDriverTBL!$AJ:$AJ,MATCH(Table1[[#This Row],[DriverID]],CarrierDriverTBL!$A:$A,0))</f>
        <v>42778</v>
      </c>
      <c r="BK188" s="10">
        <f t="shared" si="68"/>
        <v>437</v>
      </c>
      <c r="BL188" s="174">
        <v>900</v>
      </c>
      <c r="BM188" s="144">
        <v>411</v>
      </c>
      <c r="BN188" s="159">
        <f t="shared" si="91"/>
        <v>2.1897810218978102</v>
      </c>
      <c r="BO188" s="167">
        <f>0.93*900</f>
        <v>837</v>
      </c>
      <c r="BP188" s="159">
        <f t="shared" si="92"/>
        <v>2.0364963503649633</v>
      </c>
      <c r="BQ188" s="133">
        <v>2.7989999999999999</v>
      </c>
      <c r="BR188" s="166">
        <f t="shared" si="89"/>
        <v>0.14983333333333335</v>
      </c>
      <c r="BS188" s="167">
        <f t="shared" si="69"/>
        <v>1.8866630170316301</v>
      </c>
      <c r="BT188" s="159">
        <f t="shared" si="70"/>
        <v>61.581500000000005</v>
      </c>
      <c r="BU188" s="10" t="str">
        <f t="shared" si="71"/>
        <v>Ch Robinson</v>
      </c>
      <c r="BV188" s="4"/>
      <c r="BW188" s="4" t="str">
        <f>Table1[[#This Row],[BrokerAddress]]</f>
        <v>P.O. Box 3474</v>
      </c>
      <c r="BX188" s="4" t="str">
        <f t="shared" si="72"/>
        <v>Chicago</v>
      </c>
      <c r="BY188" s="4" t="str">
        <f t="shared" si="73"/>
        <v>Il</v>
      </c>
      <c r="BZ188" s="4">
        <f t="shared" si="74"/>
        <v>60654</v>
      </c>
      <c r="CA188" s="10" t="str">
        <f t="shared" si="75"/>
        <v>US</v>
      </c>
      <c r="CB188" s="15" t="s">
        <v>131</v>
      </c>
      <c r="CC188" s="62">
        <v>15</v>
      </c>
      <c r="CD188" s="15" t="s">
        <v>132</v>
      </c>
      <c r="CE188" s="64">
        <v>0</v>
      </c>
      <c r="CF188" s="4">
        <v>0</v>
      </c>
      <c r="CG188" s="132">
        <f t="shared" si="76"/>
        <v>0</v>
      </c>
      <c r="CH188" s="4" t="s">
        <v>132</v>
      </c>
      <c r="CI188" s="5">
        <v>0</v>
      </c>
      <c r="CJ188" s="4">
        <v>0</v>
      </c>
      <c r="CK188" s="132">
        <f t="shared" si="77"/>
        <v>0</v>
      </c>
      <c r="CL188" s="4" t="s">
        <v>132</v>
      </c>
      <c r="CM188" s="5">
        <v>0</v>
      </c>
      <c r="CN188" s="4">
        <v>0</v>
      </c>
      <c r="CO188" s="132">
        <f t="shared" si="78"/>
        <v>0</v>
      </c>
      <c r="CP188" s="4" t="s">
        <v>132</v>
      </c>
      <c r="CQ188" s="5">
        <v>0</v>
      </c>
      <c r="CR188" s="4">
        <v>0</v>
      </c>
      <c r="CS188" s="132">
        <f t="shared" si="79"/>
        <v>0</v>
      </c>
      <c r="CT188" s="159">
        <f t="shared" si="80"/>
        <v>0</v>
      </c>
      <c r="CU188" s="168">
        <f t="shared" si="81"/>
        <v>885</v>
      </c>
      <c r="CV188" s="169"/>
      <c r="CW188" s="82">
        <f t="shared" si="93"/>
        <v>837</v>
      </c>
      <c r="CX188" s="79">
        <f>IF(ISBLANK(E188),"AddQuickPay",IF(E188=2,CU188*0.98,IF(E188=2.4,CU188*0.976,IF(E188=3,CU188*0.97,IF(E188=5,CU188*0.95,IF(E188=1.5,CU188*0.985,IF(E188=2.5,CU188*0.975,IF(E188=1.3,CU188*0.987,IF(E188=1,CU188*0.99,IF(E188=4,CU188*0.96,CU188*1))))))))))-Table1[[#This Row],[ComCheck+QuickPayFee]]</f>
        <v>867.3</v>
      </c>
      <c r="CY188" s="5">
        <f t="shared" si="82"/>
        <v>48</v>
      </c>
      <c r="CZ188" s="5">
        <f t="shared" si="83"/>
        <v>17.7</v>
      </c>
      <c r="DA188" s="258">
        <f>Table1[[#This Row],[OriginalDispatch]]-Table1[[#This Row],[QuickPayCharge]]</f>
        <v>30.3</v>
      </c>
      <c r="DB188" s="5">
        <v>0</v>
      </c>
      <c r="DC188" s="5" t="s">
        <v>1287</v>
      </c>
      <c r="DD188" s="104">
        <f t="shared" si="84"/>
        <v>42342</v>
      </c>
      <c r="DE188" s="15">
        <f>MONTH(Table1[[#This Row],[Weekending]])</f>
        <v>12</v>
      </c>
      <c r="DF188" s="15">
        <f>YEAR(Table1[[#This Row],[Weekending]])</f>
        <v>2015</v>
      </c>
      <c r="DG188" s="29" t="s">
        <v>1468</v>
      </c>
    </row>
    <row r="189" spans="1:111">
      <c r="A189" s="20" t="str">
        <f t="shared" si="66"/>
        <v>59591288</v>
      </c>
      <c r="B189" s="146">
        <v>42342</v>
      </c>
      <c r="C189" s="144">
        <v>187300759</v>
      </c>
      <c r="D189" s="298" t="s">
        <v>111</v>
      </c>
      <c r="E189" s="298">
        <v>2</v>
      </c>
      <c r="F189" s="142" t="str">
        <f>INDEX(BrokerTBL!$B:$B,MATCH(D189,BrokerTBL!$A:$A,0))</f>
        <v>P.O. Box 3474</v>
      </c>
      <c r="G189" s="142" t="str">
        <f>INDEX(BrokerTBL!$C:$C,MATCH(D189,BrokerTBL!$A:$A,0))</f>
        <v>Chicago</v>
      </c>
      <c r="H189" s="142" t="str">
        <f>INDEX(BrokerTBL!$D:$D,MATCH(D189,BrokerTBL!$A:$A,0))</f>
        <v>Il</v>
      </c>
      <c r="I189" s="142" t="str">
        <f>INDEX(BrokerTBL!$E:$E,MATCH(D189,BrokerTBL!$A:$A,0))</f>
        <v>US</v>
      </c>
      <c r="J189" s="142">
        <f>INDEX(BrokerTBL!$F:$F,MATCH(D189,BrokerTBL!$A:$A,0))</f>
        <v>60654</v>
      </c>
      <c r="K189" s="298" t="s">
        <v>1353</v>
      </c>
      <c r="L189" s="145">
        <v>187300759</v>
      </c>
      <c r="M189" s="146">
        <v>42342</v>
      </c>
      <c r="N189" s="144" t="s">
        <v>1469</v>
      </c>
      <c r="O189" s="298" t="s">
        <v>1470</v>
      </c>
      <c r="P189" s="298" t="s">
        <v>380</v>
      </c>
      <c r="Q189" s="298" t="s">
        <v>139</v>
      </c>
      <c r="R189" s="298">
        <v>95376</v>
      </c>
      <c r="S189" s="298" t="s">
        <v>118</v>
      </c>
      <c r="T189" s="298" t="s">
        <v>136</v>
      </c>
      <c r="U189" s="298" t="s">
        <v>120</v>
      </c>
      <c r="V189" s="298">
        <v>53</v>
      </c>
      <c r="W189" s="298" t="s">
        <v>1471</v>
      </c>
      <c r="X189" s="144">
        <v>41772</v>
      </c>
      <c r="Y189" s="298" t="s">
        <v>740</v>
      </c>
      <c r="Z189" s="298" t="s">
        <v>123</v>
      </c>
      <c r="AA189" s="298" t="s">
        <v>123</v>
      </c>
      <c r="AB189" s="298" t="s">
        <v>123</v>
      </c>
      <c r="AC189" s="298" t="s">
        <v>1472</v>
      </c>
      <c r="AD189" s="145">
        <v>7019612</v>
      </c>
      <c r="AE189" s="146">
        <v>42345</v>
      </c>
      <c r="AF189" s="298" t="s">
        <v>353</v>
      </c>
      <c r="AG189" s="298" t="s">
        <v>1473</v>
      </c>
      <c r="AH189" s="298" t="s">
        <v>787</v>
      </c>
      <c r="AI189" s="298" t="s">
        <v>139</v>
      </c>
      <c r="AJ189" s="298">
        <v>94804</v>
      </c>
      <c r="AK189" s="298" t="s">
        <v>118</v>
      </c>
      <c r="AL189" s="298" t="s">
        <v>123</v>
      </c>
      <c r="AM189" s="142" t="str">
        <f>INDEX(CarrierDriverTBL!$B:$B,MATCH(Table1[[#This Row],[DriverID]],CarrierDriverTBL!$A:$A,0))</f>
        <v>UBTrucking</v>
      </c>
      <c r="AN189" s="10" t="s">
        <v>948</v>
      </c>
      <c r="AO189" s="10" t="str">
        <f>INDEX(CarrierDriverTBL!$C:$C,MATCH(Table1[[#This Row],[DriverID]],CarrierDriverTBL!$A:$A,0))</f>
        <v>Wesley</v>
      </c>
      <c r="AP189" s="10" t="str">
        <f>INDEX(CarrierDriverTBL!$D:$D,MATCH(Table1[[#This Row],[DriverID]],CarrierDriverTBL!$A:$A,0))</f>
        <v>Cousain</v>
      </c>
      <c r="AQ189" s="10" t="str">
        <f>INDEX(CarrierDriverTBL!$X:$X,MATCH(Table1[[#This Row],[DriverID]],CarrierDriverTBL!$A:$A,0))</f>
        <v>D4903588</v>
      </c>
      <c r="AR189" s="11">
        <f>INDEX(CarrierDriverTBL!$Y:$Y,MATCH(Table1[[#This Row],[DriverID]],CarrierDriverTBL!$A:$A,0))</f>
        <v>43458</v>
      </c>
      <c r="AS189" s="142" t="str">
        <f t="shared" si="67"/>
        <v>GOOD</v>
      </c>
      <c r="AT189" s="11">
        <f>INDEX(CarrierDriverTBL!$E:$E,MATCH(Table1[[#This Row],[DriverID]],CarrierDriverTBL!$A:$A,0))</f>
        <v>31405</v>
      </c>
      <c r="AU189" s="163">
        <f ca="1">INDEX(CarrierDriverTBL!$F:$F,MATCH(Table1[[#This Row],[DriverID]],CarrierDriverTBL!$A:$A,0))</f>
        <v>30.605479452054794</v>
      </c>
      <c r="AV189" s="10" t="str">
        <f>INDEX(CarrierDriverTBL!$K:$K,MATCH(Table1[[#This Row],[DriverID]],CarrierDriverTBL!$A:$A,0))</f>
        <v>925-383-5364</v>
      </c>
      <c r="AW189" s="10" t="str">
        <f>INDEX(CarrierDriverTBL!$M:$M,MATCH(Table1[[#This Row],[DriverID]],CarrierDriverTBL!$A:$A,0))</f>
        <v>110 Cordova Ln</v>
      </c>
      <c r="AX189" s="10" t="str">
        <f>INDEX(CarrierDriverTBL!$N:$N,MATCH(Table1[[#This Row],[DriverID]],CarrierDriverTBL!$A:$A,0))</f>
        <v>Stockton</v>
      </c>
      <c r="AY189" s="10" t="str">
        <f>INDEX(CarrierDriverTBL!$O:$O,MATCH(Table1[[#This Row],[DriverID]],CarrierDriverTBL!$A:$A,0))</f>
        <v>CA</v>
      </c>
      <c r="AZ189" s="10">
        <f>INDEX(CarrierDriverTBL!$P:$P,MATCH(Table1[[#This Row],[DriverID]],CarrierDriverTBL!$A:$A,0))</f>
        <v>95207</v>
      </c>
      <c r="BA189" s="10" t="str">
        <f>INDEX(CarrierDriverTBL!$Q:$Q,MATCH(Table1[[#This Row],[DriverID]],CarrierDriverTBL!$A:$A,0))</f>
        <v>US</v>
      </c>
      <c r="BB189" s="173" t="str">
        <f>INDEX(CarrierDriverTBL!$R:$R,MATCH(Table1[[#This Row],[DriverID]],CarrierDriverTBL!$A:$A,0))</f>
        <v>wesleycousain1@gmail.com</v>
      </c>
      <c r="BC189" s="160">
        <f>INDEX(CarrierDriverTBL!$AB:$AB,MATCH(Table1[[#This Row],[DriverID]],CarrierDriverTBL!$A:$A,0))</f>
        <v>42271</v>
      </c>
      <c r="BD189" s="142" t="str">
        <f ca="1">INDEX(CarrierDriverTBL!$AD:$AD,MATCH(LoadMaster!$AN:$AN,CarrierDriverTBL!$A:$A,0))</f>
        <v>MISSING</v>
      </c>
      <c r="BE189" s="142">
        <f>INDEX(CarrierDriverTBL!$AE:$AE,MATCH(Table1[DriverID],CarrierDriverTBL!$A:$A,0))</f>
        <v>913971</v>
      </c>
      <c r="BF189" s="142">
        <f>INDEX(CarrierDriverTBL!$AF:$AF,MATCH(Table1[DriverID],CarrierDriverTBL!$A:$A,0))</f>
        <v>2627544</v>
      </c>
      <c r="BG189" s="142">
        <f>INDEX(CarrierDriverTBL!$AG:$AG,MATCH(Table1[DriverID],CarrierDriverTBL!$A:$A,0))</f>
        <v>466133</v>
      </c>
      <c r="BH189" s="142" t="str">
        <f>INDEX(CarrierDriverTBL!$AH:$AH,MATCH(Table1[DriverID],CarrierDriverTBL!$A:$A,0))</f>
        <v>GM Lawrence Ins</v>
      </c>
      <c r="BI189" s="142" t="str">
        <f>INDEX(CarrierDriverTBL!$AI:$AI,MATCH(Table1[DriverID],CarrierDriverTBL!$A:$A,0))</f>
        <v>DSK2842P160210</v>
      </c>
      <c r="BJ189" s="160">
        <f>INDEX(CarrierDriverTBL!$AJ:$AJ,MATCH(Table1[[#This Row],[DriverID]],CarrierDriverTBL!$A:$A,0))</f>
        <v>42778</v>
      </c>
      <c r="BK189" s="10">
        <f t="shared" si="68"/>
        <v>436</v>
      </c>
      <c r="BL189" s="174">
        <v>350</v>
      </c>
      <c r="BM189" s="144">
        <v>66</v>
      </c>
      <c r="BN189" s="159">
        <f t="shared" si="91"/>
        <v>5.3030303030303028</v>
      </c>
      <c r="BO189" s="167">
        <f>0.93*350</f>
        <v>325.5</v>
      </c>
      <c r="BP189" s="159">
        <f t="shared" si="92"/>
        <v>4.9318181818181817</v>
      </c>
      <c r="BQ189" s="133">
        <v>2.7989999999999999</v>
      </c>
      <c r="BR189" s="166">
        <f t="shared" si="89"/>
        <v>0.14983333333333335</v>
      </c>
      <c r="BS189" s="167">
        <f t="shared" si="69"/>
        <v>4.7819848484848482</v>
      </c>
      <c r="BT189" s="159">
        <f t="shared" si="70"/>
        <v>9.8890000000000011</v>
      </c>
      <c r="BU189" s="10" t="str">
        <f t="shared" si="71"/>
        <v>Ch Robinson</v>
      </c>
      <c r="BV189" s="4"/>
      <c r="BW189" s="4" t="str">
        <f>Table1[[#This Row],[BrokerAddress]]</f>
        <v>P.O. Box 3474</v>
      </c>
      <c r="BX189" s="4" t="str">
        <f t="shared" si="72"/>
        <v>Chicago</v>
      </c>
      <c r="BY189" s="4" t="str">
        <f t="shared" si="73"/>
        <v>Il</v>
      </c>
      <c r="BZ189" s="4">
        <f t="shared" si="74"/>
        <v>60654</v>
      </c>
      <c r="CA189" s="10" t="str">
        <f t="shared" si="75"/>
        <v>US</v>
      </c>
      <c r="CB189" s="15" t="s">
        <v>131</v>
      </c>
      <c r="CC189" s="62"/>
      <c r="CD189" s="15" t="s">
        <v>132</v>
      </c>
      <c r="CE189" s="64">
        <v>0</v>
      </c>
      <c r="CF189" s="4">
        <v>0</v>
      </c>
      <c r="CG189" s="132">
        <f t="shared" si="76"/>
        <v>0</v>
      </c>
      <c r="CH189" s="4" t="s">
        <v>132</v>
      </c>
      <c r="CI189" s="5">
        <v>0</v>
      </c>
      <c r="CJ189" s="4">
        <v>0</v>
      </c>
      <c r="CK189" s="132">
        <f t="shared" si="77"/>
        <v>0</v>
      </c>
      <c r="CL189" s="4" t="s">
        <v>132</v>
      </c>
      <c r="CM189" s="5">
        <v>0</v>
      </c>
      <c r="CN189" s="4">
        <v>0</v>
      </c>
      <c r="CO189" s="132">
        <f t="shared" si="78"/>
        <v>0</v>
      </c>
      <c r="CP189" s="4" t="s">
        <v>132</v>
      </c>
      <c r="CQ189" s="5">
        <v>0</v>
      </c>
      <c r="CR189" s="4">
        <v>0</v>
      </c>
      <c r="CS189" s="132">
        <f t="shared" si="79"/>
        <v>0</v>
      </c>
      <c r="CT189" s="159">
        <f t="shared" si="80"/>
        <v>0</v>
      </c>
      <c r="CU189" s="168">
        <f t="shared" si="81"/>
        <v>350</v>
      </c>
      <c r="CV189" s="169">
        <f t="shared" ref="CV189:CV252" si="94">IF(AO189="Albel",(CT189*1),(CT189*0.93))</f>
        <v>0</v>
      </c>
      <c r="CW189" s="82">
        <v>400</v>
      </c>
      <c r="CX189" s="79">
        <f>IF(ISBLANK(E189),"AddQuickPay",IF(E189=2,CU189*0.98,IF(E189=2.4,CU189*0.976,IF(E189=3,CU189*0.97,IF(E189=5,CU189*0.95,IF(E189=1.5,CU189*0.985,IF(E189=2.5,CU189*0.975,IF(E189=1.3,CU189*0.987,IF(E189=1,CU189*0.99,IF(E189=4,CU189*0.96,CU189*1))))))))))-Table1[[#This Row],[ComCheck+QuickPayFee]]</f>
        <v>343</v>
      </c>
      <c r="CY189" s="5">
        <f t="shared" si="82"/>
        <v>-50</v>
      </c>
      <c r="CZ189" s="5">
        <f t="shared" si="83"/>
        <v>7</v>
      </c>
      <c r="DA189" s="261">
        <f>Table1[[#This Row],[OriginalDispatch]]-Table1[[#This Row],[QuickPayCharge]]</f>
        <v>-57</v>
      </c>
      <c r="DB189" s="5">
        <v>0</v>
      </c>
      <c r="DC189" s="5" t="s">
        <v>1287</v>
      </c>
      <c r="DD189" s="104">
        <f t="shared" si="84"/>
        <v>42342</v>
      </c>
      <c r="DE189" s="15">
        <f>MONTH(Table1[[#This Row],[Weekending]])</f>
        <v>12</v>
      </c>
      <c r="DF189" s="15">
        <f>YEAR(Table1[[#This Row],[Weekending]])</f>
        <v>2015</v>
      </c>
      <c r="DG189" s="47" t="s">
        <v>1474</v>
      </c>
    </row>
    <row r="190" spans="1:111">
      <c r="A190" s="20" t="str">
        <f t="shared" si="66"/>
        <v>7994ne49</v>
      </c>
      <c r="B190" s="146">
        <v>42342</v>
      </c>
      <c r="C190" s="144">
        <v>187554779</v>
      </c>
      <c r="D190" s="298" t="s">
        <v>111</v>
      </c>
      <c r="E190" s="298">
        <v>2</v>
      </c>
      <c r="F190" s="142" t="str">
        <f>INDEX(BrokerTBL!$B:$B,MATCH(D190,BrokerTBL!$A:$A,0))</f>
        <v>P.O. Box 3474</v>
      </c>
      <c r="G190" s="142" t="str">
        <f>INDEX(BrokerTBL!$C:$C,MATCH(D190,BrokerTBL!$A:$A,0))</f>
        <v>Chicago</v>
      </c>
      <c r="H190" s="142" t="str">
        <f>INDEX(BrokerTBL!$D:$D,MATCH(D190,BrokerTBL!$A:$A,0))</f>
        <v>Il</v>
      </c>
      <c r="I190" s="142" t="str">
        <f>INDEX(BrokerTBL!$E:$E,MATCH(D190,BrokerTBL!$A:$A,0))</f>
        <v>US</v>
      </c>
      <c r="J190" s="142">
        <f>INDEX(BrokerTBL!$F:$F,MATCH(D190,BrokerTBL!$A:$A,0))</f>
        <v>60654</v>
      </c>
      <c r="K190" s="298" t="s">
        <v>1475</v>
      </c>
      <c r="L190" s="145">
        <v>94</v>
      </c>
      <c r="M190" s="146">
        <v>42342</v>
      </c>
      <c r="N190" s="144" t="s">
        <v>1476</v>
      </c>
      <c r="O190" s="298" t="s">
        <v>1477</v>
      </c>
      <c r="P190" s="298" t="s">
        <v>184</v>
      </c>
      <c r="Q190" s="298" t="s">
        <v>139</v>
      </c>
      <c r="R190" s="298">
        <v>75203</v>
      </c>
      <c r="S190" s="298" t="s">
        <v>118</v>
      </c>
      <c r="T190" s="298" t="s">
        <v>136</v>
      </c>
      <c r="U190" s="298" t="s">
        <v>120</v>
      </c>
      <c r="V190" s="298">
        <v>53</v>
      </c>
      <c r="W190" s="298" t="s">
        <v>1478</v>
      </c>
      <c r="X190" s="144">
        <v>44000</v>
      </c>
      <c r="Y190" s="298" t="s">
        <v>1479</v>
      </c>
      <c r="Z190" s="298" t="s">
        <v>123</v>
      </c>
      <c r="AA190" s="298" t="s">
        <v>123</v>
      </c>
      <c r="AB190" s="298" t="s">
        <v>123</v>
      </c>
      <c r="AC190" s="298" t="s">
        <v>1480</v>
      </c>
      <c r="AD190" s="145" t="s">
        <v>132</v>
      </c>
      <c r="AE190" s="146">
        <v>42342</v>
      </c>
      <c r="AF190" s="298" t="s">
        <v>477</v>
      </c>
      <c r="AG190" s="298" t="s">
        <v>1481</v>
      </c>
      <c r="AH190" s="298" t="s">
        <v>470</v>
      </c>
      <c r="AI190" s="298" t="s">
        <v>139</v>
      </c>
      <c r="AJ190" s="298">
        <v>93912</v>
      </c>
      <c r="AK190" s="298" t="s">
        <v>118</v>
      </c>
      <c r="AL190" s="298" t="s">
        <v>123</v>
      </c>
      <c r="AM190" s="142" t="str">
        <f>INDEX(CarrierDriverTBL!$B:$B,MATCH(Table1[[#This Row],[DriverID]],CarrierDriverTBL!$A:$A,0))</f>
        <v>UBTrucking</v>
      </c>
      <c r="AN190" s="10" t="s">
        <v>192</v>
      </c>
      <c r="AO190" s="10" t="str">
        <f>INDEX(CarrierDriverTBL!$C:$C,MATCH(Table1[[#This Row],[DriverID]],CarrierDriverTBL!$A:$A,0))</f>
        <v>Albel</v>
      </c>
      <c r="AP190" s="142" t="str">
        <f>INDEX(CarrierDriverTBL!$D:$D,MATCH(Table1[[#This Row],[DriverID]],CarrierDriverTBL!$A:$A,0))</f>
        <v>Chahil</v>
      </c>
      <c r="AQ190" s="142" t="str">
        <f>INDEX(CarrierDriverTBL!$X:$X,MATCH(Table1[[#This Row],[DriverID]],CarrierDriverTBL!$A:$A,0))</f>
        <v>A8390649</v>
      </c>
      <c r="AR190" s="160">
        <f>INDEX(CarrierDriverTBL!$Y:$Y,MATCH(Table1[[#This Row],[DriverID]],CarrierDriverTBL!$A:$A,0))</f>
        <v>42402</v>
      </c>
      <c r="AS190" s="142" t="str">
        <f t="shared" si="67"/>
        <v>GOOD</v>
      </c>
      <c r="AT190" s="160">
        <f>INDEX(CarrierDriverTBL!$E:$E,MATCH(Table1[[#This Row],[DriverID]],CarrierDriverTBL!$A:$A,0))</f>
        <v>22314</v>
      </c>
      <c r="AU190" s="163">
        <f ca="1">INDEX(CarrierDriverTBL!$F:$F,MATCH(Table1[[#This Row],[DriverID]],CarrierDriverTBL!$A:$A,0))</f>
        <v>55.512328767123286</v>
      </c>
      <c r="AV190" s="142" t="str">
        <f>INDEX(CarrierDriverTBL!$K:$K,MATCH(Table1[[#This Row],[DriverID]],CarrierDriverTBL!$A:$A,0))</f>
        <v>510-773-9450</v>
      </c>
      <c r="AW190" s="142" t="str">
        <f>INDEX(CarrierDriverTBL!$M:$M,MATCH(Table1[[#This Row],[DriverID]],CarrierDriverTBL!$A:$A,0))</f>
        <v>3124 Cynthia CT</v>
      </c>
      <c r="AX190" s="142" t="str">
        <f>INDEX(CarrierDriverTBL!$N:$N,MATCH(Table1[[#This Row],[DriverID]],CarrierDriverTBL!$A:$A,0))</f>
        <v>Tracy</v>
      </c>
      <c r="AY190" s="142" t="str">
        <f>INDEX(CarrierDriverTBL!$O:$O,MATCH(Table1[[#This Row],[DriverID]],CarrierDriverTBL!$A:$A,0))</f>
        <v>CA</v>
      </c>
      <c r="AZ190" s="142">
        <f>INDEX(CarrierDriverTBL!$P:$P,MATCH(Table1[[#This Row],[DriverID]],CarrierDriverTBL!$A:$A,0))</f>
        <v>95377</v>
      </c>
      <c r="BA190" s="142" t="str">
        <f>INDEX(CarrierDriverTBL!$Q:$Q,MATCH(Table1[[#This Row],[DriverID]],CarrierDriverTBL!$A:$A,0))</f>
        <v>US</v>
      </c>
      <c r="BB190" s="176" t="str">
        <f>INDEX(CarrierDriverTBL!$R:$R,MATCH(Table1[[#This Row],[DriverID]],CarrierDriverTBL!$A:$A,0))</f>
        <v>ubgollc@gmail.com</v>
      </c>
      <c r="BC190" s="160">
        <f>INDEX(CarrierDriverTBL!$AB:$AB,MATCH(Table1[[#This Row],[DriverID]],CarrierDriverTBL!$A:$A,0))</f>
        <v>42167</v>
      </c>
      <c r="BD190" s="142" t="str">
        <f ca="1">INDEX(CarrierDriverTBL!$AD:$AD,MATCH(LoadMaster!$AN:$AN,CarrierDriverTBL!$A:$A,0))</f>
        <v>MISSING</v>
      </c>
      <c r="BE190" s="142">
        <f>INDEX(CarrierDriverTBL!$AE:$AE,MATCH(Table1[DriverID],CarrierDriverTBL!$A:$A,0))</f>
        <v>913971</v>
      </c>
      <c r="BF190" s="142">
        <f>INDEX(CarrierDriverTBL!$AF:$AF,MATCH(Table1[DriverID],CarrierDriverTBL!$A:$A,0))</f>
        <v>2627544</v>
      </c>
      <c r="BG190" s="142">
        <f>INDEX(CarrierDriverTBL!$AG:$AG,MATCH(Table1[DriverID],CarrierDriverTBL!$A:$A,0))</f>
        <v>466133</v>
      </c>
      <c r="BH190" s="142" t="str">
        <f>INDEX(CarrierDriverTBL!$AH:$AH,MATCH(Table1[DriverID],CarrierDriverTBL!$A:$A,0))</f>
        <v>GM Lawrence Ins</v>
      </c>
      <c r="BI190" s="142" t="str">
        <f>INDEX(CarrierDriverTBL!$AI:$AI,MATCH(Table1[DriverID],CarrierDriverTBL!$A:$A,0))</f>
        <v>DSK2842P160210</v>
      </c>
      <c r="BJ190" s="160">
        <f>INDEX(CarrierDriverTBL!$AJ:$AJ,MATCH(Table1[[#This Row],[DriverID]],CarrierDriverTBL!$A:$A,0))</f>
        <v>42778</v>
      </c>
      <c r="BK190" s="10">
        <f t="shared" si="68"/>
        <v>436</v>
      </c>
      <c r="BL190" s="174">
        <v>450</v>
      </c>
      <c r="BM190" s="144">
        <v>132</v>
      </c>
      <c r="BN190" s="159">
        <f t="shared" si="91"/>
        <v>3.4090909090909092</v>
      </c>
      <c r="BO190" s="167">
        <v>400</v>
      </c>
      <c r="BP190" s="159">
        <f t="shared" si="92"/>
        <v>3.0303030303030303</v>
      </c>
      <c r="BQ190" s="133">
        <v>2.7989999999999999</v>
      </c>
      <c r="BR190" s="166">
        <f t="shared" si="89"/>
        <v>0.14983333333333335</v>
      </c>
      <c r="BS190" s="167">
        <f t="shared" si="69"/>
        <v>2.8804696969696968</v>
      </c>
      <c r="BT190" s="159">
        <f t="shared" si="70"/>
        <v>19.778000000000002</v>
      </c>
      <c r="BU190" s="10" t="str">
        <f t="shared" si="71"/>
        <v>Ch Robinson</v>
      </c>
      <c r="BV190" s="4"/>
      <c r="BW190" s="4" t="str">
        <f>Table1[[#This Row],[BrokerAddress]]</f>
        <v>P.O. Box 3474</v>
      </c>
      <c r="BX190" s="4" t="str">
        <f t="shared" si="72"/>
        <v>Chicago</v>
      </c>
      <c r="BY190" s="4" t="str">
        <f t="shared" si="73"/>
        <v>Il</v>
      </c>
      <c r="BZ190" s="4">
        <f t="shared" si="74"/>
        <v>60654</v>
      </c>
      <c r="CA190" s="10" t="str">
        <f t="shared" si="75"/>
        <v>US</v>
      </c>
      <c r="CB190" s="15" t="s">
        <v>131</v>
      </c>
      <c r="CC190" s="62"/>
      <c r="CD190" s="15" t="s">
        <v>132</v>
      </c>
      <c r="CE190" s="64">
        <v>0</v>
      </c>
      <c r="CF190" s="4">
        <v>0</v>
      </c>
      <c r="CG190" s="132">
        <f t="shared" si="76"/>
        <v>0</v>
      </c>
      <c r="CH190" s="4" t="s">
        <v>132</v>
      </c>
      <c r="CI190" s="5">
        <v>0</v>
      </c>
      <c r="CJ190" s="4">
        <v>0</v>
      </c>
      <c r="CK190" s="132">
        <f t="shared" si="77"/>
        <v>0</v>
      </c>
      <c r="CL190" s="4" t="s">
        <v>132</v>
      </c>
      <c r="CM190" s="5">
        <v>0</v>
      </c>
      <c r="CN190" s="4">
        <v>0</v>
      </c>
      <c r="CO190" s="132">
        <f t="shared" si="78"/>
        <v>0</v>
      </c>
      <c r="CP190" s="4" t="s">
        <v>132</v>
      </c>
      <c r="CQ190" s="5">
        <v>0</v>
      </c>
      <c r="CR190" s="4">
        <v>0</v>
      </c>
      <c r="CS190" s="132">
        <f t="shared" si="79"/>
        <v>0</v>
      </c>
      <c r="CT190" s="159">
        <f t="shared" si="80"/>
        <v>0</v>
      </c>
      <c r="CU190" s="168">
        <f t="shared" si="81"/>
        <v>450</v>
      </c>
      <c r="CV190" s="169">
        <f t="shared" si="94"/>
        <v>0</v>
      </c>
      <c r="CW190" s="82">
        <f>BO190+CV190</f>
        <v>400</v>
      </c>
      <c r="CX190" s="79">
        <f>IF(ISBLANK(E190),"AddQuickPay",IF(E190=2,CU190*0.98,IF(E190=2.4,CU190*0.976,IF(E190=3,CU190*0.97,IF(E190=5,CU190*0.95,IF(E190=1.5,CU190*0.985,IF(E190=2.5,CU190*0.975,IF(E190=1.3,CU190*0.987,IF(E190=1,CU190*0.99,IF(E190=4,CU190*0.96,CU190*1))))))))))-Table1[[#This Row],[ComCheck+QuickPayFee]]</f>
        <v>441</v>
      </c>
      <c r="CY190" s="5">
        <f t="shared" si="82"/>
        <v>50</v>
      </c>
      <c r="CZ190" s="5">
        <f t="shared" si="83"/>
        <v>9</v>
      </c>
      <c r="DA190" s="258">
        <f>Table1[[#This Row],[OriginalDispatch]]-Table1[[#This Row],[QuickPayCharge]]</f>
        <v>41</v>
      </c>
      <c r="DB190" s="5">
        <v>0</v>
      </c>
      <c r="DC190" s="5" t="s">
        <v>1287</v>
      </c>
      <c r="DD190" s="104">
        <f t="shared" si="84"/>
        <v>42342</v>
      </c>
      <c r="DE190" s="15">
        <f>MONTH(Table1[[#This Row],[Weekending]])</f>
        <v>12</v>
      </c>
      <c r="DF190" s="15">
        <f>YEAR(Table1[[#This Row],[Weekending]])</f>
        <v>2015</v>
      </c>
      <c r="DG190" s="4"/>
    </row>
    <row r="191" spans="1:111">
      <c r="A191" s="20" t="str">
        <f t="shared" si="66"/>
        <v>56rank88</v>
      </c>
      <c r="B191" s="146">
        <v>42345</v>
      </c>
      <c r="C191" s="144">
        <v>187804256</v>
      </c>
      <c r="D191" s="298" t="s">
        <v>111</v>
      </c>
      <c r="E191" s="298">
        <v>2</v>
      </c>
      <c r="F191" s="142" t="str">
        <f>INDEX(BrokerTBL!$B:$B,MATCH(D191,BrokerTBL!$A:$A,0))</f>
        <v>P.O. Box 3474</v>
      </c>
      <c r="G191" s="142" t="str">
        <f>INDEX(BrokerTBL!$C:$C,MATCH(D191,BrokerTBL!$A:$A,0))</f>
        <v>Chicago</v>
      </c>
      <c r="H191" s="142" t="str">
        <f>INDEX(BrokerTBL!$D:$D,MATCH(D191,BrokerTBL!$A:$A,0))</f>
        <v>Il</v>
      </c>
      <c r="I191" s="142" t="str">
        <f>INDEX(BrokerTBL!$E:$E,MATCH(D191,BrokerTBL!$A:$A,0))</f>
        <v>US</v>
      </c>
      <c r="J191" s="142">
        <f>INDEX(BrokerTBL!$F:$F,MATCH(D191,BrokerTBL!$A:$A,0))</f>
        <v>60654</v>
      </c>
      <c r="K191" s="298" t="s">
        <v>1282</v>
      </c>
      <c r="L191" s="145" t="s">
        <v>1482</v>
      </c>
      <c r="M191" s="146">
        <v>42345</v>
      </c>
      <c r="N191" s="144" t="s">
        <v>427</v>
      </c>
      <c r="O191" s="298" t="s">
        <v>943</v>
      </c>
      <c r="P191" s="298" t="s">
        <v>366</v>
      </c>
      <c r="Q191" s="298" t="s">
        <v>139</v>
      </c>
      <c r="R191" s="298">
        <v>95776</v>
      </c>
      <c r="S191" s="298" t="s">
        <v>118</v>
      </c>
      <c r="T191" s="298" t="s">
        <v>136</v>
      </c>
      <c r="U191" s="298" t="s">
        <v>120</v>
      </c>
      <c r="V191" s="298">
        <v>53</v>
      </c>
      <c r="W191" s="298" t="s">
        <v>944</v>
      </c>
      <c r="X191" s="144">
        <v>30000</v>
      </c>
      <c r="Y191" s="298" t="s">
        <v>26</v>
      </c>
      <c r="Z191" s="298" t="s">
        <v>123</v>
      </c>
      <c r="AA191" s="298" t="s">
        <v>123</v>
      </c>
      <c r="AB191" s="298" t="s">
        <v>123</v>
      </c>
      <c r="AC191" s="298" t="s">
        <v>1482</v>
      </c>
      <c r="AD191" s="145" t="s">
        <v>1483</v>
      </c>
      <c r="AE191" s="146">
        <v>42346</v>
      </c>
      <c r="AF191" s="298" t="s">
        <v>1484</v>
      </c>
      <c r="AG191" s="298" t="s">
        <v>1485</v>
      </c>
      <c r="AH191" s="298" t="s">
        <v>1159</v>
      </c>
      <c r="AI191" s="298" t="s">
        <v>139</v>
      </c>
      <c r="AJ191" s="298">
        <v>93103</v>
      </c>
      <c r="AK191" s="298" t="s">
        <v>118</v>
      </c>
      <c r="AL191" s="298" t="s">
        <v>123</v>
      </c>
      <c r="AM191" s="142" t="str">
        <f>INDEX(CarrierDriverTBL!$B:$B,MATCH(Table1[[#This Row],[DriverID]],CarrierDriverTBL!$A:$A,0))</f>
        <v>UBTrucking</v>
      </c>
      <c r="AN191" s="10" t="s">
        <v>948</v>
      </c>
      <c r="AO191" s="10" t="str">
        <f>INDEX(CarrierDriverTBL!$C:$C,MATCH(Table1[[#This Row],[DriverID]],CarrierDriverTBL!$A:$A,0))</f>
        <v>Wesley</v>
      </c>
      <c r="AP191" s="10" t="str">
        <f>INDEX(CarrierDriverTBL!$D:$D,MATCH(Table1[[#This Row],[DriverID]],CarrierDriverTBL!$A:$A,0))</f>
        <v>Cousain</v>
      </c>
      <c r="AQ191" s="10" t="str">
        <f>INDEX(CarrierDriverTBL!$X:$X,MATCH(Table1[[#This Row],[DriverID]],CarrierDriverTBL!$A:$A,0))</f>
        <v>D4903588</v>
      </c>
      <c r="AR191" s="11">
        <f>INDEX(CarrierDriverTBL!$Y:$Y,MATCH(Table1[[#This Row],[DriverID]],CarrierDriverTBL!$A:$A,0))</f>
        <v>43458</v>
      </c>
      <c r="AS191" s="142" t="str">
        <f t="shared" si="67"/>
        <v>GOOD</v>
      </c>
      <c r="AT191" s="11">
        <f>INDEX(CarrierDriverTBL!$E:$E,MATCH(Table1[[#This Row],[DriverID]],CarrierDriverTBL!$A:$A,0))</f>
        <v>31405</v>
      </c>
      <c r="AU191" s="163">
        <f ca="1">INDEX(CarrierDriverTBL!$F:$F,MATCH(Table1[[#This Row],[DriverID]],CarrierDriverTBL!$A:$A,0))</f>
        <v>30.605479452054794</v>
      </c>
      <c r="AV191" s="10" t="str">
        <f>INDEX(CarrierDriverTBL!$K:$K,MATCH(Table1[[#This Row],[DriverID]],CarrierDriverTBL!$A:$A,0))</f>
        <v>925-383-5364</v>
      </c>
      <c r="AW191" s="10" t="str">
        <f>INDEX(CarrierDriverTBL!$M:$M,MATCH(Table1[[#This Row],[DriverID]],CarrierDriverTBL!$A:$A,0))</f>
        <v>110 Cordova Ln</v>
      </c>
      <c r="AX191" s="10" t="str">
        <f>INDEX(CarrierDriverTBL!$N:$N,MATCH(Table1[[#This Row],[DriverID]],CarrierDriverTBL!$A:$A,0))</f>
        <v>Stockton</v>
      </c>
      <c r="AY191" s="10" t="str">
        <f>INDEX(CarrierDriverTBL!$O:$O,MATCH(Table1[[#This Row],[DriverID]],CarrierDriverTBL!$A:$A,0))</f>
        <v>CA</v>
      </c>
      <c r="AZ191" s="10">
        <f>INDEX(CarrierDriverTBL!$P:$P,MATCH(Table1[[#This Row],[DriverID]],CarrierDriverTBL!$A:$A,0))</f>
        <v>95207</v>
      </c>
      <c r="BA191" s="10" t="str">
        <f>INDEX(CarrierDriverTBL!$Q:$Q,MATCH(Table1[[#This Row],[DriverID]],CarrierDriverTBL!$A:$A,0))</f>
        <v>US</v>
      </c>
      <c r="BB191" s="173" t="str">
        <f>INDEX(CarrierDriverTBL!$R:$R,MATCH(Table1[[#This Row],[DriverID]],CarrierDriverTBL!$A:$A,0))</f>
        <v>wesleycousain1@gmail.com</v>
      </c>
      <c r="BC191" s="160">
        <f>INDEX(CarrierDriverTBL!$AB:$AB,MATCH(Table1[[#This Row],[DriverID]],CarrierDriverTBL!$A:$A,0))</f>
        <v>42271</v>
      </c>
      <c r="BD191" s="142" t="str">
        <f ca="1">INDEX(CarrierDriverTBL!$AD:$AD,MATCH(LoadMaster!$AN:$AN,CarrierDriverTBL!$A:$A,0))</f>
        <v>MISSING</v>
      </c>
      <c r="BE191" s="142">
        <f>INDEX(CarrierDriverTBL!$AE:$AE,MATCH(Table1[DriverID],CarrierDriverTBL!$A:$A,0))</f>
        <v>913971</v>
      </c>
      <c r="BF191" s="142">
        <f>INDEX(CarrierDriverTBL!$AF:$AF,MATCH(Table1[DriverID],CarrierDriverTBL!$A:$A,0))</f>
        <v>2627544</v>
      </c>
      <c r="BG191" s="142">
        <f>INDEX(CarrierDriverTBL!$AG:$AG,MATCH(Table1[DriverID],CarrierDriverTBL!$A:$A,0))</f>
        <v>466133</v>
      </c>
      <c r="BH191" s="142" t="str">
        <f>INDEX(CarrierDriverTBL!$AH:$AH,MATCH(Table1[DriverID],CarrierDriverTBL!$A:$A,0))</f>
        <v>GM Lawrence Ins</v>
      </c>
      <c r="BI191" s="142" t="str">
        <f>INDEX(CarrierDriverTBL!$AI:$AI,MATCH(Table1[DriverID],CarrierDriverTBL!$A:$A,0))</f>
        <v>DSK2842P160210</v>
      </c>
      <c r="BJ191" s="160">
        <f>INDEX(CarrierDriverTBL!$AJ:$AJ,MATCH(Table1[[#This Row],[DriverID]],CarrierDriverTBL!$A:$A,0))</f>
        <v>42778</v>
      </c>
      <c r="BK191" s="10">
        <f t="shared" si="68"/>
        <v>433</v>
      </c>
      <c r="BL191" s="174">
        <v>600</v>
      </c>
      <c r="BM191" s="144">
        <v>395</v>
      </c>
      <c r="BN191" s="159">
        <f t="shared" si="91"/>
        <v>1.518987341772152</v>
      </c>
      <c r="BO191" s="167">
        <v>500</v>
      </c>
      <c r="BP191" s="159">
        <f t="shared" si="92"/>
        <v>1.2658227848101267</v>
      </c>
      <c r="BQ191" s="133">
        <v>2.7989999999999999</v>
      </c>
      <c r="BR191" s="166">
        <f t="shared" si="89"/>
        <v>0.14983333333333335</v>
      </c>
      <c r="BS191" s="167">
        <f t="shared" si="69"/>
        <v>1.1159894514767934</v>
      </c>
      <c r="BT191" s="159">
        <f t="shared" si="70"/>
        <v>59.18416666666667</v>
      </c>
      <c r="BU191" s="10" t="str">
        <f t="shared" si="71"/>
        <v>Ch Robinson</v>
      </c>
      <c r="BV191" s="4"/>
      <c r="BW191" s="4" t="str">
        <f>Table1[[#This Row],[BrokerAddress]]</f>
        <v>P.O. Box 3474</v>
      </c>
      <c r="BX191" s="4" t="str">
        <f t="shared" si="72"/>
        <v>Chicago</v>
      </c>
      <c r="BY191" s="4" t="str">
        <f t="shared" si="73"/>
        <v>Il</v>
      </c>
      <c r="BZ191" s="4">
        <f t="shared" si="74"/>
        <v>60654</v>
      </c>
      <c r="CA191" s="10" t="str">
        <f t="shared" si="75"/>
        <v>US</v>
      </c>
      <c r="CB191" s="15" t="s">
        <v>131</v>
      </c>
      <c r="CC191" s="62"/>
      <c r="CD191" s="15" t="s">
        <v>149</v>
      </c>
      <c r="CE191" s="64">
        <v>40</v>
      </c>
      <c r="CF191" s="4">
        <v>1.5</v>
      </c>
      <c r="CG191" s="132">
        <f t="shared" si="76"/>
        <v>60</v>
      </c>
      <c r="CH191" s="4" t="s">
        <v>132</v>
      </c>
      <c r="CI191" s="5">
        <v>0</v>
      </c>
      <c r="CJ191" s="4">
        <v>0</v>
      </c>
      <c r="CK191" s="132">
        <f t="shared" si="77"/>
        <v>0</v>
      </c>
      <c r="CL191" s="4" t="s">
        <v>132</v>
      </c>
      <c r="CM191" s="5">
        <v>0</v>
      </c>
      <c r="CN191" s="4">
        <v>0</v>
      </c>
      <c r="CO191" s="132">
        <f t="shared" si="78"/>
        <v>0</v>
      </c>
      <c r="CP191" s="4" t="s">
        <v>132</v>
      </c>
      <c r="CQ191" s="5">
        <v>0</v>
      </c>
      <c r="CR191" s="4">
        <v>0</v>
      </c>
      <c r="CS191" s="132">
        <f t="shared" si="79"/>
        <v>0</v>
      </c>
      <c r="CT191" s="159">
        <f t="shared" si="80"/>
        <v>60</v>
      </c>
      <c r="CU191" s="168">
        <f t="shared" si="81"/>
        <v>660</v>
      </c>
      <c r="CV191" s="169">
        <f t="shared" si="94"/>
        <v>55.800000000000004</v>
      </c>
      <c r="CW191" s="82">
        <v>655.8</v>
      </c>
      <c r="CX191" s="79">
        <f>IF(ISBLANK(E191),"AddQuickPay",IF(E191=2,CU191*0.98,IF(E191=2.4,CU191*0.976,IF(E191=3,CU191*0.97,IF(E191=5,CU191*0.95,IF(E191=1.5,CU191*0.985,IF(E191=2.5,CU191*0.975,IF(E191=1.3,CU191*0.987,IF(E191=1,CU191*0.99,IF(E191=4,CU191*0.96,CU191*1))))))))))-Table1[[#This Row],[ComCheck+QuickPayFee]]</f>
        <v>646.79999999999995</v>
      </c>
      <c r="CY191" s="5">
        <f t="shared" si="82"/>
        <v>4.2000000000000455</v>
      </c>
      <c r="CZ191" s="5">
        <f t="shared" si="83"/>
        <v>13.200000000000001</v>
      </c>
      <c r="DA191" s="261">
        <f>Table1[[#This Row],[OriginalDispatch]]-Table1[[#This Row],[QuickPayCharge]]</f>
        <v>-8.9999999999999556</v>
      </c>
      <c r="DB191" s="5">
        <v>0</v>
      </c>
      <c r="DC191" s="5" t="s">
        <v>1287</v>
      </c>
      <c r="DD191" s="104">
        <f t="shared" si="84"/>
        <v>42349</v>
      </c>
      <c r="DE191" s="15">
        <f>MONTH(Table1[[#This Row],[Weekending]])</f>
        <v>12</v>
      </c>
      <c r="DF191" s="15">
        <f>YEAR(Table1[[#This Row],[Weekending]])</f>
        <v>2015</v>
      </c>
      <c r="DG191" s="47" t="s">
        <v>1486</v>
      </c>
    </row>
    <row r="192" spans="1:111">
      <c r="A192" s="20" t="str">
        <f t="shared" si="66"/>
        <v>82sene49</v>
      </c>
      <c r="B192" s="146">
        <v>42345</v>
      </c>
      <c r="C192" s="144">
        <v>187803982</v>
      </c>
      <c r="D192" s="298" t="s">
        <v>111</v>
      </c>
      <c r="E192" s="298">
        <v>2</v>
      </c>
      <c r="F192" s="142" t="str">
        <f>INDEX(BrokerTBL!$B:$B,MATCH(D192,BrokerTBL!$A:$A,0))</f>
        <v>P.O. Box 3474</v>
      </c>
      <c r="G192" s="142" t="str">
        <f>INDEX(BrokerTBL!$C:$C,MATCH(D192,BrokerTBL!$A:$A,0))</f>
        <v>Chicago</v>
      </c>
      <c r="H192" s="142" t="str">
        <f>INDEX(BrokerTBL!$D:$D,MATCH(D192,BrokerTBL!$A:$A,0))</f>
        <v>Il</v>
      </c>
      <c r="I192" s="142" t="str">
        <f>INDEX(BrokerTBL!$E:$E,MATCH(D192,BrokerTBL!$A:$A,0))</f>
        <v>US</v>
      </c>
      <c r="J192" s="142">
        <f>INDEX(BrokerTBL!$F:$F,MATCH(D192,BrokerTBL!$A:$A,0))</f>
        <v>60654</v>
      </c>
      <c r="K192" s="298" t="s">
        <v>1282</v>
      </c>
      <c r="L192" s="145" t="s">
        <v>1487</v>
      </c>
      <c r="M192" s="146">
        <v>42345</v>
      </c>
      <c r="N192" s="144" t="s">
        <v>422</v>
      </c>
      <c r="O192" s="298" t="s">
        <v>943</v>
      </c>
      <c r="P192" s="298" t="s">
        <v>366</v>
      </c>
      <c r="Q192" s="298" t="s">
        <v>139</v>
      </c>
      <c r="R192" s="298">
        <v>95776</v>
      </c>
      <c r="S192" s="298" t="s">
        <v>118</v>
      </c>
      <c r="T192" s="298" t="s">
        <v>136</v>
      </c>
      <c r="U192" s="298" t="s">
        <v>120</v>
      </c>
      <c r="V192" s="298">
        <v>53</v>
      </c>
      <c r="W192" s="298" t="s">
        <v>944</v>
      </c>
      <c r="X192" s="144">
        <v>30000</v>
      </c>
      <c r="Y192" s="298" t="s">
        <v>26</v>
      </c>
      <c r="Z192" s="298" t="s">
        <v>123</v>
      </c>
      <c r="AA192" s="298" t="s">
        <v>123</v>
      </c>
      <c r="AB192" s="298" t="s">
        <v>123</v>
      </c>
      <c r="AC192" s="298" t="s">
        <v>1235</v>
      </c>
      <c r="AD192" s="145" t="s">
        <v>132</v>
      </c>
      <c r="AE192" s="146">
        <v>42346</v>
      </c>
      <c r="AF192" s="298" t="s">
        <v>1488</v>
      </c>
      <c r="AG192" s="298" t="s">
        <v>1489</v>
      </c>
      <c r="AH192" s="298" t="s">
        <v>1207</v>
      </c>
      <c r="AI192" s="298" t="s">
        <v>139</v>
      </c>
      <c r="AJ192" s="298">
        <v>95131</v>
      </c>
      <c r="AK192" s="298" t="s">
        <v>118</v>
      </c>
      <c r="AL192" s="298" t="s">
        <v>123</v>
      </c>
      <c r="AM192" s="142" t="str">
        <f>INDEX(CarrierDriverTBL!$B:$B,MATCH(Table1[[#This Row],[DriverID]],CarrierDriverTBL!$A:$A,0))</f>
        <v>UBTrucking</v>
      </c>
      <c r="AN192" s="10" t="s">
        <v>192</v>
      </c>
      <c r="AO192" s="10" t="str">
        <f>INDEX(CarrierDriverTBL!$C:$C,MATCH(Table1[[#This Row],[DriverID]],CarrierDriverTBL!$A:$A,0))</f>
        <v>Albel</v>
      </c>
      <c r="AP192" s="142" t="str">
        <f>INDEX(CarrierDriverTBL!$D:$D,MATCH(Table1[[#This Row],[DriverID]],CarrierDriverTBL!$A:$A,0))</f>
        <v>Chahil</v>
      </c>
      <c r="AQ192" s="142" t="str">
        <f>INDEX(CarrierDriverTBL!$X:$X,MATCH(Table1[[#This Row],[DriverID]],CarrierDriverTBL!$A:$A,0))</f>
        <v>A8390649</v>
      </c>
      <c r="AR192" s="160">
        <f>INDEX(CarrierDriverTBL!$Y:$Y,MATCH(Table1[[#This Row],[DriverID]],CarrierDriverTBL!$A:$A,0))</f>
        <v>42402</v>
      </c>
      <c r="AS192" s="142" t="str">
        <f t="shared" si="67"/>
        <v>GOOD</v>
      </c>
      <c r="AT192" s="160">
        <f>INDEX(CarrierDriverTBL!$E:$E,MATCH(Table1[[#This Row],[DriverID]],CarrierDriverTBL!$A:$A,0))</f>
        <v>22314</v>
      </c>
      <c r="AU192" s="163">
        <f ca="1">INDEX(CarrierDriverTBL!$F:$F,MATCH(Table1[[#This Row],[DriverID]],CarrierDriverTBL!$A:$A,0))</f>
        <v>55.512328767123286</v>
      </c>
      <c r="AV192" s="142" t="str">
        <f>INDEX(CarrierDriverTBL!$K:$K,MATCH(Table1[[#This Row],[DriverID]],CarrierDriverTBL!$A:$A,0))</f>
        <v>510-773-9450</v>
      </c>
      <c r="AW192" s="142" t="str">
        <f>INDEX(CarrierDriverTBL!$M:$M,MATCH(Table1[[#This Row],[DriverID]],CarrierDriverTBL!$A:$A,0))</f>
        <v>3124 Cynthia CT</v>
      </c>
      <c r="AX192" s="142" t="str">
        <f>INDEX(CarrierDriverTBL!$N:$N,MATCH(Table1[[#This Row],[DriverID]],CarrierDriverTBL!$A:$A,0))</f>
        <v>Tracy</v>
      </c>
      <c r="AY192" s="142" t="str">
        <f>INDEX(CarrierDriverTBL!$O:$O,MATCH(Table1[[#This Row],[DriverID]],CarrierDriverTBL!$A:$A,0))</f>
        <v>CA</v>
      </c>
      <c r="AZ192" s="142">
        <f>INDEX(CarrierDriverTBL!$P:$P,MATCH(Table1[[#This Row],[DriverID]],CarrierDriverTBL!$A:$A,0))</f>
        <v>95377</v>
      </c>
      <c r="BA192" s="142" t="str">
        <f>INDEX(CarrierDriverTBL!$Q:$Q,MATCH(Table1[[#This Row],[DriverID]],CarrierDriverTBL!$A:$A,0))</f>
        <v>US</v>
      </c>
      <c r="BB192" s="176" t="str">
        <f>INDEX(CarrierDriverTBL!$R:$R,MATCH(Table1[[#This Row],[DriverID]],CarrierDriverTBL!$A:$A,0))</f>
        <v>ubgollc@gmail.com</v>
      </c>
      <c r="BC192" s="160">
        <f>INDEX(CarrierDriverTBL!$AB:$AB,MATCH(Table1[[#This Row],[DriverID]],CarrierDriverTBL!$A:$A,0))</f>
        <v>42167</v>
      </c>
      <c r="BD192" s="142" t="str">
        <f ca="1">INDEX(CarrierDriverTBL!$AD:$AD,MATCH(LoadMaster!$AN:$AN,CarrierDriverTBL!$A:$A,0))</f>
        <v>MISSING</v>
      </c>
      <c r="BE192" s="142">
        <f>INDEX(CarrierDriverTBL!$AE:$AE,MATCH(Table1[DriverID],CarrierDriverTBL!$A:$A,0))</f>
        <v>913971</v>
      </c>
      <c r="BF192" s="142">
        <f>INDEX(CarrierDriverTBL!$AF:$AF,MATCH(Table1[DriverID],CarrierDriverTBL!$A:$A,0))</f>
        <v>2627544</v>
      </c>
      <c r="BG192" s="142">
        <f>INDEX(CarrierDriverTBL!$AG:$AG,MATCH(Table1[DriverID],CarrierDriverTBL!$A:$A,0))</f>
        <v>466133</v>
      </c>
      <c r="BH192" s="142" t="str">
        <f>INDEX(CarrierDriverTBL!$AH:$AH,MATCH(Table1[DriverID],CarrierDriverTBL!$A:$A,0))</f>
        <v>GM Lawrence Ins</v>
      </c>
      <c r="BI192" s="142" t="str">
        <f>INDEX(CarrierDriverTBL!$AI:$AI,MATCH(Table1[DriverID],CarrierDriverTBL!$A:$A,0))</f>
        <v>DSK2842P160210</v>
      </c>
      <c r="BJ192" s="160">
        <f>INDEX(CarrierDriverTBL!$AJ:$AJ,MATCH(Table1[[#This Row],[DriverID]],CarrierDriverTBL!$A:$A,0))</f>
        <v>42778</v>
      </c>
      <c r="BK192" s="10">
        <f t="shared" si="68"/>
        <v>433</v>
      </c>
      <c r="BL192" s="174">
        <v>400</v>
      </c>
      <c r="BM192" s="144">
        <v>114</v>
      </c>
      <c r="BN192" s="159">
        <f t="shared" si="91"/>
        <v>3.5087719298245612</v>
      </c>
      <c r="BO192" s="167">
        <v>350</v>
      </c>
      <c r="BP192" s="159">
        <f t="shared" si="92"/>
        <v>3.0701754385964914</v>
      </c>
      <c r="BQ192" s="133">
        <v>2.7989999999999999</v>
      </c>
      <c r="BR192" s="166">
        <f t="shared" si="89"/>
        <v>0.14983333333333335</v>
      </c>
      <c r="BS192" s="167">
        <f t="shared" si="69"/>
        <v>2.920342105263158</v>
      </c>
      <c r="BT192" s="159">
        <f t="shared" si="70"/>
        <v>17.081000000000003</v>
      </c>
      <c r="BU192" s="10" t="str">
        <f t="shared" si="71"/>
        <v>Ch Robinson</v>
      </c>
      <c r="BV192" s="4"/>
      <c r="BW192" s="4" t="str">
        <f>Table1[[#This Row],[BrokerAddress]]</f>
        <v>P.O. Box 3474</v>
      </c>
      <c r="BX192" s="4" t="str">
        <f t="shared" si="72"/>
        <v>Chicago</v>
      </c>
      <c r="BY192" s="4" t="str">
        <f t="shared" si="73"/>
        <v>Il</v>
      </c>
      <c r="BZ192" s="4">
        <f t="shared" si="74"/>
        <v>60654</v>
      </c>
      <c r="CA192" s="10" t="str">
        <f t="shared" si="75"/>
        <v>US</v>
      </c>
      <c r="CB192" s="15" t="s">
        <v>131</v>
      </c>
      <c r="CC192" s="62"/>
      <c r="CD192" s="15" t="s">
        <v>149</v>
      </c>
      <c r="CE192" s="64">
        <v>40</v>
      </c>
      <c r="CF192" s="4">
        <v>1</v>
      </c>
      <c r="CG192" s="132">
        <f t="shared" si="76"/>
        <v>40</v>
      </c>
      <c r="CH192" s="212" t="s">
        <v>194</v>
      </c>
      <c r="CI192" s="213">
        <v>25</v>
      </c>
      <c r="CJ192" s="212">
        <v>1</v>
      </c>
      <c r="CK192" s="272">
        <f t="shared" si="77"/>
        <v>25</v>
      </c>
      <c r="CL192" s="4" t="s">
        <v>132</v>
      </c>
      <c r="CM192" s="5">
        <v>0</v>
      </c>
      <c r="CN192" s="4">
        <v>0</v>
      </c>
      <c r="CO192" s="132">
        <f t="shared" si="78"/>
        <v>0</v>
      </c>
      <c r="CP192" s="4" t="s">
        <v>132</v>
      </c>
      <c r="CQ192" s="5">
        <v>0</v>
      </c>
      <c r="CR192" s="4">
        <v>0</v>
      </c>
      <c r="CS192" s="132">
        <f t="shared" si="79"/>
        <v>0</v>
      </c>
      <c r="CT192" s="159">
        <f t="shared" si="80"/>
        <v>65</v>
      </c>
      <c r="CU192" s="168">
        <f t="shared" si="81"/>
        <v>465</v>
      </c>
      <c r="CV192" s="169">
        <f t="shared" si="94"/>
        <v>65</v>
      </c>
      <c r="CW192" s="82">
        <f t="shared" ref="CW192:CW255" si="95">BO192+CV192</f>
        <v>415</v>
      </c>
      <c r="CX192" s="79">
        <f>IF(ISBLANK(E192),"AddQuickPay",IF(E192=2,CU192*0.98,IF(E192=2.4,CU192*0.976,IF(E192=3,CU192*0.97,IF(E192=5,CU192*0.95,IF(E192=1.5,CU192*0.985,IF(E192=2.5,CU192*0.975,IF(E192=1.3,CU192*0.987,IF(E192=1,CU192*0.99,IF(E192=4,CU192*0.96,CU192*1))))))))))-Table1[[#This Row],[ComCheck+QuickPayFee]]</f>
        <v>455.7</v>
      </c>
      <c r="CY192" s="5">
        <f t="shared" si="82"/>
        <v>50</v>
      </c>
      <c r="CZ192" s="5">
        <f t="shared" si="83"/>
        <v>9.3000000000000007</v>
      </c>
      <c r="DA192" s="258">
        <f>Table1[[#This Row],[OriginalDispatch]]-Table1[[#This Row],[QuickPayCharge]]</f>
        <v>40.700000000000003</v>
      </c>
      <c r="DB192" s="5">
        <v>0</v>
      </c>
      <c r="DC192" s="5" t="s">
        <v>1287</v>
      </c>
      <c r="DD192" s="104">
        <f t="shared" si="84"/>
        <v>42349</v>
      </c>
      <c r="DE192" s="15">
        <f>MONTH(Table1[[#This Row],[Weekending]])</f>
        <v>12</v>
      </c>
      <c r="DF192" s="15">
        <f>YEAR(Table1[[#This Row],[Weekending]])</f>
        <v>2015</v>
      </c>
      <c r="DG192" s="47" t="s">
        <v>1490</v>
      </c>
    </row>
    <row r="193" spans="1:111">
      <c r="A193" s="20" t="str">
        <f t="shared" si="66"/>
        <v>00nkwn49</v>
      </c>
      <c r="B193" s="146">
        <v>42346</v>
      </c>
      <c r="C193" s="144">
        <v>187880400</v>
      </c>
      <c r="D193" s="298" t="s">
        <v>111</v>
      </c>
      <c r="E193" s="298">
        <v>2</v>
      </c>
      <c r="F193" s="142" t="str">
        <f>INDEX(BrokerTBL!$B:$B,MATCH(D193,BrokerTBL!$A:$A,0))</f>
        <v>P.O. Box 3474</v>
      </c>
      <c r="G193" s="142" t="str">
        <f>INDEX(BrokerTBL!$C:$C,MATCH(D193,BrokerTBL!$A:$A,0))</f>
        <v>Chicago</v>
      </c>
      <c r="H193" s="142" t="str">
        <f>INDEX(BrokerTBL!$D:$D,MATCH(D193,BrokerTBL!$A:$A,0))</f>
        <v>Il</v>
      </c>
      <c r="I193" s="142" t="str">
        <f>INDEX(BrokerTBL!$E:$E,MATCH(D193,BrokerTBL!$A:$A,0))</f>
        <v>US</v>
      </c>
      <c r="J193" s="142">
        <f>INDEX(BrokerTBL!$F:$F,MATCH(D193,BrokerTBL!$A:$A,0))</f>
        <v>60654</v>
      </c>
      <c r="K193" s="298" t="s">
        <v>1491</v>
      </c>
      <c r="L193" s="145" t="s">
        <v>1179</v>
      </c>
      <c r="M193" s="146">
        <v>42346</v>
      </c>
      <c r="N193" s="144" t="s">
        <v>1045</v>
      </c>
      <c r="O193" s="298" t="s">
        <v>1492</v>
      </c>
      <c r="P193" s="298" t="s">
        <v>449</v>
      </c>
      <c r="Q193" s="298" t="s">
        <v>139</v>
      </c>
      <c r="R193" s="298">
        <v>95054</v>
      </c>
      <c r="S193" s="298" t="s">
        <v>118</v>
      </c>
      <c r="T193" s="298" t="s">
        <v>136</v>
      </c>
      <c r="U193" s="298" t="s">
        <v>120</v>
      </c>
      <c r="V193" s="298">
        <v>53</v>
      </c>
      <c r="W193" s="298" t="s">
        <v>1493</v>
      </c>
      <c r="X193" s="185">
        <v>45000</v>
      </c>
      <c r="Y193" s="298" t="s">
        <v>26</v>
      </c>
      <c r="Z193" s="298" t="s">
        <v>123</v>
      </c>
      <c r="AA193" s="298" t="s">
        <v>123</v>
      </c>
      <c r="AB193" s="298" t="s">
        <v>123</v>
      </c>
      <c r="AC193" s="298" t="s">
        <v>1494</v>
      </c>
      <c r="AD193" s="145" t="s">
        <v>1205</v>
      </c>
      <c r="AE193" s="146">
        <v>42346</v>
      </c>
      <c r="AF193" s="298" t="s">
        <v>218</v>
      </c>
      <c r="AG193" s="298" t="s">
        <v>1495</v>
      </c>
      <c r="AH193" s="298" t="s">
        <v>438</v>
      </c>
      <c r="AI193" s="298" t="s">
        <v>139</v>
      </c>
      <c r="AJ193" s="298">
        <v>94080</v>
      </c>
      <c r="AK193" s="298" t="s">
        <v>118</v>
      </c>
      <c r="AL193" s="298" t="s">
        <v>123</v>
      </c>
      <c r="AM193" s="142" t="str">
        <f>INDEX(CarrierDriverTBL!$B:$B,MATCH(Table1[[#This Row],[DriverID]],CarrierDriverTBL!$A:$A,0))</f>
        <v>UBTrucking</v>
      </c>
      <c r="AN193" s="10" t="s">
        <v>192</v>
      </c>
      <c r="AO193" s="10" t="str">
        <f>INDEX(CarrierDriverTBL!$C:$C,MATCH(Table1[[#This Row],[DriverID]],CarrierDriverTBL!$A:$A,0))</f>
        <v>Albel</v>
      </c>
      <c r="AP193" s="142" t="str">
        <f>INDEX(CarrierDriverTBL!$D:$D,MATCH(Table1[[#This Row],[DriverID]],CarrierDriverTBL!$A:$A,0))</f>
        <v>Chahil</v>
      </c>
      <c r="AQ193" s="142" t="str">
        <f>INDEX(CarrierDriverTBL!$X:$X,MATCH(Table1[[#This Row],[DriverID]],CarrierDriverTBL!$A:$A,0))</f>
        <v>A8390649</v>
      </c>
      <c r="AR193" s="160">
        <f>INDEX(CarrierDriverTBL!$Y:$Y,MATCH(Table1[[#This Row],[DriverID]],CarrierDriverTBL!$A:$A,0))</f>
        <v>42402</v>
      </c>
      <c r="AS193" s="142" t="str">
        <f t="shared" si="67"/>
        <v>GOOD</v>
      </c>
      <c r="AT193" s="160">
        <f>INDEX(CarrierDriverTBL!$E:$E,MATCH(Table1[[#This Row],[DriverID]],CarrierDriverTBL!$A:$A,0))</f>
        <v>22314</v>
      </c>
      <c r="AU193" s="163">
        <f ca="1">INDEX(CarrierDriverTBL!$F:$F,MATCH(Table1[[#This Row],[DriverID]],CarrierDriverTBL!$A:$A,0))</f>
        <v>55.512328767123286</v>
      </c>
      <c r="AV193" s="142" t="str">
        <f>INDEX(CarrierDriverTBL!$K:$K,MATCH(Table1[[#This Row],[DriverID]],CarrierDriverTBL!$A:$A,0))</f>
        <v>510-773-9450</v>
      </c>
      <c r="AW193" s="142" t="str">
        <f>INDEX(CarrierDriverTBL!$M:$M,MATCH(Table1[[#This Row],[DriverID]],CarrierDriverTBL!$A:$A,0))</f>
        <v>3124 Cynthia CT</v>
      </c>
      <c r="AX193" s="142" t="str">
        <f>INDEX(CarrierDriverTBL!$N:$N,MATCH(Table1[[#This Row],[DriverID]],CarrierDriverTBL!$A:$A,0))</f>
        <v>Tracy</v>
      </c>
      <c r="AY193" s="142" t="str">
        <f>INDEX(CarrierDriverTBL!$O:$O,MATCH(Table1[[#This Row],[DriverID]],CarrierDriverTBL!$A:$A,0))</f>
        <v>CA</v>
      </c>
      <c r="AZ193" s="142">
        <f>INDEX(CarrierDriverTBL!$P:$P,MATCH(Table1[[#This Row],[DriverID]],CarrierDriverTBL!$A:$A,0))</f>
        <v>95377</v>
      </c>
      <c r="BA193" s="142" t="str">
        <f>INDEX(CarrierDriverTBL!$Q:$Q,MATCH(Table1[[#This Row],[DriverID]],CarrierDriverTBL!$A:$A,0))</f>
        <v>US</v>
      </c>
      <c r="BB193" s="176" t="str">
        <f>INDEX(CarrierDriverTBL!$R:$R,MATCH(Table1[[#This Row],[DriverID]],CarrierDriverTBL!$A:$A,0))</f>
        <v>ubgollc@gmail.com</v>
      </c>
      <c r="BC193" s="160">
        <f>INDEX(CarrierDriverTBL!$AB:$AB,MATCH(Table1[[#This Row],[DriverID]],CarrierDriverTBL!$A:$A,0))</f>
        <v>42167</v>
      </c>
      <c r="BD193" s="142" t="str">
        <f ca="1">INDEX(CarrierDriverTBL!$AD:$AD,MATCH(LoadMaster!$AN:$AN,CarrierDriverTBL!$A:$A,0))</f>
        <v>MISSING</v>
      </c>
      <c r="BE193" s="142">
        <f>INDEX(CarrierDriverTBL!$AE:$AE,MATCH(Table1[DriverID],CarrierDriverTBL!$A:$A,0))</f>
        <v>913971</v>
      </c>
      <c r="BF193" s="142">
        <f>INDEX(CarrierDriverTBL!$AF:$AF,MATCH(Table1[DriverID],CarrierDriverTBL!$A:$A,0))</f>
        <v>2627544</v>
      </c>
      <c r="BG193" s="142">
        <f>INDEX(CarrierDriverTBL!$AG:$AG,MATCH(Table1[DriverID],CarrierDriverTBL!$A:$A,0))</f>
        <v>466133</v>
      </c>
      <c r="BH193" s="142" t="str">
        <f>INDEX(CarrierDriverTBL!$AH:$AH,MATCH(Table1[DriverID],CarrierDriverTBL!$A:$A,0))</f>
        <v>GM Lawrence Ins</v>
      </c>
      <c r="BI193" s="142" t="str">
        <f>INDEX(CarrierDriverTBL!$AI:$AI,MATCH(Table1[DriverID],CarrierDriverTBL!$A:$A,0))</f>
        <v>DSK2842P160210</v>
      </c>
      <c r="BJ193" s="160">
        <f>INDEX(CarrierDriverTBL!$AJ:$AJ,MATCH(Table1[[#This Row],[DriverID]],CarrierDriverTBL!$A:$A,0))</f>
        <v>42778</v>
      </c>
      <c r="BK193" s="10">
        <f t="shared" si="68"/>
        <v>432</v>
      </c>
      <c r="BL193" s="174">
        <v>300</v>
      </c>
      <c r="BM193" s="144">
        <v>48</v>
      </c>
      <c r="BN193" s="159">
        <f t="shared" si="91"/>
        <v>6.25</v>
      </c>
      <c r="BO193" s="167">
        <v>275</v>
      </c>
      <c r="BP193" s="159">
        <f t="shared" si="92"/>
        <v>5.729166666666667</v>
      </c>
      <c r="BQ193" s="133">
        <v>2.7989999999999999</v>
      </c>
      <c r="BR193" s="166">
        <f t="shared" si="89"/>
        <v>0.14983333333333335</v>
      </c>
      <c r="BS193" s="167">
        <f t="shared" si="69"/>
        <v>5.5793333333333335</v>
      </c>
      <c r="BT193" s="159">
        <f t="shared" si="70"/>
        <v>7.1920000000000002</v>
      </c>
      <c r="BU193" s="10" t="str">
        <f t="shared" si="71"/>
        <v>Ch Robinson</v>
      </c>
      <c r="BV193" s="4"/>
      <c r="BW193" s="4" t="str">
        <f>Table1[[#This Row],[BrokerAddress]]</f>
        <v>P.O. Box 3474</v>
      </c>
      <c r="BX193" s="4" t="str">
        <f t="shared" si="72"/>
        <v>Chicago</v>
      </c>
      <c r="BY193" s="4" t="str">
        <f t="shared" si="73"/>
        <v>Il</v>
      </c>
      <c r="BZ193" s="4">
        <f t="shared" si="74"/>
        <v>60654</v>
      </c>
      <c r="CA193" s="10" t="str">
        <f t="shared" si="75"/>
        <v>US</v>
      </c>
      <c r="CB193" s="15" t="s">
        <v>131</v>
      </c>
      <c r="CC193" s="62"/>
      <c r="CD193" s="15" t="s">
        <v>132</v>
      </c>
      <c r="CE193" s="64">
        <v>0</v>
      </c>
      <c r="CF193" s="4">
        <v>0</v>
      </c>
      <c r="CG193" s="132">
        <f t="shared" si="76"/>
        <v>0</v>
      </c>
      <c r="CH193" s="4" t="s">
        <v>132</v>
      </c>
      <c r="CI193" s="5">
        <v>0</v>
      </c>
      <c r="CJ193" s="4">
        <v>0</v>
      </c>
      <c r="CK193" s="132">
        <f t="shared" si="77"/>
        <v>0</v>
      </c>
      <c r="CL193" s="4" t="s">
        <v>132</v>
      </c>
      <c r="CM193" s="5">
        <v>0</v>
      </c>
      <c r="CN193" s="4">
        <v>0</v>
      </c>
      <c r="CO193" s="132">
        <f t="shared" si="78"/>
        <v>0</v>
      </c>
      <c r="CP193" s="4" t="s">
        <v>132</v>
      </c>
      <c r="CQ193" s="5">
        <v>0</v>
      </c>
      <c r="CR193" s="4">
        <v>0</v>
      </c>
      <c r="CS193" s="132">
        <f t="shared" si="79"/>
        <v>0</v>
      </c>
      <c r="CT193" s="159">
        <f t="shared" si="80"/>
        <v>0</v>
      </c>
      <c r="CU193" s="168">
        <f t="shared" si="81"/>
        <v>300</v>
      </c>
      <c r="CV193" s="169">
        <f t="shared" si="94"/>
        <v>0</v>
      </c>
      <c r="CW193" s="82">
        <f t="shared" si="95"/>
        <v>275</v>
      </c>
      <c r="CX193" s="79">
        <f>IF(ISBLANK(E193),"AddQuickPay",IF(E193=2,CU193*0.98,IF(E193=2.4,CU193*0.976,IF(E193=3,CU193*0.97,IF(E193=5,CU193*0.95,IF(E193=1.5,CU193*0.985,IF(E193=2.5,CU193*0.975,IF(E193=1.3,CU193*0.987,IF(E193=1,CU193*0.99,IF(E193=4,CU193*0.96,CU193*1))))))))))-Table1[[#This Row],[ComCheck+QuickPayFee]]</f>
        <v>294</v>
      </c>
      <c r="CY193" s="5">
        <f t="shared" si="82"/>
        <v>25</v>
      </c>
      <c r="CZ193" s="5">
        <f t="shared" si="83"/>
        <v>6</v>
      </c>
      <c r="DA193" s="258">
        <f>Table1[[#This Row],[OriginalDispatch]]-Table1[[#This Row],[QuickPayCharge]]</f>
        <v>19</v>
      </c>
      <c r="DB193" s="5">
        <v>0</v>
      </c>
      <c r="DC193" s="5" t="s">
        <v>1287</v>
      </c>
      <c r="DD193" s="104">
        <f t="shared" si="84"/>
        <v>42349</v>
      </c>
      <c r="DE193" s="15">
        <f>MONTH(Table1[[#This Row],[Weekending]])</f>
        <v>12</v>
      </c>
      <c r="DF193" s="15">
        <f>YEAR(Table1[[#This Row],[Weekending]])</f>
        <v>2015</v>
      </c>
      <c r="DG193" s="4"/>
    </row>
    <row r="194" spans="1:111">
      <c r="A194" s="20" t="str">
        <f t="shared" ref="A194:A257" si="96">RIGHT(C194,2)&amp;RIGHT(L194,2)&amp;RIGHT(AD194,2)&amp;RIGHT(AQ194,2)</f>
        <v>4298ne19</v>
      </c>
      <c r="B194" s="146">
        <v>42346</v>
      </c>
      <c r="C194" s="144">
        <v>187750542</v>
      </c>
      <c r="D194" s="298" t="s">
        <v>111</v>
      </c>
      <c r="E194" s="298">
        <v>2</v>
      </c>
      <c r="F194" s="142" t="str">
        <f>INDEX(BrokerTBL!$B:$B,MATCH(D194,BrokerTBL!$A:$A,0))</f>
        <v>P.O. Box 3474</v>
      </c>
      <c r="G194" s="142" t="str">
        <f>INDEX(BrokerTBL!$C:$C,MATCH(D194,BrokerTBL!$A:$A,0))</f>
        <v>Chicago</v>
      </c>
      <c r="H194" s="142" t="str">
        <f>INDEX(BrokerTBL!$D:$D,MATCH(D194,BrokerTBL!$A:$A,0))</f>
        <v>Il</v>
      </c>
      <c r="I194" s="142" t="str">
        <f>INDEX(BrokerTBL!$E:$E,MATCH(D194,BrokerTBL!$A:$A,0))</f>
        <v>US</v>
      </c>
      <c r="J194" s="142">
        <f>INDEX(BrokerTBL!$F:$F,MATCH(D194,BrokerTBL!$A:$A,0))</f>
        <v>60654</v>
      </c>
      <c r="K194" s="298" t="s">
        <v>1475</v>
      </c>
      <c r="L194" s="145">
        <v>98</v>
      </c>
      <c r="M194" s="146">
        <v>42346</v>
      </c>
      <c r="N194" s="144" t="s">
        <v>1496</v>
      </c>
      <c r="O194" s="298" t="s">
        <v>1477</v>
      </c>
      <c r="P194" s="298" t="s">
        <v>184</v>
      </c>
      <c r="Q194" s="298" t="s">
        <v>139</v>
      </c>
      <c r="R194" s="298">
        <v>75203</v>
      </c>
      <c r="S194" s="298" t="s">
        <v>118</v>
      </c>
      <c r="T194" s="298" t="s">
        <v>136</v>
      </c>
      <c r="U194" s="298" t="s">
        <v>120</v>
      </c>
      <c r="V194" s="298">
        <v>53</v>
      </c>
      <c r="W194" s="298" t="s">
        <v>1478</v>
      </c>
      <c r="X194" s="185">
        <v>44000</v>
      </c>
      <c r="Y194" s="298" t="s">
        <v>1479</v>
      </c>
      <c r="Z194" s="298" t="s">
        <v>123</v>
      </c>
      <c r="AA194" s="298" t="s">
        <v>123</v>
      </c>
      <c r="AB194" s="298" t="s">
        <v>123</v>
      </c>
      <c r="AC194" s="298" t="s">
        <v>1480</v>
      </c>
      <c r="AD194" s="145" t="s">
        <v>132</v>
      </c>
      <c r="AE194" s="146">
        <v>42346</v>
      </c>
      <c r="AF194" s="298" t="s">
        <v>356</v>
      </c>
      <c r="AG194" s="298" t="s">
        <v>1481</v>
      </c>
      <c r="AH194" s="298" t="s">
        <v>470</v>
      </c>
      <c r="AI194" s="298" t="s">
        <v>139</v>
      </c>
      <c r="AJ194" s="298">
        <v>93912</v>
      </c>
      <c r="AK194" s="298" t="s">
        <v>118</v>
      </c>
      <c r="AL194" s="298" t="s">
        <v>123</v>
      </c>
      <c r="AM194" s="142" t="str">
        <f>INDEX(CarrierDriverTBL!$B:$B,MATCH(Table1[[#This Row],[DriverID]],CarrierDriverTBL!$A:$A,0))</f>
        <v>UBTrucking</v>
      </c>
      <c r="AN194" s="10" t="s">
        <v>1409</v>
      </c>
      <c r="AO194" s="298" t="str">
        <f>INDEX(CarrierDriverTBL!$C:$C,MATCH(Table1[[#This Row],[DriverID]],CarrierDriverTBL!$A:$A,0))</f>
        <v>Miguel Jaime</v>
      </c>
      <c r="AP194" s="298" t="str">
        <f>INDEX(CarrierDriverTBL!$D:$D,MATCH(Table1[[#This Row],[DriverID]],CarrierDriverTBL!$A:$A,0))</f>
        <v>Martin Del Campo Velarca</v>
      </c>
      <c r="AQ194" s="142" t="str">
        <f>INDEX(CarrierDriverTBL!$X:$X,MATCH(Table1[[#This Row],[DriverID]],CarrierDriverTBL!$A:$A,0))</f>
        <v>D5179619</v>
      </c>
      <c r="AR194" s="160">
        <f>INDEX(CarrierDriverTBL!$Y:$Y,MATCH(Table1[[#This Row],[DriverID]],CarrierDriverTBL!$A:$A,0))</f>
        <v>43843</v>
      </c>
      <c r="AS194" s="142" t="str">
        <f t="shared" ref="AS194:AS257" si="97">IF(AR194&gt;M194,"GOOD","EXPIRED")</f>
        <v>GOOD</v>
      </c>
      <c r="AT194" s="146">
        <f>INDEX(CarrierDriverTBL!$E:$E,MATCH(Table1[[#This Row],[DriverID]],CarrierDriverTBL!$A:$A,0))</f>
        <v>21198</v>
      </c>
      <c r="AU194" s="163">
        <f ca="1">INDEX(CarrierDriverTBL!$F:$F,MATCH(Table1[[#This Row],[DriverID]],CarrierDriverTBL!$A:$A,0))</f>
        <v>58.56986301369863</v>
      </c>
      <c r="AV194" s="298" t="str">
        <f>INDEX(CarrierDriverTBL!$K:$K,MATCH(Table1[[#This Row],[DriverID]],CarrierDriverTBL!$A:$A,0))</f>
        <v>209-322-5231</v>
      </c>
      <c r="AW194" s="298" t="str">
        <f>INDEX(CarrierDriverTBL!$M:$M,MATCH(Table1[[#This Row],[DriverID]],CarrierDriverTBL!$A:$A,0))</f>
        <v>572 Predersen RD</v>
      </c>
      <c r="AX194" s="298" t="str">
        <f>INDEX(CarrierDriverTBL!$N:$N,MATCH(Table1[[#This Row],[DriverID]],CarrierDriverTBL!$A:$A,0))</f>
        <v>Oakdale</v>
      </c>
      <c r="AY194" s="142" t="str">
        <f>INDEX(CarrierDriverTBL!$O:$O,MATCH(Table1[[#This Row],[DriverID]],CarrierDriverTBL!$A:$A,0))</f>
        <v>CA</v>
      </c>
      <c r="AZ194" s="298">
        <f>INDEX(CarrierDriverTBL!$P:$P,MATCH(Table1[[#This Row],[DriverID]],CarrierDriverTBL!$A:$A,0))</f>
        <v>95361</v>
      </c>
      <c r="BA194" s="298" t="str">
        <f>INDEX(CarrierDriverTBL!$Q:$Q,MATCH(Table1[[#This Row],[DriverID]],CarrierDriverTBL!$A:$A,0))</f>
        <v>US</v>
      </c>
      <c r="BB194" s="176" t="str">
        <f>INDEX(CarrierDriverTBL!$R:$R,MATCH(Table1[[#This Row],[DriverID]],CarrierDriverTBL!$A:$A,0))</f>
        <v>Miguelmartin52@yahoo.com</v>
      </c>
      <c r="BC194" s="160">
        <f>INDEX(CarrierDriverTBL!$AB:$AB,MATCH(Table1[[#This Row],[DriverID]],CarrierDriverTBL!$A:$A,0))</f>
        <v>42334</v>
      </c>
      <c r="BD194" s="142" t="str">
        <f ca="1">INDEX(CarrierDriverTBL!$AD:$AD,MATCH(LoadMaster!$AN:$AN,CarrierDriverTBL!$A:$A,0))</f>
        <v>MISSING</v>
      </c>
      <c r="BE194" s="142">
        <f>INDEX(CarrierDriverTBL!$AE:$AE,MATCH(Table1[DriverID],CarrierDriverTBL!$A:$A,0))</f>
        <v>913971</v>
      </c>
      <c r="BF194" s="142">
        <f>INDEX(CarrierDriverTBL!$AF:$AF,MATCH(Table1[DriverID],CarrierDriverTBL!$A:$A,0))</f>
        <v>2627544</v>
      </c>
      <c r="BG194" s="142">
        <f>INDEX(CarrierDriverTBL!$AG:$AG,MATCH(Table1[DriverID],CarrierDriverTBL!$A:$A,0))</f>
        <v>466133</v>
      </c>
      <c r="BH194" s="142" t="str">
        <f>INDEX(CarrierDriverTBL!$AH:$AH,MATCH(Table1[DriverID],CarrierDriverTBL!$A:$A,0))</f>
        <v>GM Lawrence Ins</v>
      </c>
      <c r="BI194" s="142" t="str">
        <f>INDEX(CarrierDriverTBL!$AI:$AI,MATCH(Table1[DriverID],CarrierDriverTBL!$A:$A,0))</f>
        <v>DSK2842P160210</v>
      </c>
      <c r="BJ194" s="160">
        <f>INDEX(CarrierDriverTBL!$AJ:$AJ,MATCH(Table1[[#This Row],[DriverID]],CarrierDriverTBL!$A:$A,0))</f>
        <v>42778</v>
      </c>
      <c r="BK194" s="10">
        <f t="shared" ref="BK194:BK257" si="98">IFERROR(BJ194-M194,"MISSING")</f>
        <v>432</v>
      </c>
      <c r="BL194" s="174">
        <v>450</v>
      </c>
      <c r="BM194" s="144">
        <v>131</v>
      </c>
      <c r="BN194" s="159">
        <f t="shared" si="91"/>
        <v>3.4351145038167941</v>
      </c>
      <c r="BO194" s="167">
        <f>0.93*450</f>
        <v>418.5</v>
      </c>
      <c r="BP194" s="159">
        <f t="shared" si="92"/>
        <v>3.1946564885496183</v>
      </c>
      <c r="BQ194" s="133">
        <v>2.7989999999999999</v>
      </c>
      <c r="BR194" s="166">
        <f t="shared" si="89"/>
        <v>0.14983333333333335</v>
      </c>
      <c r="BS194" s="167">
        <f t="shared" ref="BS194:BS257" si="99">BP194-BR194</f>
        <v>3.0448231552162848</v>
      </c>
      <c r="BT194" s="159">
        <f t="shared" ref="BT194:BT257" si="100">BM194*BR194</f>
        <v>19.628166666666669</v>
      </c>
      <c r="BU194" s="10" t="str">
        <f t="shared" ref="BU194:BU257" si="101">D194</f>
        <v>Ch Robinson</v>
      </c>
      <c r="BV194" s="4"/>
      <c r="BW194" s="4" t="str">
        <f>Table1[[#This Row],[BrokerAddress]]</f>
        <v>P.O. Box 3474</v>
      </c>
      <c r="BX194" s="4" t="str">
        <f t="shared" ref="BX194:BX257" si="102">G194</f>
        <v>Chicago</v>
      </c>
      <c r="BY194" s="4" t="str">
        <f t="shared" ref="BY194:BY257" si="103">H194</f>
        <v>Il</v>
      </c>
      <c r="BZ194" s="4">
        <f t="shared" ref="BZ194:BZ257" si="104">J194</f>
        <v>60654</v>
      </c>
      <c r="CA194" s="10" t="str">
        <f t="shared" ref="CA194:CA257" si="105">I194</f>
        <v>US</v>
      </c>
      <c r="CB194" s="15" t="s">
        <v>131</v>
      </c>
      <c r="CC194" s="62"/>
      <c r="CD194" s="15" t="s">
        <v>132</v>
      </c>
      <c r="CE194" s="64">
        <v>0</v>
      </c>
      <c r="CF194" s="4">
        <v>0</v>
      </c>
      <c r="CG194" s="132">
        <f t="shared" ref="CG194:CG257" si="106">CE194*CF194</f>
        <v>0</v>
      </c>
      <c r="CH194" s="4" t="s">
        <v>132</v>
      </c>
      <c r="CI194" s="5">
        <v>0</v>
      </c>
      <c r="CJ194" s="4">
        <v>0</v>
      </c>
      <c r="CK194" s="132">
        <f t="shared" ref="CK194:CK257" si="107">CI194*CJ194</f>
        <v>0</v>
      </c>
      <c r="CL194" s="4" t="s">
        <v>132</v>
      </c>
      <c r="CM194" s="5">
        <v>0</v>
      </c>
      <c r="CN194" s="4">
        <v>0</v>
      </c>
      <c r="CO194" s="132">
        <f t="shared" ref="CO194:CO257" si="108">CM194*CN194</f>
        <v>0</v>
      </c>
      <c r="CP194" s="4" t="s">
        <v>132</v>
      </c>
      <c r="CQ194" s="5">
        <v>0</v>
      </c>
      <c r="CR194" s="4">
        <v>0</v>
      </c>
      <c r="CS194" s="132">
        <f t="shared" ref="CS194:CS257" si="109">CQ194*CR194</f>
        <v>0</v>
      </c>
      <c r="CT194" s="159">
        <f t="shared" ref="CT194:CT257" si="110">CG194+CK194+CO194+CS194</f>
        <v>0</v>
      </c>
      <c r="CU194" s="168">
        <f t="shared" ref="CU194:CU257" si="111">(CT194+BL194)-CC194</f>
        <v>450</v>
      </c>
      <c r="CV194" s="169">
        <f t="shared" si="94"/>
        <v>0</v>
      </c>
      <c r="CW194" s="82">
        <f t="shared" si="95"/>
        <v>418.5</v>
      </c>
      <c r="CX194" s="79">
        <f>IF(ISBLANK(E194),"AddQuickPay",IF(E194=2,CU194*0.98,IF(E194=2.4,CU194*0.976,IF(E194=3,CU194*0.97,IF(E194=5,CU194*0.95,IF(E194=1.5,CU194*0.985,IF(E194=2.5,CU194*0.975,IF(E194=1.3,CU194*0.987,IF(E194=1,CU194*0.99,IF(E194=4,CU194*0.96,CU194*1))))))))))-Table1[[#This Row],[ComCheck+QuickPayFee]]</f>
        <v>441</v>
      </c>
      <c r="CY194" s="5">
        <f t="shared" ref="CY194:CY257" si="112">CU194-CW194</f>
        <v>31.5</v>
      </c>
      <c r="CZ194" s="5">
        <f t="shared" ref="CZ194:CZ257" si="113">IF(ISBLANK(E194),"AddQuickPay",IF(E194=2,CU194*0.02,IF(E194=2.4,CU194*0.024,IF(E194=3,CU194*0.03,IF(E194=5,CU194*0.05,IF(E194=1.5,CU194*0.015,IF(E194=2.5,CU194*0.025,IF(E194=4,CU194*0.04,IF(E194=1.3,CU194*0.013,IF(E194=1,CU194*0.01,CU194*0))))))))))</f>
        <v>9</v>
      </c>
      <c r="DA194" s="258">
        <f>Table1[[#This Row],[OriginalDispatch]]-Table1[[#This Row],[QuickPayCharge]]</f>
        <v>22.5</v>
      </c>
      <c r="DB194" s="5">
        <v>0</v>
      </c>
      <c r="DC194" s="5" t="s">
        <v>1287</v>
      </c>
      <c r="DD194" s="104">
        <f t="shared" ref="DD194:DD257" si="114">(5-WEEKDAY(M194,2))+M194</f>
        <v>42349</v>
      </c>
      <c r="DE194" s="15">
        <f>MONTH(Table1[[#This Row],[Weekending]])</f>
        <v>12</v>
      </c>
      <c r="DF194" s="15">
        <f>YEAR(Table1[[#This Row],[Weekending]])</f>
        <v>2015</v>
      </c>
      <c r="DG194" s="4"/>
    </row>
    <row r="195" spans="1:111">
      <c r="A195" s="20" t="str">
        <f t="shared" si="96"/>
        <v>58222288</v>
      </c>
      <c r="B195" s="146">
        <v>42346</v>
      </c>
      <c r="C195" s="144">
        <v>187614058</v>
      </c>
      <c r="D195" s="298" t="s">
        <v>111</v>
      </c>
      <c r="E195" s="298">
        <v>2</v>
      </c>
      <c r="F195" s="142" t="str">
        <f>INDEX(BrokerTBL!$B:$B,MATCH(D195,BrokerTBL!$A:$A,0))</f>
        <v>P.O. Box 3474</v>
      </c>
      <c r="G195" s="142" t="str">
        <f>INDEX(BrokerTBL!$C:$C,MATCH(D195,BrokerTBL!$A:$A,0))</f>
        <v>Chicago</v>
      </c>
      <c r="H195" s="142" t="str">
        <f>INDEX(BrokerTBL!$D:$D,MATCH(D195,BrokerTBL!$A:$A,0))</f>
        <v>Il</v>
      </c>
      <c r="I195" s="142" t="str">
        <f>INDEX(BrokerTBL!$E:$E,MATCH(D195,BrokerTBL!$A:$A,0))</f>
        <v>US</v>
      </c>
      <c r="J195" s="142">
        <f>INDEX(BrokerTBL!$F:$F,MATCH(D195,BrokerTBL!$A:$A,0))</f>
        <v>60654</v>
      </c>
      <c r="K195" s="298" t="s">
        <v>1497</v>
      </c>
      <c r="L195" s="145">
        <v>20990122</v>
      </c>
      <c r="M195" s="146">
        <v>42346</v>
      </c>
      <c r="N195" s="144" t="s">
        <v>1242</v>
      </c>
      <c r="O195" s="298" t="s">
        <v>1498</v>
      </c>
      <c r="P195" s="298" t="s">
        <v>1304</v>
      </c>
      <c r="Q195" s="298" t="s">
        <v>139</v>
      </c>
      <c r="R195" s="298">
        <v>91406</v>
      </c>
      <c r="S195" s="298" t="s">
        <v>118</v>
      </c>
      <c r="T195" s="298" t="s">
        <v>136</v>
      </c>
      <c r="U195" s="298" t="s">
        <v>120</v>
      </c>
      <c r="V195" s="298">
        <v>53</v>
      </c>
      <c r="W195" s="298" t="s">
        <v>483</v>
      </c>
      <c r="X195" s="185">
        <v>45200</v>
      </c>
      <c r="Y195" s="298" t="s">
        <v>26</v>
      </c>
      <c r="Z195" s="298" t="s">
        <v>123</v>
      </c>
      <c r="AA195" s="298" t="s">
        <v>123</v>
      </c>
      <c r="AB195" s="298" t="s">
        <v>123</v>
      </c>
      <c r="AC195" s="298" t="s">
        <v>1499</v>
      </c>
      <c r="AD195" s="145">
        <v>20990122</v>
      </c>
      <c r="AE195" s="146">
        <v>42347</v>
      </c>
      <c r="AF195" s="298" t="s">
        <v>1032</v>
      </c>
      <c r="AG195" s="298" t="s">
        <v>1500</v>
      </c>
      <c r="AH195" s="298" t="s">
        <v>208</v>
      </c>
      <c r="AI195" s="298" t="s">
        <v>139</v>
      </c>
      <c r="AJ195" s="298">
        <v>95838</v>
      </c>
      <c r="AK195" s="298" t="s">
        <v>118</v>
      </c>
      <c r="AL195" s="298" t="s">
        <v>123</v>
      </c>
      <c r="AM195" s="142" t="str">
        <f>INDEX(CarrierDriverTBL!$B:$B,MATCH(Table1[[#This Row],[DriverID]],CarrierDriverTBL!$A:$A,0))</f>
        <v>UBTrucking</v>
      </c>
      <c r="AN195" s="10" t="s">
        <v>948</v>
      </c>
      <c r="AO195" s="10" t="str">
        <f>INDEX(CarrierDriverTBL!$C:$C,MATCH(Table1[[#This Row],[DriverID]],CarrierDriverTBL!$A:$A,0))</f>
        <v>Wesley</v>
      </c>
      <c r="AP195" s="10" t="str">
        <f>INDEX(CarrierDriverTBL!$D:$D,MATCH(Table1[[#This Row],[DriverID]],CarrierDriverTBL!$A:$A,0))</f>
        <v>Cousain</v>
      </c>
      <c r="AQ195" s="10" t="str">
        <f>INDEX(CarrierDriverTBL!$X:$X,MATCH(Table1[[#This Row],[DriverID]],CarrierDriverTBL!$A:$A,0))</f>
        <v>D4903588</v>
      </c>
      <c r="AR195" s="11">
        <f>INDEX(CarrierDriverTBL!$Y:$Y,MATCH(Table1[[#This Row],[DriverID]],CarrierDriverTBL!$A:$A,0))</f>
        <v>43458</v>
      </c>
      <c r="AS195" s="142" t="str">
        <f t="shared" si="97"/>
        <v>GOOD</v>
      </c>
      <c r="AT195" s="11">
        <f>INDEX(CarrierDriverTBL!$E:$E,MATCH(Table1[[#This Row],[DriverID]],CarrierDriverTBL!$A:$A,0))</f>
        <v>31405</v>
      </c>
      <c r="AU195" s="163">
        <f ca="1">INDEX(CarrierDriverTBL!$F:$F,MATCH(Table1[[#This Row],[DriverID]],CarrierDriverTBL!$A:$A,0))</f>
        <v>30.605479452054794</v>
      </c>
      <c r="AV195" s="10" t="str">
        <f>INDEX(CarrierDriverTBL!$K:$K,MATCH(Table1[[#This Row],[DriverID]],CarrierDriverTBL!$A:$A,0))</f>
        <v>925-383-5364</v>
      </c>
      <c r="AW195" s="10" t="str">
        <f>INDEX(CarrierDriverTBL!$M:$M,MATCH(Table1[[#This Row],[DriverID]],CarrierDriverTBL!$A:$A,0))</f>
        <v>110 Cordova Ln</v>
      </c>
      <c r="AX195" s="10" t="str">
        <f>INDEX(CarrierDriverTBL!$N:$N,MATCH(Table1[[#This Row],[DriverID]],CarrierDriverTBL!$A:$A,0))</f>
        <v>Stockton</v>
      </c>
      <c r="AY195" s="10" t="str">
        <f>INDEX(CarrierDriverTBL!$O:$O,MATCH(Table1[[#This Row],[DriverID]],CarrierDriverTBL!$A:$A,0))</f>
        <v>CA</v>
      </c>
      <c r="AZ195" s="10">
        <f>INDEX(CarrierDriverTBL!$P:$P,MATCH(Table1[[#This Row],[DriverID]],CarrierDriverTBL!$A:$A,0))</f>
        <v>95207</v>
      </c>
      <c r="BA195" s="10" t="str">
        <f>INDEX(CarrierDriverTBL!$Q:$Q,MATCH(Table1[[#This Row],[DriverID]],CarrierDriverTBL!$A:$A,0))</f>
        <v>US</v>
      </c>
      <c r="BB195" s="173" t="str">
        <f>INDEX(CarrierDriverTBL!$R:$R,MATCH(Table1[[#This Row],[DriverID]],CarrierDriverTBL!$A:$A,0))</f>
        <v>wesleycousain1@gmail.com</v>
      </c>
      <c r="BC195" s="160">
        <f>INDEX(CarrierDriverTBL!$AB:$AB,MATCH(Table1[[#This Row],[DriverID]],CarrierDriverTBL!$A:$A,0))</f>
        <v>42271</v>
      </c>
      <c r="BD195" s="142" t="str">
        <f ca="1">INDEX(CarrierDriverTBL!$AD:$AD,MATCH(LoadMaster!$AN:$AN,CarrierDriverTBL!$A:$A,0))</f>
        <v>MISSING</v>
      </c>
      <c r="BE195" s="142">
        <f>INDEX(CarrierDriverTBL!$AE:$AE,MATCH(Table1[DriverID],CarrierDriverTBL!$A:$A,0))</f>
        <v>913971</v>
      </c>
      <c r="BF195" s="142">
        <f>INDEX(CarrierDriverTBL!$AF:$AF,MATCH(Table1[DriverID],CarrierDriverTBL!$A:$A,0))</f>
        <v>2627544</v>
      </c>
      <c r="BG195" s="142">
        <f>INDEX(CarrierDriverTBL!$AG:$AG,MATCH(Table1[DriverID],CarrierDriverTBL!$A:$A,0))</f>
        <v>466133</v>
      </c>
      <c r="BH195" s="142" t="str">
        <f>INDEX(CarrierDriverTBL!$AH:$AH,MATCH(Table1[DriverID],CarrierDriverTBL!$A:$A,0))</f>
        <v>GM Lawrence Ins</v>
      </c>
      <c r="BI195" s="142" t="str">
        <f>INDEX(CarrierDriverTBL!$AI:$AI,MATCH(Table1[DriverID],CarrierDriverTBL!$A:$A,0))</f>
        <v>DSK2842P160210</v>
      </c>
      <c r="BJ195" s="160">
        <f>INDEX(CarrierDriverTBL!$AJ:$AJ,MATCH(Table1[[#This Row],[DriverID]],CarrierDriverTBL!$A:$A,0))</f>
        <v>42778</v>
      </c>
      <c r="BK195" s="10">
        <f t="shared" si="98"/>
        <v>432</v>
      </c>
      <c r="BL195" s="174">
        <v>800</v>
      </c>
      <c r="BM195" s="144">
        <v>375</v>
      </c>
      <c r="BN195" s="159">
        <f t="shared" si="91"/>
        <v>2.1333333333333333</v>
      </c>
      <c r="BO195" s="167">
        <f>0.93*800</f>
        <v>744</v>
      </c>
      <c r="BP195" s="159">
        <f t="shared" si="92"/>
        <v>1.984</v>
      </c>
      <c r="BQ195" s="133">
        <v>2.7989999999999999</v>
      </c>
      <c r="BR195" s="166">
        <f t="shared" si="89"/>
        <v>0.14983333333333335</v>
      </c>
      <c r="BS195" s="167">
        <f t="shared" si="99"/>
        <v>1.8341666666666667</v>
      </c>
      <c r="BT195" s="159">
        <f t="shared" si="100"/>
        <v>56.187500000000007</v>
      </c>
      <c r="BU195" s="10" t="str">
        <f t="shared" si="101"/>
        <v>Ch Robinson</v>
      </c>
      <c r="BV195" s="4"/>
      <c r="BW195" s="4" t="str">
        <f>Table1[[#This Row],[BrokerAddress]]</f>
        <v>P.O. Box 3474</v>
      </c>
      <c r="BX195" s="4" t="str">
        <f t="shared" si="102"/>
        <v>Chicago</v>
      </c>
      <c r="BY195" s="4" t="str">
        <f t="shared" si="103"/>
        <v>Il</v>
      </c>
      <c r="BZ195" s="4">
        <f t="shared" si="104"/>
        <v>60654</v>
      </c>
      <c r="CA195" s="10" t="str">
        <f t="shared" si="105"/>
        <v>US</v>
      </c>
      <c r="CB195" s="15" t="s">
        <v>131</v>
      </c>
      <c r="CC195" s="62"/>
      <c r="CD195" s="15" t="s">
        <v>132</v>
      </c>
      <c r="CE195" s="64">
        <v>0</v>
      </c>
      <c r="CF195" s="4">
        <v>0</v>
      </c>
      <c r="CG195" s="132">
        <f t="shared" si="106"/>
        <v>0</v>
      </c>
      <c r="CH195" s="4" t="s">
        <v>132</v>
      </c>
      <c r="CI195" s="5">
        <v>0</v>
      </c>
      <c r="CJ195" s="4">
        <v>0</v>
      </c>
      <c r="CK195" s="132">
        <f t="shared" si="107"/>
        <v>0</v>
      </c>
      <c r="CL195" s="4" t="s">
        <v>132</v>
      </c>
      <c r="CM195" s="5">
        <v>0</v>
      </c>
      <c r="CN195" s="4">
        <v>0</v>
      </c>
      <c r="CO195" s="132">
        <f t="shared" si="108"/>
        <v>0</v>
      </c>
      <c r="CP195" s="4" t="s">
        <v>132</v>
      </c>
      <c r="CQ195" s="5">
        <v>0</v>
      </c>
      <c r="CR195" s="4">
        <v>0</v>
      </c>
      <c r="CS195" s="132">
        <f t="shared" si="109"/>
        <v>0</v>
      </c>
      <c r="CT195" s="159">
        <f t="shared" si="110"/>
        <v>0</v>
      </c>
      <c r="CU195" s="168">
        <f t="shared" si="111"/>
        <v>800</v>
      </c>
      <c r="CV195" s="169">
        <f t="shared" si="94"/>
        <v>0</v>
      </c>
      <c r="CW195" s="82">
        <f t="shared" si="95"/>
        <v>744</v>
      </c>
      <c r="CX195" s="79">
        <f>IF(ISBLANK(E195),"AddQuickPay",IF(E195=2,CU195*0.98,IF(E195=2.4,CU195*0.976,IF(E195=3,CU195*0.97,IF(E195=5,CU195*0.95,IF(E195=1.5,CU195*0.985,IF(E195=2.5,CU195*0.975,IF(E195=1.3,CU195*0.987,IF(E195=1,CU195*0.99,IF(E195=4,CU195*0.96,CU195*1))))))))))-Table1[[#This Row],[ComCheck+QuickPayFee]]</f>
        <v>784</v>
      </c>
      <c r="CY195" s="5">
        <f t="shared" si="112"/>
        <v>56</v>
      </c>
      <c r="CZ195" s="5">
        <f t="shared" si="113"/>
        <v>16</v>
      </c>
      <c r="DA195" s="258">
        <f>Table1[[#This Row],[OriginalDispatch]]-Table1[[#This Row],[QuickPayCharge]]</f>
        <v>40</v>
      </c>
      <c r="DB195" s="5">
        <v>0</v>
      </c>
      <c r="DC195" s="5" t="s">
        <v>1287</v>
      </c>
      <c r="DD195" s="104">
        <f t="shared" si="114"/>
        <v>42349</v>
      </c>
      <c r="DE195" s="15">
        <f>MONTH(Table1[[#This Row],[Weekending]])</f>
        <v>12</v>
      </c>
      <c r="DF195" s="15">
        <f>YEAR(Table1[[#This Row],[Weekending]])</f>
        <v>2015</v>
      </c>
      <c r="DG195" s="4"/>
    </row>
    <row r="196" spans="1:111" ht="30">
      <c r="A196" s="20" t="str">
        <f t="shared" si="96"/>
        <v>89newn49</v>
      </c>
      <c r="B196" s="146">
        <v>42346</v>
      </c>
      <c r="C196" s="162">
        <v>6269789</v>
      </c>
      <c r="D196" s="298" t="s">
        <v>555</v>
      </c>
      <c r="E196" s="298">
        <v>3</v>
      </c>
      <c r="F196" s="298" t="str">
        <f>INDEX(BrokerTBL!$B:$B,MATCH(D196,BrokerTBL!$A:$A,0))</f>
        <v>P.O. Box 799</v>
      </c>
      <c r="G196" s="298" t="str">
        <f>INDEX(BrokerTBL!$C:$C,MATCH(D196,BrokerTBL!$A:$A,0))</f>
        <v>Milford</v>
      </c>
      <c r="H196" s="298" t="str">
        <f>INDEX(BrokerTBL!$D:$D,MATCH(D196,BrokerTBL!$A:$A,0))</f>
        <v>Ohio</v>
      </c>
      <c r="I196" s="298" t="str">
        <f>INDEX(BrokerTBL!$E:$E,MATCH(D196,BrokerTBL!$A:$A,0))</f>
        <v>US</v>
      </c>
      <c r="J196" s="298">
        <f>INDEX(BrokerTBL!$F:$F,MATCH(D196,BrokerTBL!$A:$A,0))</f>
        <v>45150</v>
      </c>
      <c r="K196" s="298" t="s">
        <v>1501</v>
      </c>
      <c r="L196" s="145" t="s">
        <v>132</v>
      </c>
      <c r="M196" s="146">
        <v>42346</v>
      </c>
      <c r="N196" s="144" t="s">
        <v>1502</v>
      </c>
      <c r="O196" s="298" t="s">
        <v>1501</v>
      </c>
      <c r="P196" s="298" t="s">
        <v>438</v>
      </c>
      <c r="Q196" s="298" t="s">
        <v>139</v>
      </c>
      <c r="R196" s="298">
        <v>94080</v>
      </c>
      <c r="S196" s="298" t="s">
        <v>118</v>
      </c>
      <c r="T196" s="298" t="s">
        <v>136</v>
      </c>
      <c r="U196" s="298" t="s">
        <v>120</v>
      </c>
      <c r="V196" s="298">
        <v>53</v>
      </c>
      <c r="W196" s="298" t="s">
        <v>1503</v>
      </c>
      <c r="X196" s="144" t="s">
        <v>136</v>
      </c>
      <c r="Y196" s="298" t="s">
        <v>123</v>
      </c>
      <c r="Z196" s="298" t="s">
        <v>123</v>
      </c>
      <c r="AA196" s="298" t="s">
        <v>123</v>
      </c>
      <c r="AB196" s="298" t="s">
        <v>123</v>
      </c>
      <c r="AC196" s="187" t="s">
        <v>1504</v>
      </c>
      <c r="AD196" s="145" t="s">
        <v>1205</v>
      </c>
      <c r="AE196" s="190" t="s">
        <v>1505</v>
      </c>
      <c r="AF196" s="416" t="s">
        <v>123</v>
      </c>
      <c r="AG196" s="187" t="s">
        <v>1506</v>
      </c>
      <c r="AH196" s="187" t="s">
        <v>1507</v>
      </c>
      <c r="AI196" s="298" t="s">
        <v>139</v>
      </c>
      <c r="AJ196" s="187" t="s">
        <v>1508</v>
      </c>
      <c r="AK196" s="298" t="s">
        <v>118</v>
      </c>
      <c r="AL196" s="298" t="s">
        <v>123</v>
      </c>
      <c r="AM196" s="142" t="str">
        <f>INDEX(CarrierDriverTBL!$B:$B,MATCH(Table1[[#This Row],[DriverID]],CarrierDriverTBL!$A:$A,0))</f>
        <v>UBTrucking</v>
      </c>
      <c r="AN196" s="10" t="s">
        <v>192</v>
      </c>
      <c r="AO196" s="10" t="str">
        <f>INDEX(CarrierDriverTBL!$C:$C,MATCH(Table1[[#This Row],[DriverID]],CarrierDriverTBL!$A:$A,0))</f>
        <v>Albel</v>
      </c>
      <c r="AP196" s="142" t="str">
        <f>INDEX(CarrierDriverTBL!$D:$D,MATCH(Table1[[#This Row],[DriverID]],CarrierDriverTBL!$A:$A,0))</f>
        <v>Chahil</v>
      </c>
      <c r="AQ196" s="142" t="str">
        <f>INDEX(CarrierDriverTBL!$X:$X,MATCH(Table1[[#This Row],[DriverID]],CarrierDriverTBL!$A:$A,0))</f>
        <v>A8390649</v>
      </c>
      <c r="AR196" s="160">
        <f>INDEX(CarrierDriverTBL!$Y:$Y,MATCH(Table1[[#This Row],[DriverID]],CarrierDriverTBL!$A:$A,0))</f>
        <v>42402</v>
      </c>
      <c r="AS196" s="142" t="str">
        <f t="shared" si="97"/>
        <v>GOOD</v>
      </c>
      <c r="AT196" s="160">
        <f>INDEX(CarrierDriverTBL!$E:$E,MATCH(Table1[[#This Row],[DriverID]],CarrierDriverTBL!$A:$A,0))</f>
        <v>22314</v>
      </c>
      <c r="AU196" s="163">
        <f ca="1">INDEX(CarrierDriverTBL!$F:$F,MATCH(Table1[[#This Row],[DriverID]],CarrierDriverTBL!$A:$A,0))</f>
        <v>55.512328767123286</v>
      </c>
      <c r="AV196" s="142" t="str">
        <f>INDEX(CarrierDriverTBL!$K:$K,MATCH(Table1[[#This Row],[DriverID]],CarrierDriverTBL!$A:$A,0))</f>
        <v>510-773-9450</v>
      </c>
      <c r="AW196" s="142" t="str">
        <f>INDEX(CarrierDriverTBL!$M:$M,MATCH(Table1[[#This Row],[DriverID]],CarrierDriverTBL!$A:$A,0))</f>
        <v>3124 Cynthia CT</v>
      </c>
      <c r="AX196" s="142" t="str">
        <f>INDEX(CarrierDriverTBL!$N:$N,MATCH(Table1[[#This Row],[DriverID]],CarrierDriverTBL!$A:$A,0))</f>
        <v>Tracy</v>
      </c>
      <c r="AY196" s="142" t="str">
        <f>INDEX(CarrierDriverTBL!$O:$O,MATCH(Table1[[#This Row],[DriverID]],CarrierDriverTBL!$A:$A,0))</f>
        <v>CA</v>
      </c>
      <c r="AZ196" s="142">
        <f>INDEX(CarrierDriverTBL!$P:$P,MATCH(Table1[[#This Row],[DriverID]],CarrierDriverTBL!$A:$A,0))</f>
        <v>95377</v>
      </c>
      <c r="BA196" s="142" t="str">
        <f>INDEX(CarrierDriverTBL!$Q:$Q,MATCH(Table1[[#This Row],[DriverID]],CarrierDriverTBL!$A:$A,0))</f>
        <v>US</v>
      </c>
      <c r="BB196" s="176" t="str">
        <f>INDEX(CarrierDriverTBL!$R:$R,MATCH(Table1[[#This Row],[DriverID]],CarrierDriverTBL!$A:$A,0))</f>
        <v>ubgollc@gmail.com</v>
      </c>
      <c r="BC196" s="160">
        <f>INDEX(CarrierDriverTBL!$AB:$AB,MATCH(Table1[[#This Row],[DriverID]],CarrierDriverTBL!$A:$A,0))</f>
        <v>42167</v>
      </c>
      <c r="BD196" s="142" t="str">
        <f ca="1">INDEX(CarrierDriverTBL!$AD:$AD,MATCH(LoadMaster!$AN:$AN,CarrierDriverTBL!$A:$A,0))</f>
        <v>MISSING</v>
      </c>
      <c r="BE196" s="142">
        <f>INDEX(CarrierDriverTBL!$AE:$AE,MATCH(Table1[DriverID],CarrierDriverTBL!$A:$A,0))</f>
        <v>913971</v>
      </c>
      <c r="BF196" s="142">
        <f>INDEX(CarrierDriverTBL!$AF:$AF,MATCH(Table1[DriverID],CarrierDriverTBL!$A:$A,0))</f>
        <v>2627544</v>
      </c>
      <c r="BG196" s="142">
        <f>INDEX(CarrierDriverTBL!$AG:$AG,MATCH(Table1[DriverID],CarrierDriverTBL!$A:$A,0))</f>
        <v>466133</v>
      </c>
      <c r="BH196" s="142" t="str">
        <f>INDEX(CarrierDriverTBL!$AH:$AH,MATCH(Table1[DriverID],CarrierDriverTBL!$A:$A,0))</f>
        <v>GM Lawrence Ins</v>
      </c>
      <c r="BI196" s="142" t="str">
        <f>INDEX(CarrierDriverTBL!$AI:$AI,MATCH(Table1[DriverID],CarrierDriverTBL!$A:$A,0))</f>
        <v>DSK2842P160210</v>
      </c>
      <c r="BJ196" s="160">
        <f>INDEX(CarrierDriverTBL!$AJ:$AJ,MATCH(Table1[[#This Row],[DriverID]],CarrierDriverTBL!$A:$A,0))</f>
        <v>42778</v>
      </c>
      <c r="BK196" s="10">
        <f t="shared" si="98"/>
        <v>432</v>
      </c>
      <c r="BL196" s="174">
        <v>475</v>
      </c>
      <c r="BM196" s="144">
        <v>80</v>
      </c>
      <c r="BN196" s="159">
        <f t="shared" si="91"/>
        <v>5.9375</v>
      </c>
      <c r="BO196" s="167">
        <v>425</v>
      </c>
      <c r="BP196" s="159">
        <f t="shared" si="92"/>
        <v>5.3125</v>
      </c>
      <c r="BQ196" s="133">
        <v>2.7989999999999999</v>
      </c>
      <c r="BR196" s="166">
        <f t="shared" si="89"/>
        <v>0.14983333333333335</v>
      </c>
      <c r="BS196" s="167">
        <f t="shared" si="99"/>
        <v>5.1626666666666665</v>
      </c>
      <c r="BT196" s="159">
        <f t="shared" si="100"/>
        <v>11.986666666666668</v>
      </c>
      <c r="BU196" s="10" t="str">
        <f t="shared" si="101"/>
        <v>Tql</v>
      </c>
      <c r="BV196" s="15"/>
      <c r="BW196" s="4" t="str">
        <f>Table1[[#This Row],[BrokerAddress]]</f>
        <v>P.O. Box 799</v>
      </c>
      <c r="BX196" s="4" t="str">
        <f t="shared" si="102"/>
        <v>Milford</v>
      </c>
      <c r="BY196" s="4" t="str">
        <f t="shared" si="103"/>
        <v>Ohio</v>
      </c>
      <c r="BZ196" s="4">
        <f t="shared" si="104"/>
        <v>45150</v>
      </c>
      <c r="CA196" s="10" t="str">
        <f t="shared" si="105"/>
        <v>US</v>
      </c>
      <c r="CB196" s="15" t="s">
        <v>131</v>
      </c>
      <c r="CC196" s="62"/>
      <c r="CD196" s="15" t="s">
        <v>132</v>
      </c>
      <c r="CE196" s="64">
        <v>0</v>
      </c>
      <c r="CF196" s="4">
        <v>0</v>
      </c>
      <c r="CG196" s="132">
        <f t="shared" si="106"/>
        <v>0</v>
      </c>
      <c r="CH196" s="4" t="s">
        <v>132</v>
      </c>
      <c r="CI196" s="5">
        <v>0</v>
      </c>
      <c r="CJ196" s="4">
        <v>0</v>
      </c>
      <c r="CK196" s="132">
        <f t="shared" si="107"/>
        <v>0</v>
      </c>
      <c r="CL196" s="4" t="s">
        <v>132</v>
      </c>
      <c r="CM196" s="5">
        <v>0</v>
      </c>
      <c r="CN196" s="4">
        <v>0</v>
      </c>
      <c r="CO196" s="132">
        <f t="shared" si="108"/>
        <v>0</v>
      </c>
      <c r="CP196" s="4" t="s">
        <v>132</v>
      </c>
      <c r="CQ196" s="5">
        <v>0</v>
      </c>
      <c r="CR196" s="4">
        <v>0</v>
      </c>
      <c r="CS196" s="132">
        <f t="shared" si="109"/>
        <v>0</v>
      </c>
      <c r="CT196" s="159">
        <f t="shared" si="110"/>
        <v>0</v>
      </c>
      <c r="CU196" s="168">
        <f t="shared" si="111"/>
        <v>475</v>
      </c>
      <c r="CV196" s="169">
        <f t="shared" si="94"/>
        <v>0</v>
      </c>
      <c r="CW196" s="82">
        <f t="shared" si="95"/>
        <v>425</v>
      </c>
      <c r="CX196" s="79">
        <f>IF(ISBLANK(E196),"AddQuickPay",IF(E196=2,CU196*0.98,IF(E196=2.4,CU196*0.976,IF(E196=3,CU196*0.97,IF(E196=5,CU196*0.95,IF(E196=1.5,CU196*0.985,IF(E196=2.5,CU196*0.975,IF(E196=1.3,CU196*0.987,IF(E196=1,CU196*0.99,IF(E196=4,CU196*0.96,CU196*1))))))))))-Table1[[#This Row],[ComCheck+QuickPayFee]]</f>
        <v>460.75</v>
      </c>
      <c r="CY196" s="5">
        <f t="shared" si="112"/>
        <v>50</v>
      </c>
      <c r="CZ196" s="5">
        <f t="shared" si="113"/>
        <v>14.25</v>
      </c>
      <c r="DA196" s="258">
        <f>Table1[[#This Row],[OriginalDispatch]]-Table1[[#This Row],[QuickPayCharge]]</f>
        <v>35.75</v>
      </c>
      <c r="DB196" s="5">
        <v>0</v>
      </c>
      <c r="DC196" s="5" t="s">
        <v>1287</v>
      </c>
      <c r="DD196" s="104">
        <f t="shared" si="114"/>
        <v>42349</v>
      </c>
      <c r="DE196" s="15">
        <f>MONTH(Table1[[#This Row],[Weekending]])</f>
        <v>12</v>
      </c>
      <c r="DF196" s="15">
        <f>YEAR(Table1[[#This Row],[Weekending]])</f>
        <v>2015</v>
      </c>
      <c r="DG196" s="4"/>
    </row>
    <row r="197" spans="1:111" ht="30">
      <c r="A197" s="20" t="str">
        <f t="shared" si="96"/>
        <v>34newn49</v>
      </c>
      <c r="B197" s="146">
        <v>42346</v>
      </c>
      <c r="C197" s="162">
        <v>6388434</v>
      </c>
      <c r="D197" s="298" t="s">
        <v>555</v>
      </c>
      <c r="E197" s="298">
        <v>3</v>
      </c>
      <c r="F197" s="298" t="str">
        <f>INDEX(BrokerTBL!$B:$B,MATCH(D197,BrokerTBL!$A:$A,0))</f>
        <v>P.O. Box 799</v>
      </c>
      <c r="G197" s="298" t="str">
        <f>INDEX(BrokerTBL!$C:$C,MATCH(D197,BrokerTBL!$A:$A,0))</f>
        <v>Milford</v>
      </c>
      <c r="H197" s="298" t="str">
        <f>INDEX(BrokerTBL!$D:$D,MATCH(D197,BrokerTBL!$A:$A,0))</f>
        <v>Ohio</v>
      </c>
      <c r="I197" s="298" t="str">
        <f>INDEX(BrokerTBL!$E:$E,MATCH(D197,BrokerTBL!$A:$A,0))</f>
        <v>US</v>
      </c>
      <c r="J197" s="298">
        <f>INDEX(BrokerTBL!$F:$F,MATCH(D197,BrokerTBL!$A:$A,0))</f>
        <v>45150</v>
      </c>
      <c r="K197" s="298" t="s">
        <v>1501</v>
      </c>
      <c r="L197" s="145" t="s">
        <v>132</v>
      </c>
      <c r="M197" s="146">
        <v>42346</v>
      </c>
      <c r="N197" s="144" t="s">
        <v>1502</v>
      </c>
      <c r="O197" s="298" t="s">
        <v>1501</v>
      </c>
      <c r="P197" s="298" t="s">
        <v>438</v>
      </c>
      <c r="Q197" s="298" t="s">
        <v>139</v>
      </c>
      <c r="R197" s="298">
        <v>94080</v>
      </c>
      <c r="S197" s="298" t="s">
        <v>118</v>
      </c>
      <c r="T197" s="298" t="s">
        <v>136</v>
      </c>
      <c r="U197" s="298" t="s">
        <v>120</v>
      </c>
      <c r="V197" s="298">
        <v>53</v>
      </c>
      <c r="W197" s="298" t="s">
        <v>1503</v>
      </c>
      <c r="X197" s="144" t="s">
        <v>136</v>
      </c>
      <c r="Y197" s="298" t="s">
        <v>123</v>
      </c>
      <c r="Z197" s="298" t="s">
        <v>123</v>
      </c>
      <c r="AA197" s="298" t="s">
        <v>123</v>
      </c>
      <c r="AB197" s="298" t="s">
        <v>123</v>
      </c>
      <c r="AC197" s="187" t="s">
        <v>1504</v>
      </c>
      <c r="AD197" s="145" t="s">
        <v>1205</v>
      </c>
      <c r="AE197" s="190" t="s">
        <v>1505</v>
      </c>
      <c r="AF197" s="416" t="s">
        <v>123</v>
      </c>
      <c r="AG197" s="187" t="s">
        <v>1506</v>
      </c>
      <c r="AH197" s="187" t="s">
        <v>1507</v>
      </c>
      <c r="AI197" s="298" t="s">
        <v>139</v>
      </c>
      <c r="AJ197" s="187" t="s">
        <v>1508</v>
      </c>
      <c r="AK197" s="298" t="s">
        <v>118</v>
      </c>
      <c r="AL197" s="298" t="s">
        <v>123</v>
      </c>
      <c r="AM197" s="142" t="str">
        <f>INDEX(CarrierDriverTBL!$B:$B,MATCH(Table1[[#This Row],[DriverID]],CarrierDriverTBL!$A:$A,0))</f>
        <v>UBTrucking</v>
      </c>
      <c r="AN197" s="10" t="s">
        <v>192</v>
      </c>
      <c r="AO197" s="10" t="str">
        <f>INDEX(CarrierDriverTBL!$C:$C,MATCH(Table1[[#This Row],[DriverID]],CarrierDriverTBL!$A:$A,0))</f>
        <v>Albel</v>
      </c>
      <c r="AP197" s="142" t="str">
        <f>INDEX(CarrierDriverTBL!$D:$D,MATCH(Table1[[#This Row],[DriverID]],CarrierDriverTBL!$A:$A,0))</f>
        <v>Chahil</v>
      </c>
      <c r="AQ197" s="142" t="str">
        <f>INDEX(CarrierDriverTBL!$X:$X,MATCH(Table1[[#This Row],[DriverID]],CarrierDriverTBL!$A:$A,0))</f>
        <v>A8390649</v>
      </c>
      <c r="AR197" s="160">
        <f>INDEX(CarrierDriverTBL!$Y:$Y,MATCH(Table1[[#This Row],[DriverID]],CarrierDriverTBL!$A:$A,0))</f>
        <v>42402</v>
      </c>
      <c r="AS197" s="142" t="str">
        <f t="shared" si="97"/>
        <v>GOOD</v>
      </c>
      <c r="AT197" s="160">
        <f>INDEX(CarrierDriverTBL!$E:$E,MATCH(Table1[[#This Row],[DriverID]],CarrierDriverTBL!$A:$A,0))</f>
        <v>22314</v>
      </c>
      <c r="AU197" s="163">
        <f ca="1">INDEX(CarrierDriverTBL!$F:$F,MATCH(Table1[[#This Row],[DriverID]],CarrierDriverTBL!$A:$A,0))</f>
        <v>55.512328767123286</v>
      </c>
      <c r="AV197" s="142" t="str">
        <f>INDEX(CarrierDriverTBL!$K:$K,MATCH(Table1[[#This Row],[DriverID]],CarrierDriverTBL!$A:$A,0))</f>
        <v>510-773-9450</v>
      </c>
      <c r="AW197" s="142" t="str">
        <f>INDEX(CarrierDriverTBL!$M:$M,MATCH(Table1[[#This Row],[DriverID]],CarrierDriverTBL!$A:$A,0))</f>
        <v>3124 Cynthia CT</v>
      </c>
      <c r="AX197" s="142" t="str">
        <f>INDEX(CarrierDriverTBL!$N:$N,MATCH(Table1[[#This Row],[DriverID]],CarrierDriverTBL!$A:$A,0))</f>
        <v>Tracy</v>
      </c>
      <c r="AY197" s="142" t="str">
        <f>INDEX(CarrierDriverTBL!$O:$O,MATCH(Table1[[#This Row],[DriverID]],CarrierDriverTBL!$A:$A,0))</f>
        <v>CA</v>
      </c>
      <c r="AZ197" s="142">
        <f>INDEX(CarrierDriverTBL!$P:$P,MATCH(Table1[[#This Row],[DriverID]],CarrierDriverTBL!$A:$A,0))</f>
        <v>95377</v>
      </c>
      <c r="BA197" s="142" t="str">
        <f>INDEX(CarrierDriverTBL!$Q:$Q,MATCH(Table1[[#This Row],[DriverID]],CarrierDriverTBL!$A:$A,0))</f>
        <v>US</v>
      </c>
      <c r="BB197" s="176" t="str">
        <f>INDEX(CarrierDriverTBL!$R:$R,MATCH(Table1[[#This Row],[DriverID]],CarrierDriverTBL!$A:$A,0))</f>
        <v>ubgollc@gmail.com</v>
      </c>
      <c r="BC197" s="160">
        <f>INDEX(CarrierDriverTBL!$AB:$AB,MATCH(Table1[[#This Row],[DriverID]],CarrierDriverTBL!$A:$A,0))</f>
        <v>42167</v>
      </c>
      <c r="BD197" s="142" t="str">
        <f ca="1">INDEX(CarrierDriverTBL!$AD:$AD,MATCH(LoadMaster!$AN:$AN,CarrierDriverTBL!$A:$A,0))</f>
        <v>MISSING</v>
      </c>
      <c r="BE197" s="142">
        <f>INDEX(CarrierDriverTBL!$AE:$AE,MATCH(Table1[DriverID],CarrierDriverTBL!$A:$A,0))</f>
        <v>913971</v>
      </c>
      <c r="BF197" s="142">
        <f>INDEX(CarrierDriverTBL!$AF:$AF,MATCH(Table1[DriverID],CarrierDriverTBL!$A:$A,0))</f>
        <v>2627544</v>
      </c>
      <c r="BG197" s="142">
        <f>INDEX(CarrierDriverTBL!$AG:$AG,MATCH(Table1[DriverID],CarrierDriverTBL!$A:$A,0))</f>
        <v>466133</v>
      </c>
      <c r="BH197" s="142" t="str">
        <f>INDEX(CarrierDriverTBL!$AH:$AH,MATCH(Table1[DriverID],CarrierDriverTBL!$A:$A,0))</f>
        <v>GM Lawrence Ins</v>
      </c>
      <c r="BI197" s="142" t="str">
        <f>INDEX(CarrierDriverTBL!$AI:$AI,MATCH(Table1[DriverID],CarrierDriverTBL!$A:$A,0))</f>
        <v>DSK2842P160210</v>
      </c>
      <c r="BJ197" s="160">
        <f>INDEX(CarrierDriverTBL!$AJ:$AJ,MATCH(Table1[[#This Row],[DriverID]],CarrierDriverTBL!$A:$A,0))</f>
        <v>42778</v>
      </c>
      <c r="BK197" s="10">
        <f t="shared" si="98"/>
        <v>432</v>
      </c>
      <c r="BL197" s="174">
        <v>0</v>
      </c>
      <c r="BM197" s="144">
        <v>0</v>
      </c>
      <c r="BN197" s="159"/>
      <c r="BO197" s="167">
        <v>0</v>
      </c>
      <c r="BP197" s="159"/>
      <c r="BQ197" s="133">
        <v>0</v>
      </c>
      <c r="BR197" s="166"/>
      <c r="BS197" s="167">
        <f t="shared" si="99"/>
        <v>0</v>
      </c>
      <c r="BT197" s="159">
        <f t="shared" si="100"/>
        <v>0</v>
      </c>
      <c r="BU197" s="10" t="str">
        <f t="shared" si="101"/>
        <v>Tql</v>
      </c>
      <c r="BV197" s="15"/>
      <c r="BW197" s="4" t="str">
        <f>Table1[[#This Row],[BrokerAddress]]</f>
        <v>P.O. Box 799</v>
      </c>
      <c r="BX197" s="4" t="str">
        <f t="shared" si="102"/>
        <v>Milford</v>
      </c>
      <c r="BY197" s="4" t="str">
        <f t="shared" si="103"/>
        <v>Ohio</v>
      </c>
      <c r="BZ197" s="4">
        <f t="shared" si="104"/>
        <v>45150</v>
      </c>
      <c r="CA197" s="10" t="str">
        <f t="shared" si="105"/>
        <v>US</v>
      </c>
      <c r="CB197" s="15" t="s">
        <v>131</v>
      </c>
      <c r="CC197" s="62"/>
      <c r="CD197" s="15" t="s">
        <v>976</v>
      </c>
      <c r="CE197" s="64">
        <v>200</v>
      </c>
      <c r="CF197" s="4">
        <v>1</v>
      </c>
      <c r="CG197" s="132">
        <f t="shared" si="106"/>
        <v>200</v>
      </c>
      <c r="CH197" s="4" t="s">
        <v>132</v>
      </c>
      <c r="CI197" s="5">
        <v>0</v>
      </c>
      <c r="CJ197" s="4">
        <v>0</v>
      </c>
      <c r="CK197" s="132">
        <f t="shared" si="107"/>
        <v>0</v>
      </c>
      <c r="CL197" s="4" t="s">
        <v>132</v>
      </c>
      <c r="CM197" s="5">
        <v>0</v>
      </c>
      <c r="CN197" s="4">
        <v>0</v>
      </c>
      <c r="CO197" s="132">
        <f t="shared" si="108"/>
        <v>0</v>
      </c>
      <c r="CP197" s="4" t="s">
        <v>132</v>
      </c>
      <c r="CQ197" s="5">
        <v>0</v>
      </c>
      <c r="CR197" s="4">
        <v>0</v>
      </c>
      <c r="CS197" s="132">
        <f t="shared" si="109"/>
        <v>0</v>
      </c>
      <c r="CT197" s="159">
        <f t="shared" si="110"/>
        <v>200</v>
      </c>
      <c r="CU197" s="168">
        <f t="shared" si="111"/>
        <v>200</v>
      </c>
      <c r="CV197" s="169">
        <f t="shared" si="94"/>
        <v>200</v>
      </c>
      <c r="CW197" s="82">
        <f t="shared" si="95"/>
        <v>200</v>
      </c>
      <c r="CX197" s="79">
        <f>IF(ISBLANK(E197),"AddQuickPay",IF(E197=2,CU197*0.98,IF(E197=2.4,CU197*0.976,IF(E197=3,CU197*0.97,IF(E197=5,CU197*0.95,IF(E197=1.5,CU197*0.985,IF(E197=2.5,CU197*0.975,IF(E197=1.3,CU197*0.987,IF(E197=1,CU197*0.99,IF(E197=4,CU197*0.96,CU197*1))))))))))-Table1[[#This Row],[ComCheck+QuickPayFee]]</f>
        <v>194</v>
      </c>
      <c r="CY197" s="5">
        <f t="shared" si="112"/>
        <v>0</v>
      </c>
      <c r="CZ197" s="5">
        <f t="shared" si="113"/>
        <v>6</v>
      </c>
      <c r="DA197" s="261">
        <f>Table1[[#This Row],[OriginalDispatch]]-Table1[[#This Row],[QuickPayCharge]]</f>
        <v>-6</v>
      </c>
      <c r="DB197" s="5">
        <v>0</v>
      </c>
      <c r="DC197" s="5" t="s">
        <v>1287</v>
      </c>
      <c r="DD197" s="104">
        <f t="shared" si="114"/>
        <v>42349</v>
      </c>
      <c r="DE197" s="15">
        <f>MONTH(Table1[[#This Row],[Weekending]])</f>
        <v>12</v>
      </c>
      <c r="DF197" s="15">
        <f>YEAR(Table1[[#This Row],[Weekending]])</f>
        <v>2015</v>
      </c>
      <c r="DG197" s="47" t="s">
        <v>1509</v>
      </c>
    </row>
    <row r="198" spans="1:111">
      <c r="A198" s="20" t="str">
        <f t="shared" si="96"/>
        <v>51nenk19</v>
      </c>
      <c r="B198" s="146">
        <v>42347</v>
      </c>
      <c r="C198" s="144">
        <v>188067751</v>
      </c>
      <c r="D198" s="298" t="s">
        <v>111</v>
      </c>
      <c r="E198" s="298">
        <v>2</v>
      </c>
      <c r="F198" s="142" t="str">
        <f>INDEX(BrokerTBL!$B:$B,MATCH(D198,BrokerTBL!$A:$A,0))</f>
        <v>P.O. Box 3474</v>
      </c>
      <c r="G198" s="142" t="str">
        <f>INDEX(BrokerTBL!$C:$C,MATCH(D198,BrokerTBL!$A:$A,0))</f>
        <v>Chicago</v>
      </c>
      <c r="H198" s="142" t="str">
        <f>INDEX(BrokerTBL!$D:$D,MATCH(D198,BrokerTBL!$A:$A,0))</f>
        <v>Il</v>
      </c>
      <c r="I198" s="142" t="str">
        <f>INDEX(BrokerTBL!$E:$E,MATCH(D198,BrokerTBL!$A:$A,0))</f>
        <v>US</v>
      </c>
      <c r="J198" s="142">
        <f>INDEX(BrokerTBL!$F:$F,MATCH(D198,BrokerTBL!$A:$A,0))</f>
        <v>60654</v>
      </c>
      <c r="K198" s="298" t="s">
        <v>1510</v>
      </c>
      <c r="L198" s="145" t="s">
        <v>132</v>
      </c>
      <c r="M198" s="146">
        <v>42347</v>
      </c>
      <c r="N198" s="144" t="s">
        <v>1055</v>
      </c>
      <c r="O198" s="298" t="s">
        <v>1511</v>
      </c>
      <c r="P198" s="298" t="s">
        <v>253</v>
      </c>
      <c r="Q198" s="298" t="s">
        <v>139</v>
      </c>
      <c r="R198" s="298">
        <v>93639</v>
      </c>
      <c r="S198" s="298" t="s">
        <v>118</v>
      </c>
      <c r="T198" s="298" t="s">
        <v>136</v>
      </c>
      <c r="U198" s="298" t="s">
        <v>120</v>
      </c>
      <c r="V198" s="298">
        <v>53</v>
      </c>
      <c r="W198" s="298" t="s">
        <v>1512</v>
      </c>
      <c r="X198" s="185">
        <v>20000</v>
      </c>
      <c r="Y198" s="298" t="s">
        <v>1513</v>
      </c>
      <c r="Z198" s="298" t="s">
        <v>123</v>
      </c>
      <c r="AA198" s="298" t="s">
        <v>123</v>
      </c>
      <c r="AB198" s="298" t="s">
        <v>123</v>
      </c>
      <c r="AC198" s="298" t="s">
        <v>1514</v>
      </c>
      <c r="AD198" s="145" t="s">
        <v>1179</v>
      </c>
      <c r="AE198" s="146">
        <v>42348</v>
      </c>
      <c r="AF198" s="416" t="s">
        <v>123</v>
      </c>
      <c r="AG198" s="298" t="s">
        <v>1515</v>
      </c>
      <c r="AH198" s="298" t="s">
        <v>738</v>
      </c>
      <c r="AI198" s="298" t="s">
        <v>264</v>
      </c>
      <c r="AJ198" s="298">
        <v>89506</v>
      </c>
      <c r="AK198" s="298" t="s">
        <v>118</v>
      </c>
      <c r="AL198" s="298" t="s">
        <v>123</v>
      </c>
      <c r="AM198" s="142" t="str">
        <f>INDEX(CarrierDriverTBL!$B:$B,MATCH(Table1[[#This Row],[DriverID]],CarrierDriverTBL!$A:$A,0))</f>
        <v>UBTrucking</v>
      </c>
      <c r="AN198" s="10" t="s">
        <v>1409</v>
      </c>
      <c r="AO198" s="298" t="str">
        <f>INDEX(CarrierDriverTBL!$C:$C,MATCH(Table1[[#This Row],[DriverID]],CarrierDriverTBL!$A:$A,0))</f>
        <v>Miguel Jaime</v>
      </c>
      <c r="AP198" s="298" t="str">
        <f>INDEX(CarrierDriverTBL!$D:$D,MATCH(Table1[[#This Row],[DriverID]],CarrierDriverTBL!$A:$A,0))</f>
        <v>Martin Del Campo Velarca</v>
      </c>
      <c r="AQ198" s="142" t="str">
        <f>INDEX(CarrierDriverTBL!$X:$X,MATCH(Table1[[#This Row],[DriverID]],CarrierDriverTBL!$A:$A,0))</f>
        <v>D5179619</v>
      </c>
      <c r="AR198" s="160">
        <f>INDEX(CarrierDriverTBL!$Y:$Y,MATCH(Table1[[#This Row],[DriverID]],CarrierDriverTBL!$A:$A,0))</f>
        <v>43843</v>
      </c>
      <c r="AS198" s="142" t="str">
        <f t="shared" si="97"/>
        <v>GOOD</v>
      </c>
      <c r="AT198" s="146">
        <f>INDEX(CarrierDriverTBL!$E:$E,MATCH(Table1[[#This Row],[DriverID]],CarrierDriverTBL!$A:$A,0))</f>
        <v>21198</v>
      </c>
      <c r="AU198" s="163">
        <f ca="1">INDEX(CarrierDriverTBL!$F:$F,MATCH(Table1[[#This Row],[DriverID]],CarrierDriverTBL!$A:$A,0))</f>
        <v>58.56986301369863</v>
      </c>
      <c r="AV198" s="298" t="str">
        <f>INDEX(CarrierDriverTBL!$K:$K,MATCH(Table1[[#This Row],[DriverID]],CarrierDriverTBL!$A:$A,0))</f>
        <v>209-322-5231</v>
      </c>
      <c r="AW198" s="298" t="str">
        <f>INDEX(CarrierDriverTBL!$M:$M,MATCH(Table1[[#This Row],[DriverID]],CarrierDriverTBL!$A:$A,0))</f>
        <v>572 Predersen RD</v>
      </c>
      <c r="AX198" s="298" t="str">
        <f>INDEX(CarrierDriverTBL!$N:$N,MATCH(Table1[[#This Row],[DriverID]],CarrierDriverTBL!$A:$A,0))</f>
        <v>Oakdale</v>
      </c>
      <c r="AY198" s="142" t="str">
        <f>INDEX(CarrierDriverTBL!$O:$O,MATCH(Table1[[#This Row],[DriverID]],CarrierDriverTBL!$A:$A,0))</f>
        <v>CA</v>
      </c>
      <c r="AZ198" s="298">
        <f>INDEX(CarrierDriverTBL!$P:$P,MATCH(Table1[[#This Row],[DriverID]],CarrierDriverTBL!$A:$A,0))</f>
        <v>95361</v>
      </c>
      <c r="BA198" s="298" t="str">
        <f>INDEX(CarrierDriverTBL!$Q:$Q,MATCH(Table1[[#This Row],[DriverID]],CarrierDriverTBL!$A:$A,0))</f>
        <v>US</v>
      </c>
      <c r="BB198" s="176" t="str">
        <f>INDEX(CarrierDriverTBL!$R:$R,MATCH(Table1[[#This Row],[DriverID]],CarrierDriverTBL!$A:$A,0))</f>
        <v>Miguelmartin52@yahoo.com</v>
      </c>
      <c r="BC198" s="160">
        <f>INDEX(CarrierDriverTBL!$AB:$AB,MATCH(Table1[[#This Row],[DriverID]],CarrierDriverTBL!$A:$A,0))</f>
        <v>42334</v>
      </c>
      <c r="BD198" s="142" t="str">
        <f ca="1">INDEX(CarrierDriverTBL!$AD:$AD,MATCH(LoadMaster!$AN:$AN,CarrierDriverTBL!$A:$A,0))</f>
        <v>MISSING</v>
      </c>
      <c r="BE198" s="142">
        <f>INDEX(CarrierDriverTBL!$AE:$AE,MATCH(Table1[DriverID],CarrierDriverTBL!$A:$A,0))</f>
        <v>913971</v>
      </c>
      <c r="BF198" s="142">
        <f>INDEX(CarrierDriverTBL!$AF:$AF,MATCH(Table1[DriverID],CarrierDriverTBL!$A:$A,0))</f>
        <v>2627544</v>
      </c>
      <c r="BG198" s="142">
        <f>INDEX(CarrierDriverTBL!$AG:$AG,MATCH(Table1[DriverID],CarrierDriverTBL!$A:$A,0))</f>
        <v>466133</v>
      </c>
      <c r="BH198" s="142" t="str">
        <f>INDEX(CarrierDriverTBL!$AH:$AH,MATCH(Table1[DriverID],CarrierDriverTBL!$A:$A,0))</f>
        <v>GM Lawrence Ins</v>
      </c>
      <c r="BI198" s="142" t="str">
        <f>INDEX(CarrierDriverTBL!$AI:$AI,MATCH(Table1[DriverID],CarrierDriverTBL!$A:$A,0))</f>
        <v>DSK2842P160210</v>
      </c>
      <c r="BJ198" s="160">
        <f>INDEX(CarrierDriverTBL!$AJ:$AJ,MATCH(Table1[[#This Row],[DriverID]],CarrierDriverTBL!$A:$A,0))</f>
        <v>42778</v>
      </c>
      <c r="BK198" s="10">
        <f t="shared" si="98"/>
        <v>431</v>
      </c>
      <c r="BL198" s="174">
        <v>700</v>
      </c>
      <c r="BM198" s="144">
        <v>310</v>
      </c>
      <c r="BN198" s="159">
        <f t="shared" ref="BN198:BN261" si="115">BL198/BM198</f>
        <v>2.2580645161290325</v>
      </c>
      <c r="BO198" s="167">
        <f>0.93*700</f>
        <v>651</v>
      </c>
      <c r="BP198" s="159">
        <f t="shared" ref="BP198:BP261" si="116">BO198/BM198</f>
        <v>2.1</v>
      </c>
      <c r="BQ198" s="133">
        <v>2.7989999999999999</v>
      </c>
      <c r="BR198" s="166">
        <f t="shared" ref="BR198:BR261" si="117">(BQ198-1.9)/6</f>
        <v>0.14983333333333335</v>
      </c>
      <c r="BS198" s="167">
        <f t="shared" si="99"/>
        <v>1.9501666666666668</v>
      </c>
      <c r="BT198" s="159">
        <f t="shared" si="100"/>
        <v>46.448333333333338</v>
      </c>
      <c r="BU198" s="10" t="str">
        <f t="shared" si="101"/>
        <v>Ch Robinson</v>
      </c>
      <c r="BV198" s="4"/>
      <c r="BW198" s="4" t="str">
        <f>Table1[[#This Row],[BrokerAddress]]</f>
        <v>P.O. Box 3474</v>
      </c>
      <c r="BX198" s="4" t="str">
        <f t="shared" si="102"/>
        <v>Chicago</v>
      </c>
      <c r="BY198" s="4" t="str">
        <f t="shared" si="103"/>
        <v>Il</v>
      </c>
      <c r="BZ198" s="4">
        <f t="shared" si="104"/>
        <v>60654</v>
      </c>
      <c r="CA198" s="10" t="str">
        <f t="shared" si="105"/>
        <v>US</v>
      </c>
      <c r="CB198" s="15" t="s">
        <v>131</v>
      </c>
      <c r="CC198" s="62"/>
      <c r="CD198" s="15" t="s">
        <v>132</v>
      </c>
      <c r="CE198" s="64">
        <v>0</v>
      </c>
      <c r="CF198" s="4">
        <v>0</v>
      </c>
      <c r="CG198" s="132">
        <f t="shared" si="106"/>
        <v>0</v>
      </c>
      <c r="CH198" s="4" t="s">
        <v>132</v>
      </c>
      <c r="CI198" s="5">
        <v>0</v>
      </c>
      <c r="CJ198" s="4">
        <v>0</v>
      </c>
      <c r="CK198" s="132">
        <f t="shared" si="107"/>
        <v>0</v>
      </c>
      <c r="CL198" s="4" t="s">
        <v>132</v>
      </c>
      <c r="CM198" s="5">
        <v>0</v>
      </c>
      <c r="CN198" s="4">
        <v>0</v>
      </c>
      <c r="CO198" s="132">
        <f t="shared" si="108"/>
        <v>0</v>
      </c>
      <c r="CP198" s="4" t="s">
        <v>132</v>
      </c>
      <c r="CQ198" s="5">
        <v>0</v>
      </c>
      <c r="CR198" s="4">
        <v>0</v>
      </c>
      <c r="CS198" s="132">
        <f t="shared" si="109"/>
        <v>0</v>
      </c>
      <c r="CT198" s="159">
        <f t="shared" si="110"/>
        <v>0</v>
      </c>
      <c r="CU198" s="168">
        <f t="shared" si="111"/>
        <v>700</v>
      </c>
      <c r="CV198" s="169">
        <f t="shared" si="94"/>
        <v>0</v>
      </c>
      <c r="CW198" s="82">
        <f t="shared" si="95"/>
        <v>651</v>
      </c>
      <c r="CX198" s="79">
        <f>IF(ISBLANK(E198),"AddQuickPay",IF(E198=2,CU198*0.98,IF(E198=2.4,CU198*0.976,IF(E198=3,CU198*0.97,IF(E198=5,CU198*0.95,IF(E198=1.5,CU198*0.985,IF(E198=2.5,CU198*0.975,IF(E198=1.3,CU198*0.987,IF(E198=1,CU198*0.99,IF(E198=4,CU198*0.96,CU198*1))))))))))-Table1[[#This Row],[ComCheck+QuickPayFee]]</f>
        <v>686</v>
      </c>
      <c r="CY198" s="5">
        <f t="shared" si="112"/>
        <v>49</v>
      </c>
      <c r="CZ198" s="5">
        <f t="shared" si="113"/>
        <v>14</v>
      </c>
      <c r="DA198" s="258">
        <f>Table1[[#This Row],[OriginalDispatch]]-Table1[[#This Row],[QuickPayCharge]]</f>
        <v>35</v>
      </c>
      <c r="DB198" s="5">
        <v>0</v>
      </c>
      <c r="DC198" s="5" t="s">
        <v>1287</v>
      </c>
      <c r="DD198" s="104">
        <f t="shared" si="114"/>
        <v>42349</v>
      </c>
      <c r="DE198" s="15">
        <f>MONTH(Table1[[#This Row],[Weekending]])</f>
        <v>12</v>
      </c>
      <c r="DF198" s="15">
        <f>YEAR(Table1[[#This Row],[Weekending]])</f>
        <v>2015</v>
      </c>
      <c r="DG198" s="4"/>
    </row>
    <row r="199" spans="1:111" ht="30">
      <c r="A199" s="20" t="str">
        <f t="shared" si="96"/>
        <v>75463588</v>
      </c>
      <c r="B199" s="146">
        <v>42347</v>
      </c>
      <c r="C199" s="144">
        <v>187996675</v>
      </c>
      <c r="D199" s="298" t="s">
        <v>111</v>
      </c>
      <c r="E199" s="298">
        <v>2</v>
      </c>
      <c r="F199" s="142" t="str">
        <f>INDEX(BrokerTBL!$B:$B,MATCH(D199,BrokerTBL!$A:$A,0))</f>
        <v>P.O. Box 3474</v>
      </c>
      <c r="G199" s="142" t="str">
        <f>INDEX(BrokerTBL!$C:$C,MATCH(D199,BrokerTBL!$A:$A,0))</f>
        <v>Chicago</v>
      </c>
      <c r="H199" s="142" t="str">
        <f>INDEX(BrokerTBL!$D:$D,MATCH(D199,BrokerTBL!$A:$A,0))</f>
        <v>Il</v>
      </c>
      <c r="I199" s="142" t="str">
        <f>INDEX(BrokerTBL!$E:$E,MATCH(D199,BrokerTBL!$A:$A,0))</f>
        <v>US</v>
      </c>
      <c r="J199" s="142">
        <f>INDEX(BrokerTBL!$F:$F,MATCH(D199,BrokerTBL!$A:$A,0))</f>
        <v>60654</v>
      </c>
      <c r="K199" s="298" t="s">
        <v>1516</v>
      </c>
      <c r="L199" s="145" t="s">
        <v>1517</v>
      </c>
      <c r="M199" s="146">
        <v>42347</v>
      </c>
      <c r="N199" s="144" t="s">
        <v>1518</v>
      </c>
      <c r="O199" s="298" t="s">
        <v>1519</v>
      </c>
      <c r="P199" s="298" t="s">
        <v>1520</v>
      </c>
      <c r="Q199" s="298" t="s">
        <v>139</v>
      </c>
      <c r="R199" s="298">
        <v>94580</v>
      </c>
      <c r="S199" s="298" t="s">
        <v>118</v>
      </c>
      <c r="T199" s="298" t="s">
        <v>136</v>
      </c>
      <c r="U199" s="298" t="s">
        <v>120</v>
      </c>
      <c r="V199" s="298">
        <v>53</v>
      </c>
      <c r="W199" s="298" t="s">
        <v>1521</v>
      </c>
      <c r="X199" s="185">
        <v>21000</v>
      </c>
      <c r="Y199" s="298" t="s">
        <v>26</v>
      </c>
      <c r="Z199" s="298" t="s">
        <v>123</v>
      </c>
      <c r="AA199" s="298">
        <v>36</v>
      </c>
      <c r="AB199" s="298" t="s">
        <v>123</v>
      </c>
      <c r="AC199" s="187" t="s">
        <v>1522</v>
      </c>
      <c r="AD199" s="188" t="s">
        <v>1523</v>
      </c>
      <c r="AE199" s="190" t="s">
        <v>1524</v>
      </c>
      <c r="AF199" s="416" t="s">
        <v>123</v>
      </c>
      <c r="AG199" s="187" t="s">
        <v>1525</v>
      </c>
      <c r="AH199" s="187" t="s">
        <v>1526</v>
      </c>
      <c r="AI199" s="187" t="s">
        <v>1527</v>
      </c>
      <c r="AJ199" s="187" t="s">
        <v>1528</v>
      </c>
      <c r="AK199" s="298" t="s">
        <v>118</v>
      </c>
      <c r="AL199" s="298" t="s">
        <v>123</v>
      </c>
      <c r="AM199" s="142" t="str">
        <f>INDEX(CarrierDriverTBL!$B:$B,MATCH(Table1[[#This Row],[DriverID]],CarrierDriverTBL!$A:$A,0))</f>
        <v>UBTrucking</v>
      </c>
      <c r="AN199" s="10" t="s">
        <v>948</v>
      </c>
      <c r="AO199" s="10" t="str">
        <f>INDEX(CarrierDriverTBL!$C:$C,MATCH(Table1[[#This Row],[DriverID]],CarrierDriverTBL!$A:$A,0))</f>
        <v>Wesley</v>
      </c>
      <c r="AP199" s="10" t="str">
        <f>INDEX(CarrierDriverTBL!$D:$D,MATCH(Table1[[#This Row],[DriverID]],CarrierDriverTBL!$A:$A,0))</f>
        <v>Cousain</v>
      </c>
      <c r="AQ199" s="10" t="str">
        <f>INDEX(CarrierDriverTBL!$X:$X,MATCH(Table1[[#This Row],[DriverID]],CarrierDriverTBL!$A:$A,0))</f>
        <v>D4903588</v>
      </c>
      <c r="AR199" s="11">
        <f>INDEX(CarrierDriverTBL!$Y:$Y,MATCH(Table1[[#This Row],[DriverID]],CarrierDriverTBL!$A:$A,0))</f>
        <v>43458</v>
      </c>
      <c r="AS199" s="142" t="str">
        <f t="shared" si="97"/>
        <v>GOOD</v>
      </c>
      <c r="AT199" s="11">
        <f>INDEX(CarrierDriverTBL!$E:$E,MATCH(Table1[[#This Row],[DriverID]],CarrierDriverTBL!$A:$A,0))</f>
        <v>31405</v>
      </c>
      <c r="AU199" s="163">
        <f ca="1">INDEX(CarrierDriverTBL!$F:$F,MATCH(Table1[[#This Row],[DriverID]],CarrierDriverTBL!$A:$A,0))</f>
        <v>30.605479452054794</v>
      </c>
      <c r="AV199" s="10" t="str">
        <f>INDEX(CarrierDriverTBL!$K:$K,MATCH(Table1[[#This Row],[DriverID]],CarrierDriverTBL!$A:$A,0))</f>
        <v>925-383-5364</v>
      </c>
      <c r="AW199" s="10" t="str">
        <f>INDEX(CarrierDriverTBL!$M:$M,MATCH(Table1[[#This Row],[DriverID]],CarrierDriverTBL!$A:$A,0))</f>
        <v>110 Cordova Ln</v>
      </c>
      <c r="AX199" s="10" t="str">
        <f>INDEX(CarrierDriverTBL!$N:$N,MATCH(Table1[[#This Row],[DriverID]],CarrierDriverTBL!$A:$A,0))</f>
        <v>Stockton</v>
      </c>
      <c r="AY199" s="10" t="str">
        <f>INDEX(CarrierDriverTBL!$O:$O,MATCH(Table1[[#This Row],[DriverID]],CarrierDriverTBL!$A:$A,0))</f>
        <v>CA</v>
      </c>
      <c r="AZ199" s="10">
        <f>INDEX(CarrierDriverTBL!$P:$P,MATCH(Table1[[#This Row],[DriverID]],CarrierDriverTBL!$A:$A,0))</f>
        <v>95207</v>
      </c>
      <c r="BA199" s="10" t="str">
        <f>INDEX(CarrierDriverTBL!$Q:$Q,MATCH(Table1[[#This Row],[DriverID]],CarrierDriverTBL!$A:$A,0))</f>
        <v>US</v>
      </c>
      <c r="BB199" s="173" t="str">
        <f>INDEX(CarrierDriverTBL!$R:$R,MATCH(Table1[[#This Row],[DriverID]],CarrierDriverTBL!$A:$A,0))</f>
        <v>wesleycousain1@gmail.com</v>
      </c>
      <c r="BC199" s="160">
        <f>INDEX(CarrierDriverTBL!$AB:$AB,MATCH(Table1[[#This Row],[DriverID]],CarrierDriverTBL!$A:$A,0))</f>
        <v>42271</v>
      </c>
      <c r="BD199" s="142" t="str">
        <f ca="1">INDEX(CarrierDriverTBL!$AD:$AD,MATCH(LoadMaster!$AN:$AN,CarrierDriverTBL!$A:$A,0))</f>
        <v>MISSING</v>
      </c>
      <c r="BE199" s="142">
        <f>INDEX(CarrierDriverTBL!$AE:$AE,MATCH(Table1[DriverID],CarrierDriverTBL!$A:$A,0))</f>
        <v>913971</v>
      </c>
      <c r="BF199" s="142">
        <f>INDEX(CarrierDriverTBL!$AF:$AF,MATCH(Table1[DriverID],CarrierDriverTBL!$A:$A,0))</f>
        <v>2627544</v>
      </c>
      <c r="BG199" s="142">
        <f>INDEX(CarrierDriverTBL!$AG:$AG,MATCH(Table1[DriverID],CarrierDriverTBL!$A:$A,0))</f>
        <v>466133</v>
      </c>
      <c r="BH199" s="142" t="str">
        <f>INDEX(CarrierDriverTBL!$AH:$AH,MATCH(Table1[DriverID],CarrierDriverTBL!$A:$A,0))</f>
        <v>GM Lawrence Ins</v>
      </c>
      <c r="BI199" s="142" t="str">
        <f>INDEX(CarrierDriverTBL!$AI:$AI,MATCH(Table1[DriverID],CarrierDriverTBL!$A:$A,0))</f>
        <v>DSK2842P160210</v>
      </c>
      <c r="BJ199" s="160">
        <f>INDEX(CarrierDriverTBL!$AJ:$AJ,MATCH(Table1[[#This Row],[DriverID]],CarrierDriverTBL!$A:$A,0))</f>
        <v>42778</v>
      </c>
      <c r="BK199" s="10">
        <f t="shared" si="98"/>
        <v>431</v>
      </c>
      <c r="BL199" s="174">
        <v>750</v>
      </c>
      <c r="BM199" s="144">
        <v>255</v>
      </c>
      <c r="BN199" s="159">
        <f t="shared" si="115"/>
        <v>2.9411764705882355</v>
      </c>
      <c r="BO199" s="167">
        <f>0.93*750</f>
        <v>697.5</v>
      </c>
      <c r="BP199" s="159">
        <f t="shared" si="116"/>
        <v>2.7352941176470589</v>
      </c>
      <c r="BQ199" s="133">
        <v>2.7989999999999999</v>
      </c>
      <c r="BR199" s="166">
        <f t="shared" si="117"/>
        <v>0.14983333333333335</v>
      </c>
      <c r="BS199" s="167">
        <f t="shared" si="99"/>
        <v>2.5854607843137254</v>
      </c>
      <c r="BT199" s="159">
        <f t="shared" si="100"/>
        <v>38.207500000000003</v>
      </c>
      <c r="BU199" s="10" t="str">
        <f t="shared" si="101"/>
        <v>Ch Robinson</v>
      </c>
      <c r="BV199" s="4"/>
      <c r="BW199" s="4" t="str">
        <f>Table1[[#This Row],[BrokerAddress]]</f>
        <v>P.O. Box 3474</v>
      </c>
      <c r="BX199" s="4" t="str">
        <f t="shared" si="102"/>
        <v>Chicago</v>
      </c>
      <c r="BY199" s="4" t="str">
        <f t="shared" si="103"/>
        <v>Il</v>
      </c>
      <c r="BZ199" s="4">
        <f t="shared" si="104"/>
        <v>60654</v>
      </c>
      <c r="CA199" s="10" t="str">
        <f t="shared" si="105"/>
        <v>US</v>
      </c>
      <c r="CB199" s="15" t="s">
        <v>131</v>
      </c>
      <c r="CC199" s="62"/>
      <c r="CD199" s="15" t="s">
        <v>132</v>
      </c>
      <c r="CE199" s="64">
        <v>0</v>
      </c>
      <c r="CF199" s="4">
        <v>0</v>
      </c>
      <c r="CG199" s="132">
        <f t="shared" si="106"/>
        <v>0</v>
      </c>
      <c r="CH199" s="4" t="s">
        <v>132</v>
      </c>
      <c r="CI199" s="5">
        <v>0</v>
      </c>
      <c r="CJ199" s="4">
        <v>0</v>
      </c>
      <c r="CK199" s="132">
        <f t="shared" si="107"/>
        <v>0</v>
      </c>
      <c r="CL199" s="4" t="s">
        <v>132</v>
      </c>
      <c r="CM199" s="5">
        <v>0</v>
      </c>
      <c r="CN199" s="4">
        <v>0</v>
      </c>
      <c r="CO199" s="132">
        <f t="shared" si="108"/>
        <v>0</v>
      </c>
      <c r="CP199" s="4" t="s">
        <v>132</v>
      </c>
      <c r="CQ199" s="5">
        <v>0</v>
      </c>
      <c r="CR199" s="4">
        <v>0</v>
      </c>
      <c r="CS199" s="132">
        <f t="shared" si="109"/>
        <v>0</v>
      </c>
      <c r="CT199" s="159">
        <f t="shared" si="110"/>
        <v>0</v>
      </c>
      <c r="CU199" s="168">
        <f t="shared" si="111"/>
        <v>750</v>
      </c>
      <c r="CV199" s="169">
        <f t="shared" si="94"/>
        <v>0</v>
      </c>
      <c r="CW199" s="82">
        <f t="shared" si="95"/>
        <v>697.5</v>
      </c>
      <c r="CX199" s="79">
        <f>IF(ISBLANK(E199),"AddQuickPay",IF(E199=2,CU199*0.98,IF(E199=2.4,CU199*0.976,IF(E199=3,CU199*0.97,IF(E199=5,CU199*0.95,IF(E199=1.5,CU199*0.985,IF(E199=2.5,CU199*0.975,IF(E199=1.3,CU199*0.987,IF(E199=1,CU199*0.99,IF(E199=4,CU199*0.96,CU199*1))))))))))-Table1[[#This Row],[ComCheck+QuickPayFee]]</f>
        <v>735</v>
      </c>
      <c r="CY199" s="5">
        <f t="shared" si="112"/>
        <v>52.5</v>
      </c>
      <c r="CZ199" s="5">
        <f t="shared" si="113"/>
        <v>15</v>
      </c>
      <c r="DA199" s="258">
        <f>Table1[[#This Row],[OriginalDispatch]]-Table1[[#This Row],[QuickPayCharge]]</f>
        <v>37.5</v>
      </c>
      <c r="DB199" s="5">
        <v>0</v>
      </c>
      <c r="DC199" s="5" t="s">
        <v>1287</v>
      </c>
      <c r="DD199" s="104">
        <f t="shared" si="114"/>
        <v>42349</v>
      </c>
      <c r="DE199" s="15">
        <f>MONTH(Table1[[#This Row],[Weekending]])</f>
        <v>12</v>
      </c>
      <c r="DF199" s="15">
        <f>YEAR(Table1[[#This Row],[Weekending]])</f>
        <v>2015</v>
      </c>
      <c r="DG199" s="4"/>
    </row>
    <row r="200" spans="1:111">
      <c r="A200" s="20" t="str">
        <f t="shared" si="96"/>
        <v>47nkwn19</v>
      </c>
      <c r="B200" s="146">
        <v>42348</v>
      </c>
      <c r="C200" s="144">
        <v>188058247</v>
      </c>
      <c r="D200" s="298" t="s">
        <v>111</v>
      </c>
      <c r="E200" s="298">
        <v>2</v>
      </c>
      <c r="F200" s="142" t="str">
        <f>INDEX(BrokerTBL!$B:$B,MATCH(D200,BrokerTBL!$A:$A,0))</f>
        <v>P.O. Box 3474</v>
      </c>
      <c r="G200" s="142" t="str">
        <f>INDEX(BrokerTBL!$C:$C,MATCH(D200,BrokerTBL!$A:$A,0))</f>
        <v>Chicago</v>
      </c>
      <c r="H200" s="142" t="str">
        <f>INDEX(BrokerTBL!$D:$D,MATCH(D200,BrokerTBL!$A:$A,0))</f>
        <v>Il</v>
      </c>
      <c r="I200" s="142" t="str">
        <f>INDEX(BrokerTBL!$E:$E,MATCH(D200,BrokerTBL!$A:$A,0))</f>
        <v>US</v>
      </c>
      <c r="J200" s="142">
        <f>INDEX(BrokerTBL!$F:$F,MATCH(D200,BrokerTBL!$A:$A,0))</f>
        <v>60654</v>
      </c>
      <c r="K200" s="298" t="s">
        <v>1529</v>
      </c>
      <c r="L200" s="145" t="s">
        <v>1179</v>
      </c>
      <c r="M200" s="146">
        <v>42348</v>
      </c>
      <c r="N200" s="144" t="s">
        <v>1015</v>
      </c>
      <c r="O200" s="298" t="s">
        <v>1530</v>
      </c>
      <c r="P200" s="298" t="s">
        <v>738</v>
      </c>
      <c r="Q200" s="298" t="s">
        <v>139</v>
      </c>
      <c r="R200" s="298">
        <v>89512</v>
      </c>
      <c r="S200" s="298" t="s">
        <v>118</v>
      </c>
      <c r="T200" s="298" t="s">
        <v>136</v>
      </c>
      <c r="U200" s="298" t="s">
        <v>120</v>
      </c>
      <c r="V200" s="298">
        <v>53</v>
      </c>
      <c r="W200" s="298" t="s">
        <v>1531</v>
      </c>
      <c r="X200" s="185">
        <v>45000</v>
      </c>
      <c r="Y200" s="298" t="s">
        <v>123</v>
      </c>
      <c r="Z200" s="298" t="s">
        <v>123</v>
      </c>
      <c r="AA200" s="298" t="s">
        <v>123</v>
      </c>
      <c r="AB200" s="298" t="s">
        <v>123</v>
      </c>
      <c r="AC200" s="298" t="s">
        <v>1532</v>
      </c>
      <c r="AD200" s="145" t="s">
        <v>1205</v>
      </c>
      <c r="AE200" s="146">
        <v>42349</v>
      </c>
      <c r="AF200" s="416" t="s">
        <v>123</v>
      </c>
      <c r="AG200" s="298" t="s">
        <v>1533</v>
      </c>
      <c r="AH200" s="298" t="s">
        <v>1343</v>
      </c>
      <c r="AI200" s="298" t="s">
        <v>139</v>
      </c>
      <c r="AJ200" s="298">
        <v>96080</v>
      </c>
      <c r="AK200" s="298" t="s">
        <v>118</v>
      </c>
      <c r="AL200" s="298" t="s">
        <v>123</v>
      </c>
      <c r="AM200" s="142" t="str">
        <f>INDEX(CarrierDriverTBL!$B:$B,MATCH(Table1[[#This Row],[DriverID]],CarrierDriverTBL!$A:$A,0))</f>
        <v>UBTrucking</v>
      </c>
      <c r="AN200" s="10" t="s">
        <v>1409</v>
      </c>
      <c r="AO200" s="298" t="str">
        <f>INDEX(CarrierDriverTBL!$C:$C,MATCH(Table1[[#This Row],[DriverID]],CarrierDriverTBL!$A:$A,0))</f>
        <v>Miguel Jaime</v>
      </c>
      <c r="AP200" s="298" t="str">
        <f>INDEX(CarrierDriverTBL!$D:$D,MATCH(Table1[[#This Row],[DriverID]],CarrierDriverTBL!$A:$A,0))</f>
        <v>Martin Del Campo Velarca</v>
      </c>
      <c r="AQ200" s="142" t="str">
        <f>INDEX(CarrierDriverTBL!$X:$X,MATCH(Table1[[#This Row],[DriverID]],CarrierDriverTBL!$A:$A,0))</f>
        <v>D5179619</v>
      </c>
      <c r="AR200" s="160">
        <f>INDEX(CarrierDriverTBL!$Y:$Y,MATCH(Table1[[#This Row],[DriverID]],CarrierDriverTBL!$A:$A,0))</f>
        <v>43843</v>
      </c>
      <c r="AS200" s="142" t="str">
        <f t="shared" si="97"/>
        <v>GOOD</v>
      </c>
      <c r="AT200" s="146">
        <f>INDEX(CarrierDriverTBL!$E:$E,MATCH(Table1[[#This Row],[DriverID]],CarrierDriverTBL!$A:$A,0))</f>
        <v>21198</v>
      </c>
      <c r="AU200" s="163">
        <f ca="1">INDEX(CarrierDriverTBL!$F:$F,MATCH(Table1[[#This Row],[DriverID]],CarrierDriverTBL!$A:$A,0))</f>
        <v>58.56986301369863</v>
      </c>
      <c r="AV200" s="298" t="str">
        <f>INDEX(CarrierDriverTBL!$K:$K,MATCH(Table1[[#This Row],[DriverID]],CarrierDriverTBL!$A:$A,0))</f>
        <v>209-322-5231</v>
      </c>
      <c r="AW200" s="298" t="str">
        <f>INDEX(CarrierDriverTBL!$M:$M,MATCH(Table1[[#This Row],[DriverID]],CarrierDriverTBL!$A:$A,0))</f>
        <v>572 Predersen RD</v>
      </c>
      <c r="AX200" s="298" t="str">
        <f>INDEX(CarrierDriverTBL!$N:$N,MATCH(Table1[[#This Row],[DriverID]],CarrierDriverTBL!$A:$A,0))</f>
        <v>Oakdale</v>
      </c>
      <c r="AY200" s="142" t="str">
        <f>INDEX(CarrierDriverTBL!$O:$O,MATCH(Table1[[#This Row],[DriverID]],CarrierDriverTBL!$A:$A,0))</f>
        <v>CA</v>
      </c>
      <c r="AZ200" s="298">
        <f>INDEX(CarrierDriverTBL!$P:$P,MATCH(Table1[[#This Row],[DriverID]],CarrierDriverTBL!$A:$A,0))</f>
        <v>95361</v>
      </c>
      <c r="BA200" s="298" t="str">
        <f>INDEX(CarrierDriverTBL!$Q:$Q,MATCH(Table1[[#This Row],[DriverID]],CarrierDriverTBL!$A:$A,0))</f>
        <v>US</v>
      </c>
      <c r="BB200" s="176" t="str">
        <f>INDEX(CarrierDriverTBL!$R:$R,MATCH(Table1[[#This Row],[DriverID]],CarrierDriverTBL!$A:$A,0))</f>
        <v>Miguelmartin52@yahoo.com</v>
      </c>
      <c r="BC200" s="160">
        <f>INDEX(CarrierDriverTBL!$AB:$AB,MATCH(Table1[[#This Row],[DriverID]],CarrierDriverTBL!$A:$A,0))</f>
        <v>42334</v>
      </c>
      <c r="BD200" s="142" t="str">
        <f ca="1">INDEX(CarrierDriverTBL!$AD:$AD,MATCH(LoadMaster!$AN:$AN,CarrierDriverTBL!$A:$A,0))</f>
        <v>MISSING</v>
      </c>
      <c r="BE200" s="142">
        <f>INDEX(CarrierDriverTBL!$AE:$AE,MATCH(Table1[DriverID],CarrierDriverTBL!$A:$A,0))</f>
        <v>913971</v>
      </c>
      <c r="BF200" s="142">
        <f>INDEX(CarrierDriverTBL!$AF:$AF,MATCH(Table1[DriverID],CarrierDriverTBL!$A:$A,0))</f>
        <v>2627544</v>
      </c>
      <c r="BG200" s="142">
        <f>INDEX(CarrierDriverTBL!$AG:$AG,MATCH(Table1[DriverID],CarrierDriverTBL!$A:$A,0))</f>
        <v>466133</v>
      </c>
      <c r="BH200" s="142" t="str">
        <f>INDEX(CarrierDriverTBL!$AH:$AH,MATCH(Table1[DriverID],CarrierDriverTBL!$A:$A,0))</f>
        <v>GM Lawrence Ins</v>
      </c>
      <c r="BI200" s="142" t="str">
        <f>INDEX(CarrierDriverTBL!$AI:$AI,MATCH(Table1[DriverID],CarrierDriverTBL!$A:$A,0))</f>
        <v>DSK2842P160210</v>
      </c>
      <c r="BJ200" s="160">
        <f>INDEX(CarrierDriverTBL!$AJ:$AJ,MATCH(Table1[[#This Row],[DriverID]],CarrierDriverTBL!$A:$A,0))</f>
        <v>42778</v>
      </c>
      <c r="BK200" s="10">
        <f t="shared" si="98"/>
        <v>430</v>
      </c>
      <c r="BL200" s="174">
        <v>600</v>
      </c>
      <c r="BM200" s="144">
        <v>230</v>
      </c>
      <c r="BN200" s="159">
        <f t="shared" si="115"/>
        <v>2.6086956521739131</v>
      </c>
      <c r="BO200" s="167">
        <f>0.93*600</f>
        <v>558</v>
      </c>
      <c r="BP200" s="159">
        <f t="shared" si="116"/>
        <v>2.4260869565217393</v>
      </c>
      <c r="BQ200" s="133">
        <v>2.7989999999999999</v>
      </c>
      <c r="BR200" s="166">
        <f t="shared" si="117"/>
        <v>0.14983333333333335</v>
      </c>
      <c r="BS200" s="167">
        <f t="shared" si="99"/>
        <v>2.2762536231884059</v>
      </c>
      <c r="BT200" s="159">
        <f t="shared" si="100"/>
        <v>34.461666666666673</v>
      </c>
      <c r="BU200" s="10" t="str">
        <f t="shared" si="101"/>
        <v>Ch Robinson</v>
      </c>
      <c r="BV200" s="4"/>
      <c r="BW200" s="4" t="str">
        <f>Table1[[#This Row],[BrokerAddress]]</f>
        <v>P.O. Box 3474</v>
      </c>
      <c r="BX200" s="4" t="str">
        <f t="shared" si="102"/>
        <v>Chicago</v>
      </c>
      <c r="BY200" s="4" t="str">
        <f t="shared" si="103"/>
        <v>Il</v>
      </c>
      <c r="BZ200" s="4">
        <f t="shared" si="104"/>
        <v>60654</v>
      </c>
      <c r="CA200" s="10" t="str">
        <f t="shared" si="105"/>
        <v>US</v>
      </c>
      <c r="CB200" s="15" t="s">
        <v>131</v>
      </c>
      <c r="CC200" s="62"/>
      <c r="CD200" s="15" t="s">
        <v>132</v>
      </c>
      <c r="CE200" s="64">
        <v>0</v>
      </c>
      <c r="CF200" s="4">
        <v>0</v>
      </c>
      <c r="CG200" s="132">
        <f t="shared" si="106"/>
        <v>0</v>
      </c>
      <c r="CH200" s="4" t="s">
        <v>132</v>
      </c>
      <c r="CI200" s="5">
        <v>0</v>
      </c>
      <c r="CJ200" s="4">
        <v>0</v>
      </c>
      <c r="CK200" s="132">
        <f t="shared" si="107"/>
        <v>0</v>
      </c>
      <c r="CL200" s="4" t="s">
        <v>132</v>
      </c>
      <c r="CM200" s="5">
        <v>0</v>
      </c>
      <c r="CN200" s="4">
        <v>0</v>
      </c>
      <c r="CO200" s="132">
        <f t="shared" si="108"/>
        <v>0</v>
      </c>
      <c r="CP200" s="4" t="s">
        <v>132</v>
      </c>
      <c r="CQ200" s="5">
        <v>0</v>
      </c>
      <c r="CR200" s="4">
        <v>0</v>
      </c>
      <c r="CS200" s="132">
        <f t="shared" si="109"/>
        <v>0</v>
      </c>
      <c r="CT200" s="159">
        <f t="shared" si="110"/>
        <v>0</v>
      </c>
      <c r="CU200" s="168">
        <f t="shared" si="111"/>
        <v>600</v>
      </c>
      <c r="CV200" s="169">
        <f t="shared" si="94"/>
        <v>0</v>
      </c>
      <c r="CW200" s="82">
        <f t="shared" si="95"/>
        <v>558</v>
      </c>
      <c r="CX200" s="79">
        <f>IF(ISBLANK(E200),"AddQuickPay",IF(E200=2,CU200*0.98,IF(E200=2.4,CU200*0.976,IF(E200=3,CU200*0.97,IF(E200=5,CU200*0.95,IF(E200=1.5,CU200*0.985,IF(E200=2.5,CU200*0.975,IF(E200=1.3,CU200*0.987,IF(E200=1,CU200*0.99,IF(E200=4,CU200*0.96,CU200*1))))))))))-Table1[[#This Row],[ComCheck+QuickPayFee]]</f>
        <v>588</v>
      </c>
      <c r="CY200" s="5">
        <f t="shared" si="112"/>
        <v>42</v>
      </c>
      <c r="CZ200" s="5">
        <f t="shared" si="113"/>
        <v>12</v>
      </c>
      <c r="DA200" s="258">
        <f>Table1[[#This Row],[OriginalDispatch]]-Table1[[#This Row],[QuickPayCharge]]</f>
        <v>30</v>
      </c>
      <c r="DB200" s="5">
        <v>0</v>
      </c>
      <c r="DC200" s="5" t="s">
        <v>1287</v>
      </c>
      <c r="DD200" s="104">
        <f t="shared" si="114"/>
        <v>42349</v>
      </c>
      <c r="DE200" s="15">
        <f>MONTH(Table1[[#This Row],[Weekending]])</f>
        <v>12</v>
      </c>
      <c r="DF200" s="15">
        <f>YEAR(Table1[[#This Row],[Weekending]])</f>
        <v>2015</v>
      </c>
      <c r="DG200" s="4"/>
    </row>
    <row r="201" spans="1:111">
      <c r="A201" s="20" t="str">
        <f t="shared" si="96"/>
        <v>70newn88</v>
      </c>
      <c r="B201" s="146">
        <v>42349</v>
      </c>
      <c r="C201" s="144">
        <v>188087070</v>
      </c>
      <c r="D201" s="298" t="s">
        <v>111</v>
      </c>
      <c r="E201" s="298">
        <v>2</v>
      </c>
      <c r="F201" s="142" t="str">
        <f>INDEX(BrokerTBL!$B:$B,MATCH(D201,BrokerTBL!$A:$A,0))</f>
        <v>P.O. Box 3474</v>
      </c>
      <c r="G201" s="142" t="str">
        <f>INDEX(BrokerTBL!$C:$C,MATCH(D201,BrokerTBL!$A:$A,0))</f>
        <v>Chicago</v>
      </c>
      <c r="H201" s="142" t="str">
        <f>INDEX(BrokerTBL!$D:$D,MATCH(D201,BrokerTBL!$A:$A,0))</f>
        <v>Il</v>
      </c>
      <c r="I201" s="142" t="str">
        <f>INDEX(BrokerTBL!$E:$E,MATCH(D201,BrokerTBL!$A:$A,0))</f>
        <v>US</v>
      </c>
      <c r="J201" s="142">
        <f>INDEX(BrokerTBL!$F:$F,MATCH(D201,BrokerTBL!$A:$A,0))</f>
        <v>60654</v>
      </c>
      <c r="K201" s="298" t="s">
        <v>1534</v>
      </c>
      <c r="L201" s="145" t="s">
        <v>132</v>
      </c>
      <c r="M201" s="146">
        <v>42348</v>
      </c>
      <c r="N201" s="162" t="s">
        <v>136</v>
      </c>
      <c r="O201" s="298" t="s">
        <v>1535</v>
      </c>
      <c r="P201" s="298" t="s">
        <v>263</v>
      </c>
      <c r="Q201" s="298" t="s">
        <v>264</v>
      </c>
      <c r="R201" s="298">
        <v>89434</v>
      </c>
      <c r="S201" s="298" t="s">
        <v>118</v>
      </c>
      <c r="T201" s="298" t="s">
        <v>136</v>
      </c>
      <c r="U201" s="298" t="s">
        <v>120</v>
      </c>
      <c r="V201" s="298">
        <v>53</v>
      </c>
      <c r="W201" s="298" t="s">
        <v>1536</v>
      </c>
      <c r="X201" s="185">
        <v>7500</v>
      </c>
      <c r="Y201" s="298" t="s">
        <v>1537</v>
      </c>
      <c r="Z201" s="298">
        <v>20</v>
      </c>
      <c r="AA201" s="298">
        <v>20</v>
      </c>
      <c r="AB201" s="298" t="s">
        <v>123</v>
      </c>
      <c r="AC201" s="298" t="s">
        <v>1538</v>
      </c>
      <c r="AD201" s="145" t="s">
        <v>1205</v>
      </c>
      <c r="AE201" s="146">
        <v>42349</v>
      </c>
      <c r="AF201" s="416" t="s">
        <v>123</v>
      </c>
      <c r="AG201" s="298" t="s">
        <v>1539</v>
      </c>
      <c r="AH201" s="298" t="s">
        <v>870</v>
      </c>
      <c r="AI201" s="298" t="s">
        <v>139</v>
      </c>
      <c r="AJ201" s="298">
        <v>94080</v>
      </c>
      <c r="AK201" s="298" t="s">
        <v>118</v>
      </c>
      <c r="AL201" s="298" t="s">
        <v>123</v>
      </c>
      <c r="AM201" s="142" t="str">
        <f>INDEX(CarrierDriverTBL!$B:$B,MATCH(Table1[[#This Row],[DriverID]],CarrierDriverTBL!$A:$A,0))</f>
        <v>UBTrucking</v>
      </c>
      <c r="AN201" s="10" t="s">
        <v>948</v>
      </c>
      <c r="AO201" s="10" t="str">
        <f>INDEX(CarrierDriverTBL!$C:$C,MATCH(Table1[[#This Row],[DriverID]],CarrierDriverTBL!$A:$A,0))</f>
        <v>Wesley</v>
      </c>
      <c r="AP201" s="10" t="str">
        <f>INDEX(CarrierDriverTBL!$D:$D,MATCH(Table1[[#This Row],[DriverID]],CarrierDriverTBL!$A:$A,0))</f>
        <v>Cousain</v>
      </c>
      <c r="AQ201" s="10" t="str">
        <f>INDEX(CarrierDriverTBL!$X:$X,MATCH(Table1[[#This Row],[DriverID]],CarrierDriverTBL!$A:$A,0))</f>
        <v>D4903588</v>
      </c>
      <c r="AR201" s="11">
        <f>INDEX(CarrierDriverTBL!$Y:$Y,MATCH(Table1[[#This Row],[DriverID]],CarrierDriverTBL!$A:$A,0))</f>
        <v>43458</v>
      </c>
      <c r="AS201" s="142" t="str">
        <f t="shared" si="97"/>
        <v>GOOD</v>
      </c>
      <c r="AT201" s="11">
        <f>INDEX(CarrierDriverTBL!$E:$E,MATCH(Table1[[#This Row],[DriverID]],CarrierDriverTBL!$A:$A,0))</f>
        <v>31405</v>
      </c>
      <c r="AU201" s="163">
        <f ca="1">INDEX(CarrierDriverTBL!$F:$F,MATCH(Table1[[#This Row],[DriverID]],CarrierDriverTBL!$A:$A,0))</f>
        <v>30.605479452054794</v>
      </c>
      <c r="AV201" s="10" t="str">
        <f>INDEX(CarrierDriverTBL!$K:$K,MATCH(Table1[[#This Row],[DriverID]],CarrierDriverTBL!$A:$A,0))</f>
        <v>925-383-5364</v>
      </c>
      <c r="AW201" s="10" t="str">
        <f>INDEX(CarrierDriverTBL!$M:$M,MATCH(Table1[[#This Row],[DriverID]],CarrierDriverTBL!$A:$A,0))</f>
        <v>110 Cordova Ln</v>
      </c>
      <c r="AX201" s="10" t="str">
        <f>INDEX(CarrierDriverTBL!$N:$N,MATCH(Table1[[#This Row],[DriverID]],CarrierDriverTBL!$A:$A,0))</f>
        <v>Stockton</v>
      </c>
      <c r="AY201" s="10" t="str">
        <f>INDEX(CarrierDriverTBL!$O:$O,MATCH(Table1[[#This Row],[DriverID]],CarrierDriverTBL!$A:$A,0))</f>
        <v>CA</v>
      </c>
      <c r="AZ201" s="10">
        <f>INDEX(CarrierDriverTBL!$P:$P,MATCH(Table1[[#This Row],[DriverID]],CarrierDriverTBL!$A:$A,0))</f>
        <v>95207</v>
      </c>
      <c r="BA201" s="10" t="str">
        <f>INDEX(CarrierDriverTBL!$Q:$Q,MATCH(Table1[[#This Row],[DriverID]],CarrierDriverTBL!$A:$A,0))</f>
        <v>US</v>
      </c>
      <c r="BB201" s="173" t="str">
        <f>INDEX(CarrierDriverTBL!$R:$R,MATCH(Table1[[#This Row],[DriverID]],CarrierDriverTBL!$A:$A,0))</f>
        <v>wesleycousain1@gmail.com</v>
      </c>
      <c r="BC201" s="160">
        <f>INDEX(CarrierDriverTBL!$AB:$AB,MATCH(Table1[[#This Row],[DriverID]],CarrierDriverTBL!$A:$A,0))</f>
        <v>42271</v>
      </c>
      <c r="BD201" s="142" t="str">
        <f ca="1">INDEX(CarrierDriverTBL!$AD:$AD,MATCH(LoadMaster!$AN:$AN,CarrierDriverTBL!$A:$A,0))</f>
        <v>MISSING</v>
      </c>
      <c r="BE201" s="142">
        <f>INDEX(CarrierDriverTBL!$AE:$AE,MATCH(Table1[DriverID],CarrierDriverTBL!$A:$A,0))</f>
        <v>913971</v>
      </c>
      <c r="BF201" s="142">
        <f>INDEX(CarrierDriverTBL!$AF:$AF,MATCH(Table1[DriverID],CarrierDriverTBL!$A:$A,0))</f>
        <v>2627544</v>
      </c>
      <c r="BG201" s="142">
        <f>INDEX(CarrierDriverTBL!$AG:$AG,MATCH(Table1[DriverID],CarrierDriverTBL!$A:$A,0))</f>
        <v>466133</v>
      </c>
      <c r="BH201" s="142" t="str">
        <f>INDEX(CarrierDriverTBL!$AH:$AH,MATCH(Table1[DriverID],CarrierDriverTBL!$A:$A,0))</f>
        <v>GM Lawrence Ins</v>
      </c>
      <c r="BI201" s="142" t="str">
        <f>INDEX(CarrierDriverTBL!$AI:$AI,MATCH(Table1[DriverID],CarrierDriverTBL!$A:$A,0))</f>
        <v>DSK2842P160210</v>
      </c>
      <c r="BJ201" s="160">
        <f>INDEX(CarrierDriverTBL!$AJ:$AJ,MATCH(Table1[[#This Row],[DriverID]],CarrierDriverTBL!$A:$A,0))</f>
        <v>42778</v>
      </c>
      <c r="BK201" s="10">
        <f t="shared" si="98"/>
        <v>430</v>
      </c>
      <c r="BL201" s="174">
        <v>550</v>
      </c>
      <c r="BM201" s="144">
        <v>240</v>
      </c>
      <c r="BN201" s="159">
        <f t="shared" si="115"/>
        <v>2.2916666666666665</v>
      </c>
      <c r="BO201" s="167">
        <f>0.93*BL201</f>
        <v>511.5</v>
      </c>
      <c r="BP201" s="159">
        <f t="shared" si="116"/>
        <v>2.1312500000000001</v>
      </c>
      <c r="BQ201" s="133">
        <v>2.7989999999999999</v>
      </c>
      <c r="BR201" s="166">
        <f t="shared" si="117"/>
        <v>0.14983333333333335</v>
      </c>
      <c r="BS201" s="167">
        <f t="shared" si="99"/>
        <v>1.9814166666666668</v>
      </c>
      <c r="BT201" s="159">
        <f t="shared" si="100"/>
        <v>35.96</v>
      </c>
      <c r="BU201" s="10" t="str">
        <f t="shared" si="101"/>
        <v>Ch Robinson</v>
      </c>
      <c r="BV201" s="4"/>
      <c r="BW201" s="4" t="str">
        <f>Table1[[#This Row],[BrokerAddress]]</f>
        <v>P.O. Box 3474</v>
      </c>
      <c r="BX201" s="4" t="str">
        <f t="shared" si="102"/>
        <v>Chicago</v>
      </c>
      <c r="BY201" s="4" t="str">
        <f t="shared" si="103"/>
        <v>Il</v>
      </c>
      <c r="BZ201" s="4">
        <f t="shared" si="104"/>
        <v>60654</v>
      </c>
      <c r="CA201" s="10" t="str">
        <f t="shared" si="105"/>
        <v>US</v>
      </c>
      <c r="CB201" s="15" t="s">
        <v>131</v>
      </c>
      <c r="CC201" s="62"/>
      <c r="CD201" s="15" t="s">
        <v>132</v>
      </c>
      <c r="CE201" s="64">
        <v>0</v>
      </c>
      <c r="CF201" s="4">
        <v>0</v>
      </c>
      <c r="CG201" s="132">
        <f t="shared" si="106"/>
        <v>0</v>
      </c>
      <c r="CH201" s="4" t="s">
        <v>132</v>
      </c>
      <c r="CI201" s="5">
        <v>0</v>
      </c>
      <c r="CJ201" s="4">
        <v>0</v>
      </c>
      <c r="CK201" s="132">
        <f t="shared" si="107"/>
        <v>0</v>
      </c>
      <c r="CL201" s="4" t="s">
        <v>132</v>
      </c>
      <c r="CM201" s="5">
        <v>0</v>
      </c>
      <c r="CN201" s="4">
        <v>0</v>
      </c>
      <c r="CO201" s="132">
        <f t="shared" si="108"/>
        <v>0</v>
      </c>
      <c r="CP201" s="4" t="s">
        <v>132</v>
      </c>
      <c r="CQ201" s="5">
        <v>0</v>
      </c>
      <c r="CR201" s="4">
        <v>0</v>
      </c>
      <c r="CS201" s="132">
        <f t="shared" si="109"/>
        <v>0</v>
      </c>
      <c r="CT201" s="159">
        <f t="shared" si="110"/>
        <v>0</v>
      </c>
      <c r="CU201" s="168">
        <f t="shared" si="111"/>
        <v>550</v>
      </c>
      <c r="CV201" s="169">
        <f t="shared" si="94"/>
        <v>0</v>
      </c>
      <c r="CW201" s="82">
        <f t="shared" si="95"/>
        <v>511.5</v>
      </c>
      <c r="CX201" s="79">
        <f>IF(ISBLANK(E201),"AddQuickPay",IF(E201=2,CU201*0.98,IF(E201=2.4,CU201*0.976,IF(E201=3,CU201*0.97,IF(E201=5,CU201*0.95,IF(E201=1.5,CU201*0.985,IF(E201=2.5,CU201*0.975,IF(E201=1.3,CU201*0.987,IF(E201=1,CU201*0.99,IF(E201=4,CU201*0.96,CU201*1))))))))))-Table1[[#This Row],[ComCheck+QuickPayFee]]</f>
        <v>539</v>
      </c>
      <c r="CY201" s="5">
        <f t="shared" si="112"/>
        <v>38.5</v>
      </c>
      <c r="CZ201" s="5">
        <f t="shared" si="113"/>
        <v>11</v>
      </c>
      <c r="DA201" s="258">
        <f>Table1[[#This Row],[OriginalDispatch]]-Table1[[#This Row],[QuickPayCharge]]</f>
        <v>27.5</v>
      </c>
      <c r="DB201" s="5">
        <v>0</v>
      </c>
      <c r="DC201" s="5" t="s">
        <v>1287</v>
      </c>
      <c r="DD201" s="104">
        <f t="shared" si="114"/>
        <v>42349</v>
      </c>
      <c r="DE201" s="15">
        <f>MONTH(Table1[[#This Row],[Weekending]])</f>
        <v>12</v>
      </c>
      <c r="DF201" s="15">
        <f>YEAR(Table1[[#This Row],[Weekending]])</f>
        <v>2015</v>
      </c>
      <c r="DG201" s="4"/>
    </row>
    <row r="202" spans="1:111">
      <c r="A202" s="20" t="str">
        <f t="shared" si="96"/>
        <v>2201ne19</v>
      </c>
      <c r="B202" s="146">
        <v>42349</v>
      </c>
      <c r="C202" s="144">
        <v>187523122</v>
      </c>
      <c r="D202" s="298" t="s">
        <v>111</v>
      </c>
      <c r="E202" s="298">
        <v>2</v>
      </c>
      <c r="F202" s="142" t="str">
        <f>INDEX(BrokerTBL!$B:$B,MATCH(D202,BrokerTBL!$A:$A,0))</f>
        <v>P.O. Box 3474</v>
      </c>
      <c r="G202" s="142" t="str">
        <f>INDEX(BrokerTBL!$C:$C,MATCH(D202,BrokerTBL!$A:$A,0))</f>
        <v>Chicago</v>
      </c>
      <c r="H202" s="142" t="str">
        <f>INDEX(BrokerTBL!$D:$D,MATCH(D202,BrokerTBL!$A:$A,0))</f>
        <v>Il</v>
      </c>
      <c r="I202" s="142" t="str">
        <f>INDEX(BrokerTBL!$E:$E,MATCH(D202,BrokerTBL!$A:$A,0))</f>
        <v>US</v>
      </c>
      <c r="J202" s="142">
        <f>INDEX(BrokerTBL!$F:$F,MATCH(D202,BrokerTBL!$A:$A,0))</f>
        <v>60654</v>
      </c>
      <c r="K202" s="298" t="s">
        <v>398</v>
      </c>
      <c r="L202" s="145">
        <v>121270151211001</v>
      </c>
      <c r="M202" s="146">
        <v>42349</v>
      </c>
      <c r="N202" s="144" t="s">
        <v>1453</v>
      </c>
      <c r="O202" s="298" t="s">
        <v>400</v>
      </c>
      <c r="P202" s="298" t="s">
        <v>401</v>
      </c>
      <c r="Q202" s="298" t="s">
        <v>139</v>
      </c>
      <c r="R202" s="298">
        <v>96003</v>
      </c>
      <c r="S202" s="298" t="s">
        <v>118</v>
      </c>
      <c r="T202" s="298" t="s">
        <v>136</v>
      </c>
      <c r="U202" s="298" t="s">
        <v>120</v>
      </c>
      <c r="V202" s="298">
        <v>53</v>
      </c>
      <c r="W202" s="298" t="s">
        <v>601</v>
      </c>
      <c r="X202" s="185">
        <v>30099</v>
      </c>
      <c r="Y202" s="298" t="s">
        <v>1537</v>
      </c>
      <c r="Z202" s="298" t="s">
        <v>123</v>
      </c>
      <c r="AA202" s="298">
        <v>30</v>
      </c>
      <c r="AB202" s="298" t="s">
        <v>123</v>
      </c>
      <c r="AC202" s="298" t="s">
        <v>1540</v>
      </c>
      <c r="AD202" s="145" t="s">
        <v>132</v>
      </c>
      <c r="AE202" s="146">
        <v>42352</v>
      </c>
      <c r="AF202" s="416" t="s">
        <v>123</v>
      </c>
      <c r="AG202" s="298" t="s">
        <v>764</v>
      </c>
      <c r="AH202" s="298" t="s">
        <v>765</v>
      </c>
      <c r="AI202" s="298" t="s">
        <v>139</v>
      </c>
      <c r="AJ202" s="298">
        <v>94538</v>
      </c>
      <c r="AK202" s="298" t="s">
        <v>118</v>
      </c>
      <c r="AL202" s="298" t="s">
        <v>123</v>
      </c>
      <c r="AM202" s="142" t="str">
        <f>INDEX(CarrierDriverTBL!$B:$B,MATCH(Table1[[#This Row],[DriverID]],CarrierDriverTBL!$A:$A,0))</f>
        <v>UBTrucking</v>
      </c>
      <c r="AN202" s="10" t="s">
        <v>1409</v>
      </c>
      <c r="AO202" s="298" t="str">
        <f>INDEX(CarrierDriverTBL!$C:$C,MATCH(Table1[[#This Row],[DriverID]],CarrierDriverTBL!$A:$A,0))</f>
        <v>Miguel Jaime</v>
      </c>
      <c r="AP202" s="298" t="str">
        <f>INDEX(CarrierDriverTBL!$D:$D,MATCH(Table1[[#This Row],[DriverID]],CarrierDriverTBL!$A:$A,0))</f>
        <v>Martin Del Campo Velarca</v>
      </c>
      <c r="AQ202" s="142" t="str">
        <f>INDEX(CarrierDriverTBL!$X:$X,MATCH(Table1[[#This Row],[DriverID]],CarrierDriverTBL!$A:$A,0))</f>
        <v>D5179619</v>
      </c>
      <c r="AR202" s="160">
        <f>INDEX(CarrierDriverTBL!$Y:$Y,MATCH(Table1[[#This Row],[DriverID]],CarrierDriverTBL!$A:$A,0))</f>
        <v>43843</v>
      </c>
      <c r="AS202" s="142" t="str">
        <f t="shared" si="97"/>
        <v>GOOD</v>
      </c>
      <c r="AT202" s="146">
        <f>INDEX(CarrierDriverTBL!$E:$E,MATCH(Table1[[#This Row],[DriverID]],CarrierDriverTBL!$A:$A,0))</f>
        <v>21198</v>
      </c>
      <c r="AU202" s="163">
        <f ca="1">INDEX(CarrierDriverTBL!$F:$F,MATCH(Table1[[#This Row],[DriverID]],CarrierDriverTBL!$A:$A,0))</f>
        <v>58.56986301369863</v>
      </c>
      <c r="AV202" s="298" t="str">
        <f>INDEX(CarrierDriverTBL!$K:$K,MATCH(Table1[[#This Row],[DriverID]],CarrierDriverTBL!$A:$A,0))</f>
        <v>209-322-5231</v>
      </c>
      <c r="AW202" s="298" t="str">
        <f>INDEX(CarrierDriverTBL!$M:$M,MATCH(Table1[[#This Row],[DriverID]],CarrierDriverTBL!$A:$A,0))</f>
        <v>572 Predersen RD</v>
      </c>
      <c r="AX202" s="298" t="str">
        <f>INDEX(CarrierDriverTBL!$N:$N,MATCH(Table1[[#This Row],[DriverID]],CarrierDriverTBL!$A:$A,0))</f>
        <v>Oakdale</v>
      </c>
      <c r="AY202" s="142" t="str">
        <f>INDEX(CarrierDriverTBL!$O:$O,MATCH(Table1[[#This Row],[DriverID]],CarrierDriverTBL!$A:$A,0))</f>
        <v>CA</v>
      </c>
      <c r="AZ202" s="298">
        <f>INDEX(CarrierDriverTBL!$P:$P,MATCH(Table1[[#This Row],[DriverID]],CarrierDriverTBL!$A:$A,0))</f>
        <v>95361</v>
      </c>
      <c r="BA202" s="298" t="str">
        <f>INDEX(CarrierDriverTBL!$Q:$Q,MATCH(Table1[[#This Row],[DriverID]],CarrierDriverTBL!$A:$A,0))</f>
        <v>US</v>
      </c>
      <c r="BB202" s="176" t="str">
        <f>INDEX(CarrierDriverTBL!$R:$R,MATCH(Table1[[#This Row],[DriverID]],CarrierDriverTBL!$A:$A,0))</f>
        <v>Miguelmartin52@yahoo.com</v>
      </c>
      <c r="BC202" s="160">
        <f>INDEX(CarrierDriverTBL!$AB:$AB,MATCH(Table1[[#This Row],[DriverID]],CarrierDriverTBL!$A:$A,0))</f>
        <v>42334</v>
      </c>
      <c r="BD202" s="142" t="str">
        <f ca="1">INDEX(CarrierDriverTBL!$AD:$AD,MATCH(LoadMaster!$AN:$AN,CarrierDriverTBL!$A:$A,0))</f>
        <v>MISSING</v>
      </c>
      <c r="BE202" s="142">
        <f>INDEX(CarrierDriverTBL!$AE:$AE,MATCH(Table1[DriverID],CarrierDriverTBL!$A:$A,0))</f>
        <v>913971</v>
      </c>
      <c r="BF202" s="142">
        <f>INDEX(CarrierDriverTBL!$AF:$AF,MATCH(Table1[DriverID],CarrierDriverTBL!$A:$A,0))</f>
        <v>2627544</v>
      </c>
      <c r="BG202" s="142">
        <f>INDEX(CarrierDriverTBL!$AG:$AG,MATCH(Table1[DriverID],CarrierDriverTBL!$A:$A,0))</f>
        <v>466133</v>
      </c>
      <c r="BH202" s="142" t="str">
        <f>INDEX(CarrierDriverTBL!$AH:$AH,MATCH(Table1[DriverID],CarrierDriverTBL!$A:$A,0))</f>
        <v>GM Lawrence Ins</v>
      </c>
      <c r="BI202" s="142" t="str">
        <f>INDEX(CarrierDriverTBL!$AI:$AI,MATCH(Table1[DriverID],CarrierDriverTBL!$A:$A,0))</f>
        <v>DSK2842P160210</v>
      </c>
      <c r="BJ202" s="160">
        <f>INDEX(CarrierDriverTBL!$AJ:$AJ,MATCH(Table1[[#This Row],[DriverID]],CarrierDriverTBL!$A:$A,0))</f>
        <v>42778</v>
      </c>
      <c r="BK202" s="10">
        <f t="shared" si="98"/>
        <v>429</v>
      </c>
      <c r="BL202" s="174">
        <v>550</v>
      </c>
      <c r="BM202" s="144">
        <v>250</v>
      </c>
      <c r="BN202" s="159">
        <f t="shared" si="115"/>
        <v>2.2000000000000002</v>
      </c>
      <c r="BO202" s="167">
        <f>0.93*550</f>
        <v>511.5</v>
      </c>
      <c r="BP202" s="159">
        <f t="shared" si="116"/>
        <v>2.0459999999999998</v>
      </c>
      <c r="BQ202" s="133">
        <v>2.7989999999999999</v>
      </c>
      <c r="BR202" s="166">
        <f t="shared" si="117"/>
        <v>0.14983333333333335</v>
      </c>
      <c r="BS202" s="167">
        <f t="shared" si="99"/>
        <v>1.8961666666666666</v>
      </c>
      <c r="BT202" s="159">
        <f t="shared" si="100"/>
        <v>37.458333333333336</v>
      </c>
      <c r="BU202" s="10" t="str">
        <f t="shared" si="101"/>
        <v>Ch Robinson</v>
      </c>
      <c r="BV202" s="4"/>
      <c r="BW202" s="4" t="str">
        <f>Table1[[#This Row],[BrokerAddress]]</f>
        <v>P.O. Box 3474</v>
      </c>
      <c r="BX202" s="4" t="str">
        <f t="shared" si="102"/>
        <v>Chicago</v>
      </c>
      <c r="BY202" s="4" t="str">
        <f t="shared" si="103"/>
        <v>Il</v>
      </c>
      <c r="BZ202" s="4">
        <f t="shared" si="104"/>
        <v>60654</v>
      </c>
      <c r="CA202" s="10" t="str">
        <f t="shared" si="105"/>
        <v>US</v>
      </c>
      <c r="CB202" s="15" t="s">
        <v>131</v>
      </c>
      <c r="CC202" s="62"/>
      <c r="CD202" s="15" t="s">
        <v>149</v>
      </c>
      <c r="CE202" s="64">
        <v>40</v>
      </c>
      <c r="CF202" s="4">
        <v>4</v>
      </c>
      <c r="CG202" s="132">
        <f t="shared" si="106"/>
        <v>160</v>
      </c>
      <c r="CH202" s="4" t="s">
        <v>132</v>
      </c>
      <c r="CI202" s="5">
        <v>0</v>
      </c>
      <c r="CJ202" s="4">
        <v>0</v>
      </c>
      <c r="CK202" s="132">
        <f t="shared" si="107"/>
        <v>0</v>
      </c>
      <c r="CL202" s="4" t="s">
        <v>132</v>
      </c>
      <c r="CM202" s="5">
        <v>0</v>
      </c>
      <c r="CN202" s="4">
        <v>0</v>
      </c>
      <c r="CO202" s="132">
        <f t="shared" si="108"/>
        <v>0</v>
      </c>
      <c r="CP202" s="4" t="s">
        <v>132</v>
      </c>
      <c r="CQ202" s="5">
        <v>0</v>
      </c>
      <c r="CR202" s="4">
        <v>0</v>
      </c>
      <c r="CS202" s="132">
        <f t="shared" si="109"/>
        <v>0</v>
      </c>
      <c r="CT202" s="159">
        <f t="shared" si="110"/>
        <v>160</v>
      </c>
      <c r="CU202" s="168">
        <f t="shared" si="111"/>
        <v>710</v>
      </c>
      <c r="CV202" s="169">
        <f t="shared" si="94"/>
        <v>148.80000000000001</v>
      </c>
      <c r="CW202" s="82">
        <f t="shared" si="95"/>
        <v>660.3</v>
      </c>
      <c r="CX202" s="79">
        <f>IF(ISBLANK(E202),"AddQuickPay",IF(E202=2,CU202*0.98,IF(E202=2.4,CU202*0.976,IF(E202=3,CU202*0.97,IF(E202=5,CU202*0.95,IF(E202=1.5,CU202*0.985,IF(E202=2.5,CU202*0.975,IF(E202=1.3,CU202*0.987,IF(E202=1,CU202*0.99,IF(E202=4,CU202*0.96,CU202*1))))))))))-Table1[[#This Row],[ComCheck+QuickPayFee]]</f>
        <v>695.8</v>
      </c>
      <c r="CY202" s="5">
        <f t="shared" si="112"/>
        <v>49.700000000000045</v>
      </c>
      <c r="CZ202" s="5">
        <f t="shared" si="113"/>
        <v>14.200000000000001</v>
      </c>
      <c r="DA202" s="258">
        <f>Table1[[#This Row],[OriginalDispatch]]-Table1[[#This Row],[QuickPayCharge]]</f>
        <v>35.500000000000043</v>
      </c>
      <c r="DB202" s="5">
        <v>0</v>
      </c>
      <c r="DC202" s="5" t="s">
        <v>1287</v>
      </c>
      <c r="DD202" s="104">
        <f t="shared" si="114"/>
        <v>42349</v>
      </c>
      <c r="DE202" s="15">
        <f>MONTH(Table1[[#This Row],[Weekending]])</f>
        <v>12</v>
      </c>
      <c r="DF202" s="15">
        <f>YEAR(Table1[[#This Row],[Weekending]])</f>
        <v>2015</v>
      </c>
      <c r="DG202" s="4"/>
    </row>
    <row r="203" spans="1:111">
      <c r="A203" s="20" t="str">
        <f t="shared" si="96"/>
        <v>76nkwy49</v>
      </c>
      <c r="B203" s="146">
        <v>42349</v>
      </c>
      <c r="C203" s="144">
        <v>188194876</v>
      </c>
      <c r="D203" s="298" t="s">
        <v>111</v>
      </c>
      <c r="E203" s="298">
        <v>2</v>
      </c>
      <c r="F203" s="142" t="str">
        <f>INDEX(BrokerTBL!$B:$B,MATCH(D203,BrokerTBL!$A:$A,0))</f>
        <v>P.O. Box 3474</v>
      </c>
      <c r="G203" s="142" t="str">
        <f>INDEX(BrokerTBL!$C:$C,MATCH(D203,BrokerTBL!$A:$A,0))</f>
        <v>Chicago</v>
      </c>
      <c r="H203" s="142" t="str">
        <f>INDEX(BrokerTBL!$D:$D,MATCH(D203,BrokerTBL!$A:$A,0))</f>
        <v>Il</v>
      </c>
      <c r="I203" s="142" t="str">
        <f>INDEX(BrokerTBL!$E:$E,MATCH(D203,BrokerTBL!$A:$A,0))</f>
        <v>US</v>
      </c>
      <c r="J203" s="142">
        <f>INDEX(BrokerTBL!$F:$F,MATCH(D203,BrokerTBL!$A:$A,0))</f>
        <v>60654</v>
      </c>
      <c r="K203" s="298" t="s">
        <v>1541</v>
      </c>
      <c r="L203" s="145" t="s">
        <v>1179</v>
      </c>
      <c r="M203" s="146">
        <v>42349</v>
      </c>
      <c r="N203" s="144" t="s">
        <v>417</v>
      </c>
      <c r="O203" s="298" t="s">
        <v>1542</v>
      </c>
      <c r="P203" s="298" t="s">
        <v>983</v>
      </c>
      <c r="Q203" s="298" t="s">
        <v>139</v>
      </c>
      <c r="R203" s="298">
        <v>94503</v>
      </c>
      <c r="S203" s="298" t="s">
        <v>118</v>
      </c>
      <c r="T203" s="298" t="s">
        <v>1543</v>
      </c>
      <c r="U203" s="298" t="s">
        <v>120</v>
      </c>
      <c r="V203" s="298">
        <v>53</v>
      </c>
      <c r="W203" s="298" t="s">
        <v>1544</v>
      </c>
      <c r="X203" s="185">
        <v>7500</v>
      </c>
      <c r="Y203" s="298" t="s">
        <v>1545</v>
      </c>
      <c r="Z203" s="298">
        <v>292</v>
      </c>
      <c r="AA203" s="298">
        <v>12</v>
      </c>
      <c r="AB203" s="298" t="s">
        <v>123</v>
      </c>
      <c r="AC203" s="298" t="s">
        <v>1546</v>
      </c>
      <c r="AD203" s="145" t="s">
        <v>1547</v>
      </c>
      <c r="AE203" s="146">
        <v>42352</v>
      </c>
      <c r="AF203" s="416" t="s">
        <v>123</v>
      </c>
      <c r="AG203" s="298" t="s">
        <v>1547</v>
      </c>
      <c r="AH203" s="298" t="s">
        <v>634</v>
      </c>
      <c r="AI203" s="298" t="s">
        <v>139</v>
      </c>
      <c r="AJ203" s="298" t="s">
        <v>1548</v>
      </c>
      <c r="AK203" s="298" t="s">
        <v>118</v>
      </c>
      <c r="AL203" s="298" t="s">
        <v>1549</v>
      </c>
      <c r="AM203" s="142" t="str">
        <f>INDEX(CarrierDriverTBL!$B:$B,MATCH(Table1[[#This Row],[DriverID]],CarrierDriverTBL!$A:$A,0))</f>
        <v>UBTrucking</v>
      </c>
      <c r="AN203" s="10" t="s">
        <v>192</v>
      </c>
      <c r="AO203" s="10" t="str">
        <f>INDEX(CarrierDriverTBL!$C:$C,MATCH(Table1[[#This Row],[DriverID]],CarrierDriverTBL!$A:$A,0))</f>
        <v>Albel</v>
      </c>
      <c r="AP203" s="142" t="str">
        <f>INDEX(CarrierDriverTBL!$D:$D,MATCH(Table1[[#This Row],[DriverID]],CarrierDriverTBL!$A:$A,0))</f>
        <v>Chahil</v>
      </c>
      <c r="AQ203" s="142" t="str">
        <f>INDEX(CarrierDriverTBL!$X:$X,MATCH(Table1[[#This Row],[DriverID]],CarrierDriverTBL!$A:$A,0))</f>
        <v>A8390649</v>
      </c>
      <c r="AR203" s="160">
        <f>INDEX(CarrierDriverTBL!$Y:$Y,MATCH(Table1[[#This Row],[DriverID]],CarrierDriverTBL!$A:$A,0))</f>
        <v>42402</v>
      </c>
      <c r="AS203" s="142" t="str">
        <f t="shared" si="97"/>
        <v>GOOD</v>
      </c>
      <c r="AT203" s="160">
        <f>INDEX(CarrierDriverTBL!$E:$E,MATCH(Table1[[#This Row],[DriverID]],CarrierDriverTBL!$A:$A,0))</f>
        <v>22314</v>
      </c>
      <c r="AU203" s="163">
        <f ca="1">INDEX(CarrierDriverTBL!$F:$F,MATCH(Table1[[#This Row],[DriverID]],CarrierDriverTBL!$A:$A,0))</f>
        <v>55.512328767123286</v>
      </c>
      <c r="AV203" s="142" t="str">
        <f>INDEX(CarrierDriverTBL!$K:$K,MATCH(Table1[[#This Row],[DriverID]],CarrierDriverTBL!$A:$A,0))</f>
        <v>510-773-9450</v>
      </c>
      <c r="AW203" s="142" t="str">
        <f>INDEX(CarrierDriverTBL!$M:$M,MATCH(Table1[[#This Row],[DriverID]],CarrierDriverTBL!$A:$A,0))</f>
        <v>3124 Cynthia CT</v>
      </c>
      <c r="AX203" s="142" t="str">
        <f>INDEX(CarrierDriverTBL!$N:$N,MATCH(Table1[[#This Row],[DriverID]],CarrierDriverTBL!$A:$A,0))</f>
        <v>Tracy</v>
      </c>
      <c r="AY203" s="142" t="str">
        <f>INDEX(CarrierDriverTBL!$O:$O,MATCH(Table1[[#This Row],[DriverID]],CarrierDriverTBL!$A:$A,0))</f>
        <v>CA</v>
      </c>
      <c r="AZ203" s="142">
        <f>INDEX(CarrierDriverTBL!$P:$P,MATCH(Table1[[#This Row],[DriverID]],CarrierDriverTBL!$A:$A,0))</f>
        <v>95377</v>
      </c>
      <c r="BA203" s="142" t="str">
        <f>INDEX(CarrierDriverTBL!$Q:$Q,MATCH(Table1[[#This Row],[DriverID]],CarrierDriverTBL!$A:$A,0))</f>
        <v>US</v>
      </c>
      <c r="BB203" s="176" t="str">
        <f>INDEX(CarrierDriverTBL!$R:$R,MATCH(Table1[[#This Row],[DriverID]],CarrierDriverTBL!$A:$A,0))</f>
        <v>ubgollc@gmail.com</v>
      </c>
      <c r="BC203" s="160">
        <f>INDEX(CarrierDriverTBL!$AB:$AB,MATCH(Table1[[#This Row],[DriverID]],CarrierDriverTBL!$A:$A,0))</f>
        <v>42167</v>
      </c>
      <c r="BD203" s="142" t="str">
        <f ca="1">INDEX(CarrierDriverTBL!$AD:$AD,MATCH(LoadMaster!$AN:$AN,CarrierDriverTBL!$A:$A,0))</f>
        <v>MISSING</v>
      </c>
      <c r="BE203" s="142">
        <f>INDEX(CarrierDriverTBL!$AE:$AE,MATCH(Table1[DriverID],CarrierDriverTBL!$A:$A,0))</f>
        <v>913971</v>
      </c>
      <c r="BF203" s="142">
        <f>INDEX(CarrierDriverTBL!$AF:$AF,MATCH(Table1[DriverID],CarrierDriverTBL!$A:$A,0))</f>
        <v>2627544</v>
      </c>
      <c r="BG203" s="142">
        <f>INDEX(CarrierDriverTBL!$AG:$AG,MATCH(Table1[DriverID],CarrierDriverTBL!$A:$A,0))</f>
        <v>466133</v>
      </c>
      <c r="BH203" s="142" t="str">
        <f>INDEX(CarrierDriverTBL!$AH:$AH,MATCH(Table1[DriverID],CarrierDriverTBL!$A:$A,0))</f>
        <v>GM Lawrence Ins</v>
      </c>
      <c r="BI203" s="142" t="str">
        <f>INDEX(CarrierDriverTBL!$AI:$AI,MATCH(Table1[DriverID],CarrierDriverTBL!$A:$A,0))</f>
        <v>DSK2842P160210</v>
      </c>
      <c r="BJ203" s="160">
        <f>INDEX(CarrierDriverTBL!$AJ:$AJ,MATCH(Table1[[#This Row],[DriverID]],CarrierDriverTBL!$A:$A,0))</f>
        <v>42778</v>
      </c>
      <c r="BK203" s="10">
        <f t="shared" si="98"/>
        <v>429</v>
      </c>
      <c r="BL203" s="174">
        <v>600</v>
      </c>
      <c r="BM203" s="144">
        <v>290</v>
      </c>
      <c r="BN203" s="159">
        <f t="shared" si="115"/>
        <v>2.0689655172413794</v>
      </c>
      <c r="BO203" s="167">
        <v>550</v>
      </c>
      <c r="BP203" s="159">
        <f t="shared" si="116"/>
        <v>1.896551724137931</v>
      </c>
      <c r="BQ203" s="133">
        <v>2.7989999999999999</v>
      </c>
      <c r="BR203" s="166">
        <f t="shared" si="117"/>
        <v>0.14983333333333335</v>
      </c>
      <c r="BS203" s="167">
        <f t="shared" si="99"/>
        <v>1.7467183908045978</v>
      </c>
      <c r="BT203" s="159">
        <f t="shared" si="100"/>
        <v>43.451666666666668</v>
      </c>
      <c r="BU203" s="10" t="str">
        <f t="shared" si="101"/>
        <v>Ch Robinson</v>
      </c>
      <c r="BV203" s="4"/>
      <c r="BW203" s="4" t="str">
        <f>Table1[[#This Row],[BrokerAddress]]</f>
        <v>P.O. Box 3474</v>
      </c>
      <c r="BX203" s="4" t="str">
        <f t="shared" si="102"/>
        <v>Chicago</v>
      </c>
      <c r="BY203" s="4" t="str">
        <f t="shared" si="103"/>
        <v>Il</v>
      </c>
      <c r="BZ203" s="4">
        <f t="shared" si="104"/>
        <v>60654</v>
      </c>
      <c r="CA203" s="10" t="str">
        <f t="shared" si="105"/>
        <v>US</v>
      </c>
      <c r="CB203" s="15" t="s">
        <v>131</v>
      </c>
      <c r="CC203" s="62"/>
      <c r="CD203" s="29" t="s">
        <v>194</v>
      </c>
      <c r="CE203" s="189">
        <v>50</v>
      </c>
      <c r="CF203" s="29">
        <v>0</v>
      </c>
      <c r="CG203" s="270">
        <f t="shared" si="106"/>
        <v>0</v>
      </c>
      <c r="CH203" s="4" t="s">
        <v>132</v>
      </c>
      <c r="CI203" s="5">
        <v>0</v>
      </c>
      <c r="CJ203" s="4">
        <v>0</v>
      </c>
      <c r="CK203" s="132">
        <f t="shared" si="107"/>
        <v>0</v>
      </c>
      <c r="CL203" s="4" t="s">
        <v>132</v>
      </c>
      <c r="CM203" s="5">
        <v>0</v>
      </c>
      <c r="CN203" s="4">
        <v>0</v>
      </c>
      <c r="CO203" s="132">
        <f t="shared" si="108"/>
        <v>0</v>
      </c>
      <c r="CP203" s="4" t="s">
        <v>132</v>
      </c>
      <c r="CQ203" s="5">
        <v>0</v>
      </c>
      <c r="CR203" s="4">
        <v>0</v>
      </c>
      <c r="CS203" s="132">
        <f t="shared" si="109"/>
        <v>0</v>
      </c>
      <c r="CT203" s="159">
        <f t="shared" si="110"/>
        <v>0</v>
      </c>
      <c r="CU203" s="168">
        <f t="shared" si="111"/>
        <v>600</v>
      </c>
      <c r="CV203" s="169">
        <f t="shared" si="94"/>
        <v>0</v>
      </c>
      <c r="CW203" s="82">
        <f t="shared" si="95"/>
        <v>550</v>
      </c>
      <c r="CX203" s="79">
        <f>IF(ISBLANK(E203),"AddQuickPay",IF(E203=2,CU203*0.98,IF(E203=2.4,CU203*0.976,IF(E203=3,CU203*0.97,IF(E203=5,CU203*0.95,IF(E203=1.5,CU203*0.985,IF(E203=2.5,CU203*0.975,IF(E203=1.3,CU203*0.987,IF(E203=1,CU203*0.99,IF(E203=4,CU203*0.96,CU203*1))))))))))-Table1[[#This Row],[ComCheck+QuickPayFee]]</f>
        <v>588</v>
      </c>
      <c r="CY203" s="5">
        <f t="shared" si="112"/>
        <v>50</v>
      </c>
      <c r="CZ203" s="5">
        <f t="shared" si="113"/>
        <v>12</v>
      </c>
      <c r="DA203" s="258">
        <f>Table1[[#This Row],[OriginalDispatch]]-Table1[[#This Row],[QuickPayCharge]]</f>
        <v>38</v>
      </c>
      <c r="DB203" s="5">
        <v>0</v>
      </c>
      <c r="DC203" s="5" t="s">
        <v>1287</v>
      </c>
      <c r="DD203" s="104">
        <f t="shared" si="114"/>
        <v>42349</v>
      </c>
      <c r="DE203" s="15">
        <f>MONTH(Table1[[#This Row],[Weekending]])</f>
        <v>12</v>
      </c>
      <c r="DF203" s="15">
        <f>YEAR(Table1[[#This Row],[Weekending]])</f>
        <v>2015</v>
      </c>
      <c r="DG203" s="4"/>
    </row>
    <row r="204" spans="1:111" ht="45">
      <c r="A204" s="20" t="str">
        <f t="shared" si="96"/>
        <v>87wnnk88</v>
      </c>
      <c r="B204" s="146">
        <v>42352</v>
      </c>
      <c r="C204" s="144">
        <v>188387487</v>
      </c>
      <c r="D204" s="298" t="s">
        <v>111</v>
      </c>
      <c r="E204" s="298">
        <v>2</v>
      </c>
      <c r="F204" s="142" t="str">
        <f>INDEX(BrokerTBL!$B:$B,MATCH(D204,BrokerTBL!$A:$A,0))</f>
        <v>P.O. Box 3474</v>
      </c>
      <c r="G204" s="142" t="str">
        <f>INDEX(BrokerTBL!$C:$C,MATCH(D204,BrokerTBL!$A:$A,0))</f>
        <v>Chicago</v>
      </c>
      <c r="H204" s="142" t="str">
        <f>INDEX(BrokerTBL!$D:$D,MATCH(D204,BrokerTBL!$A:$A,0))</f>
        <v>Il</v>
      </c>
      <c r="I204" s="142" t="str">
        <f>INDEX(BrokerTBL!$E:$E,MATCH(D204,BrokerTBL!$A:$A,0))</f>
        <v>US</v>
      </c>
      <c r="J204" s="142">
        <f>INDEX(BrokerTBL!$F:$F,MATCH(D204,BrokerTBL!$A:$A,0))</f>
        <v>60654</v>
      </c>
      <c r="K204" s="298" t="s">
        <v>942</v>
      </c>
      <c r="L204" s="145" t="s">
        <v>1205</v>
      </c>
      <c r="M204" s="146">
        <v>42352</v>
      </c>
      <c r="N204" s="144" t="s">
        <v>1550</v>
      </c>
      <c r="O204" s="298" t="s">
        <v>943</v>
      </c>
      <c r="P204" s="298" t="s">
        <v>366</v>
      </c>
      <c r="Q204" s="298" t="s">
        <v>139</v>
      </c>
      <c r="R204" s="298">
        <v>95776</v>
      </c>
      <c r="S204" s="298" t="s">
        <v>118</v>
      </c>
      <c r="T204" s="298" t="s">
        <v>1551</v>
      </c>
      <c r="U204" s="298" t="s">
        <v>120</v>
      </c>
      <c r="V204" s="298">
        <v>53</v>
      </c>
      <c r="W204" s="298" t="s">
        <v>944</v>
      </c>
      <c r="X204" s="185">
        <v>35000</v>
      </c>
      <c r="Y204" s="298" t="s">
        <v>1537</v>
      </c>
      <c r="Z204" s="298" t="s">
        <v>123</v>
      </c>
      <c r="AA204" s="298" t="s">
        <v>123</v>
      </c>
      <c r="AB204" s="298" t="s">
        <v>123</v>
      </c>
      <c r="AC204" s="187" t="s">
        <v>1552</v>
      </c>
      <c r="AD204" s="145" t="s">
        <v>1179</v>
      </c>
      <c r="AE204" s="190" t="s">
        <v>1553</v>
      </c>
      <c r="AF204" s="187" t="s">
        <v>1554</v>
      </c>
      <c r="AG204" s="187" t="s">
        <v>1555</v>
      </c>
      <c r="AH204" s="187" t="s">
        <v>1556</v>
      </c>
      <c r="AI204" s="298" t="s">
        <v>139</v>
      </c>
      <c r="AJ204" s="298">
        <v>94553</v>
      </c>
      <c r="AK204" s="298" t="s">
        <v>118</v>
      </c>
      <c r="AL204" s="187" t="s">
        <v>1557</v>
      </c>
      <c r="AM204" s="142" t="str">
        <f>INDEX(CarrierDriverTBL!$B:$B,MATCH(Table1[[#This Row],[DriverID]],CarrierDriverTBL!$A:$A,0))</f>
        <v>UBTrucking</v>
      </c>
      <c r="AN204" s="10" t="s">
        <v>948</v>
      </c>
      <c r="AO204" s="10" t="str">
        <f>INDEX(CarrierDriverTBL!$C:$C,MATCH(Table1[[#This Row],[DriverID]],CarrierDriverTBL!$A:$A,0))</f>
        <v>Wesley</v>
      </c>
      <c r="AP204" s="10" t="str">
        <f>INDEX(CarrierDriverTBL!$D:$D,MATCH(Table1[[#This Row],[DriverID]],CarrierDriverTBL!$A:$A,0))</f>
        <v>Cousain</v>
      </c>
      <c r="AQ204" s="10" t="str">
        <f>INDEX(CarrierDriverTBL!$X:$X,MATCH(Table1[[#This Row],[DriverID]],CarrierDriverTBL!$A:$A,0))</f>
        <v>D4903588</v>
      </c>
      <c r="AR204" s="11">
        <f>INDEX(CarrierDriverTBL!$Y:$Y,MATCH(Table1[[#This Row],[DriverID]],CarrierDriverTBL!$A:$A,0))</f>
        <v>43458</v>
      </c>
      <c r="AS204" s="142" t="str">
        <f t="shared" si="97"/>
        <v>GOOD</v>
      </c>
      <c r="AT204" s="11">
        <f>INDEX(CarrierDriverTBL!$E:$E,MATCH(Table1[[#This Row],[DriverID]],CarrierDriverTBL!$A:$A,0))</f>
        <v>31405</v>
      </c>
      <c r="AU204" s="163">
        <f ca="1">INDEX(CarrierDriverTBL!$F:$F,MATCH(Table1[[#This Row],[DriverID]],CarrierDriverTBL!$A:$A,0))</f>
        <v>30.605479452054794</v>
      </c>
      <c r="AV204" s="10" t="str">
        <f>INDEX(CarrierDriverTBL!$K:$K,MATCH(Table1[[#This Row],[DriverID]],CarrierDriverTBL!$A:$A,0))</f>
        <v>925-383-5364</v>
      </c>
      <c r="AW204" s="10" t="str">
        <f>INDEX(CarrierDriverTBL!$M:$M,MATCH(Table1[[#This Row],[DriverID]],CarrierDriverTBL!$A:$A,0))</f>
        <v>110 Cordova Ln</v>
      </c>
      <c r="AX204" s="10" t="str">
        <f>INDEX(CarrierDriverTBL!$N:$N,MATCH(Table1[[#This Row],[DriverID]],CarrierDriverTBL!$A:$A,0))</f>
        <v>Stockton</v>
      </c>
      <c r="AY204" s="10" t="str">
        <f>INDEX(CarrierDriverTBL!$O:$O,MATCH(Table1[[#This Row],[DriverID]],CarrierDriverTBL!$A:$A,0))</f>
        <v>CA</v>
      </c>
      <c r="AZ204" s="10">
        <f>INDEX(CarrierDriverTBL!$P:$P,MATCH(Table1[[#This Row],[DriverID]],CarrierDriverTBL!$A:$A,0))</f>
        <v>95207</v>
      </c>
      <c r="BA204" s="10" t="str">
        <f>INDEX(CarrierDriverTBL!$Q:$Q,MATCH(Table1[[#This Row],[DriverID]],CarrierDriverTBL!$A:$A,0))</f>
        <v>US</v>
      </c>
      <c r="BB204" s="173" t="str">
        <f>INDEX(CarrierDriverTBL!$R:$R,MATCH(Table1[[#This Row],[DriverID]],CarrierDriverTBL!$A:$A,0))</f>
        <v>wesleycousain1@gmail.com</v>
      </c>
      <c r="BC204" s="160">
        <f>INDEX(CarrierDriverTBL!$AB:$AB,MATCH(Table1[[#This Row],[DriverID]],CarrierDriverTBL!$A:$A,0))</f>
        <v>42271</v>
      </c>
      <c r="BD204" s="142" t="str">
        <f ca="1">INDEX(CarrierDriverTBL!$AD:$AD,MATCH(LoadMaster!$AN:$AN,CarrierDriverTBL!$A:$A,0))</f>
        <v>MISSING</v>
      </c>
      <c r="BE204" s="142">
        <f>INDEX(CarrierDriverTBL!$AE:$AE,MATCH(Table1[DriverID],CarrierDriverTBL!$A:$A,0))</f>
        <v>913971</v>
      </c>
      <c r="BF204" s="142">
        <f>INDEX(CarrierDriverTBL!$AF:$AF,MATCH(Table1[DriverID],CarrierDriverTBL!$A:$A,0))</f>
        <v>2627544</v>
      </c>
      <c r="BG204" s="142">
        <f>INDEX(CarrierDriverTBL!$AG:$AG,MATCH(Table1[DriverID],CarrierDriverTBL!$A:$A,0))</f>
        <v>466133</v>
      </c>
      <c r="BH204" s="142" t="str">
        <f>INDEX(CarrierDriverTBL!$AH:$AH,MATCH(Table1[DriverID],CarrierDriverTBL!$A:$A,0))</f>
        <v>GM Lawrence Ins</v>
      </c>
      <c r="BI204" s="142" t="str">
        <f>INDEX(CarrierDriverTBL!$AI:$AI,MATCH(Table1[DriverID],CarrierDriverTBL!$A:$A,0))</f>
        <v>DSK2842P160210</v>
      </c>
      <c r="BJ204" s="160">
        <f>INDEX(CarrierDriverTBL!$AJ:$AJ,MATCH(Table1[[#This Row],[DriverID]],CarrierDriverTBL!$A:$A,0))</f>
        <v>42778</v>
      </c>
      <c r="BK204" s="10">
        <f t="shared" si="98"/>
        <v>426</v>
      </c>
      <c r="BL204" s="174">
        <v>550</v>
      </c>
      <c r="BM204" s="144">
        <v>150</v>
      </c>
      <c r="BN204" s="159">
        <f t="shared" si="115"/>
        <v>3.6666666666666665</v>
      </c>
      <c r="BO204" s="167">
        <f>0.93*BL204</f>
        <v>511.5</v>
      </c>
      <c r="BP204" s="159">
        <f t="shared" si="116"/>
        <v>3.41</v>
      </c>
      <c r="BQ204" s="133">
        <v>2.7989999999999999</v>
      </c>
      <c r="BR204" s="166">
        <f t="shared" si="117"/>
        <v>0.14983333333333335</v>
      </c>
      <c r="BS204" s="167">
        <f t="shared" si="99"/>
        <v>3.2601666666666667</v>
      </c>
      <c r="BT204" s="159">
        <f t="shared" si="100"/>
        <v>22.475000000000001</v>
      </c>
      <c r="BU204" s="10" t="str">
        <f t="shared" si="101"/>
        <v>Ch Robinson</v>
      </c>
      <c r="BV204" s="4"/>
      <c r="BW204" s="4" t="str">
        <f>Table1[[#This Row],[BrokerAddress]]</f>
        <v>P.O. Box 3474</v>
      </c>
      <c r="BX204" s="4" t="str">
        <f t="shared" si="102"/>
        <v>Chicago</v>
      </c>
      <c r="BY204" s="4" t="str">
        <f t="shared" si="103"/>
        <v>Il</v>
      </c>
      <c r="BZ204" s="4">
        <f t="shared" si="104"/>
        <v>60654</v>
      </c>
      <c r="CA204" s="10" t="str">
        <f t="shared" si="105"/>
        <v>US</v>
      </c>
      <c r="CB204" s="15" t="s">
        <v>131</v>
      </c>
      <c r="CC204" s="62"/>
      <c r="CD204" s="15" t="s">
        <v>132</v>
      </c>
      <c r="CE204" s="64">
        <v>0</v>
      </c>
      <c r="CF204" s="4">
        <v>0</v>
      </c>
      <c r="CG204" s="132">
        <f t="shared" si="106"/>
        <v>0</v>
      </c>
      <c r="CH204" s="4" t="s">
        <v>132</v>
      </c>
      <c r="CI204" s="5">
        <v>0</v>
      </c>
      <c r="CJ204" s="4">
        <v>0</v>
      </c>
      <c r="CK204" s="132">
        <f t="shared" si="107"/>
        <v>0</v>
      </c>
      <c r="CL204" s="4" t="s">
        <v>132</v>
      </c>
      <c r="CM204" s="5">
        <v>0</v>
      </c>
      <c r="CN204" s="4">
        <v>0</v>
      </c>
      <c r="CO204" s="132">
        <f t="shared" si="108"/>
        <v>0</v>
      </c>
      <c r="CP204" s="4" t="s">
        <v>132</v>
      </c>
      <c r="CQ204" s="5">
        <v>0</v>
      </c>
      <c r="CR204" s="4">
        <v>0</v>
      </c>
      <c r="CS204" s="132">
        <f t="shared" si="109"/>
        <v>0</v>
      </c>
      <c r="CT204" s="159">
        <f t="shared" si="110"/>
        <v>0</v>
      </c>
      <c r="CU204" s="168">
        <f t="shared" si="111"/>
        <v>550</v>
      </c>
      <c r="CV204" s="169">
        <f t="shared" si="94"/>
        <v>0</v>
      </c>
      <c r="CW204" s="82">
        <f t="shared" si="95"/>
        <v>511.5</v>
      </c>
      <c r="CX204" s="79">
        <f>IF(ISBLANK(E204),"AddQuickPay",IF(E204=2,CU204*0.98,IF(E204=2.4,CU204*0.976,IF(E204=3,CU204*0.97,IF(E204=5,CU204*0.95,IF(E204=1.5,CU204*0.985,IF(E204=2.5,CU204*0.975,IF(E204=1.3,CU204*0.987,IF(E204=1,CU204*0.99,IF(E204=4,CU204*0.96,CU204*1))))))))))-Table1[[#This Row],[ComCheck+QuickPayFee]]</f>
        <v>539</v>
      </c>
      <c r="CY204" s="5">
        <f t="shared" si="112"/>
        <v>38.5</v>
      </c>
      <c r="CZ204" s="5">
        <f t="shared" si="113"/>
        <v>11</v>
      </c>
      <c r="DA204" s="258">
        <f>Table1[[#This Row],[OriginalDispatch]]-Table1[[#This Row],[QuickPayCharge]]</f>
        <v>27.5</v>
      </c>
      <c r="DB204" s="5">
        <v>0</v>
      </c>
      <c r="DC204" s="5" t="s">
        <v>1287</v>
      </c>
      <c r="DD204" s="104">
        <f t="shared" si="114"/>
        <v>42356</v>
      </c>
      <c r="DE204" s="15">
        <f>MONTH(Table1[[#This Row],[Weekending]])</f>
        <v>12</v>
      </c>
      <c r="DF204" s="15">
        <f>YEAR(Table1[[#This Row],[Weekending]])</f>
        <v>2015</v>
      </c>
      <c r="DG204" s="4"/>
    </row>
    <row r="205" spans="1:111">
      <c r="A205" s="20" t="str">
        <f t="shared" si="96"/>
        <v>522319</v>
      </c>
      <c r="B205" s="146">
        <v>42352</v>
      </c>
      <c r="C205" s="144">
        <v>188356852</v>
      </c>
      <c r="D205" s="298" t="s">
        <v>111</v>
      </c>
      <c r="E205" s="298">
        <v>2</v>
      </c>
      <c r="F205" s="142" t="str">
        <f>INDEX(BrokerTBL!$B:$B,MATCH(D205,BrokerTBL!$A:$A,0))</f>
        <v>P.O. Box 3474</v>
      </c>
      <c r="G205" s="142" t="str">
        <f>INDEX(BrokerTBL!$C:$C,MATCH(D205,BrokerTBL!$A:$A,0))</f>
        <v>Chicago</v>
      </c>
      <c r="H205" s="142" t="str">
        <f>INDEX(BrokerTBL!$D:$D,MATCH(D205,BrokerTBL!$A:$A,0))</f>
        <v>Il</v>
      </c>
      <c r="I205" s="142" t="str">
        <f>INDEX(BrokerTBL!$E:$E,MATCH(D205,BrokerTBL!$A:$A,0))</f>
        <v>US</v>
      </c>
      <c r="J205" s="142">
        <f>INDEX(BrokerTBL!$F:$F,MATCH(D205,BrokerTBL!$A:$A,0))</f>
        <v>60654</v>
      </c>
      <c r="K205" s="298" t="s">
        <v>1497</v>
      </c>
      <c r="L205" s="145">
        <v>21014223</v>
      </c>
      <c r="M205" s="146">
        <v>42352</v>
      </c>
      <c r="N205" s="144" t="s">
        <v>1359</v>
      </c>
      <c r="O205" s="298" t="s">
        <v>482</v>
      </c>
      <c r="P205" s="298" t="s">
        <v>160</v>
      </c>
      <c r="Q205" s="298" t="s">
        <v>139</v>
      </c>
      <c r="R205" s="298">
        <v>94533</v>
      </c>
      <c r="S205" s="298" t="s">
        <v>118</v>
      </c>
      <c r="T205" s="298" t="s">
        <v>136</v>
      </c>
      <c r="U205" s="298" t="s">
        <v>120</v>
      </c>
      <c r="V205" s="298">
        <v>53</v>
      </c>
      <c r="W205" s="298" t="s">
        <v>483</v>
      </c>
      <c r="X205" s="185">
        <v>45200</v>
      </c>
      <c r="Y205" s="298" t="s">
        <v>26</v>
      </c>
      <c r="Z205" s="298" t="s">
        <v>123</v>
      </c>
      <c r="AA205" s="298" t="s">
        <v>123</v>
      </c>
      <c r="AB205" s="298" t="s">
        <v>123</v>
      </c>
      <c r="AC205" s="298" t="s">
        <v>1558</v>
      </c>
      <c r="AD205" s="145"/>
      <c r="AE205" s="146">
        <v>42353</v>
      </c>
      <c r="AF205" s="298" t="s">
        <v>1559</v>
      </c>
      <c r="AG205" s="298" t="s">
        <v>1560</v>
      </c>
      <c r="AH205" s="298" t="s">
        <v>1561</v>
      </c>
      <c r="AI205" s="298" t="s">
        <v>139</v>
      </c>
      <c r="AJ205" s="298">
        <v>89103</v>
      </c>
      <c r="AK205" s="298" t="s">
        <v>118</v>
      </c>
      <c r="AL205" s="298" t="s">
        <v>123</v>
      </c>
      <c r="AM205" s="142" t="str">
        <f>INDEX(CarrierDriverTBL!$B:$B,MATCH(Table1[[#This Row],[DriverID]],CarrierDriverTBL!$A:$A,0))</f>
        <v>UBTrucking</v>
      </c>
      <c r="AN205" s="10" t="s">
        <v>1409</v>
      </c>
      <c r="AO205" s="298" t="str">
        <f>INDEX(CarrierDriverTBL!$C:$C,MATCH(Table1[[#This Row],[DriverID]],CarrierDriverTBL!$A:$A,0))</f>
        <v>Miguel Jaime</v>
      </c>
      <c r="AP205" s="298" t="str">
        <f>INDEX(CarrierDriverTBL!$D:$D,MATCH(Table1[[#This Row],[DriverID]],CarrierDriverTBL!$A:$A,0))</f>
        <v>Martin Del Campo Velarca</v>
      </c>
      <c r="AQ205" s="142" t="str">
        <f>INDEX(CarrierDriverTBL!$X:$X,MATCH(Table1[[#This Row],[DriverID]],CarrierDriverTBL!$A:$A,0))</f>
        <v>D5179619</v>
      </c>
      <c r="AR205" s="160">
        <f>INDEX(CarrierDriverTBL!$Y:$Y,MATCH(Table1[[#This Row],[DriverID]],CarrierDriverTBL!$A:$A,0))</f>
        <v>43843</v>
      </c>
      <c r="AS205" s="142" t="str">
        <f t="shared" si="97"/>
        <v>GOOD</v>
      </c>
      <c r="AT205" s="146">
        <f>INDEX(CarrierDriverTBL!$E:$E,MATCH(Table1[[#This Row],[DriverID]],CarrierDriverTBL!$A:$A,0))</f>
        <v>21198</v>
      </c>
      <c r="AU205" s="163">
        <f ca="1">INDEX(CarrierDriverTBL!$F:$F,MATCH(Table1[[#This Row],[DriverID]],CarrierDriverTBL!$A:$A,0))</f>
        <v>58.56986301369863</v>
      </c>
      <c r="AV205" s="298" t="str">
        <f>INDEX(CarrierDriverTBL!$K:$K,MATCH(Table1[[#This Row],[DriverID]],CarrierDriverTBL!$A:$A,0))</f>
        <v>209-322-5231</v>
      </c>
      <c r="AW205" s="298" t="str">
        <f>INDEX(CarrierDriverTBL!$M:$M,MATCH(Table1[[#This Row],[DriverID]],CarrierDriverTBL!$A:$A,0))</f>
        <v>572 Predersen RD</v>
      </c>
      <c r="AX205" s="298" t="str">
        <f>INDEX(CarrierDriverTBL!$N:$N,MATCH(Table1[[#This Row],[DriverID]],CarrierDriverTBL!$A:$A,0))</f>
        <v>Oakdale</v>
      </c>
      <c r="AY205" s="142" t="str">
        <f>INDEX(CarrierDriverTBL!$O:$O,MATCH(Table1[[#This Row],[DriverID]],CarrierDriverTBL!$A:$A,0))</f>
        <v>CA</v>
      </c>
      <c r="AZ205" s="298">
        <f>INDEX(CarrierDriverTBL!$P:$P,MATCH(Table1[[#This Row],[DriverID]],CarrierDriverTBL!$A:$A,0))</f>
        <v>95361</v>
      </c>
      <c r="BA205" s="298" t="str">
        <f>INDEX(CarrierDriverTBL!$Q:$Q,MATCH(Table1[[#This Row],[DriverID]],CarrierDriverTBL!$A:$A,0))</f>
        <v>US</v>
      </c>
      <c r="BB205" s="176" t="str">
        <f>INDEX(CarrierDriverTBL!$R:$R,MATCH(Table1[[#This Row],[DriverID]],CarrierDriverTBL!$A:$A,0))</f>
        <v>Miguelmartin52@yahoo.com</v>
      </c>
      <c r="BC205" s="160">
        <f>INDEX(CarrierDriverTBL!$AB:$AB,MATCH(Table1[[#This Row],[DriverID]],CarrierDriverTBL!$A:$A,0))</f>
        <v>42334</v>
      </c>
      <c r="BD205" s="142" t="str">
        <f ca="1">INDEX(CarrierDriverTBL!$AD:$AD,MATCH(LoadMaster!$AN:$AN,CarrierDriverTBL!$A:$A,0))</f>
        <v>MISSING</v>
      </c>
      <c r="BE205" s="142">
        <f>INDEX(CarrierDriverTBL!$AE:$AE,MATCH(Table1[DriverID],CarrierDriverTBL!$A:$A,0))</f>
        <v>913971</v>
      </c>
      <c r="BF205" s="142">
        <f>INDEX(CarrierDriverTBL!$AF:$AF,MATCH(Table1[DriverID],CarrierDriverTBL!$A:$A,0))</f>
        <v>2627544</v>
      </c>
      <c r="BG205" s="142">
        <f>INDEX(CarrierDriverTBL!$AG:$AG,MATCH(Table1[DriverID],CarrierDriverTBL!$A:$A,0))</f>
        <v>466133</v>
      </c>
      <c r="BH205" s="142" t="str">
        <f>INDEX(CarrierDriverTBL!$AH:$AH,MATCH(Table1[DriverID],CarrierDriverTBL!$A:$A,0))</f>
        <v>GM Lawrence Ins</v>
      </c>
      <c r="BI205" s="142" t="str">
        <f>INDEX(CarrierDriverTBL!$AI:$AI,MATCH(Table1[DriverID],CarrierDriverTBL!$A:$A,0))</f>
        <v>DSK2842P160210</v>
      </c>
      <c r="BJ205" s="160">
        <f>INDEX(CarrierDriverTBL!$AJ:$AJ,MATCH(Table1[[#This Row],[DriverID]],CarrierDriverTBL!$A:$A,0))</f>
        <v>42778</v>
      </c>
      <c r="BK205" s="10">
        <f t="shared" si="98"/>
        <v>426</v>
      </c>
      <c r="BL205" s="174">
        <v>1100</v>
      </c>
      <c r="BM205" s="144">
        <v>581</v>
      </c>
      <c r="BN205" s="159">
        <f t="shared" si="115"/>
        <v>1.8932874354561102</v>
      </c>
      <c r="BO205" s="167">
        <f>0.93*BL205</f>
        <v>1023</v>
      </c>
      <c r="BP205" s="159">
        <f t="shared" si="116"/>
        <v>1.7607573149741824</v>
      </c>
      <c r="BQ205" s="133">
        <v>2.7989999999999999</v>
      </c>
      <c r="BR205" s="166">
        <f t="shared" si="117"/>
        <v>0.14983333333333335</v>
      </c>
      <c r="BS205" s="167">
        <f t="shared" si="99"/>
        <v>1.6109239816408492</v>
      </c>
      <c r="BT205" s="159">
        <f t="shared" si="100"/>
        <v>87.053166666666669</v>
      </c>
      <c r="BU205" s="10" t="str">
        <f t="shared" si="101"/>
        <v>Ch Robinson</v>
      </c>
      <c r="BV205" s="4"/>
      <c r="BW205" s="4" t="str">
        <f>Table1[[#This Row],[BrokerAddress]]</f>
        <v>P.O. Box 3474</v>
      </c>
      <c r="BX205" s="4" t="str">
        <f t="shared" si="102"/>
        <v>Chicago</v>
      </c>
      <c r="BY205" s="4" t="str">
        <f t="shared" si="103"/>
        <v>Il</v>
      </c>
      <c r="BZ205" s="4">
        <f t="shared" si="104"/>
        <v>60654</v>
      </c>
      <c r="CA205" s="10" t="str">
        <f t="shared" si="105"/>
        <v>US</v>
      </c>
      <c r="CB205" s="15" t="s">
        <v>131</v>
      </c>
      <c r="CC205" s="62"/>
      <c r="CD205" s="15" t="s">
        <v>132</v>
      </c>
      <c r="CE205" s="64">
        <v>0</v>
      </c>
      <c r="CF205" s="4">
        <v>0</v>
      </c>
      <c r="CG205" s="132">
        <f t="shared" si="106"/>
        <v>0</v>
      </c>
      <c r="CH205" s="4" t="s">
        <v>132</v>
      </c>
      <c r="CI205" s="5">
        <v>0</v>
      </c>
      <c r="CJ205" s="4">
        <v>0</v>
      </c>
      <c r="CK205" s="132">
        <f t="shared" si="107"/>
        <v>0</v>
      </c>
      <c r="CL205" s="4" t="s">
        <v>132</v>
      </c>
      <c r="CM205" s="5">
        <v>0</v>
      </c>
      <c r="CN205" s="4">
        <v>0</v>
      </c>
      <c r="CO205" s="132">
        <f t="shared" si="108"/>
        <v>0</v>
      </c>
      <c r="CP205" s="4" t="s">
        <v>132</v>
      </c>
      <c r="CQ205" s="5">
        <v>0</v>
      </c>
      <c r="CR205" s="4">
        <v>0</v>
      </c>
      <c r="CS205" s="132">
        <f t="shared" si="109"/>
        <v>0</v>
      </c>
      <c r="CT205" s="159">
        <f t="shared" si="110"/>
        <v>0</v>
      </c>
      <c r="CU205" s="168">
        <f t="shared" si="111"/>
        <v>1100</v>
      </c>
      <c r="CV205" s="169">
        <f t="shared" si="94"/>
        <v>0</v>
      </c>
      <c r="CW205" s="82">
        <f t="shared" si="95"/>
        <v>1023</v>
      </c>
      <c r="CX205" s="79">
        <f>IF(ISBLANK(E205),"AddQuickPay",IF(E205=2,CU205*0.98,IF(E205=2.4,CU205*0.976,IF(E205=3,CU205*0.97,IF(E205=5,CU205*0.95,IF(E205=1.5,CU205*0.985,IF(E205=2.5,CU205*0.975,IF(E205=1.3,CU205*0.987,IF(E205=1,CU205*0.99,IF(E205=4,CU205*0.96,CU205*1))))))))))-Table1[[#This Row],[ComCheck+QuickPayFee]]</f>
        <v>1078</v>
      </c>
      <c r="CY205" s="5">
        <f t="shared" si="112"/>
        <v>77</v>
      </c>
      <c r="CZ205" s="5">
        <f t="shared" si="113"/>
        <v>22</v>
      </c>
      <c r="DA205" s="258">
        <f>Table1[[#This Row],[OriginalDispatch]]-Table1[[#This Row],[QuickPayCharge]]</f>
        <v>55</v>
      </c>
      <c r="DB205" s="5">
        <v>0</v>
      </c>
      <c r="DC205" s="5" t="s">
        <v>1287</v>
      </c>
      <c r="DD205" s="104">
        <f t="shared" si="114"/>
        <v>42356</v>
      </c>
      <c r="DE205" s="15">
        <f>MONTH(Table1[[#This Row],[Weekending]])</f>
        <v>12</v>
      </c>
      <c r="DF205" s="15">
        <f>YEAR(Table1[[#This Row],[Weekending]])</f>
        <v>2015</v>
      </c>
      <c r="DG205" s="4"/>
    </row>
    <row r="206" spans="1:111">
      <c r="A206" s="20" t="str">
        <f t="shared" si="96"/>
        <v>44493849</v>
      </c>
      <c r="B206" s="146">
        <v>42352</v>
      </c>
      <c r="C206" s="144">
        <v>187860544</v>
      </c>
      <c r="D206" s="298" t="s">
        <v>111</v>
      </c>
      <c r="E206" s="298">
        <v>2</v>
      </c>
      <c r="F206" s="142" t="str">
        <f>INDEX(BrokerTBL!$B:$B,MATCH(D206,BrokerTBL!$A:$A,0))</f>
        <v>P.O. Box 3474</v>
      </c>
      <c r="G206" s="142" t="str">
        <f>INDEX(BrokerTBL!$C:$C,MATCH(D206,BrokerTBL!$A:$A,0))</f>
        <v>Chicago</v>
      </c>
      <c r="H206" s="142" t="str">
        <f>INDEX(BrokerTBL!$D:$D,MATCH(D206,BrokerTBL!$A:$A,0))</f>
        <v>Il</v>
      </c>
      <c r="I206" s="142" t="str">
        <f>INDEX(BrokerTBL!$E:$E,MATCH(D206,BrokerTBL!$A:$A,0))</f>
        <v>US</v>
      </c>
      <c r="J206" s="142">
        <f>INDEX(BrokerTBL!$F:$F,MATCH(D206,BrokerTBL!$A:$A,0))</f>
        <v>60654</v>
      </c>
      <c r="K206" s="298" t="s">
        <v>1562</v>
      </c>
      <c r="L206" s="145">
        <v>305521349</v>
      </c>
      <c r="M206" s="146">
        <v>42352</v>
      </c>
      <c r="N206" s="144" t="s">
        <v>1194</v>
      </c>
      <c r="O206" s="298" t="s">
        <v>1563</v>
      </c>
      <c r="P206" s="298" t="s">
        <v>703</v>
      </c>
      <c r="Q206" s="298" t="s">
        <v>139</v>
      </c>
      <c r="R206" s="298">
        <v>93030</v>
      </c>
      <c r="S206" s="298" t="s">
        <v>118</v>
      </c>
      <c r="T206" s="298" t="s">
        <v>1564</v>
      </c>
      <c r="U206" s="298" t="s">
        <v>120</v>
      </c>
      <c r="V206" s="298">
        <v>53</v>
      </c>
      <c r="W206" s="298" t="s">
        <v>1565</v>
      </c>
      <c r="X206" s="185">
        <v>13012</v>
      </c>
      <c r="Y206" s="298" t="s">
        <v>1566</v>
      </c>
      <c r="Z206" s="185">
        <v>4584</v>
      </c>
      <c r="AA206" s="298" t="s">
        <v>123</v>
      </c>
      <c r="AB206" s="298" t="s">
        <v>123</v>
      </c>
      <c r="AC206" s="298" t="s">
        <v>1567</v>
      </c>
      <c r="AD206" s="145">
        <v>87238</v>
      </c>
      <c r="AE206" s="146">
        <v>42353</v>
      </c>
      <c r="AF206" s="298" t="s">
        <v>1121</v>
      </c>
      <c r="AG206" s="298" t="s">
        <v>1568</v>
      </c>
      <c r="AH206" s="298" t="s">
        <v>1569</v>
      </c>
      <c r="AI206" s="298" t="s">
        <v>139</v>
      </c>
      <c r="AJ206" s="298">
        <v>95231</v>
      </c>
      <c r="AK206" s="298" t="s">
        <v>118</v>
      </c>
      <c r="AL206" s="298" t="s">
        <v>1570</v>
      </c>
      <c r="AM206" s="142" t="str">
        <f>INDEX(CarrierDriverTBL!$B:$B,MATCH(Table1[[#This Row],[DriverID]],CarrierDriverTBL!$A:$A,0))</f>
        <v>UBTrucking</v>
      </c>
      <c r="AN206" s="10" t="s">
        <v>192</v>
      </c>
      <c r="AO206" s="10" t="str">
        <f>INDEX(CarrierDriverTBL!$C:$C,MATCH(Table1[[#This Row],[DriverID]],CarrierDriverTBL!$A:$A,0))</f>
        <v>Albel</v>
      </c>
      <c r="AP206" s="142" t="str">
        <f>INDEX(CarrierDriverTBL!$D:$D,MATCH(Table1[[#This Row],[DriverID]],CarrierDriverTBL!$A:$A,0))</f>
        <v>Chahil</v>
      </c>
      <c r="AQ206" s="142" t="str">
        <f>INDEX(CarrierDriverTBL!$X:$X,MATCH(Table1[[#This Row],[DriverID]],CarrierDriverTBL!$A:$A,0))</f>
        <v>A8390649</v>
      </c>
      <c r="AR206" s="160">
        <f>INDEX(CarrierDriverTBL!$Y:$Y,MATCH(Table1[[#This Row],[DriverID]],CarrierDriverTBL!$A:$A,0))</f>
        <v>42402</v>
      </c>
      <c r="AS206" s="142" t="str">
        <f t="shared" si="97"/>
        <v>GOOD</v>
      </c>
      <c r="AT206" s="160">
        <f>INDEX(CarrierDriverTBL!$E:$E,MATCH(Table1[[#This Row],[DriverID]],CarrierDriverTBL!$A:$A,0))</f>
        <v>22314</v>
      </c>
      <c r="AU206" s="163">
        <f ca="1">INDEX(CarrierDriverTBL!$F:$F,MATCH(Table1[[#This Row],[DriverID]],CarrierDriverTBL!$A:$A,0))</f>
        <v>55.512328767123286</v>
      </c>
      <c r="AV206" s="142" t="str">
        <f>INDEX(CarrierDriverTBL!$K:$K,MATCH(Table1[[#This Row],[DriverID]],CarrierDriverTBL!$A:$A,0))</f>
        <v>510-773-9450</v>
      </c>
      <c r="AW206" s="142" t="str">
        <f>INDEX(CarrierDriverTBL!$M:$M,MATCH(Table1[[#This Row],[DriverID]],CarrierDriverTBL!$A:$A,0))</f>
        <v>3124 Cynthia CT</v>
      </c>
      <c r="AX206" s="142" t="str">
        <f>INDEX(CarrierDriverTBL!$N:$N,MATCH(Table1[[#This Row],[DriverID]],CarrierDriverTBL!$A:$A,0))</f>
        <v>Tracy</v>
      </c>
      <c r="AY206" s="142" t="str">
        <f>INDEX(CarrierDriverTBL!$O:$O,MATCH(Table1[[#This Row],[DriverID]],CarrierDriverTBL!$A:$A,0))</f>
        <v>CA</v>
      </c>
      <c r="AZ206" s="142">
        <f>INDEX(CarrierDriverTBL!$P:$P,MATCH(Table1[[#This Row],[DriverID]],CarrierDriverTBL!$A:$A,0))</f>
        <v>95377</v>
      </c>
      <c r="BA206" s="142" t="str">
        <f>INDEX(CarrierDriverTBL!$Q:$Q,MATCH(Table1[[#This Row],[DriverID]],CarrierDriverTBL!$A:$A,0))</f>
        <v>US</v>
      </c>
      <c r="BB206" s="176" t="str">
        <f>INDEX(CarrierDriverTBL!$R:$R,MATCH(Table1[[#This Row],[DriverID]],CarrierDriverTBL!$A:$A,0))</f>
        <v>ubgollc@gmail.com</v>
      </c>
      <c r="BC206" s="160">
        <f>INDEX(CarrierDriverTBL!$AB:$AB,MATCH(Table1[[#This Row],[DriverID]],CarrierDriverTBL!$A:$A,0))</f>
        <v>42167</v>
      </c>
      <c r="BD206" s="142" t="str">
        <f ca="1">INDEX(CarrierDriverTBL!$AD:$AD,MATCH(LoadMaster!$AN:$AN,CarrierDriverTBL!$A:$A,0))</f>
        <v>MISSING</v>
      </c>
      <c r="BE206" s="142">
        <f>INDEX(CarrierDriverTBL!$AE:$AE,MATCH(Table1[DriverID],CarrierDriverTBL!$A:$A,0))</f>
        <v>913971</v>
      </c>
      <c r="BF206" s="142">
        <f>INDEX(CarrierDriverTBL!$AF:$AF,MATCH(Table1[DriverID],CarrierDriverTBL!$A:$A,0))</f>
        <v>2627544</v>
      </c>
      <c r="BG206" s="142">
        <f>INDEX(CarrierDriverTBL!$AG:$AG,MATCH(Table1[DriverID],CarrierDriverTBL!$A:$A,0))</f>
        <v>466133</v>
      </c>
      <c r="BH206" s="142" t="str">
        <f>INDEX(CarrierDriverTBL!$AH:$AH,MATCH(Table1[DriverID],CarrierDriverTBL!$A:$A,0))</f>
        <v>GM Lawrence Ins</v>
      </c>
      <c r="BI206" s="142" t="str">
        <f>INDEX(CarrierDriverTBL!$AI:$AI,MATCH(Table1[DriverID],CarrierDriverTBL!$A:$A,0))</f>
        <v>DSK2842P160210</v>
      </c>
      <c r="BJ206" s="160">
        <f>INDEX(CarrierDriverTBL!$AJ:$AJ,MATCH(Table1[[#This Row],[DriverID]],CarrierDriverTBL!$A:$A,0))</f>
        <v>42778</v>
      </c>
      <c r="BK206" s="10">
        <f t="shared" si="98"/>
        <v>426</v>
      </c>
      <c r="BL206" s="174">
        <v>700</v>
      </c>
      <c r="BM206" s="144">
        <v>343</v>
      </c>
      <c r="BN206" s="159">
        <f t="shared" si="115"/>
        <v>2.0408163265306123</v>
      </c>
      <c r="BO206" s="167">
        <v>650</v>
      </c>
      <c r="BP206" s="159">
        <f t="shared" si="116"/>
        <v>1.8950437317784257</v>
      </c>
      <c r="BQ206" s="133">
        <v>2.7989999999999999</v>
      </c>
      <c r="BR206" s="166">
        <f t="shared" si="117"/>
        <v>0.14983333333333335</v>
      </c>
      <c r="BS206" s="167">
        <f t="shared" si="99"/>
        <v>1.7452103984450924</v>
      </c>
      <c r="BT206" s="159">
        <f t="shared" si="100"/>
        <v>51.392833333333336</v>
      </c>
      <c r="BU206" s="10" t="str">
        <f t="shared" si="101"/>
        <v>Ch Robinson</v>
      </c>
      <c r="BV206" s="4"/>
      <c r="BW206" s="4" t="str">
        <f>Table1[[#This Row],[BrokerAddress]]</f>
        <v>P.O. Box 3474</v>
      </c>
      <c r="BX206" s="4" t="str">
        <f t="shared" si="102"/>
        <v>Chicago</v>
      </c>
      <c r="BY206" s="4" t="str">
        <f t="shared" si="103"/>
        <v>Il</v>
      </c>
      <c r="BZ206" s="4">
        <f t="shared" si="104"/>
        <v>60654</v>
      </c>
      <c r="CA206" s="10" t="str">
        <f t="shared" si="105"/>
        <v>US</v>
      </c>
      <c r="CB206" s="15" t="s">
        <v>131</v>
      </c>
      <c r="CC206" s="62"/>
      <c r="CD206" s="15" t="s">
        <v>132</v>
      </c>
      <c r="CE206" s="64">
        <v>0</v>
      </c>
      <c r="CF206" s="4">
        <v>0</v>
      </c>
      <c r="CG206" s="132">
        <f t="shared" si="106"/>
        <v>0</v>
      </c>
      <c r="CH206" s="4" t="s">
        <v>132</v>
      </c>
      <c r="CI206" s="5">
        <v>0</v>
      </c>
      <c r="CJ206" s="4">
        <v>0</v>
      </c>
      <c r="CK206" s="132">
        <f t="shared" si="107"/>
        <v>0</v>
      </c>
      <c r="CL206" s="4" t="s">
        <v>132</v>
      </c>
      <c r="CM206" s="5">
        <v>0</v>
      </c>
      <c r="CN206" s="4">
        <v>0</v>
      </c>
      <c r="CO206" s="132">
        <f t="shared" si="108"/>
        <v>0</v>
      </c>
      <c r="CP206" s="4" t="s">
        <v>132</v>
      </c>
      <c r="CQ206" s="5">
        <v>0</v>
      </c>
      <c r="CR206" s="4">
        <v>0</v>
      </c>
      <c r="CS206" s="132">
        <f t="shared" si="109"/>
        <v>0</v>
      </c>
      <c r="CT206" s="159">
        <f t="shared" si="110"/>
        <v>0</v>
      </c>
      <c r="CU206" s="168">
        <f t="shared" si="111"/>
        <v>700</v>
      </c>
      <c r="CV206" s="169">
        <f t="shared" si="94"/>
        <v>0</v>
      </c>
      <c r="CW206" s="82">
        <f t="shared" si="95"/>
        <v>650</v>
      </c>
      <c r="CX206" s="79">
        <f>IF(ISBLANK(E206),"AddQuickPay",IF(E206=2,CU206*0.98,IF(E206=2.4,CU206*0.976,IF(E206=3,CU206*0.97,IF(E206=5,CU206*0.95,IF(E206=1.5,CU206*0.985,IF(E206=2.5,CU206*0.975,IF(E206=1.3,CU206*0.987,IF(E206=1,CU206*0.99,IF(E206=4,CU206*0.96,CU206*1))))))))))-Table1[[#This Row],[ComCheck+QuickPayFee]]</f>
        <v>686</v>
      </c>
      <c r="CY206" s="5">
        <f t="shared" si="112"/>
        <v>50</v>
      </c>
      <c r="CZ206" s="5">
        <f t="shared" si="113"/>
        <v>14</v>
      </c>
      <c r="DA206" s="258">
        <f>Table1[[#This Row],[OriginalDispatch]]-Table1[[#This Row],[QuickPayCharge]]</f>
        <v>36</v>
      </c>
      <c r="DB206" s="5">
        <v>0</v>
      </c>
      <c r="DC206" s="5" t="s">
        <v>1287</v>
      </c>
      <c r="DD206" s="104">
        <f t="shared" si="114"/>
        <v>42356</v>
      </c>
      <c r="DE206" s="15">
        <f>MONTH(Table1[[#This Row],[Weekending]])</f>
        <v>12</v>
      </c>
      <c r="DF206" s="15">
        <f>YEAR(Table1[[#This Row],[Weekending]])</f>
        <v>2015</v>
      </c>
      <c r="DG206" s="4"/>
    </row>
    <row r="207" spans="1:111">
      <c r="A207" s="20" t="str">
        <f t="shared" si="96"/>
        <v>38nkne49</v>
      </c>
      <c r="B207" s="146">
        <v>42353</v>
      </c>
      <c r="C207" s="144">
        <v>188512438</v>
      </c>
      <c r="D207" s="298" t="s">
        <v>111</v>
      </c>
      <c r="E207" s="298">
        <v>2</v>
      </c>
      <c r="F207" s="142" t="str">
        <f>INDEX(BrokerTBL!$B:$B,MATCH(D207,BrokerTBL!$A:$A,0))</f>
        <v>P.O. Box 3474</v>
      </c>
      <c r="G207" s="142" t="str">
        <f>INDEX(BrokerTBL!$C:$C,MATCH(D207,BrokerTBL!$A:$A,0))</f>
        <v>Chicago</v>
      </c>
      <c r="H207" s="142" t="str">
        <f>INDEX(BrokerTBL!$D:$D,MATCH(D207,BrokerTBL!$A:$A,0))</f>
        <v>Il</v>
      </c>
      <c r="I207" s="142" t="str">
        <f>INDEX(BrokerTBL!$E:$E,MATCH(D207,BrokerTBL!$A:$A,0))</f>
        <v>US</v>
      </c>
      <c r="J207" s="142">
        <f>INDEX(BrokerTBL!$F:$F,MATCH(D207,BrokerTBL!$A:$A,0))</f>
        <v>60654</v>
      </c>
      <c r="K207" s="298" t="s">
        <v>942</v>
      </c>
      <c r="L207" s="145" t="s">
        <v>1179</v>
      </c>
      <c r="M207" s="146">
        <v>42354</v>
      </c>
      <c r="N207" s="182" t="s">
        <v>1571</v>
      </c>
      <c r="O207" s="298" t="s">
        <v>943</v>
      </c>
      <c r="P207" s="298" t="s">
        <v>366</v>
      </c>
      <c r="Q207" s="298" t="s">
        <v>139</v>
      </c>
      <c r="R207" s="298">
        <v>95776</v>
      </c>
      <c r="S207" s="298" t="s">
        <v>118</v>
      </c>
      <c r="T207" s="298" t="s">
        <v>1551</v>
      </c>
      <c r="U207" s="298" t="s">
        <v>120</v>
      </c>
      <c r="V207" s="298">
        <v>53</v>
      </c>
      <c r="W207" s="298" t="s">
        <v>944</v>
      </c>
      <c r="X207" s="144">
        <v>30000</v>
      </c>
      <c r="Y207" s="298" t="s">
        <v>1537</v>
      </c>
      <c r="Z207" s="298" t="s">
        <v>123</v>
      </c>
      <c r="AA207" s="298" t="s">
        <v>123</v>
      </c>
      <c r="AB207" s="298" t="s">
        <v>123</v>
      </c>
      <c r="AC207" s="298" t="s">
        <v>1572</v>
      </c>
      <c r="AD207" s="145" t="s">
        <v>132</v>
      </c>
      <c r="AE207" s="146">
        <v>42354</v>
      </c>
      <c r="AF207" s="298" t="s">
        <v>369</v>
      </c>
      <c r="AG207" s="298" t="s">
        <v>1573</v>
      </c>
      <c r="AH207" s="298" t="s">
        <v>595</v>
      </c>
      <c r="AI207" s="298" t="s">
        <v>139</v>
      </c>
      <c r="AJ207" s="298">
        <v>95126</v>
      </c>
      <c r="AK207" s="298" t="s">
        <v>118</v>
      </c>
      <c r="AL207" s="298" t="s">
        <v>1574</v>
      </c>
      <c r="AM207" s="142" t="str">
        <f>INDEX(CarrierDriverTBL!$B:$B,MATCH(Table1[[#This Row],[DriverID]],CarrierDriverTBL!$A:$A,0))</f>
        <v>UBTrucking</v>
      </c>
      <c r="AN207" s="10" t="s">
        <v>192</v>
      </c>
      <c r="AO207" s="10" t="str">
        <f>INDEX(CarrierDriverTBL!$C:$C,MATCH(Table1[[#This Row],[DriverID]],CarrierDriverTBL!$A:$A,0))</f>
        <v>Albel</v>
      </c>
      <c r="AP207" s="142" t="str">
        <f>INDEX(CarrierDriverTBL!$D:$D,MATCH(Table1[[#This Row],[DriverID]],CarrierDriverTBL!$A:$A,0))</f>
        <v>Chahil</v>
      </c>
      <c r="AQ207" s="142" t="str">
        <f>INDEX(CarrierDriverTBL!$X:$X,MATCH(Table1[[#This Row],[DriverID]],CarrierDriverTBL!$A:$A,0))</f>
        <v>A8390649</v>
      </c>
      <c r="AR207" s="160">
        <f>INDEX(CarrierDriverTBL!$Y:$Y,MATCH(Table1[[#This Row],[DriverID]],CarrierDriverTBL!$A:$A,0))</f>
        <v>42402</v>
      </c>
      <c r="AS207" s="142" t="str">
        <f t="shared" si="97"/>
        <v>GOOD</v>
      </c>
      <c r="AT207" s="160">
        <f>INDEX(CarrierDriverTBL!$E:$E,MATCH(Table1[[#This Row],[DriverID]],CarrierDriverTBL!$A:$A,0))</f>
        <v>22314</v>
      </c>
      <c r="AU207" s="163">
        <f ca="1">INDEX(CarrierDriverTBL!$F:$F,MATCH(Table1[[#This Row],[DriverID]],CarrierDriverTBL!$A:$A,0))</f>
        <v>55.512328767123286</v>
      </c>
      <c r="AV207" s="142" t="str">
        <f>INDEX(CarrierDriverTBL!$K:$K,MATCH(Table1[[#This Row],[DriverID]],CarrierDriverTBL!$A:$A,0))</f>
        <v>510-773-9450</v>
      </c>
      <c r="AW207" s="142" t="str">
        <f>INDEX(CarrierDriverTBL!$M:$M,MATCH(Table1[[#This Row],[DriverID]],CarrierDriverTBL!$A:$A,0))</f>
        <v>3124 Cynthia CT</v>
      </c>
      <c r="AX207" s="142" t="str">
        <f>INDEX(CarrierDriverTBL!$N:$N,MATCH(Table1[[#This Row],[DriverID]],CarrierDriverTBL!$A:$A,0))</f>
        <v>Tracy</v>
      </c>
      <c r="AY207" s="142" t="str">
        <f>INDEX(CarrierDriverTBL!$O:$O,MATCH(Table1[[#This Row],[DriverID]],CarrierDriverTBL!$A:$A,0))</f>
        <v>CA</v>
      </c>
      <c r="AZ207" s="142">
        <f>INDEX(CarrierDriverTBL!$P:$P,MATCH(Table1[[#This Row],[DriverID]],CarrierDriverTBL!$A:$A,0))</f>
        <v>95377</v>
      </c>
      <c r="BA207" s="142" t="str">
        <f>INDEX(CarrierDriverTBL!$Q:$Q,MATCH(Table1[[#This Row],[DriverID]],CarrierDriverTBL!$A:$A,0))</f>
        <v>US</v>
      </c>
      <c r="BB207" s="176" t="str">
        <f>INDEX(CarrierDriverTBL!$R:$R,MATCH(Table1[[#This Row],[DriverID]],CarrierDriverTBL!$A:$A,0))</f>
        <v>ubgollc@gmail.com</v>
      </c>
      <c r="BC207" s="160">
        <f>INDEX(CarrierDriverTBL!$AB:$AB,MATCH(Table1[[#This Row],[DriverID]],CarrierDriverTBL!$A:$A,0))</f>
        <v>42167</v>
      </c>
      <c r="BD207" s="142" t="str">
        <f ca="1">INDEX(CarrierDriverTBL!$AD:$AD,MATCH(LoadMaster!$AN:$AN,CarrierDriverTBL!$A:$A,0))</f>
        <v>MISSING</v>
      </c>
      <c r="BE207" s="142">
        <f>INDEX(CarrierDriverTBL!$AE:$AE,MATCH(Table1[DriverID],CarrierDriverTBL!$A:$A,0))</f>
        <v>913971</v>
      </c>
      <c r="BF207" s="142">
        <f>INDEX(CarrierDriverTBL!$AF:$AF,MATCH(Table1[DriverID],CarrierDriverTBL!$A:$A,0))</f>
        <v>2627544</v>
      </c>
      <c r="BG207" s="142">
        <f>INDEX(CarrierDriverTBL!$AG:$AG,MATCH(Table1[DriverID],CarrierDriverTBL!$A:$A,0))</f>
        <v>466133</v>
      </c>
      <c r="BH207" s="142" t="str">
        <f>INDEX(CarrierDriverTBL!$AH:$AH,MATCH(Table1[DriverID],CarrierDriverTBL!$A:$A,0))</f>
        <v>GM Lawrence Ins</v>
      </c>
      <c r="BI207" s="142" t="str">
        <f>INDEX(CarrierDriverTBL!$AI:$AI,MATCH(Table1[DriverID],CarrierDriverTBL!$A:$A,0))</f>
        <v>DSK2842P160210</v>
      </c>
      <c r="BJ207" s="160">
        <f>INDEX(CarrierDriverTBL!$AJ:$AJ,MATCH(Table1[[#This Row],[DriverID]],CarrierDriverTBL!$A:$A,0))</f>
        <v>42778</v>
      </c>
      <c r="BK207" s="10">
        <f t="shared" si="98"/>
        <v>424</v>
      </c>
      <c r="BL207" s="174">
        <v>400</v>
      </c>
      <c r="BM207" s="144">
        <v>115</v>
      </c>
      <c r="BN207" s="159">
        <f t="shared" si="115"/>
        <v>3.4782608695652173</v>
      </c>
      <c r="BO207" s="167">
        <v>350</v>
      </c>
      <c r="BP207" s="159">
        <f t="shared" si="116"/>
        <v>3.0434782608695654</v>
      </c>
      <c r="BQ207" s="133">
        <v>2.7989999999999999</v>
      </c>
      <c r="BR207" s="166">
        <f t="shared" si="117"/>
        <v>0.14983333333333335</v>
      </c>
      <c r="BS207" s="167">
        <f t="shared" si="99"/>
        <v>2.8936449275362319</v>
      </c>
      <c r="BT207" s="159">
        <f t="shared" si="100"/>
        <v>17.230833333333337</v>
      </c>
      <c r="BU207" s="10" t="str">
        <f t="shared" si="101"/>
        <v>Ch Robinson</v>
      </c>
      <c r="BV207" s="4"/>
      <c r="BW207" s="4" t="str">
        <f>Table1[[#This Row],[BrokerAddress]]</f>
        <v>P.O. Box 3474</v>
      </c>
      <c r="BX207" s="4" t="str">
        <f t="shared" si="102"/>
        <v>Chicago</v>
      </c>
      <c r="BY207" s="4" t="str">
        <f t="shared" si="103"/>
        <v>Il</v>
      </c>
      <c r="BZ207" s="4">
        <f t="shared" si="104"/>
        <v>60654</v>
      </c>
      <c r="CA207" s="10" t="str">
        <f t="shared" si="105"/>
        <v>US</v>
      </c>
      <c r="CB207" s="15" t="s">
        <v>131</v>
      </c>
      <c r="CC207" s="62"/>
      <c r="CD207" s="15" t="s">
        <v>132</v>
      </c>
      <c r="CE207" s="64">
        <v>0</v>
      </c>
      <c r="CF207" s="4">
        <v>0</v>
      </c>
      <c r="CG207" s="132">
        <f t="shared" si="106"/>
        <v>0</v>
      </c>
      <c r="CH207" s="4" t="s">
        <v>132</v>
      </c>
      <c r="CI207" s="5">
        <v>0</v>
      </c>
      <c r="CJ207" s="4">
        <v>0</v>
      </c>
      <c r="CK207" s="132">
        <f t="shared" si="107"/>
        <v>0</v>
      </c>
      <c r="CL207" s="4" t="s">
        <v>132</v>
      </c>
      <c r="CM207" s="5">
        <v>0</v>
      </c>
      <c r="CN207" s="4">
        <v>0</v>
      </c>
      <c r="CO207" s="132">
        <f t="shared" si="108"/>
        <v>0</v>
      </c>
      <c r="CP207" s="4" t="s">
        <v>132</v>
      </c>
      <c r="CQ207" s="5">
        <v>0</v>
      </c>
      <c r="CR207" s="4">
        <v>0</v>
      </c>
      <c r="CS207" s="132">
        <f t="shared" si="109"/>
        <v>0</v>
      </c>
      <c r="CT207" s="159">
        <f t="shared" si="110"/>
        <v>0</v>
      </c>
      <c r="CU207" s="168">
        <f t="shared" si="111"/>
        <v>400</v>
      </c>
      <c r="CV207" s="169">
        <f t="shared" si="94"/>
        <v>0</v>
      </c>
      <c r="CW207" s="82">
        <f t="shared" si="95"/>
        <v>350</v>
      </c>
      <c r="CX207" s="79">
        <f>IF(ISBLANK(E207),"AddQuickPay",IF(E207=2,CU207*0.98,IF(E207=2.4,CU207*0.976,IF(E207=3,CU207*0.97,IF(E207=5,CU207*0.95,IF(E207=1.5,CU207*0.985,IF(E207=2.5,CU207*0.975,IF(E207=1.3,CU207*0.987,IF(E207=1,CU207*0.99,IF(E207=4,CU207*0.96,CU207*1))))))))))-Table1[[#This Row],[ComCheck+QuickPayFee]]</f>
        <v>392</v>
      </c>
      <c r="CY207" s="5">
        <f t="shared" si="112"/>
        <v>50</v>
      </c>
      <c r="CZ207" s="5">
        <f t="shared" si="113"/>
        <v>8</v>
      </c>
      <c r="DA207" s="258">
        <f>Table1[[#This Row],[OriginalDispatch]]-Table1[[#This Row],[QuickPayCharge]]</f>
        <v>42</v>
      </c>
      <c r="DB207" s="5">
        <v>0</v>
      </c>
      <c r="DC207" s="5" t="s">
        <v>1287</v>
      </c>
      <c r="DD207" s="104">
        <f t="shared" si="114"/>
        <v>42356</v>
      </c>
      <c r="DE207" s="15">
        <f>MONTH(Table1[[#This Row],[Weekending]])</f>
        <v>12</v>
      </c>
      <c r="DF207" s="15">
        <f>YEAR(Table1[[#This Row],[Weekending]])</f>
        <v>2015</v>
      </c>
      <c r="DG207" s="4"/>
    </row>
    <row r="208" spans="1:111">
      <c r="A208" s="20" t="str">
        <f t="shared" si="96"/>
        <v>48575488</v>
      </c>
      <c r="B208" s="146">
        <v>42354</v>
      </c>
      <c r="C208" s="144">
        <v>188590148</v>
      </c>
      <c r="D208" s="298" t="s">
        <v>111</v>
      </c>
      <c r="E208" s="298">
        <v>2</v>
      </c>
      <c r="F208" s="142" t="str">
        <f>INDEX(BrokerTBL!$B:$B,MATCH(D208,BrokerTBL!$A:$A,0))</f>
        <v>P.O. Box 3474</v>
      </c>
      <c r="G208" s="142" t="str">
        <f>INDEX(BrokerTBL!$C:$C,MATCH(D208,BrokerTBL!$A:$A,0))</f>
        <v>Chicago</v>
      </c>
      <c r="H208" s="142" t="str">
        <f>INDEX(BrokerTBL!$D:$D,MATCH(D208,BrokerTBL!$A:$A,0))</f>
        <v>Il</v>
      </c>
      <c r="I208" s="142" t="str">
        <f>INDEX(BrokerTBL!$E:$E,MATCH(D208,BrokerTBL!$A:$A,0))</f>
        <v>US</v>
      </c>
      <c r="J208" s="142">
        <f>INDEX(BrokerTBL!$F:$F,MATCH(D208,BrokerTBL!$A:$A,0))</f>
        <v>60654</v>
      </c>
      <c r="K208" s="298" t="s">
        <v>1516</v>
      </c>
      <c r="L208" s="145">
        <v>103258957</v>
      </c>
      <c r="M208" s="146">
        <v>42354</v>
      </c>
      <c r="N208" s="144" t="s">
        <v>1575</v>
      </c>
      <c r="O208" s="298" t="s">
        <v>1519</v>
      </c>
      <c r="P208" s="298" t="s">
        <v>1520</v>
      </c>
      <c r="Q208" s="298" t="s">
        <v>139</v>
      </c>
      <c r="R208" s="298">
        <v>94580</v>
      </c>
      <c r="S208" s="298" t="s">
        <v>118</v>
      </c>
      <c r="T208" s="298" t="s">
        <v>1576</v>
      </c>
      <c r="U208" s="298" t="s">
        <v>120</v>
      </c>
      <c r="V208" s="298">
        <v>53</v>
      </c>
      <c r="W208" s="298" t="s">
        <v>1521</v>
      </c>
      <c r="X208" s="185">
        <v>21000</v>
      </c>
      <c r="Y208" s="298" t="s">
        <v>1537</v>
      </c>
      <c r="Z208" s="298" t="s">
        <v>123</v>
      </c>
      <c r="AA208" s="298">
        <v>40</v>
      </c>
      <c r="AB208" s="298" t="s">
        <v>123</v>
      </c>
      <c r="AC208" s="298" t="s">
        <v>1577</v>
      </c>
      <c r="AD208" s="145">
        <v>14854</v>
      </c>
      <c r="AE208" s="146">
        <v>42355</v>
      </c>
      <c r="AF208" s="298" t="s">
        <v>1150</v>
      </c>
      <c r="AG208" s="298" t="s">
        <v>1578</v>
      </c>
      <c r="AH208" s="298" t="s">
        <v>738</v>
      </c>
      <c r="AI208" s="298" t="s">
        <v>264</v>
      </c>
      <c r="AJ208" s="298">
        <v>89511</v>
      </c>
      <c r="AK208" s="298" t="s">
        <v>118</v>
      </c>
      <c r="AL208" s="298" t="s">
        <v>1579</v>
      </c>
      <c r="AM208" s="142" t="str">
        <f>INDEX(CarrierDriverTBL!$B:$B,MATCH(Table1[[#This Row],[DriverID]],CarrierDriverTBL!$A:$A,0))</f>
        <v>UBTrucking</v>
      </c>
      <c r="AN208" s="10" t="s">
        <v>948</v>
      </c>
      <c r="AO208" s="10" t="str">
        <f>INDEX(CarrierDriverTBL!$C:$C,MATCH(Table1[[#This Row],[DriverID]],CarrierDriverTBL!$A:$A,0))</f>
        <v>Wesley</v>
      </c>
      <c r="AP208" s="10" t="str">
        <f>INDEX(CarrierDriverTBL!$D:$D,MATCH(Table1[[#This Row],[DriverID]],CarrierDriverTBL!$A:$A,0))</f>
        <v>Cousain</v>
      </c>
      <c r="AQ208" s="10" t="str">
        <f>INDEX(CarrierDriverTBL!$X:$X,MATCH(Table1[[#This Row],[DriverID]],CarrierDriverTBL!$A:$A,0))</f>
        <v>D4903588</v>
      </c>
      <c r="AR208" s="11">
        <f>INDEX(CarrierDriverTBL!$Y:$Y,MATCH(Table1[[#This Row],[DriverID]],CarrierDriverTBL!$A:$A,0))</f>
        <v>43458</v>
      </c>
      <c r="AS208" s="142" t="str">
        <f t="shared" si="97"/>
        <v>GOOD</v>
      </c>
      <c r="AT208" s="11">
        <f>INDEX(CarrierDriverTBL!$E:$E,MATCH(Table1[[#This Row],[DriverID]],CarrierDriverTBL!$A:$A,0))</f>
        <v>31405</v>
      </c>
      <c r="AU208" s="163">
        <f ca="1">INDEX(CarrierDriverTBL!$F:$F,MATCH(Table1[[#This Row],[DriverID]],CarrierDriverTBL!$A:$A,0))</f>
        <v>30.605479452054794</v>
      </c>
      <c r="AV208" s="10" t="str">
        <f>INDEX(CarrierDriverTBL!$K:$K,MATCH(Table1[[#This Row],[DriverID]],CarrierDriverTBL!$A:$A,0))</f>
        <v>925-383-5364</v>
      </c>
      <c r="AW208" s="10" t="str">
        <f>INDEX(CarrierDriverTBL!$M:$M,MATCH(Table1[[#This Row],[DriverID]],CarrierDriverTBL!$A:$A,0))</f>
        <v>110 Cordova Ln</v>
      </c>
      <c r="AX208" s="10" t="str">
        <f>INDEX(CarrierDriverTBL!$N:$N,MATCH(Table1[[#This Row],[DriverID]],CarrierDriverTBL!$A:$A,0))</f>
        <v>Stockton</v>
      </c>
      <c r="AY208" s="10" t="str">
        <f>INDEX(CarrierDriverTBL!$O:$O,MATCH(Table1[[#This Row],[DriverID]],CarrierDriverTBL!$A:$A,0))</f>
        <v>CA</v>
      </c>
      <c r="AZ208" s="10">
        <f>INDEX(CarrierDriverTBL!$P:$P,MATCH(Table1[[#This Row],[DriverID]],CarrierDriverTBL!$A:$A,0))</f>
        <v>95207</v>
      </c>
      <c r="BA208" s="10" t="str">
        <f>INDEX(CarrierDriverTBL!$Q:$Q,MATCH(Table1[[#This Row],[DriverID]],CarrierDriverTBL!$A:$A,0))</f>
        <v>US</v>
      </c>
      <c r="BB208" s="173" t="str">
        <f>INDEX(CarrierDriverTBL!$R:$R,MATCH(Table1[[#This Row],[DriverID]],CarrierDriverTBL!$A:$A,0))</f>
        <v>wesleycousain1@gmail.com</v>
      </c>
      <c r="BC208" s="160">
        <f>INDEX(CarrierDriverTBL!$AB:$AB,MATCH(Table1[[#This Row],[DriverID]],CarrierDriverTBL!$A:$A,0))</f>
        <v>42271</v>
      </c>
      <c r="BD208" s="142" t="str">
        <f ca="1">INDEX(CarrierDriverTBL!$AD:$AD,MATCH(LoadMaster!$AN:$AN,CarrierDriverTBL!$A:$A,0))</f>
        <v>MISSING</v>
      </c>
      <c r="BE208" s="142">
        <f>INDEX(CarrierDriverTBL!$AE:$AE,MATCH(Table1[DriverID],CarrierDriverTBL!$A:$A,0))</f>
        <v>913971</v>
      </c>
      <c r="BF208" s="142">
        <f>INDEX(CarrierDriverTBL!$AF:$AF,MATCH(Table1[DriverID],CarrierDriverTBL!$A:$A,0))</f>
        <v>2627544</v>
      </c>
      <c r="BG208" s="142">
        <f>INDEX(CarrierDriverTBL!$AG:$AG,MATCH(Table1[DriverID],CarrierDriverTBL!$A:$A,0))</f>
        <v>466133</v>
      </c>
      <c r="BH208" s="142" t="str">
        <f>INDEX(CarrierDriverTBL!$AH:$AH,MATCH(Table1[DriverID],CarrierDriverTBL!$A:$A,0))</f>
        <v>GM Lawrence Ins</v>
      </c>
      <c r="BI208" s="142" t="str">
        <f>INDEX(CarrierDriverTBL!$AI:$AI,MATCH(Table1[DriverID],CarrierDriverTBL!$A:$A,0))</f>
        <v>DSK2842P160210</v>
      </c>
      <c r="BJ208" s="160">
        <f>INDEX(CarrierDriverTBL!$AJ:$AJ,MATCH(Table1[[#This Row],[DriverID]],CarrierDriverTBL!$A:$A,0))</f>
        <v>42778</v>
      </c>
      <c r="BK208" s="10">
        <f t="shared" si="98"/>
        <v>424</v>
      </c>
      <c r="BL208" s="174">
        <v>650</v>
      </c>
      <c r="BM208" s="144">
        <v>225</v>
      </c>
      <c r="BN208" s="159">
        <f t="shared" si="115"/>
        <v>2.8888888888888888</v>
      </c>
      <c r="BO208" s="167">
        <f>0.93*BL208</f>
        <v>604.5</v>
      </c>
      <c r="BP208" s="159">
        <f t="shared" si="116"/>
        <v>2.6866666666666665</v>
      </c>
      <c r="BQ208" s="133">
        <v>2.7989999999999999</v>
      </c>
      <c r="BR208" s="166">
        <f t="shared" si="117"/>
        <v>0.14983333333333335</v>
      </c>
      <c r="BS208" s="167">
        <f t="shared" si="99"/>
        <v>2.5368333333333331</v>
      </c>
      <c r="BT208" s="159">
        <f t="shared" si="100"/>
        <v>33.712500000000006</v>
      </c>
      <c r="BU208" s="10" t="str">
        <f t="shared" si="101"/>
        <v>Ch Robinson</v>
      </c>
      <c r="BV208" s="4"/>
      <c r="BW208" s="4" t="str">
        <f>Table1[[#This Row],[BrokerAddress]]</f>
        <v>P.O. Box 3474</v>
      </c>
      <c r="BX208" s="4" t="str">
        <f t="shared" si="102"/>
        <v>Chicago</v>
      </c>
      <c r="BY208" s="4" t="str">
        <f t="shared" si="103"/>
        <v>Il</v>
      </c>
      <c r="BZ208" s="4">
        <f t="shared" si="104"/>
        <v>60654</v>
      </c>
      <c r="CA208" s="10" t="str">
        <f t="shared" si="105"/>
        <v>US</v>
      </c>
      <c r="CB208" s="15" t="s">
        <v>131</v>
      </c>
      <c r="CC208" s="62"/>
      <c r="CD208" s="15" t="s">
        <v>132</v>
      </c>
      <c r="CE208" s="64">
        <v>0</v>
      </c>
      <c r="CF208" s="4">
        <v>0</v>
      </c>
      <c r="CG208" s="132">
        <f t="shared" si="106"/>
        <v>0</v>
      </c>
      <c r="CH208" s="4" t="s">
        <v>132</v>
      </c>
      <c r="CI208" s="5">
        <v>0</v>
      </c>
      <c r="CJ208" s="4">
        <v>0</v>
      </c>
      <c r="CK208" s="132">
        <f t="shared" si="107"/>
        <v>0</v>
      </c>
      <c r="CL208" s="4" t="s">
        <v>132</v>
      </c>
      <c r="CM208" s="5">
        <v>0</v>
      </c>
      <c r="CN208" s="4">
        <v>0</v>
      </c>
      <c r="CO208" s="132">
        <f t="shared" si="108"/>
        <v>0</v>
      </c>
      <c r="CP208" s="4" t="s">
        <v>132</v>
      </c>
      <c r="CQ208" s="5">
        <v>0</v>
      </c>
      <c r="CR208" s="4">
        <v>0</v>
      </c>
      <c r="CS208" s="132">
        <f t="shared" si="109"/>
        <v>0</v>
      </c>
      <c r="CT208" s="159">
        <f t="shared" si="110"/>
        <v>0</v>
      </c>
      <c r="CU208" s="168">
        <f t="shared" si="111"/>
        <v>650</v>
      </c>
      <c r="CV208" s="169">
        <f t="shared" si="94"/>
        <v>0</v>
      </c>
      <c r="CW208" s="82">
        <f t="shared" si="95"/>
        <v>604.5</v>
      </c>
      <c r="CX208" s="79">
        <f>IF(ISBLANK(E208),"AddQuickPay",IF(E208=2,CU208*0.98,IF(E208=2.4,CU208*0.976,IF(E208=3,CU208*0.97,IF(E208=5,CU208*0.95,IF(E208=1.5,CU208*0.985,IF(E208=2.5,CU208*0.975,IF(E208=1.3,CU208*0.987,IF(E208=1,CU208*0.99,IF(E208=4,CU208*0.96,CU208*1))))))))))-Table1[[#This Row],[ComCheck+QuickPayFee]]</f>
        <v>637</v>
      </c>
      <c r="CY208" s="5">
        <f t="shared" si="112"/>
        <v>45.5</v>
      </c>
      <c r="CZ208" s="5">
        <f t="shared" si="113"/>
        <v>13</v>
      </c>
      <c r="DA208" s="258">
        <f>Table1[[#This Row],[OriginalDispatch]]-Table1[[#This Row],[QuickPayCharge]]</f>
        <v>32.5</v>
      </c>
      <c r="DB208" s="5">
        <v>0</v>
      </c>
      <c r="DC208" s="5" t="s">
        <v>1287</v>
      </c>
      <c r="DD208" s="104">
        <f t="shared" si="114"/>
        <v>42356</v>
      </c>
      <c r="DE208" s="15">
        <f>MONTH(Table1[[#This Row],[Weekending]])</f>
        <v>12</v>
      </c>
      <c r="DF208" s="15">
        <f>YEAR(Table1[[#This Row],[Weekending]])</f>
        <v>2015</v>
      </c>
      <c r="DG208" s="4"/>
    </row>
    <row r="209" spans="1:111">
      <c r="A209" s="20" t="str">
        <f t="shared" si="96"/>
        <v>56nkne19</v>
      </c>
      <c r="B209" s="146">
        <v>42354</v>
      </c>
      <c r="C209" s="144">
        <v>188657256</v>
      </c>
      <c r="D209" s="298" t="s">
        <v>111</v>
      </c>
      <c r="E209" s="298">
        <v>2</v>
      </c>
      <c r="F209" s="142" t="str">
        <f>INDEX(BrokerTBL!$B:$B,MATCH(D209,BrokerTBL!$A:$A,0))</f>
        <v>P.O. Box 3474</v>
      </c>
      <c r="G209" s="142" t="str">
        <f>INDEX(BrokerTBL!$C:$C,MATCH(D209,BrokerTBL!$A:$A,0))</f>
        <v>Chicago</v>
      </c>
      <c r="H209" s="142" t="str">
        <f>INDEX(BrokerTBL!$D:$D,MATCH(D209,BrokerTBL!$A:$A,0))</f>
        <v>Il</v>
      </c>
      <c r="I209" s="142" t="str">
        <f>INDEX(BrokerTBL!$E:$E,MATCH(D209,BrokerTBL!$A:$A,0))</f>
        <v>US</v>
      </c>
      <c r="J209" s="142">
        <f>INDEX(BrokerTBL!$F:$F,MATCH(D209,BrokerTBL!$A:$A,0))</f>
        <v>60654</v>
      </c>
      <c r="K209" s="298" t="s">
        <v>1580</v>
      </c>
      <c r="L209" s="145" t="s">
        <v>1179</v>
      </c>
      <c r="M209" s="146">
        <v>42354</v>
      </c>
      <c r="N209" s="144" t="s">
        <v>218</v>
      </c>
      <c r="O209" s="298" t="s">
        <v>1581</v>
      </c>
      <c r="P209" s="298" t="s">
        <v>1582</v>
      </c>
      <c r="Q209" s="298" t="s">
        <v>264</v>
      </c>
      <c r="R209" s="298" t="s">
        <v>1583</v>
      </c>
      <c r="S209" s="298" t="s">
        <v>118</v>
      </c>
      <c r="T209" s="298" t="s">
        <v>136</v>
      </c>
      <c r="U209" s="298" t="s">
        <v>120</v>
      </c>
      <c r="V209" s="298">
        <v>53</v>
      </c>
      <c r="W209" s="298" t="s">
        <v>1584</v>
      </c>
      <c r="X209" s="185">
        <v>8000</v>
      </c>
      <c r="Y209" s="298" t="s">
        <v>1537</v>
      </c>
      <c r="Z209" s="298" t="s">
        <v>123</v>
      </c>
      <c r="AA209" s="298" t="s">
        <v>123</v>
      </c>
      <c r="AB209" s="298" t="s">
        <v>123</v>
      </c>
      <c r="AC209" s="298" t="s">
        <v>1585</v>
      </c>
      <c r="AD209" s="145" t="s">
        <v>132</v>
      </c>
      <c r="AE209" s="146">
        <v>42355</v>
      </c>
      <c r="AF209" s="298" t="s">
        <v>427</v>
      </c>
      <c r="AG209" s="298" t="s">
        <v>1586</v>
      </c>
      <c r="AH209" s="298" t="s">
        <v>1587</v>
      </c>
      <c r="AI209" s="298" t="s">
        <v>139</v>
      </c>
      <c r="AJ209" s="298">
        <v>90650</v>
      </c>
      <c r="AK209" s="298" t="s">
        <v>118</v>
      </c>
      <c r="AL209" s="298" t="s">
        <v>123</v>
      </c>
      <c r="AM209" s="142" t="str">
        <f>INDEX(CarrierDriverTBL!$B:$B,MATCH(Table1[[#This Row],[DriverID]],CarrierDriverTBL!$A:$A,0))</f>
        <v>UBTrucking</v>
      </c>
      <c r="AN209" s="10" t="s">
        <v>1409</v>
      </c>
      <c r="AO209" s="298" t="str">
        <f>INDEX(CarrierDriverTBL!$C:$C,MATCH(Table1[[#This Row],[DriverID]],CarrierDriverTBL!$A:$A,0))</f>
        <v>Miguel Jaime</v>
      </c>
      <c r="AP209" s="298" t="str">
        <f>INDEX(CarrierDriverTBL!$D:$D,MATCH(Table1[[#This Row],[DriverID]],CarrierDriverTBL!$A:$A,0))</f>
        <v>Martin Del Campo Velarca</v>
      </c>
      <c r="AQ209" s="142" t="str">
        <f>INDEX(CarrierDriverTBL!$X:$X,MATCH(Table1[[#This Row],[DriverID]],CarrierDriverTBL!$A:$A,0))</f>
        <v>D5179619</v>
      </c>
      <c r="AR209" s="160">
        <f>INDEX(CarrierDriverTBL!$Y:$Y,MATCH(Table1[[#This Row],[DriverID]],CarrierDriverTBL!$A:$A,0))</f>
        <v>43843</v>
      </c>
      <c r="AS209" s="142" t="str">
        <f t="shared" si="97"/>
        <v>GOOD</v>
      </c>
      <c r="AT209" s="146">
        <f>INDEX(CarrierDriverTBL!$E:$E,MATCH(Table1[[#This Row],[DriverID]],CarrierDriverTBL!$A:$A,0))</f>
        <v>21198</v>
      </c>
      <c r="AU209" s="163">
        <f ca="1">INDEX(CarrierDriverTBL!$F:$F,MATCH(Table1[[#This Row],[DriverID]],CarrierDriverTBL!$A:$A,0))</f>
        <v>58.56986301369863</v>
      </c>
      <c r="AV209" s="298" t="str">
        <f>INDEX(CarrierDriverTBL!$K:$K,MATCH(Table1[[#This Row],[DriverID]],CarrierDriverTBL!$A:$A,0))</f>
        <v>209-322-5231</v>
      </c>
      <c r="AW209" s="298" t="str">
        <f>INDEX(CarrierDriverTBL!$M:$M,MATCH(Table1[[#This Row],[DriverID]],CarrierDriverTBL!$A:$A,0))</f>
        <v>572 Predersen RD</v>
      </c>
      <c r="AX209" s="298" t="str">
        <f>INDEX(CarrierDriverTBL!$N:$N,MATCH(Table1[[#This Row],[DriverID]],CarrierDriverTBL!$A:$A,0))</f>
        <v>Oakdale</v>
      </c>
      <c r="AY209" s="142" t="str">
        <f>INDEX(CarrierDriverTBL!$O:$O,MATCH(Table1[[#This Row],[DriverID]],CarrierDriverTBL!$A:$A,0))</f>
        <v>CA</v>
      </c>
      <c r="AZ209" s="298">
        <f>INDEX(CarrierDriverTBL!$P:$P,MATCH(Table1[[#This Row],[DriverID]],CarrierDriverTBL!$A:$A,0))</f>
        <v>95361</v>
      </c>
      <c r="BA209" s="298" t="str">
        <f>INDEX(CarrierDriverTBL!$Q:$Q,MATCH(Table1[[#This Row],[DriverID]],CarrierDriverTBL!$A:$A,0))</f>
        <v>US</v>
      </c>
      <c r="BB209" s="176" t="str">
        <f>INDEX(CarrierDriverTBL!$R:$R,MATCH(Table1[[#This Row],[DriverID]],CarrierDriverTBL!$A:$A,0))</f>
        <v>Miguelmartin52@yahoo.com</v>
      </c>
      <c r="BC209" s="160">
        <f>INDEX(CarrierDriverTBL!$AB:$AB,MATCH(Table1[[#This Row],[DriverID]],CarrierDriverTBL!$A:$A,0))</f>
        <v>42334</v>
      </c>
      <c r="BD209" s="142" t="str">
        <f ca="1">INDEX(CarrierDriverTBL!$AD:$AD,MATCH(LoadMaster!$AN:$AN,CarrierDriverTBL!$A:$A,0))</f>
        <v>MISSING</v>
      </c>
      <c r="BE209" s="142">
        <f>INDEX(CarrierDriverTBL!$AE:$AE,MATCH(Table1[DriverID],CarrierDriverTBL!$A:$A,0))</f>
        <v>913971</v>
      </c>
      <c r="BF209" s="142">
        <f>INDEX(CarrierDriverTBL!$AF:$AF,MATCH(Table1[DriverID],CarrierDriverTBL!$A:$A,0))</f>
        <v>2627544</v>
      </c>
      <c r="BG209" s="142">
        <f>INDEX(CarrierDriverTBL!$AG:$AG,MATCH(Table1[DriverID],CarrierDriverTBL!$A:$A,0))</f>
        <v>466133</v>
      </c>
      <c r="BH209" s="142" t="str">
        <f>INDEX(CarrierDriverTBL!$AH:$AH,MATCH(Table1[DriverID],CarrierDriverTBL!$A:$A,0))</f>
        <v>GM Lawrence Ins</v>
      </c>
      <c r="BI209" s="142" t="str">
        <f>INDEX(CarrierDriverTBL!$AI:$AI,MATCH(Table1[DriverID],CarrierDriverTBL!$A:$A,0))</f>
        <v>DSK2842P160210</v>
      </c>
      <c r="BJ209" s="160">
        <f>INDEX(CarrierDriverTBL!$AJ:$AJ,MATCH(Table1[[#This Row],[DriverID]],CarrierDriverTBL!$A:$A,0))</f>
        <v>42778</v>
      </c>
      <c r="BK209" s="10">
        <f t="shared" si="98"/>
        <v>424</v>
      </c>
      <c r="BL209" s="174">
        <v>350</v>
      </c>
      <c r="BM209" s="144">
        <v>320</v>
      </c>
      <c r="BN209" s="159">
        <f t="shared" si="115"/>
        <v>1.09375</v>
      </c>
      <c r="BO209" s="167">
        <f>0.93*BL209</f>
        <v>325.5</v>
      </c>
      <c r="BP209" s="159">
        <f t="shared" si="116"/>
        <v>1.0171874999999999</v>
      </c>
      <c r="BQ209" s="133">
        <v>2.7989999999999999</v>
      </c>
      <c r="BR209" s="166">
        <f t="shared" si="117"/>
        <v>0.14983333333333335</v>
      </c>
      <c r="BS209" s="167">
        <f t="shared" si="99"/>
        <v>0.86735416666666654</v>
      </c>
      <c r="BT209" s="159">
        <f t="shared" si="100"/>
        <v>47.946666666666673</v>
      </c>
      <c r="BU209" s="10" t="str">
        <f t="shared" si="101"/>
        <v>Ch Robinson</v>
      </c>
      <c r="BV209" s="4"/>
      <c r="BW209" s="4" t="str">
        <f>Table1[[#This Row],[BrokerAddress]]</f>
        <v>P.O. Box 3474</v>
      </c>
      <c r="BX209" s="4" t="str">
        <f t="shared" si="102"/>
        <v>Chicago</v>
      </c>
      <c r="BY209" s="4" t="str">
        <f t="shared" si="103"/>
        <v>Il</v>
      </c>
      <c r="BZ209" s="4">
        <f t="shared" si="104"/>
        <v>60654</v>
      </c>
      <c r="CA209" s="10" t="str">
        <f t="shared" si="105"/>
        <v>US</v>
      </c>
      <c r="CB209" s="15" t="s">
        <v>131</v>
      </c>
      <c r="CC209" s="62"/>
      <c r="CD209" s="15" t="s">
        <v>132</v>
      </c>
      <c r="CE209" s="64">
        <v>0</v>
      </c>
      <c r="CF209" s="4">
        <v>0</v>
      </c>
      <c r="CG209" s="132">
        <f t="shared" si="106"/>
        <v>0</v>
      </c>
      <c r="CH209" s="4" t="s">
        <v>132</v>
      </c>
      <c r="CI209" s="5">
        <v>0</v>
      </c>
      <c r="CJ209" s="4">
        <v>0</v>
      </c>
      <c r="CK209" s="132">
        <f t="shared" si="107"/>
        <v>0</v>
      </c>
      <c r="CL209" s="4" t="s">
        <v>132</v>
      </c>
      <c r="CM209" s="5">
        <v>0</v>
      </c>
      <c r="CN209" s="4">
        <v>0</v>
      </c>
      <c r="CO209" s="132">
        <f t="shared" si="108"/>
        <v>0</v>
      </c>
      <c r="CP209" s="4" t="s">
        <v>132</v>
      </c>
      <c r="CQ209" s="5">
        <v>0</v>
      </c>
      <c r="CR209" s="4">
        <v>0</v>
      </c>
      <c r="CS209" s="132">
        <f t="shared" si="109"/>
        <v>0</v>
      </c>
      <c r="CT209" s="159">
        <f t="shared" si="110"/>
        <v>0</v>
      </c>
      <c r="CU209" s="168">
        <f t="shared" si="111"/>
        <v>350</v>
      </c>
      <c r="CV209" s="169">
        <f t="shared" si="94"/>
        <v>0</v>
      </c>
      <c r="CW209" s="82">
        <f t="shared" si="95"/>
        <v>325.5</v>
      </c>
      <c r="CX209" s="79">
        <f>IF(ISBLANK(E209),"AddQuickPay",IF(E209=2,CU209*0.98,IF(E209=2.4,CU209*0.976,IF(E209=3,CU209*0.97,IF(E209=5,CU209*0.95,IF(E209=1.5,CU209*0.985,IF(E209=2.5,CU209*0.975,IF(E209=1.3,CU209*0.987,IF(E209=1,CU209*0.99,IF(E209=4,CU209*0.96,CU209*1))))))))))-Table1[[#This Row],[ComCheck+QuickPayFee]]</f>
        <v>343</v>
      </c>
      <c r="CY209" s="5">
        <f t="shared" si="112"/>
        <v>24.5</v>
      </c>
      <c r="CZ209" s="5">
        <f t="shared" si="113"/>
        <v>7</v>
      </c>
      <c r="DA209" s="258">
        <f>Table1[[#This Row],[OriginalDispatch]]-Table1[[#This Row],[QuickPayCharge]]</f>
        <v>17.5</v>
      </c>
      <c r="DB209" s="5">
        <v>0</v>
      </c>
      <c r="DC209" s="5" t="s">
        <v>1287</v>
      </c>
      <c r="DD209" s="104">
        <f t="shared" si="114"/>
        <v>42356</v>
      </c>
      <c r="DE209" s="15">
        <f>MONTH(Table1[[#This Row],[Weekending]])</f>
        <v>12</v>
      </c>
      <c r="DF209" s="15">
        <f>YEAR(Table1[[#This Row],[Weekending]])</f>
        <v>2015</v>
      </c>
      <c r="DG209" s="4"/>
    </row>
    <row r="210" spans="1:111">
      <c r="A210" s="20" t="str">
        <f t="shared" si="96"/>
        <v>22ne8419</v>
      </c>
      <c r="B210" s="146">
        <v>42355</v>
      </c>
      <c r="C210" s="144">
        <v>187820722</v>
      </c>
      <c r="D210" s="298" t="s">
        <v>111</v>
      </c>
      <c r="E210" s="298">
        <v>2</v>
      </c>
      <c r="F210" s="142" t="str">
        <f>INDEX(BrokerTBL!$B:$B,MATCH(D210,BrokerTBL!$A:$A,0))</f>
        <v>P.O. Box 3474</v>
      </c>
      <c r="G210" s="142" t="str">
        <f>INDEX(BrokerTBL!$C:$C,MATCH(D210,BrokerTBL!$A:$A,0))</f>
        <v>Chicago</v>
      </c>
      <c r="H210" s="142" t="str">
        <f>INDEX(BrokerTBL!$D:$D,MATCH(D210,BrokerTBL!$A:$A,0))</f>
        <v>Il</v>
      </c>
      <c r="I210" s="142" t="str">
        <f>INDEX(BrokerTBL!$E:$E,MATCH(D210,BrokerTBL!$A:$A,0))</f>
        <v>US</v>
      </c>
      <c r="J210" s="142">
        <f>INDEX(BrokerTBL!$F:$F,MATCH(D210,BrokerTBL!$A:$A,0))</f>
        <v>60654</v>
      </c>
      <c r="K210" s="298" t="s">
        <v>1588</v>
      </c>
      <c r="L210" s="145" t="s">
        <v>132</v>
      </c>
      <c r="M210" s="146">
        <v>42355</v>
      </c>
      <c r="N210" s="144" t="s">
        <v>1404</v>
      </c>
      <c r="O210" s="298" t="s">
        <v>1589</v>
      </c>
      <c r="P210" s="298" t="s">
        <v>1590</v>
      </c>
      <c r="Q210" s="298" t="s">
        <v>139</v>
      </c>
      <c r="R210" s="298">
        <v>92337</v>
      </c>
      <c r="S210" s="298" t="s">
        <v>118</v>
      </c>
      <c r="T210" s="298" t="s">
        <v>136</v>
      </c>
      <c r="U210" s="298" t="s">
        <v>120</v>
      </c>
      <c r="V210" s="298">
        <v>53</v>
      </c>
      <c r="W210" s="298" t="s">
        <v>1591</v>
      </c>
      <c r="X210" s="185">
        <v>35280</v>
      </c>
      <c r="Y210" s="298" t="s">
        <v>1537</v>
      </c>
      <c r="Z210" s="298">
        <v>630</v>
      </c>
      <c r="AA210" s="298">
        <v>18</v>
      </c>
      <c r="AB210" s="298" t="s">
        <v>123</v>
      </c>
      <c r="AC210" s="298" t="s">
        <v>1592</v>
      </c>
      <c r="AD210" s="145">
        <v>547984</v>
      </c>
      <c r="AE210" s="146">
        <v>42356</v>
      </c>
      <c r="AF210" s="298" t="s">
        <v>1121</v>
      </c>
      <c r="AG210" s="298" t="s">
        <v>1151</v>
      </c>
      <c r="AH210" s="298" t="s">
        <v>208</v>
      </c>
      <c r="AI210" s="298" t="s">
        <v>139</v>
      </c>
      <c r="AJ210" s="298">
        <v>95826</v>
      </c>
      <c r="AK210" s="298" t="s">
        <v>118</v>
      </c>
      <c r="AL210" s="298" t="s">
        <v>123</v>
      </c>
      <c r="AM210" s="142" t="str">
        <f>INDEX(CarrierDriverTBL!$B:$B,MATCH(Table1[[#This Row],[DriverID]],CarrierDriverTBL!$A:$A,0))</f>
        <v>UBTrucking</v>
      </c>
      <c r="AN210" s="10" t="s">
        <v>1409</v>
      </c>
      <c r="AO210" s="298" t="str">
        <f>INDEX(CarrierDriverTBL!$C:$C,MATCH(Table1[[#This Row],[DriverID]],CarrierDriverTBL!$A:$A,0))</f>
        <v>Miguel Jaime</v>
      </c>
      <c r="AP210" s="298" t="str">
        <f>INDEX(CarrierDriverTBL!$D:$D,MATCH(Table1[[#This Row],[DriverID]],CarrierDriverTBL!$A:$A,0))</f>
        <v>Martin Del Campo Velarca</v>
      </c>
      <c r="AQ210" s="142" t="str">
        <f>INDEX(CarrierDriverTBL!$X:$X,MATCH(Table1[[#This Row],[DriverID]],CarrierDriverTBL!$A:$A,0))</f>
        <v>D5179619</v>
      </c>
      <c r="AR210" s="160">
        <f>INDEX(CarrierDriverTBL!$Y:$Y,MATCH(Table1[[#This Row],[DriverID]],CarrierDriverTBL!$A:$A,0))</f>
        <v>43843</v>
      </c>
      <c r="AS210" s="142" t="str">
        <f t="shared" si="97"/>
        <v>GOOD</v>
      </c>
      <c r="AT210" s="146">
        <f>INDEX(CarrierDriverTBL!$E:$E,MATCH(Table1[[#This Row],[DriverID]],CarrierDriverTBL!$A:$A,0))</f>
        <v>21198</v>
      </c>
      <c r="AU210" s="163">
        <f ca="1">INDEX(CarrierDriverTBL!$F:$F,MATCH(Table1[[#This Row],[DriverID]],CarrierDriverTBL!$A:$A,0))</f>
        <v>58.56986301369863</v>
      </c>
      <c r="AV210" s="298" t="str">
        <f>INDEX(CarrierDriverTBL!$K:$K,MATCH(Table1[[#This Row],[DriverID]],CarrierDriverTBL!$A:$A,0))</f>
        <v>209-322-5231</v>
      </c>
      <c r="AW210" s="298" t="str">
        <f>INDEX(CarrierDriverTBL!$M:$M,MATCH(Table1[[#This Row],[DriverID]],CarrierDriverTBL!$A:$A,0))</f>
        <v>572 Predersen RD</v>
      </c>
      <c r="AX210" s="298" t="str">
        <f>INDEX(CarrierDriverTBL!$N:$N,MATCH(Table1[[#This Row],[DriverID]],CarrierDriverTBL!$A:$A,0))</f>
        <v>Oakdale</v>
      </c>
      <c r="AY210" s="142" t="str">
        <f>INDEX(CarrierDriverTBL!$O:$O,MATCH(Table1[[#This Row],[DriverID]],CarrierDriverTBL!$A:$A,0))</f>
        <v>CA</v>
      </c>
      <c r="AZ210" s="298">
        <f>INDEX(CarrierDriverTBL!$P:$P,MATCH(Table1[[#This Row],[DriverID]],CarrierDriverTBL!$A:$A,0))</f>
        <v>95361</v>
      </c>
      <c r="BA210" s="298" t="str">
        <f>INDEX(CarrierDriverTBL!$Q:$Q,MATCH(Table1[[#This Row],[DriverID]],CarrierDriverTBL!$A:$A,0))</f>
        <v>US</v>
      </c>
      <c r="BB210" s="176" t="str">
        <f>INDEX(CarrierDriverTBL!$R:$R,MATCH(Table1[[#This Row],[DriverID]],CarrierDriverTBL!$A:$A,0))</f>
        <v>Miguelmartin52@yahoo.com</v>
      </c>
      <c r="BC210" s="160">
        <f>INDEX(CarrierDriverTBL!$AB:$AB,MATCH(Table1[[#This Row],[DriverID]],CarrierDriverTBL!$A:$A,0))</f>
        <v>42334</v>
      </c>
      <c r="BD210" s="142" t="str">
        <f ca="1">INDEX(CarrierDriverTBL!$AD:$AD,MATCH(LoadMaster!$AN:$AN,CarrierDriverTBL!$A:$A,0))</f>
        <v>MISSING</v>
      </c>
      <c r="BE210" s="142">
        <f>INDEX(CarrierDriverTBL!$AE:$AE,MATCH(Table1[DriverID],CarrierDriverTBL!$A:$A,0))</f>
        <v>913971</v>
      </c>
      <c r="BF210" s="142">
        <f>INDEX(CarrierDriverTBL!$AF:$AF,MATCH(Table1[DriverID],CarrierDriverTBL!$A:$A,0))</f>
        <v>2627544</v>
      </c>
      <c r="BG210" s="142">
        <f>INDEX(CarrierDriverTBL!$AG:$AG,MATCH(Table1[DriverID],CarrierDriverTBL!$A:$A,0))</f>
        <v>466133</v>
      </c>
      <c r="BH210" s="142" t="str">
        <f>INDEX(CarrierDriverTBL!$AH:$AH,MATCH(Table1[DriverID],CarrierDriverTBL!$A:$A,0))</f>
        <v>GM Lawrence Ins</v>
      </c>
      <c r="BI210" s="142" t="str">
        <f>INDEX(CarrierDriverTBL!$AI:$AI,MATCH(Table1[DriverID],CarrierDriverTBL!$A:$A,0))</f>
        <v>DSK2842P160210</v>
      </c>
      <c r="BJ210" s="160">
        <f>INDEX(CarrierDriverTBL!$AJ:$AJ,MATCH(Table1[[#This Row],[DriverID]],CarrierDriverTBL!$A:$A,0))</f>
        <v>42778</v>
      </c>
      <c r="BK210" s="10">
        <f t="shared" si="98"/>
        <v>423</v>
      </c>
      <c r="BL210" s="174">
        <v>800</v>
      </c>
      <c r="BM210" s="144">
        <v>430</v>
      </c>
      <c r="BN210" s="159">
        <f t="shared" si="115"/>
        <v>1.8604651162790697</v>
      </c>
      <c r="BO210" s="167">
        <f>0.93*BL210</f>
        <v>744</v>
      </c>
      <c r="BP210" s="159">
        <f t="shared" si="116"/>
        <v>1.7302325581395348</v>
      </c>
      <c r="BQ210" s="133">
        <v>2.7989999999999999</v>
      </c>
      <c r="BR210" s="166">
        <f t="shared" si="117"/>
        <v>0.14983333333333335</v>
      </c>
      <c r="BS210" s="167">
        <f t="shared" si="99"/>
        <v>1.5803992248062015</v>
      </c>
      <c r="BT210" s="159">
        <f t="shared" si="100"/>
        <v>64.428333333333342</v>
      </c>
      <c r="BU210" s="10" t="str">
        <f t="shared" si="101"/>
        <v>Ch Robinson</v>
      </c>
      <c r="BV210" s="4"/>
      <c r="BW210" s="4" t="str">
        <f>Table1[[#This Row],[BrokerAddress]]</f>
        <v>P.O. Box 3474</v>
      </c>
      <c r="BX210" s="4" t="str">
        <f t="shared" si="102"/>
        <v>Chicago</v>
      </c>
      <c r="BY210" s="4" t="str">
        <f t="shared" si="103"/>
        <v>Il</v>
      </c>
      <c r="BZ210" s="4">
        <f t="shared" si="104"/>
        <v>60654</v>
      </c>
      <c r="CA210" s="10" t="str">
        <f t="shared" si="105"/>
        <v>US</v>
      </c>
      <c r="CB210" s="15" t="s">
        <v>131</v>
      </c>
      <c r="CC210" s="62"/>
      <c r="CD210" s="15" t="s">
        <v>132</v>
      </c>
      <c r="CE210" s="64">
        <v>0</v>
      </c>
      <c r="CF210" s="4">
        <v>0</v>
      </c>
      <c r="CG210" s="132">
        <f t="shared" si="106"/>
        <v>0</v>
      </c>
      <c r="CH210" s="4" t="s">
        <v>132</v>
      </c>
      <c r="CI210" s="5">
        <v>0</v>
      </c>
      <c r="CJ210" s="4">
        <v>0</v>
      </c>
      <c r="CK210" s="132">
        <f t="shared" si="107"/>
        <v>0</v>
      </c>
      <c r="CL210" s="4" t="s">
        <v>132</v>
      </c>
      <c r="CM210" s="5">
        <v>0</v>
      </c>
      <c r="CN210" s="4">
        <v>0</v>
      </c>
      <c r="CO210" s="132">
        <f t="shared" si="108"/>
        <v>0</v>
      </c>
      <c r="CP210" s="4" t="s">
        <v>132</v>
      </c>
      <c r="CQ210" s="5">
        <v>0</v>
      </c>
      <c r="CR210" s="4">
        <v>0</v>
      </c>
      <c r="CS210" s="132">
        <f t="shared" si="109"/>
        <v>0</v>
      </c>
      <c r="CT210" s="159">
        <f t="shared" si="110"/>
        <v>0</v>
      </c>
      <c r="CU210" s="168">
        <f t="shared" si="111"/>
        <v>800</v>
      </c>
      <c r="CV210" s="169">
        <f t="shared" si="94"/>
        <v>0</v>
      </c>
      <c r="CW210" s="82">
        <f t="shared" si="95"/>
        <v>744</v>
      </c>
      <c r="CX210" s="79">
        <f>IF(ISBLANK(E210),"AddQuickPay",IF(E210=2,CU210*0.98,IF(E210=2.4,CU210*0.976,IF(E210=3,CU210*0.97,IF(E210=5,CU210*0.95,IF(E210=1.5,CU210*0.985,IF(E210=2.5,CU210*0.975,IF(E210=1.3,CU210*0.987,IF(E210=1,CU210*0.99,IF(E210=4,CU210*0.96,CU210*1))))))))))-Table1[[#This Row],[ComCheck+QuickPayFee]]</f>
        <v>784</v>
      </c>
      <c r="CY210" s="5">
        <f t="shared" si="112"/>
        <v>56</v>
      </c>
      <c r="CZ210" s="5">
        <f t="shared" si="113"/>
        <v>16</v>
      </c>
      <c r="DA210" s="258">
        <f>Table1[[#This Row],[OriginalDispatch]]-Table1[[#This Row],[QuickPayCharge]]</f>
        <v>40</v>
      </c>
      <c r="DB210" s="5">
        <v>0</v>
      </c>
      <c r="DC210" s="5" t="s">
        <v>1287</v>
      </c>
      <c r="DD210" s="104">
        <f t="shared" si="114"/>
        <v>42356</v>
      </c>
      <c r="DE210" s="15">
        <f>MONTH(Table1[[#This Row],[Weekending]])</f>
        <v>12</v>
      </c>
      <c r="DF210" s="15">
        <f>YEAR(Table1[[#This Row],[Weekending]])</f>
        <v>2015</v>
      </c>
      <c r="DG210" s="4"/>
    </row>
    <row r="211" spans="1:111">
      <c r="A211" s="20" t="str">
        <f t="shared" si="96"/>
        <v>99474749</v>
      </c>
      <c r="B211" s="146">
        <v>42355</v>
      </c>
      <c r="C211" s="144">
        <v>111499</v>
      </c>
      <c r="D211" s="298" t="s">
        <v>455</v>
      </c>
      <c r="E211" s="298">
        <v>2.5</v>
      </c>
      <c r="F211" s="15" t="str">
        <f>INDEX(BrokerTBL!$B:$B,MATCH(D211,BrokerTBL!$A:$A,0))</f>
        <v>5600 Headquarters Drive C2D11</v>
      </c>
      <c r="G211" s="298" t="str">
        <f>INDEX(BrokerTBL!$C:$C,MATCH(D211,BrokerTBL!$A:$A,0))</f>
        <v>Plano</v>
      </c>
      <c r="H211" s="298" t="str">
        <f>INDEX(BrokerTBL!$D:$D,MATCH(D211,BrokerTBL!$A:$A,0))</f>
        <v>Tx</v>
      </c>
      <c r="I211" s="298" t="str">
        <f>INDEX(BrokerTBL!$E:$E,MATCH(D211,BrokerTBL!$A:$A,0))</f>
        <v>US</v>
      </c>
      <c r="J211" s="298">
        <f>INDEX(BrokerTBL!$F:$F,MATCH(D211,BrokerTBL!$A:$A,0))</f>
        <v>75024</v>
      </c>
      <c r="K211" s="298" t="s">
        <v>1593</v>
      </c>
      <c r="L211" s="145">
        <v>2557147</v>
      </c>
      <c r="M211" s="146">
        <v>42355</v>
      </c>
      <c r="N211" s="182">
        <v>0.46597222222222201</v>
      </c>
      <c r="O211" s="298" t="s">
        <v>1594</v>
      </c>
      <c r="P211" s="298" t="s">
        <v>564</v>
      </c>
      <c r="Q211" s="298" t="s">
        <v>139</v>
      </c>
      <c r="R211" s="298">
        <v>94509</v>
      </c>
      <c r="S211" s="298" t="s">
        <v>118</v>
      </c>
      <c r="T211" s="298" t="s">
        <v>1595</v>
      </c>
      <c r="U211" s="298" t="s">
        <v>120</v>
      </c>
      <c r="V211" s="298">
        <v>53</v>
      </c>
      <c r="W211" s="298" t="s">
        <v>1103</v>
      </c>
      <c r="X211" s="144">
        <v>20121</v>
      </c>
      <c r="Y211" s="298" t="s">
        <v>123</v>
      </c>
      <c r="Z211" s="298" t="s">
        <v>123</v>
      </c>
      <c r="AA211" s="298" t="s">
        <v>123</v>
      </c>
      <c r="AB211" s="298" t="s">
        <v>123</v>
      </c>
      <c r="AC211" s="298" t="s">
        <v>1103</v>
      </c>
      <c r="AD211" s="145">
        <v>2557147</v>
      </c>
      <c r="AE211" s="146">
        <v>42355</v>
      </c>
      <c r="AF211" s="182">
        <v>0.45833333333333298</v>
      </c>
      <c r="AG211" s="298" t="s">
        <v>1104</v>
      </c>
      <c r="AH211" s="298" t="s">
        <v>228</v>
      </c>
      <c r="AI211" s="298" t="s">
        <v>139</v>
      </c>
      <c r="AJ211" s="298">
        <v>94545</v>
      </c>
      <c r="AK211" s="298" t="s">
        <v>118</v>
      </c>
      <c r="AL211" s="298" t="s">
        <v>123</v>
      </c>
      <c r="AM211" s="142" t="str">
        <f>INDEX(CarrierDriverTBL!$B:$B,MATCH(Table1[[#This Row],[DriverID]],CarrierDriverTBL!$A:$A,0))</f>
        <v>UBTrucking</v>
      </c>
      <c r="AN211" s="10" t="s">
        <v>192</v>
      </c>
      <c r="AO211" s="10" t="str">
        <f>INDEX(CarrierDriverTBL!$C:$C,MATCH(Table1[[#This Row],[DriverID]],CarrierDriverTBL!$A:$A,0))</f>
        <v>Albel</v>
      </c>
      <c r="AP211" s="142" t="str">
        <f>INDEX(CarrierDriverTBL!$D:$D,MATCH(Table1[[#This Row],[DriverID]],CarrierDriverTBL!$A:$A,0))</f>
        <v>Chahil</v>
      </c>
      <c r="AQ211" s="142" t="str">
        <f>INDEX(CarrierDriverTBL!$X:$X,MATCH(Table1[[#This Row],[DriverID]],CarrierDriverTBL!$A:$A,0))</f>
        <v>A8390649</v>
      </c>
      <c r="AR211" s="160">
        <f>INDEX(CarrierDriverTBL!$Y:$Y,MATCH(Table1[[#This Row],[DriverID]],CarrierDriverTBL!$A:$A,0))</f>
        <v>42402</v>
      </c>
      <c r="AS211" s="142" t="str">
        <f t="shared" si="97"/>
        <v>GOOD</v>
      </c>
      <c r="AT211" s="160">
        <f>INDEX(CarrierDriverTBL!$E:$E,MATCH(Table1[[#This Row],[DriverID]],CarrierDriverTBL!$A:$A,0))</f>
        <v>22314</v>
      </c>
      <c r="AU211" s="163">
        <f ca="1">INDEX(CarrierDriverTBL!$F:$F,MATCH(Table1[[#This Row],[DriverID]],CarrierDriverTBL!$A:$A,0))</f>
        <v>55.512328767123286</v>
      </c>
      <c r="AV211" s="142" t="str">
        <f>INDEX(CarrierDriverTBL!$K:$K,MATCH(Table1[[#This Row],[DriverID]],CarrierDriverTBL!$A:$A,0))</f>
        <v>510-773-9450</v>
      </c>
      <c r="AW211" s="142" t="str">
        <f>INDEX(CarrierDriverTBL!$M:$M,MATCH(Table1[[#This Row],[DriverID]],CarrierDriverTBL!$A:$A,0))</f>
        <v>3124 Cynthia CT</v>
      </c>
      <c r="AX211" s="142" t="str">
        <f>INDEX(CarrierDriverTBL!$N:$N,MATCH(Table1[[#This Row],[DriverID]],CarrierDriverTBL!$A:$A,0))</f>
        <v>Tracy</v>
      </c>
      <c r="AY211" s="142" t="str">
        <f>INDEX(CarrierDriverTBL!$O:$O,MATCH(Table1[[#This Row],[DriverID]],CarrierDriverTBL!$A:$A,0))</f>
        <v>CA</v>
      </c>
      <c r="AZ211" s="142">
        <f>INDEX(CarrierDriverTBL!$P:$P,MATCH(Table1[[#This Row],[DriverID]],CarrierDriverTBL!$A:$A,0))</f>
        <v>95377</v>
      </c>
      <c r="BA211" s="142" t="str">
        <f>INDEX(CarrierDriverTBL!$Q:$Q,MATCH(Table1[[#This Row],[DriverID]],CarrierDriverTBL!$A:$A,0))</f>
        <v>US</v>
      </c>
      <c r="BB211" s="176" t="str">
        <f>INDEX(CarrierDriverTBL!$R:$R,MATCH(Table1[[#This Row],[DriverID]],CarrierDriverTBL!$A:$A,0))</f>
        <v>ubgollc@gmail.com</v>
      </c>
      <c r="BC211" s="160">
        <f>INDEX(CarrierDriverTBL!$AB:$AB,MATCH(Table1[[#This Row],[DriverID]],CarrierDriverTBL!$A:$A,0))</f>
        <v>42167</v>
      </c>
      <c r="BD211" s="142" t="str">
        <f ca="1">INDEX(CarrierDriverTBL!$AD:$AD,MATCH(LoadMaster!$AN:$AN,CarrierDriverTBL!$A:$A,0))</f>
        <v>MISSING</v>
      </c>
      <c r="BE211" s="142">
        <f>INDEX(CarrierDriverTBL!$AE:$AE,MATCH(Table1[DriverID],CarrierDriverTBL!$A:$A,0))</f>
        <v>913971</v>
      </c>
      <c r="BF211" s="142">
        <f>INDEX(CarrierDriverTBL!$AF:$AF,MATCH(Table1[DriverID],CarrierDriverTBL!$A:$A,0))</f>
        <v>2627544</v>
      </c>
      <c r="BG211" s="142">
        <f>INDEX(CarrierDriverTBL!$AG:$AG,MATCH(Table1[DriverID],CarrierDriverTBL!$A:$A,0))</f>
        <v>466133</v>
      </c>
      <c r="BH211" s="142" t="str">
        <f>INDEX(CarrierDriverTBL!$AH:$AH,MATCH(Table1[DriverID],CarrierDriverTBL!$A:$A,0))</f>
        <v>GM Lawrence Ins</v>
      </c>
      <c r="BI211" s="142" t="str">
        <f>INDEX(CarrierDriverTBL!$AI:$AI,MATCH(Table1[DriverID],CarrierDriverTBL!$A:$A,0))</f>
        <v>DSK2842P160210</v>
      </c>
      <c r="BJ211" s="160">
        <f>INDEX(CarrierDriverTBL!$AJ:$AJ,MATCH(Table1[[#This Row],[DriverID]],CarrierDriverTBL!$A:$A,0))</f>
        <v>42778</v>
      </c>
      <c r="BK211" s="10">
        <f t="shared" si="98"/>
        <v>423</v>
      </c>
      <c r="BL211" s="174">
        <v>373</v>
      </c>
      <c r="BM211" s="144">
        <v>50</v>
      </c>
      <c r="BN211" s="159">
        <f t="shared" si="115"/>
        <v>7.46</v>
      </c>
      <c r="BO211" s="167">
        <v>323</v>
      </c>
      <c r="BP211" s="159">
        <f t="shared" si="116"/>
        <v>6.46</v>
      </c>
      <c r="BQ211" s="133">
        <v>2.7989999999999999</v>
      </c>
      <c r="BR211" s="166">
        <f t="shared" si="117"/>
        <v>0.14983333333333335</v>
      </c>
      <c r="BS211" s="167">
        <f t="shared" si="99"/>
        <v>6.3101666666666665</v>
      </c>
      <c r="BT211" s="159">
        <f t="shared" si="100"/>
        <v>7.4916666666666671</v>
      </c>
      <c r="BU211" s="10" t="str">
        <f t="shared" si="101"/>
        <v>Pepsi Logistics Company Inc</v>
      </c>
      <c r="BV211" s="15"/>
      <c r="BW211" s="4" t="str">
        <f>Table1[[#This Row],[BrokerAddress]]</f>
        <v>5600 Headquarters Drive C2D11</v>
      </c>
      <c r="BX211" s="4" t="str">
        <f t="shared" si="102"/>
        <v>Plano</v>
      </c>
      <c r="BY211" s="4" t="str">
        <f t="shared" si="103"/>
        <v>Tx</v>
      </c>
      <c r="BZ211" s="4">
        <f t="shared" si="104"/>
        <v>75024</v>
      </c>
      <c r="CA211" s="10" t="str">
        <f t="shared" si="105"/>
        <v>US</v>
      </c>
      <c r="CB211" s="15" t="s">
        <v>131</v>
      </c>
      <c r="CC211" s="62"/>
      <c r="CD211" s="15" t="s">
        <v>132</v>
      </c>
      <c r="CE211" s="64">
        <v>0</v>
      </c>
      <c r="CF211" s="4">
        <v>0</v>
      </c>
      <c r="CG211" s="132">
        <f t="shared" si="106"/>
        <v>0</v>
      </c>
      <c r="CH211" s="4" t="s">
        <v>132</v>
      </c>
      <c r="CI211" s="5">
        <v>0</v>
      </c>
      <c r="CJ211" s="4">
        <v>0</v>
      </c>
      <c r="CK211" s="132">
        <f t="shared" si="107"/>
        <v>0</v>
      </c>
      <c r="CL211" s="4" t="s">
        <v>132</v>
      </c>
      <c r="CM211" s="5">
        <v>0</v>
      </c>
      <c r="CN211" s="4">
        <v>0</v>
      </c>
      <c r="CO211" s="132">
        <f t="shared" si="108"/>
        <v>0</v>
      </c>
      <c r="CP211" s="4" t="s">
        <v>132</v>
      </c>
      <c r="CQ211" s="5">
        <v>0</v>
      </c>
      <c r="CR211" s="4">
        <v>0</v>
      </c>
      <c r="CS211" s="132">
        <f t="shared" si="109"/>
        <v>0</v>
      </c>
      <c r="CT211" s="159">
        <f t="shared" si="110"/>
        <v>0</v>
      </c>
      <c r="CU211" s="168">
        <f t="shared" si="111"/>
        <v>373</v>
      </c>
      <c r="CV211" s="169">
        <f t="shared" si="94"/>
        <v>0</v>
      </c>
      <c r="CW211" s="82">
        <f t="shared" si="95"/>
        <v>323</v>
      </c>
      <c r="CX211" s="79">
        <f>IF(ISBLANK(E211),"AddQuickPay",IF(E211=2,CU211*0.98,IF(E211=2.4,CU211*0.976,IF(E211=3,CU211*0.97,IF(E211=5,CU211*0.95,IF(E211=1.5,CU211*0.985,IF(E211=2.5,CU211*0.975,IF(E211=1.3,CU211*0.987,IF(E211=1,CU211*0.99,IF(E211=4,CU211*0.96,CU211*1))))))))))-Table1[[#This Row],[ComCheck+QuickPayFee]]</f>
        <v>363.67500000000001</v>
      </c>
      <c r="CY211" s="5">
        <f t="shared" si="112"/>
        <v>50</v>
      </c>
      <c r="CZ211" s="5">
        <f t="shared" si="113"/>
        <v>9.3250000000000011</v>
      </c>
      <c r="DA211" s="258">
        <f>Table1[[#This Row],[OriginalDispatch]]-Table1[[#This Row],[QuickPayCharge]]</f>
        <v>40.674999999999997</v>
      </c>
      <c r="DB211" s="5">
        <v>0</v>
      </c>
      <c r="DC211" s="5" t="s">
        <v>1287</v>
      </c>
      <c r="DD211" s="104">
        <f t="shared" si="114"/>
        <v>42356</v>
      </c>
      <c r="DE211" s="15">
        <f>MONTH(Table1[[#This Row],[Weekending]])</f>
        <v>12</v>
      </c>
      <c r="DF211" s="15">
        <f>YEAR(Table1[[#This Row],[Weekending]])</f>
        <v>2015</v>
      </c>
      <c r="DG211" s="4"/>
    </row>
    <row r="212" spans="1:111">
      <c r="A212" s="20" t="str">
        <f t="shared" si="96"/>
        <v>32onwn49</v>
      </c>
      <c r="B212" s="146">
        <v>42355</v>
      </c>
      <c r="C212" s="144">
        <v>187978132</v>
      </c>
      <c r="D212" s="298" t="s">
        <v>111</v>
      </c>
      <c r="E212" s="298">
        <v>2</v>
      </c>
      <c r="F212" s="142" t="str">
        <f>INDEX(BrokerTBL!$B:$B,MATCH(D212,BrokerTBL!$A:$A,0))</f>
        <v>P.O. Box 3474</v>
      </c>
      <c r="G212" s="142" t="str">
        <f>INDEX(BrokerTBL!$C:$C,MATCH(D212,BrokerTBL!$A:$A,0))</f>
        <v>Chicago</v>
      </c>
      <c r="H212" s="142" t="str">
        <f>INDEX(BrokerTBL!$D:$D,MATCH(D212,BrokerTBL!$A:$A,0))</f>
        <v>Il</v>
      </c>
      <c r="I212" s="142" t="str">
        <f>INDEX(BrokerTBL!$E:$E,MATCH(D212,BrokerTBL!$A:$A,0))</f>
        <v>US</v>
      </c>
      <c r="J212" s="142">
        <f>INDEX(BrokerTBL!$F:$F,MATCH(D212,BrokerTBL!$A:$A,0))</f>
        <v>60654</v>
      </c>
      <c r="K212" s="298" t="s">
        <v>1596</v>
      </c>
      <c r="L212" s="145" t="s">
        <v>1597</v>
      </c>
      <c r="M212" s="146">
        <v>42355</v>
      </c>
      <c r="N212" s="144" t="s">
        <v>1150</v>
      </c>
      <c r="O212" s="298" t="s">
        <v>1598</v>
      </c>
      <c r="P212" s="298" t="s">
        <v>531</v>
      </c>
      <c r="Q212" s="298" t="s">
        <v>139</v>
      </c>
      <c r="R212" s="298">
        <v>94577</v>
      </c>
      <c r="S212" s="298" t="s">
        <v>118</v>
      </c>
      <c r="T212" s="298" t="s">
        <v>136</v>
      </c>
      <c r="U212" s="298" t="s">
        <v>120</v>
      </c>
      <c r="V212" s="298">
        <v>53</v>
      </c>
      <c r="W212" s="298" t="s">
        <v>1599</v>
      </c>
      <c r="X212" s="185">
        <v>44000</v>
      </c>
      <c r="Y212" s="298" t="s">
        <v>1537</v>
      </c>
      <c r="Z212" s="298" t="s">
        <v>123</v>
      </c>
      <c r="AA212" s="298">
        <v>22</v>
      </c>
      <c r="AB212" s="298" t="s">
        <v>123</v>
      </c>
      <c r="AC212" s="298" t="s">
        <v>1600</v>
      </c>
      <c r="AD212" s="145" t="s">
        <v>1205</v>
      </c>
      <c r="AE212" s="146"/>
      <c r="AF212" s="416" t="s">
        <v>123</v>
      </c>
      <c r="AG212" s="298" t="s">
        <v>1601</v>
      </c>
      <c r="AH212" s="298" t="s">
        <v>787</v>
      </c>
      <c r="AI212" s="298" t="s">
        <v>139</v>
      </c>
      <c r="AJ212" s="298">
        <v>94804</v>
      </c>
      <c r="AK212" s="298" t="s">
        <v>118</v>
      </c>
      <c r="AL212" s="298" t="s">
        <v>123</v>
      </c>
      <c r="AM212" s="142" t="str">
        <f>INDEX(CarrierDriverTBL!$B:$B,MATCH(Table1[[#This Row],[DriverID]],CarrierDriverTBL!$A:$A,0))</f>
        <v>UBTrucking</v>
      </c>
      <c r="AN212" s="10" t="s">
        <v>192</v>
      </c>
      <c r="AO212" s="10" t="str">
        <f>INDEX(CarrierDriverTBL!$C:$C,MATCH(Table1[[#This Row],[DriverID]],CarrierDriverTBL!$A:$A,0))</f>
        <v>Albel</v>
      </c>
      <c r="AP212" s="142" t="str">
        <f>INDEX(CarrierDriverTBL!$D:$D,MATCH(Table1[[#This Row],[DriverID]],CarrierDriverTBL!$A:$A,0))</f>
        <v>Chahil</v>
      </c>
      <c r="AQ212" s="142" t="str">
        <f>INDEX(CarrierDriverTBL!$X:$X,MATCH(Table1[[#This Row],[DriverID]],CarrierDriverTBL!$A:$A,0))</f>
        <v>A8390649</v>
      </c>
      <c r="AR212" s="160">
        <f>INDEX(CarrierDriverTBL!$Y:$Y,MATCH(Table1[[#This Row],[DriverID]],CarrierDriverTBL!$A:$A,0))</f>
        <v>42402</v>
      </c>
      <c r="AS212" s="142" t="str">
        <f t="shared" si="97"/>
        <v>GOOD</v>
      </c>
      <c r="AT212" s="160">
        <f>INDEX(CarrierDriverTBL!$E:$E,MATCH(Table1[[#This Row],[DriverID]],CarrierDriverTBL!$A:$A,0))</f>
        <v>22314</v>
      </c>
      <c r="AU212" s="163">
        <f ca="1">INDEX(CarrierDriverTBL!$F:$F,MATCH(Table1[[#This Row],[DriverID]],CarrierDriverTBL!$A:$A,0))</f>
        <v>55.512328767123286</v>
      </c>
      <c r="AV212" s="142" t="str">
        <f>INDEX(CarrierDriverTBL!$K:$K,MATCH(Table1[[#This Row],[DriverID]],CarrierDriverTBL!$A:$A,0))</f>
        <v>510-773-9450</v>
      </c>
      <c r="AW212" s="142" t="str">
        <f>INDEX(CarrierDriverTBL!$M:$M,MATCH(Table1[[#This Row],[DriverID]],CarrierDriverTBL!$A:$A,0))</f>
        <v>3124 Cynthia CT</v>
      </c>
      <c r="AX212" s="142" t="str">
        <f>INDEX(CarrierDriverTBL!$N:$N,MATCH(Table1[[#This Row],[DriverID]],CarrierDriverTBL!$A:$A,0))</f>
        <v>Tracy</v>
      </c>
      <c r="AY212" s="142" t="str">
        <f>INDEX(CarrierDriverTBL!$O:$O,MATCH(Table1[[#This Row],[DriverID]],CarrierDriverTBL!$A:$A,0))</f>
        <v>CA</v>
      </c>
      <c r="AZ212" s="142">
        <f>INDEX(CarrierDriverTBL!$P:$P,MATCH(Table1[[#This Row],[DriverID]],CarrierDriverTBL!$A:$A,0))</f>
        <v>95377</v>
      </c>
      <c r="BA212" s="142" t="str">
        <f>INDEX(CarrierDriverTBL!$Q:$Q,MATCH(Table1[[#This Row],[DriverID]],CarrierDriverTBL!$A:$A,0))</f>
        <v>US</v>
      </c>
      <c r="BB212" s="176" t="str">
        <f>INDEX(CarrierDriverTBL!$R:$R,MATCH(Table1[[#This Row],[DriverID]],CarrierDriverTBL!$A:$A,0))</f>
        <v>ubgollc@gmail.com</v>
      </c>
      <c r="BC212" s="160">
        <f>INDEX(CarrierDriverTBL!$AB:$AB,MATCH(Table1[[#This Row],[DriverID]],CarrierDriverTBL!$A:$A,0))</f>
        <v>42167</v>
      </c>
      <c r="BD212" s="142" t="str">
        <f ca="1">INDEX(CarrierDriverTBL!$AD:$AD,MATCH(LoadMaster!$AN:$AN,CarrierDriverTBL!$A:$A,0))</f>
        <v>MISSING</v>
      </c>
      <c r="BE212" s="142">
        <f>INDEX(CarrierDriverTBL!$AE:$AE,MATCH(Table1[DriverID],CarrierDriverTBL!$A:$A,0))</f>
        <v>913971</v>
      </c>
      <c r="BF212" s="142">
        <f>INDEX(CarrierDriverTBL!$AF:$AF,MATCH(Table1[DriverID],CarrierDriverTBL!$A:$A,0))</f>
        <v>2627544</v>
      </c>
      <c r="BG212" s="142">
        <f>INDEX(CarrierDriverTBL!$AG:$AG,MATCH(Table1[DriverID],CarrierDriverTBL!$A:$A,0))</f>
        <v>466133</v>
      </c>
      <c r="BH212" s="142" t="str">
        <f>INDEX(CarrierDriverTBL!$AH:$AH,MATCH(Table1[DriverID],CarrierDriverTBL!$A:$A,0))</f>
        <v>GM Lawrence Ins</v>
      </c>
      <c r="BI212" s="142" t="str">
        <f>INDEX(CarrierDriverTBL!$AI:$AI,MATCH(Table1[DriverID],CarrierDriverTBL!$A:$A,0))</f>
        <v>DSK2842P160210</v>
      </c>
      <c r="BJ212" s="160">
        <f>INDEX(CarrierDriverTBL!$AJ:$AJ,MATCH(Table1[[#This Row],[DriverID]],CarrierDriverTBL!$A:$A,0))</f>
        <v>42778</v>
      </c>
      <c r="BK212" s="10">
        <f t="shared" si="98"/>
        <v>423</v>
      </c>
      <c r="BL212" s="174">
        <v>250</v>
      </c>
      <c r="BM212" s="144">
        <v>22</v>
      </c>
      <c r="BN212" s="159">
        <f t="shared" si="115"/>
        <v>11.363636363636363</v>
      </c>
      <c r="BO212" s="167">
        <v>225</v>
      </c>
      <c r="BP212" s="159">
        <f t="shared" si="116"/>
        <v>10.227272727272727</v>
      </c>
      <c r="BQ212" s="133">
        <v>2.7989999999999999</v>
      </c>
      <c r="BR212" s="166">
        <f t="shared" si="117"/>
        <v>0.14983333333333335</v>
      </c>
      <c r="BS212" s="167">
        <f t="shared" si="99"/>
        <v>10.077439393939393</v>
      </c>
      <c r="BT212" s="159">
        <f t="shared" si="100"/>
        <v>3.2963333333333336</v>
      </c>
      <c r="BU212" s="10" t="str">
        <f t="shared" si="101"/>
        <v>Ch Robinson</v>
      </c>
      <c r="BV212" s="4"/>
      <c r="BW212" s="4" t="str">
        <f>Table1[[#This Row],[BrokerAddress]]</f>
        <v>P.O. Box 3474</v>
      </c>
      <c r="BX212" s="4" t="str">
        <f t="shared" si="102"/>
        <v>Chicago</v>
      </c>
      <c r="BY212" s="4" t="str">
        <f t="shared" si="103"/>
        <v>Il</v>
      </c>
      <c r="BZ212" s="4">
        <f t="shared" si="104"/>
        <v>60654</v>
      </c>
      <c r="CA212" s="10" t="str">
        <f t="shared" si="105"/>
        <v>US</v>
      </c>
      <c r="CB212" s="15" t="s">
        <v>131</v>
      </c>
      <c r="CC212" s="62"/>
      <c r="CD212" s="15" t="s">
        <v>132</v>
      </c>
      <c r="CE212" s="64">
        <v>0</v>
      </c>
      <c r="CF212" s="4">
        <v>0</v>
      </c>
      <c r="CG212" s="132">
        <f t="shared" si="106"/>
        <v>0</v>
      </c>
      <c r="CH212" s="4" t="s">
        <v>132</v>
      </c>
      <c r="CI212" s="5">
        <v>0</v>
      </c>
      <c r="CJ212" s="4">
        <v>0</v>
      </c>
      <c r="CK212" s="132">
        <f t="shared" si="107"/>
        <v>0</v>
      </c>
      <c r="CL212" s="4" t="s">
        <v>132</v>
      </c>
      <c r="CM212" s="5">
        <v>0</v>
      </c>
      <c r="CN212" s="4">
        <v>0</v>
      </c>
      <c r="CO212" s="132">
        <f t="shared" si="108"/>
        <v>0</v>
      </c>
      <c r="CP212" s="4" t="s">
        <v>132</v>
      </c>
      <c r="CQ212" s="5">
        <v>0</v>
      </c>
      <c r="CR212" s="4">
        <v>0</v>
      </c>
      <c r="CS212" s="132">
        <f t="shared" si="109"/>
        <v>0</v>
      </c>
      <c r="CT212" s="159">
        <f t="shared" si="110"/>
        <v>0</v>
      </c>
      <c r="CU212" s="168">
        <f t="shared" si="111"/>
        <v>250</v>
      </c>
      <c r="CV212" s="169">
        <f t="shared" si="94"/>
        <v>0</v>
      </c>
      <c r="CW212" s="82">
        <f t="shared" si="95"/>
        <v>225</v>
      </c>
      <c r="CX212" s="79">
        <f>IF(ISBLANK(E212),"AddQuickPay",IF(E212=2,CU212*0.98,IF(E212=2.4,CU212*0.976,IF(E212=3,CU212*0.97,IF(E212=5,CU212*0.95,IF(E212=1.5,CU212*0.985,IF(E212=2.5,CU212*0.975,IF(E212=1.3,CU212*0.987,IF(E212=1,CU212*0.99,IF(E212=4,CU212*0.96,CU212*1))))))))))-Table1[[#This Row],[ComCheck+QuickPayFee]]</f>
        <v>245</v>
      </c>
      <c r="CY212" s="5">
        <f t="shared" si="112"/>
        <v>25</v>
      </c>
      <c r="CZ212" s="5">
        <f t="shared" si="113"/>
        <v>5</v>
      </c>
      <c r="DA212" s="258">
        <f>Table1[[#This Row],[OriginalDispatch]]-Table1[[#This Row],[QuickPayCharge]]</f>
        <v>20</v>
      </c>
      <c r="DB212" s="5">
        <v>0</v>
      </c>
      <c r="DC212" s="5" t="s">
        <v>1287</v>
      </c>
      <c r="DD212" s="104">
        <f t="shared" si="114"/>
        <v>42356</v>
      </c>
      <c r="DE212" s="15">
        <f>MONTH(Table1[[#This Row],[Weekending]])</f>
        <v>12</v>
      </c>
      <c r="DF212" s="15">
        <f>YEAR(Table1[[#This Row],[Weekending]])</f>
        <v>2015</v>
      </c>
      <c r="DG212" s="4"/>
    </row>
    <row r="213" spans="1:111">
      <c r="A213" s="20" t="str">
        <f t="shared" si="96"/>
        <v>47971288</v>
      </c>
      <c r="B213" s="146">
        <v>42355</v>
      </c>
      <c r="C213" s="144">
        <v>188750847</v>
      </c>
      <c r="D213" s="298" t="s">
        <v>111</v>
      </c>
      <c r="E213" s="298">
        <v>2</v>
      </c>
      <c r="F213" s="142" t="str">
        <f>INDEX(BrokerTBL!$B:$B,MATCH(D213,BrokerTBL!$A:$A,0))</f>
        <v>P.O. Box 3474</v>
      </c>
      <c r="G213" s="142" t="str">
        <f>INDEX(BrokerTBL!$C:$C,MATCH(D213,BrokerTBL!$A:$A,0))</f>
        <v>Chicago</v>
      </c>
      <c r="H213" s="142" t="str">
        <f>INDEX(BrokerTBL!$D:$D,MATCH(D213,BrokerTBL!$A:$A,0))</f>
        <v>Il</v>
      </c>
      <c r="I213" s="142" t="str">
        <f>INDEX(BrokerTBL!$E:$E,MATCH(D213,BrokerTBL!$A:$A,0))</f>
        <v>US</v>
      </c>
      <c r="J213" s="142">
        <f>INDEX(BrokerTBL!$F:$F,MATCH(D213,BrokerTBL!$A:$A,0))</f>
        <v>60654</v>
      </c>
      <c r="K213" s="298" t="s">
        <v>1602</v>
      </c>
      <c r="L213" s="145" t="s">
        <v>1603</v>
      </c>
      <c r="M213" s="146">
        <v>42355</v>
      </c>
      <c r="N213" s="144" t="s">
        <v>1369</v>
      </c>
      <c r="O213" s="298" t="s">
        <v>1604</v>
      </c>
      <c r="P213" s="298" t="s">
        <v>738</v>
      </c>
      <c r="Q213" s="298" t="s">
        <v>264</v>
      </c>
      <c r="R213" s="298" t="s">
        <v>1605</v>
      </c>
      <c r="S213" s="298" t="s">
        <v>118</v>
      </c>
      <c r="T213" s="298" t="s">
        <v>136</v>
      </c>
      <c r="U213" s="298" t="s">
        <v>120</v>
      </c>
      <c r="V213" s="298">
        <v>53</v>
      </c>
      <c r="W213" s="298" t="s">
        <v>1536</v>
      </c>
      <c r="X213" s="185">
        <v>13000</v>
      </c>
      <c r="Y213" s="298" t="s">
        <v>1537</v>
      </c>
      <c r="Z213" s="298" t="s">
        <v>123</v>
      </c>
      <c r="AA213" s="298">
        <v>11</v>
      </c>
      <c r="AB213" s="298" t="s">
        <v>123</v>
      </c>
      <c r="AC213" s="298" t="s">
        <v>1353</v>
      </c>
      <c r="AD213" s="145" t="s">
        <v>1606</v>
      </c>
      <c r="AE213" s="146">
        <v>42355</v>
      </c>
      <c r="AF213" s="298" t="s">
        <v>1607</v>
      </c>
      <c r="AG213" s="298" t="s">
        <v>1470</v>
      </c>
      <c r="AH213" s="298" t="s">
        <v>380</v>
      </c>
      <c r="AI213" s="298" t="s">
        <v>139</v>
      </c>
      <c r="AJ213" s="298" t="s">
        <v>1608</v>
      </c>
      <c r="AK213" s="298" t="s">
        <v>118</v>
      </c>
      <c r="AL213" s="298" t="s">
        <v>123</v>
      </c>
      <c r="AM213" s="142" t="str">
        <f>INDEX(CarrierDriverTBL!$B:$B,MATCH(Table1[[#This Row],[DriverID]],CarrierDriverTBL!$A:$A,0))</f>
        <v>UBTrucking</v>
      </c>
      <c r="AN213" s="10" t="s">
        <v>948</v>
      </c>
      <c r="AO213" s="10" t="str">
        <f>INDEX(CarrierDriverTBL!$C:$C,MATCH(Table1[[#This Row],[DriverID]],CarrierDriverTBL!$A:$A,0))</f>
        <v>Wesley</v>
      </c>
      <c r="AP213" s="10" t="str">
        <f>INDEX(CarrierDriverTBL!$D:$D,MATCH(Table1[[#This Row],[DriverID]],CarrierDriverTBL!$A:$A,0))</f>
        <v>Cousain</v>
      </c>
      <c r="AQ213" s="10" t="str">
        <f>INDEX(CarrierDriverTBL!$X:$X,MATCH(Table1[[#This Row],[DriverID]],CarrierDriverTBL!$A:$A,0))</f>
        <v>D4903588</v>
      </c>
      <c r="AR213" s="11">
        <f>INDEX(CarrierDriverTBL!$Y:$Y,MATCH(Table1[[#This Row],[DriverID]],CarrierDriverTBL!$A:$A,0))</f>
        <v>43458</v>
      </c>
      <c r="AS213" s="142" t="str">
        <f t="shared" si="97"/>
        <v>GOOD</v>
      </c>
      <c r="AT213" s="11">
        <f>INDEX(CarrierDriverTBL!$E:$E,MATCH(Table1[[#This Row],[DriverID]],CarrierDriverTBL!$A:$A,0))</f>
        <v>31405</v>
      </c>
      <c r="AU213" s="163">
        <f ca="1">INDEX(CarrierDriverTBL!$F:$F,MATCH(Table1[[#This Row],[DriverID]],CarrierDriverTBL!$A:$A,0))</f>
        <v>30.605479452054794</v>
      </c>
      <c r="AV213" s="10" t="str">
        <f>INDEX(CarrierDriverTBL!$K:$K,MATCH(Table1[[#This Row],[DriverID]],CarrierDriverTBL!$A:$A,0))</f>
        <v>925-383-5364</v>
      </c>
      <c r="AW213" s="10" t="str">
        <f>INDEX(CarrierDriverTBL!$M:$M,MATCH(Table1[[#This Row],[DriverID]],CarrierDriverTBL!$A:$A,0))</f>
        <v>110 Cordova Ln</v>
      </c>
      <c r="AX213" s="10" t="str">
        <f>INDEX(CarrierDriverTBL!$N:$N,MATCH(Table1[[#This Row],[DriverID]],CarrierDriverTBL!$A:$A,0))</f>
        <v>Stockton</v>
      </c>
      <c r="AY213" s="10" t="str">
        <f>INDEX(CarrierDriverTBL!$O:$O,MATCH(Table1[[#This Row],[DriverID]],CarrierDriverTBL!$A:$A,0))</f>
        <v>CA</v>
      </c>
      <c r="AZ213" s="10">
        <f>INDEX(CarrierDriverTBL!$P:$P,MATCH(Table1[[#This Row],[DriverID]],CarrierDriverTBL!$A:$A,0))</f>
        <v>95207</v>
      </c>
      <c r="BA213" s="10" t="str">
        <f>INDEX(CarrierDriverTBL!$Q:$Q,MATCH(Table1[[#This Row],[DriverID]],CarrierDriverTBL!$A:$A,0))</f>
        <v>US</v>
      </c>
      <c r="BB213" s="173" t="str">
        <f>INDEX(CarrierDriverTBL!$R:$R,MATCH(Table1[[#This Row],[DriverID]],CarrierDriverTBL!$A:$A,0))</f>
        <v>wesleycousain1@gmail.com</v>
      </c>
      <c r="BC213" s="160">
        <f>INDEX(CarrierDriverTBL!$AB:$AB,MATCH(Table1[[#This Row],[DriverID]],CarrierDriverTBL!$A:$A,0))</f>
        <v>42271</v>
      </c>
      <c r="BD213" s="142" t="str">
        <f ca="1">INDEX(CarrierDriverTBL!$AD:$AD,MATCH(LoadMaster!$AN:$AN,CarrierDriverTBL!$A:$A,0))</f>
        <v>MISSING</v>
      </c>
      <c r="BE213" s="142">
        <f>INDEX(CarrierDriverTBL!$AE:$AE,MATCH(Table1[DriverID],CarrierDriverTBL!$A:$A,0))</f>
        <v>913971</v>
      </c>
      <c r="BF213" s="142">
        <f>INDEX(CarrierDriverTBL!$AF:$AF,MATCH(Table1[DriverID],CarrierDriverTBL!$A:$A,0))</f>
        <v>2627544</v>
      </c>
      <c r="BG213" s="142">
        <f>INDEX(CarrierDriverTBL!$AG:$AG,MATCH(Table1[DriverID],CarrierDriverTBL!$A:$A,0))</f>
        <v>466133</v>
      </c>
      <c r="BH213" s="142" t="str">
        <f>INDEX(CarrierDriverTBL!$AH:$AH,MATCH(Table1[DriverID],CarrierDriverTBL!$A:$A,0))</f>
        <v>GM Lawrence Ins</v>
      </c>
      <c r="BI213" s="142" t="str">
        <f>INDEX(CarrierDriverTBL!$AI:$AI,MATCH(Table1[DriverID],CarrierDriverTBL!$A:$A,0))</f>
        <v>DSK2842P160210</v>
      </c>
      <c r="BJ213" s="160">
        <f>INDEX(CarrierDriverTBL!$AJ:$AJ,MATCH(Table1[[#This Row],[DriverID]],CarrierDriverTBL!$A:$A,0))</f>
        <v>42778</v>
      </c>
      <c r="BK213" s="10">
        <f t="shared" si="98"/>
        <v>423</v>
      </c>
      <c r="BL213" s="174">
        <v>450</v>
      </c>
      <c r="BM213" s="144">
        <v>205</v>
      </c>
      <c r="BN213" s="159">
        <f t="shared" si="115"/>
        <v>2.1951219512195124</v>
      </c>
      <c r="BO213" s="167">
        <f>0.93*BL213</f>
        <v>418.5</v>
      </c>
      <c r="BP213" s="159">
        <f t="shared" si="116"/>
        <v>2.0414634146341464</v>
      </c>
      <c r="BQ213" s="133">
        <v>2.7989999999999999</v>
      </c>
      <c r="BR213" s="166">
        <f t="shared" si="117"/>
        <v>0.14983333333333335</v>
      </c>
      <c r="BS213" s="167">
        <f t="shared" si="99"/>
        <v>1.8916300813008131</v>
      </c>
      <c r="BT213" s="159">
        <f t="shared" si="100"/>
        <v>30.715833333333336</v>
      </c>
      <c r="BU213" s="10" t="str">
        <f t="shared" si="101"/>
        <v>Ch Robinson</v>
      </c>
      <c r="BV213" s="4"/>
      <c r="BW213" s="4" t="str">
        <f>Table1[[#This Row],[BrokerAddress]]</f>
        <v>P.O. Box 3474</v>
      </c>
      <c r="BX213" s="4" t="str">
        <f t="shared" si="102"/>
        <v>Chicago</v>
      </c>
      <c r="BY213" s="4" t="str">
        <f t="shared" si="103"/>
        <v>Il</v>
      </c>
      <c r="BZ213" s="4">
        <f t="shared" si="104"/>
        <v>60654</v>
      </c>
      <c r="CA213" s="10" t="str">
        <f t="shared" si="105"/>
        <v>US</v>
      </c>
      <c r="CB213" s="15" t="s">
        <v>131</v>
      </c>
      <c r="CC213" s="62"/>
      <c r="CD213" s="15" t="s">
        <v>132</v>
      </c>
      <c r="CE213" s="64">
        <v>0</v>
      </c>
      <c r="CF213" s="4">
        <v>0</v>
      </c>
      <c r="CG213" s="132">
        <f t="shared" si="106"/>
        <v>0</v>
      </c>
      <c r="CH213" s="4" t="s">
        <v>132</v>
      </c>
      <c r="CI213" s="5">
        <v>0</v>
      </c>
      <c r="CJ213" s="4">
        <v>0</v>
      </c>
      <c r="CK213" s="132">
        <f t="shared" si="107"/>
        <v>0</v>
      </c>
      <c r="CL213" s="4" t="s">
        <v>132</v>
      </c>
      <c r="CM213" s="5">
        <v>0</v>
      </c>
      <c r="CN213" s="4">
        <v>0</v>
      </c>
      <c r="CO213" s="132">
        <f t="shared" si="108"/>
        <v>0</v>
      </c>
      <c r="CP213" s="4" t="s">
        <v>132</v>
      </c>
      <c r="CQ213" s="5">
        <v>0</v>
      </c>
      <c r="CR213" s="4">
        <v>0</v>
      </c>
      <c r="CS213" s="132">
        <f t="shared" si="109"/>
        <v>0</v>
      </c>
      <c r="CT213" s="159">
        <f t="shared" si="110"/>
        <v>0</v>
      </c>
      <c r="CU213" s="168">
        <f t="shared" si="111"/>
        <v>450</v>
      </c>
      <c r="CV213" s="169">
        <f t="shared" si="94"/>
        <v>0</v>
      </c>
      <c r="CW213" s="82">
        <f t="shared" si="95"/>
        <v>418.5</v>
      </c>
      <c r="CX213" s="79">
        <f>IF(ISBLANK(E213),"AddQuickPay",IF(E213=2,CU213*0.98,IF(E213=2.4,CU213*0.976,IF(E213=3,CU213*0.97,IF(E213=5,CU213*0.95,IF(E213=1.5,CU213*0.985,IF(E213=2.5,CU213*0.975,IF(E213=1.3,CU213*0.987,IF(E213=1,CU213*0.99,IF(E213=4,CU213*0.96,CU213*1))))))))))-Table1[[#This Row],[ComCheck+QuickPayFee]]</f>
        <v>441</v>
      </c>
      <c r="CY213" s="5">
        <f t="shared" si="112"/>
        <v>31.5</v>
      </c>
      <c r="CZ213" s="5">
        <f t="shared" si="113"/>
        <v>9</v>
      </c>
      <c r="DA213" s="258">
        <f>Table1[[#This Row],[OriginalDispatch]]-Table1[[#This Row],[QuickPayCharge]]</f>
        <v>22.5</v>
      </c>
      <c r="DB213" s="5">
        <v>0</v>
      </c>
      <c r="DC213" s="5" t="s">
        <v>1287</v>
      </c>
      <c r="DD213" s="104">
        <f t="shared" si="114"/>
        <v>42356</v>
      </c>
      <c r="DE213" s="15">
        <f>MONTH(Table1[[#This Row],[Weekending]])</f>
        <v>12</v>
      </c>
      <c r="DF213" s="15">
        <f>YEAR(Table1[[#This Row],[Weekending]])</f>
        <v>2015</v>
      </c>
      <c r="DG213" s="4"/>
    </row>
    <row r="214" spans="1:111">
      <c r="A214" s="20" t="str">
        <f t="shared" si="96"/>
        <v>19nkne88</v>
      </c>
      <c r="B214" s="146">
        <v>42356</v>
      </c>
      <c r="C214" s="144">
        <v>188862019</v>
      </c>
      <c r="D214" s="298" t="s">
        <v>111</v>
      </c>
      <c r="E214" s="298">
        <v>2</v>
      </c>
      <c r="F214" s="142" t="str">
        <f>INDEX(BrokerTBL!$B:$B,MATCH(D214,BrokerTBL!$A:$A,0))</f>
        <v>P.O. Box 3474</v>
      </c>
      <c r="G214" s="142" t="str">
        <f>INDEX(BrokerTBL!$C:$C,MATCH(D214,BrokerTBL!$A:$A,0))</f>
        <v>Chicago</v>
      </c>
      <c r="H214" s="142" t="str">
        <f>INDEX(BrokerTBL!$D:$D,MATCH(D214,BrokerTBL!$A:$A,0))</f>
        <v>Il</v>
      </c>
      <c r="I214" s="142" t="str">
        <f>INDEX(BrokerTBL!$E:$E,MATCH(D214,BrokerTBL!$A:$A,0))</f>
        <v>US</v>
      </c>
      <c r="J214" s="142">
        <f>INDEX(BrokerTBL!$F:$F,MATCH(D214,BrokerTBL!$A:$A,0))</f>
        <v>60654</v>
      </c>
      <c r="K214" s="298" t="s">
        <v>1609</v>
      </c>
      <c r="L214" s="145" t="s">
        <v>1179</v>
      </c>
      <c r="M214" s="146">
        <v>42359</v>
      </c>
      <c r="N214" s="144" t="s">
        <v>417</v>
      </c>
      <c r="O214" s="298" t="s">
        <v>1070</v>
      </c>
      <c r="P214" s="298" t="s">
        <v>366</v>
      </c>
      <c r="Q214" s="298" t="s">
        <v>139</v>
      </c>
      <c r="R214" s="298">
        <v>95776</v>
      </c>
      <c r="S214" s="298" t="s">
        <v>118</v>
      </c>
      <c r="T214" s="298" t="s">
        <v>136</v>
      </c>
      <c r="U214" s="298" t="s">
        <v>120</v>
      </c>
      <c r="V214" s="298">
        <v>53</v>
      </c>
      <c r="W214" s="298" t="s">
        <v>944</v>
      </c>
      <c r="X214" s="144">
        <v>30000</v>
      </c>
      <c r="Y214" s="298" t="s">
        <v>1537</v>
      </c>
      <c r="Z214" s="298" t="s">
        <v>123</v>
      </c>
      <c r="AA214" s="298" t="s">
        <v>123</v>
      </c>
      <c r="AB214" s="298" t="s">
        <v>123</v>
      </c>
      <c r="AC214" s="298" t="s">
        <v>1610</v>
      </c>
      <c r="AD214" s="145" t="s">
        <v>132</v>
      </c>
      <c r="AE214" s="146">
        <v>42359</v>
      </c>
      <c r="AF214" s="298" t="s">
        <v>1121</v>
      </c>
      <c r="AG214" s="298" t="s">
        <v>1611</v>
      </c>
      <c r="AH214" s="298" t="s">
        <v>1612</v>
      </c>
      <c r="AI214" s="298" t="s">
        <v>139</v>
      </c>
      <c r="AJ214" s="298">
        <v>92688</v>
      </c>
      <c r="AK214" s="298" t="s">
        <v>118</v>
      </c>
      <c r="AL214" s="298" t="s">
        <v>123</v>
      </c>
      <c r="AM214" s="142" t="str">
        <f>INDEX(CarrierDriverTBL!$B:$B,MATCH(Table1[[#This Row],[DriverID]],CarrierDriverTBL!$A:$A,0))</f>
        <v>UBTrucking</v>
      </c>
      <c r="AN214" s="10" t="s">
        <v>948</v>
      </c>
      <c r="AO214" s="10" t="str">
        <f>INDEX(CarrierDriverTBL!$C:$C,MATCH(Table1[[#This Row],[DriverID]],CarrierDriverTBL!$A:$A,0))</f>
        <v>Wesley</v>
      </c>
      <c r="AP214" s="10" t="str">
        <f>INDEX(CarrierDriverTBL!$D:$D,MATCH(Table1[[#This Row],[DriverID]],CarrierDriverTBL!$A:$A,0))</f>
        <v>Cousain</v>
      </c>
      <c r="AQ214" s="10" t="str">
        <f>INDEX(CarrierDriverTBL!$X:$X,MATCH(Table1[[#This Row],[DriverID]],CarrierDriverTBL!$A:$A,0))</f>
        <v>D4903588</v>
      </c>
      <c r="AR214" s="11">
        <f>INDEX(CarrierDriverTBL!$Y:$Y,MATCH(Table1[[#This Row],[DriverID]],CarrierDriverTBL!$A:$A,0))</f>
        <v>43458</v>
      </c>
      <c r="AS214" s="142" t="str">
        <f t="shared" si="97"/>
        <v>GOOD</v>
      </c>
      <c r="AT214" s="11">
        <f>INDEX(CarrierDriverTBL!$E:$E,MATCH(Table1[[#This Row],[DriverID]],CarrierDriverTBL!$A:$A,0))</f>
        <v>31405</v>
      </c>
      <c r="AU214" s="163">
        <f ca="1">INDEX(CarrierDriverTBL!$F:$F,MATCH(Table1[[#This Row],[DriverID]],CarrierDriverTBL!$A:$A,0))</f>
        <v>30.605479452054794</v>
      </c>
      <c r="AV214" s="10" t="str">
        <f>INDEX(CarrierDriverTBL!$K:$K,MATCH(Table1[[#This Row],[DriverID]],CarrierDriverTBL!$A:$A,0))</f>
        <v>925-383-5364</v>
      </c>
      <c r="AW214" s="10" t="str">
        <f>INDEX(CarrierDriverTBL!$M:$M,MATCH(Table1[[#This Row],[DriverID]],CarrierDriverTBL!$A:$A,0))</f>
        <v>110 Cordova Ln</v>
      </c>
      <c r="AX214" s="10" t="str">
        <f>INDEX(CarrierDriverTBL!$N:$N,MATCH(Table1[[#This Row],[DriverID]],CarrierDriverTBL!$A:$A,0))</f>
        <v>Stockton</v>
      </c>
      <c r="AY214" s="10" t="str">
        <f>INDEX(CarrierDriverTBL!$O:$O,MATCH(Table1[[#This Row],[DriverID]],CarrierDriverTBL!$A:$A,0))</f>
        <v>CA</v>
      </c>
      <c r="AZ214" s="10">
        <f>INDEX(CarrierDriverTBL!$P:$P,MATCH(Table1[[#This Row],[DriverID]],CarrierDriverTBL!$A:$A,0))</f>
        <v>95207</v>
      </c>
      <c r="BA214" s="10" t="str">
        <f>INDEX(CarrierDriverTBL!$Q:$Q,MATCH(Table1[[#This Row],[DriverID]],CarrierDriverTBL!$A:$A,0))</f>
        <v>US</v>
      </c>
      <c r="BB214" s="173" t="str">
        <f>INDEX(CarrierDriverTBL!$R:$R,MATCH(Table1[[#This Row],[DriverID]],CarrierDriverTBL!$A:$A,0))</f>
        <v>wesleycousain1@gmail.com</v>
      </c>
      <c r="BC214" s="160">
        <f>INDEX(CarrierDriverTBL!$AB:$AB,MATCH(Table1[[#This Row],[DriverID]],CarrierDriverTBL!$A:$A,0))</f>
        <v>42271</v>
      </c>
      <c r="BD214" s="142" t="str">
        <f ca="1">INDEX(CarrierDriverTBL!$AD:$AD,MATCH(LoadMaster!$AN:$AN,CarrierDriverTBL!$A:$A,0))</f>
        <v>MISSING</v>
      </c>
      <c r="BE214" s="142">
        <f>INDEX(CarrierDriverTBL!$AE:$AE,MATCH(Table1[DriverID],CarrierDriverTBL!$A:$A,0))</f>
        <v>913971</v>
      </c>
      <c r="BF214" s="142">
        <f>INDEX(CarrierDriverTBL!$AF:$AF,MATCH(Table1[DriverID],CarrierDriverTBL!$A:$A,0))</f>
        <v>2627544</v>
      </c>
      <c r="BG214" s="142">
        <f>INDEX(CarrierDriverTBL!$AG:$AG,MATCH(Table1[DriverID],CarrierDriverTBL!$A:$A,0))</f>
        <v>466133</v>
      </c>
      <c r="BH214" s="142" t="str">
        <f>INDEX(CarrierDriverTBL!$AH:$AH,MATCH(Table1[DriverID],CarrierDriverTBL!$A:$A,0))</f>
        <v>GM Lawrence Ins</v>
      </c>
      <c r="BI214" s="142" t="str">
        <f>INDEX(CarrierDriverTBL!$AI:$AI,MATCH(Table1[DriverID],CarrierDriverTBL!$A:$A,0))</f>
        <v>DSK2842P160210</v>
      </c>
      <c r="BJ214" s="160">
        <f>INDEX(CarrierDriverTBL!$AJ:$AJ,MATCH(Table1[[#This Row],[DriverID]],CarrierDriverTBL!$A:$A,0))</f>
        <v>42778</v>
      </c>
      <c r="BK214" s="10">
        <f t="shared" si="98"/>
        <v>419</v>
      </c>
      <c r="BL214" s="174">
        <v>550</v>
      </c>
      <c r="BM214" s="144">
        <v>500</v>
      </c>
      <c r="BN214" s="159">
        <f t="shared" si="115"/>
        <v>1.1000000000000001</v>
      </c>
      <c r="BO214" s="167">
        <f>0.93*BL214</f>
        <v>511.5</v>
      </c>
      <c r="BP214" s="159">
        <f t="shared" si="116"/>
        <v>1.0229999999999999</v>
      </c>
      <c r="BQ214" s="133">
        <v>2.7989999999999999</v>
      </c>
      <c r="BR214" s="166">
        <f t="shared" si="117"/>
        <v>0.14983333333333335</v>
      </c>
      <c r="BS214" s="167">
        <f t="shared" si="99"/>
        <v>0.87316666666666654</v>
      </c>
      <c r="BT214" s="159">
        <f t="shared" si="100"/>
        <v>74.916666666666671</v>
      </c>
      <c r="BU214" s="10" t="str">
        <f t="shared" si="101"/>
        <v>Ch Robinson</v>
      </c>
      <c r="BV214" s="4"/>
      <c r="BW214" s="4" t="str">
        <f>Table1[[#This Row],[BrokerAddress]]</f>
        <v>P.O. Box 3474</v>
      </c>
      <c r="BX214" s="4" t="str">
        <f t="shared" si="102"/>
        <v>Chicago</v>
      </c>
      <c r="BY214" s="4" t="str">
        <f t="shared" si="103"/>
        <v>Il</v>
      </c>
      <c r="BZ214" s="4">
        <f t="shared" si="104"/>
        <v>60654</v>
      </c>
      <c r="CA214" s="10" t="str">
        <f t="shared" si="105"/>
        <v>US</v>
      </c>
      <c r="CB214" s="15" t="s">
        <v>131</v>
      </c>
      <c r="CC214" s="62"/>
      <c r="CD214" s="15" t="s">
        <v>132</v>
      </c>
      <c r="CE214" s="64">
        <v>0</v>
      </c>
      <c r="CF214" s="4">
        <v>0</v>
      </c>
      <c r="CG214" s="132">
        <f t="shared" si="106"/>
        <v>0</v>
      </c>
      <c r="CH214" s="4" t="s">
        <v>132</v>
      </c>
      <c r="CI214" s="5">
        <v>0</v>
      </c>
      <c r="CJ214" s="4">
        <v>0</v>
      </c>
      <c r="CK214" s="132">
        <f t="shared" si="107"/>
        <v>0</v>
      </c>
      <c r="CL214" s="4" t="s">
        <v>132</v>
      </c>
      <c r="CM214" s="5">
        <v>0</v>
      </c>
      <c r="CN214" s="4">
        <v>0</v>
      </c>
      <c r="CO214" s="132">
        <f t="shared" si="108"/>
        <v>0</v>
      </c>
      <c r="CP214" s="4" t="s">
        <v>132</v>
      </c>
      <c r="CQ214" s="5">
        <v>0</v>
      </c>
      <c r="CR214" s="4">
        <v>0</v>
      </c>
      <c r="CS214" s="132">
        <f t="shared" si="109"/>
        <v>0</v>
      </c>
      <c r="CT214" s="159">
        <f t="shared" si="110"/>
        <v>0</v>
      </c>
      <c r="CU214" s="168">
        <f t="shared" si="111"/>
        <v>550</v>
      </c>
      <c r="CV214" s="169">
        <f t="shared" si="94"/>
        <v>0</v>
      </c>
      <c r="CW214" s="82">
        <f t="shared" si="95"/>
        <v>511.5</v>
      </c>
      <c r="CX214" s="79">
        <f>IF(ISBLANK(E214),"AddQuickPay",IF(E214=2,CU214*0.98,IF(E214=2.4,CU214*0.976,IF(E214=3,CU214*0.97,IF(E214=5,CU214*0.95,IF(E214=1.5,CU214*0.985,IF(E214=2.5,CU214*0.975,IF(E214=1.3,CU214*0.987,IF(E214=1,CU214*0.99,IF(E214=4,CU214*0.96,CU214*1))))))))))-Table1[[#This Row],[ComCheck+QuickPayFee]]</f>
        <v>539</v>
      </c>
      <c r="CY214" s="5">
        <f t="shared" si="112"/>
        <v>38.5</v>
      </c>
      <c r="CZ214" s="5">
        <f t="shared" si="113"/>
        <v>11</v>
      </c>
      <c r="DA214" s="258">
        <f>Table1[[#This Row],[OriginalDispatch]]-Table1[[#This Row],[QuickPayCharge]]</f>
        <v>27.5</v>
      </c>
      <c r="DB214" s="5">
        <v>0</v>
      </c>
      <c r="DC214" s="5" t="s">
        <v>1287</v>
      </c>
      <c r="DD214" s="104">
        <f t="shared" si="114"/>
        <v>42363</v>
      </c>
      <c r="DE214" s="15">
        <f>MONTH(Table1[[#This Row],[Weekending]])</f>
        <v>12</v>
      </c>
      <c r="DF214" s="15">
        <f>YEAR(Table1[[#This Row],[Weekending]])</f>
        <v>2015</v>
      </c>
      <c r="DG214" s="4"/>
    </row>
    <row r="215" spans="1:111" ht="30">
      <c r="A215" s="20" t="str">
        <f t="shared" si="96"/>
        <v>302Q-249</v>
      </c>
      <c r="B215" s="146">
        <v>42359</v>
      </c>
      <c r="C215" s="144">
        <v>6397830</v>
      </c>
      <c r="D215" s="298" t="s">
        <v>555</v>
      </c>
      <c r="E215" s="298">
        <v>3</v>
      </c>
      <c r="F215" s="298" t="str">
        <f>INDEX(BrokerTBL!$B:$B,MATCH(D215,BrokerTBL!$A:$A,0))</f>
        <v>P.O. Box 799</v>
      </c>
      <c r="G215" s="298" t="str">
        <f>INDEX(BrokerTBL!$C:$C,MATCH(D215,BrokerTBL!$A:$A,0))</f>
        <v>Milford</v>
      </c>
      <c r="H215" s="298" t="str">
        <f>INDEX(BrokerTBL!$D:$D,MATCH(D215,BrokerTBL!$A:$A,0))</f>
        <v>Ohio</v>
      </c>
      <c r="I215" s="298" t="str">
        <f>INDEX(BrokerTBL!$E:$E,MATCH(D215,BrokerTBL!$A:$A,0))</f>
        <v>US</v>
      </c>
      <c r="J215" s="298">
        <f>INDEX(BrokerTBL!$F:$F,MATCH(D215,BrokerTBL!$A:$A,0))</f>
        <v>45150</v>
      </c>
      <c r="K215" s="298" t="s">
        <v>805</v>
      </c>
      <c r="L215" s="145" t="s">
        <v>1613</v>
      </c>
      <c r="M215" s="146">
        <v>42359</v>
      </c>
      <c r="N215" s="182">
        <v>0.33333333333333298</v>
      </c>
      <c r="O215" s="298" t="s">
        <v>807</v>
      </c>
      <c r="P215" s="298" t="s">
        <v>689</v>
      </c>
      <c r="Q215" s="298" t="s">
        <v>139</v>
      </c>
      <c r="R215" s="298">
        <v>95691</v>
      </c>
      <c r="S215" s="298" t="s">
        <v>118</v>
      </c>
      <c r="T215" s="298" t="s">
        <v>136</v>
      </c>
      <c r="U215" s="298" t="s">
        <v>120</v>
      </c>
      <c r="V215" s="298">
        <v>53</v>
      </c>
      <c r="W215" s="298" t="s">
        <v>808</v>
      </c>
      <c r="X215" s="144" t="s">
        <v>136</v>
      </c>
      <c r="Y215" s="298" t="s">
        <v>123</v>
      </c>
      <c r="Z215" s="298" t="s">
        <v>123</v>
      </c>
      <c r="AA215" s="298" t="s">
        <v>123</v>
      </c>
      <c r="AB215" s="298" t="s">
        <v>123</v>
      </c>
      <c r="AC215" s="187" t="s">
        <v>1614</v>
      </c>
      <c r="AD215" s="188" t="s">
        <v>1615</v>
      </c>
      <c r="AE215" s="190" t="s">
        <v>1616</v>
      </c>
      <c r="AF215" s="191" t="s">
        <v>1617</v>
      </c>
      <c r="AG215" s="187" t="s">
        <v>1618</v>
      </c>
      <c r="AH215" s="187" t="s">
        <v>1619</v>
      </c>
      <c r="AI215" s="187" t="s">
        <v>1620</v>
      </c>
      <c r="AJ215" s="187" t="s">
        <v>1621</v>
      </c>
      <c r="AK215" s="187" t="s">
        <v>1622</v>
      </c>
      <c r="AL215" s="298" t="s">
        <v>1623</v>
      </c>
      <c r="AM215" s="142" t="str">
        <f>INDEX(CarrierDriverTBL!$B:$B,MATCH(Table1[[#This Row],[DriverID]],CarrierDriverTBL!$A:$A,0))</f>
        <v>UBTrucking</v>
      </c>
      <c r="AN215" s="10" t="s">
        <v>192</v>
      </c>
      <c r="AO215" s="10" t="str">
        <f>INDEX(CarrierDriverTBL!$C:$C,MATCH(Table1[[#This Row],[DriverID]],CarrierDriverTBL!$A:$A,0))</f>
        <v>Albel</v>
      </c>
      <c r="AP215" s="142" t="str">
        <f>INDEX(CarrierDriverTBL!$D:$D,MATCH(Table1[[#This Row],[DriverID]],CarrierDriverTBL!$A:$A,0))</f>
        <v>Chahil</v>
      </c>
      <c r="AQ215" s="142" t="str">
        <f>INDEX(CarrierDriverTBL!$X:$X,MATCH(Table1[[#This Row],[DriverID]],CarrierDriverTBL!$A:$A,0))</f>
        <v>A8390649</v>
      </c>
      <c r="AR215" s="160">
        <f>INDEX(CarrierDriverTBL!$Y:$Y,MATCH(Table1[[#This Row],[DriverID]],CarrierDriverTBL!$A:$A,0))</f>
        <v>42402</v>
      </c>
      <c r="AS215" s="142" t="str">
        <f t="shared" si="97"/>
        <v>GOOD</v>
      </c>
      <c r="AT215" s="160">
        <f>INDEX(CarrierDriverTBL!$E:$E,MATCH(Table1[[#This Row],[DriverID]],CarrierDriverTBL!$A:$A,0))</f>
        <v>22314</v>
      </c>
      <c r="AU215" s="163">
        <f ca="1">INDEX(CarrierDriverTBL!$F:$F,MATCH(Table1[[#This Row],[DriverID]],CarrierDriverTBL!$A:$A,0))</f>
        <v>55.512328767123286</v>
      </c>
      <c r="AV215" s="142" t="str">
        <f>INDEX(CarrierDriverTBL!$K:$K,MATCH(Table1[[#This Row],[DriverID]],CarrierDriverTBL!$A:$A,0))</f>
        <v>510-773-9450</v>
      </c>
      <c r="AW215" s="142" t="str">
        <f>INDEX(CarrierDriverTBL!$M:$M,MATCH(Table1[[#This Row],[DriverID]],CarrierDriverTBL!$A:$A,0))</f>
        <v>3124 Cynthia CT</v>
      </c>
      <c r="AX215" s="142" t="str">
        <f>INDEX(CarrierDriverTBL!$N:$N,MATCH(Table1[[#This Row],[DriverID]],CarrierDriverTBL!$A:$A,0))</f>
        <v>Tracy</v>
      </c>
      <c r="AY215" s="142" t="str">
        <f>INDEX(CarrierDriverTBL!$O:$O,MATCH(Table1[[#This Row],[DriverID]],CarrierDriverTBL!$A:$A,0))</f>
        <v>CA</v>
      </c>
      <c r="AZ215" s="142">
        <f>INDEX(CarrierDriverTBL!$P:$P,MATCH(Table1[[#This Row],[DriverID]],CarrierDriverTBL!$A:$A,0))</f>
        <v>95377</v>
      </c>
      <c r="BA215" s="142" t="str">
        <f>INDEX(CarrierDriverTBL!$Q:$Q,MATCH(Table1[[#This Row],[DriverID]],CarrierDriverTBL!$A:$A,0))</f>
        <v>US</v>
      </c>
      <c r="BB215" s="176" t="str">
        <f>INDEX(CarrierDriverTBL!$R:$R,MATCH(Table1[[#This Row],[DriverID]],CarrierDriverTBL!$A:$A,0))</f>
        <v>ubgollc@gmail.com</v>
      </c>
      <c r="BC215" s="160">
        <f>INDEX(CarrierDriverTBL!$AB:$AB,MATCH(Table1[[#This Row],[DriverID]],CarrierDriverTBL!$A:$A,0))</f>
        <v>42167</v>
      </c>
      <c r="BD215" s="142" t="str">
        <f ca="1">INDEX(CarrierDriverTBL!$AD:$AD,MATCH(LoadMaster!$AN:$AN,CarrierDriverTBL!$A:$A,0))</f>
        <v>MISSING</v>
      </c>
      <c r="BE215" s="142">
        <f>INDEX(CarrierDriverTBL!$AE:$AE,MATCH(Table1[DriverID],CarrierDriverTBL!$A:$A,0))</f>
        <v>913971</v>
      </c>
      <c r="BF215" s="142">
        <f>INDEX(CarrierDriverTBL!$AF:$AF,MATCH(Table1[DriverID],CarrierDriverTBL!$A:$A,0))</f>
        <v>2627544</v>
      </c>
      <c r="BG215" s="142">
        <f>INDEX(CarrierDriverTBL!$AG:$AG,MATCH(Table1[DriverID],CarrierDriverTBL!$A:$A,0))</f>
        <v>466133</v>
      </c>
      <c r="BH215" s="142" t="str">
        <f>INDEX(CarrierDriverTBL!$AH:$AH,MATCH(Table1[DriverID],CarrierDriverTBL!$A:$A,0))</f>
        <v>GM Lawrence Ins</v>
      </c>
      <c r="BI215" s="142" t="str">
        <f>INDEX(CarrierDriverTBL!$AI:$AI,MATCH(Table1[DriverID],CarrierDriverTBL!$A:$A,0))</f>
        <v>DSK2842P160210</v>
      </c>
      <c r="BJ215" s="160">
        <f>INDEX(CarrierDriverTBL!$AJ:$AJ,MATCH(Table1[[#This Row],[DriverID]],CarrierDriverTBL!$A:$A,0))</f>
        <v>42778</v>
      </c>
      <c r="BK215" s="10">
        <f t="shared" si="98"/>
        <v>419</v>
      </c>
      <c r="BL215" s="174">
        <v>725</v>
      </c>
      <c r="BM215" s="144">
        <v>340</v>
      </c>
      <c r="BN215" s="159">
        <f t="shared" si="115"/>
        <v>2.1323529411764706</v>
      </c>
      <c r="BO215" s="167">
        <v>675</v>
      </c>
      <c r="BP215" s="159">
        <f t="shared" si="116"/>
        <v>1.9852941176470589</v>
      </c>
      <c r="BQ215" s="133">
        <v>2.7989999999999999</v>
      </c>
      <c r="BR215" s="166">
        <f t="shared" si="117"/>
        <v>0.14983333333333335</v>
      </c>
      <c r="BS215" s="167">
        <f t="shared" si="99"/>
        <v>1.8354607843137256</v>
      </c>
      <c r="BT215" s="159">
        <f t="shared" si="100"/>
        <v>50.943333333333335</v>
      </c>
      <c r="BU215" s="10" t="str">
        <f t="shared" si="101"/>
        <v>Tql</v>
      </c>
      <c r="BV215" s="15"/>
      <c r="BW215" s="4" t="str">
        <f>Table1[[#This Row],[BrokerAddress]]</f>
        <v>P.O. Box 799</v>
      </c>
      <c r="BX215" s="4" t="str">
        <f t="shared" si="102"/>
        <v>Milford</v>
      </c>
      <c r="BY215" s="4" t="str">
        <f t="shared" si="103"/>
        <v>Ohio</v>
      </c>
      <c r="BZ215" s="4">
        <f t="shared" si="104"/>
        <v>45150</v>
      </c>
      <c r="CA215" s="10" t="str">
        <f t="shared" si="105"/>
        <v>US</v>
      </c>
      <c r="CB215" s="15" t="s">
        <v>131</v>
      </c>
      <c r="CC215" s="62"/>
      <c r="CD215" s="15" t="s">
        <v>132</v>
      </c>
      <c r="CE215" s="64">
        <v>0</v>
      </c>
      <c r="CF215" s="4">
        <v>0</v>
      </c>
      <c r="CG215" s="132">
        <f t="shared" si="106"/>
        <v>0</v>
      </c>
      <c r="CH215" s="4" t="s">
        <v>132</v>
      </c>
      <c r="CI215" s="5">
        <v>0</v>
      </c>
      <c r="CJ215" s="4">
        <v>0</v>
      </c>
      <c r="CK215" s="132">
        <f t="shared" si="107"/>
        <v>0</v>
      </c>
      <c r="CL215" s="4" t="s">
        <v>132</v>
      </c>
      <c r="CM215" s="5">
        <v>0</v>
      </c>
      <c r="CN215" s="4">
        <v>0</v>
      </c>
      <c r="CO215" s="132">
        <f t="shared" si="108"/>
        <v>0</v>
      </c>
      <c r="CP215" s="4" t="s">
        <v>132</v>
      </c>
      <c r="CQ215" s="5">
        <v>0</v>
      </c>
      <c r="CR215" s="4">
        <v>0</v>
      </c>
      <c r="CS215" s="132">
        <f t="shared" si="109"/>
        <v>0</v>
      </c>
      <c r="CT215" s="159">
        <f t="shared" si="110"/>
        <v>0</v>
      </c>
      <c r="CU215" s="168">
        <f t="shared" si="111"/>
        <v>725</v>
      </c>
      <c r="CV215" s="169">
        <f t="shared" si="94"/>
        <v>0</v>
      </c>
      <c r="CW215" s="82">
        <f t="shared" si="95"/>
        <v>675</v>
      </c>
      <c r="CX215" s="79">
        <f>IF(ISBLANK(E215),"AddQuickPay",IF(E215=2,CU215*0.98,IF(E215=2.4,CU215*0.976,IF(E215=3,CU215*0.97,IF(E215=5,CU215*0.95,IF(E215=1.5,CU215*0.985,IF(E215=2.5,CU215*0.975,IF(E215=1.3,CU215*0.987,IF(E215=1,CU215*0.99,IF(E215=4,CU215*0.96,CU215*1))))))))))-Table1[[#This Row],[ComCheck+QuickPayFee]]</f>
        <v>703.25</v>
      </c>
      <c r="CY215" s="5">
        <f t="shared" si="112"/>
        <v>50</v>
      </c>
      <c r="CZ215" s="5">
        <f t="shared" si="113"/>
        <v>21.75</v>
      </c>
      <c r="DA215" s="258">
        <f>Table1[[#This Row],[OriginalDispatch]]-Table1[[#This Row],[QuickPayCharge]]</f>
        <v>28.25</v>
      </c>
      <c r="DB215" s="5">
        <v>0</v>
      </c>
      <c r="DC215" s="5" t="s">
        <v>1287</v>
      </c>
      <c r="DD215" s="104">
        <f t="shared" si="114"/>
        <v>42363</v>
      </c>
      <c r="DE215" s="15">
        <f>MONTH(Table1[[#This Row],[Weekending]])</f>
        <v>12</v>
      </c>
      <c r="DF215" s="15">
        <f>YEAR(Table1[[#This Row],[Weekending]])</f>
        <v>2015</v>
      </c>
      <c r="DG215" s="4"/>
    </row>
    <row r="216" spans="1:111">
      <c r="A216" s="20" t="str">
        <f t="shared" si="96"/>
        <v>97616119</v>
      </c>
      <c r="B216" s="146">
        <v>42360</v>
      </c>
      <c r="C216" s="144">
        <v>189047697</v>
      </c>
      <c r="D216" s="298" t="s">
        <v>111</v>
      </c>
      <c r="E216" s="298">
        <v>2</v>
      </c>
      <c r="F216" s="142" t="str">
        <f>INDEX(BrokerTBL!$B:$B,MATCH(D216,BrokerTBL!$A:$A,0))</f>
        <v>P.O. Box 3474</v>
      </c>
      <c r="G216" s="142" t="str">
        <f>INDEX(BrokerTBL!$C:$C,MATCH(D216,BrokerTBL!$A:$A,0))</f>
        <v>Chicago</v>
      </c>
      <c r="H216" s="142" t="str">
        <f>INDEX(BrokerTBL!$D:$D,MATCH(D216,BrokerTBL!$A:$A,0))</f>
        <v>Il</v>
      </c>
      <c r="I216" s="142" t="str">
        <f>INDEX(BrokerTBL!$E:$E,MATCH(D216,BrokerTBL!$A:$A,0))</f>
        <v>US</v>
      </c>
      <c r="J216" s="142">
        <f>INDEX(BrokerTBL!$F:$F,MATCH(D216,BrokerTBL!$A:$A,0))</f>
        <v>60654</v>
      </c>
      <c r="K216" s="298" t="s">
        <v>1624</v>
      </c>
      <c r="L216" s="145">
        <v>1017400961</v>
      </c>
      <c r="M216" s="146">
        <v>42360</v>
      </c>
      <c r="N216" s="182">
        <v>0.91666666666666696</v>
      </c>
      <c r="O216" s="298" t="s">
        <v>1625</v>
      </c>
      <c r="P216" s="298" t="s">
        <v>605</v>
      </c>
      <c r="Q216" s="298" t="s">
        <v>139</v>
      </c>
      <c r="R216" s="298" t="s">
        <v>1626</v>
      </c>
      <c r="S216" s="298" t="s">
        <v>118</v>
      </c>
      <c r="T216" s="298" t="s">
        <v>1627</v>
      </c>
      <c r="U216" s="298" t="s">
        <v>120</v>
      </c>
      <c r="V216" s="298">
        <v>53</v>
      </c>
      <c r="W216" s="298" t="s">
        <v>1628</v>
      </c>
      <c r="X216" s="185">
        <v>43000</v>
      </c>
      <c r="Y216" s="298" t="s">
        <v>740</v>
      </c>
      <c r="Z216" s="298">
        <v>2700</v>
      </c>
      <c r="AA216" s="298">
        <v>18</v>
      </c>
      <c r="AB216" s="298" t="s">
        <v>123</v>
      </c>
      <c r="AC216" s="298" t="s">
        <v>1629</v>
      </c>
      <c r="AD216" s="145">
        <v>1017400961</v>
      </c>
      <c r="AE216" s="146">
        <v>42361</v>
      </c>
      <c r="AF216" s="182">
        <v>0.39583333333333298</v>
      </c>
      <c r="AG216" s="298" t="s">
        <v>723</v>
      </c>
      <c r="AH216" s="298" t="s">
        <v>263</v>
      </c>
      <c r="AI216" s="298" t="s">
        <v>139</v>
      </c>
      <c r="AJ216" s="298">
        <v>89434</v>
      </c>
      <c r="AK216" s="298" t="s">
        <v>118</v>
      </c>
      <c r="AL216" s="298" t="s">
        <v>1630</v>
      </c>
      <c r="AM216" s="142" t="str">
        <f>INDEX(CarrierDriverTBL!$B:$B,MATCH(Table1[[#This Row],[DriverID]],CarrierDriverTBL!$A:$A,0))</f>
        <v>UBTrucking</v>
      </c>
      <c r="AN216" s="10" t="s">
        <v>1409</v>
      </c>
      <c r="AO216" s="298" t="str">
        <f>INDEX(CarrierDriverTBL!$C:$C,MATCH(Table1[[#This Row],[DriverID]],CarrierDriverTBL!$A:$A,0))</f>
        <v>Miguel Jaime</v>
      </c>
      <c r="AP216" s="298" t="str">
        <f>INDEX(CarrierDriverTBL!$D:$D,MATCH(Table1[[#This Row],[DriverID]],CarrierDriverTBL!$A:$A,0))</f>
        <v>Martin Del Campo Velarca</v>
      </c>
      <c r="AQ216" s="142" t="str">
        <f>INDEX(CarrierDriverTBL!$X:$X,MATCH(Table1[[#This Row],[DriverID]],CarrierDriverTBL!$A:$A,0))</f>
        <v>D5179619</v>
      </c>
      <c r="AR216" s="160">
        <f>INDEX(CarrierDriverTBL!$Y:$Y,MATCH(Table1[[#This Row],[DriverID]],CarrierDriverTBL!$A:$A,0))</f>
        <v>43843</v>
      </c>
      <c r="AS216" s="142" t="str">
        <f t="shared" si="97"/>
        <v>GOOD</v>
      </c>
      <c r="AT216" s="146">
        <f>INDEX(CarrierDriverTBL!$E:$E,MATCH(Table1[[#This Row],[DriverID]],CarrierDriverTBL!$A:$A,0))</f>
        <v>21198</v>
      </c>
      <c r="AU216" s="163">
        <f ca="1">INDEX(CarrierDriverTBL!$F:$F,MATCH(Table1[[#This Row],[DriverID]],CarrierDriverTBL!$A:$A,0))</f>
        <v>58.56986301369863</v>
      </c>
      <c r="AV216" s="298" t="str">
        <f>INDEX(CarrierDriverTBL!$K:$K,MATCH(Table1[[#This Row],[DriverID]],CarrierDriverTBL!$A:$A,0))</f>
        <v>209-322-5231</v>
      </c>
      <c r="AW216" s="298" t="str">
        <f>INDEX(CarrierDriverTBL!$M:$M,MATCH(Table1[[#This Row],[DriverID]],CarrierDriverTBL!$A:$A,0))</f>
        <v>572 Predersen RD</v>
      </c>
      <c r="AX216" s="298" t="str">
        <f>INDEX(CarrierDriverTBL!$N:$N,MATCH(Table1[[#This Row],[DriverID]],CarrierDriverTBL!$A:$A,0))</f>
        <v>Oakdale</v>
      </c>
      <c r="AY216" s="142" t="str">
        <f>INDEX(CarrierDriverTBL!$O:$O,MATCH(Table1[[#This Row],[DriverID]],CarrierDriverTBL!$A:$A,0))</f>
        <v>CA</v>
      </c>
      <c r="AZ216" s="298">
        <f>INDEX(CarrierDriverTBL!$P:$P,MATCH(Table1[[#This Row],[DriverID]],CarrierDriverTBL!$A:$A,0))</f>
        <v>95361</v>
      </c>
      <c r="BA216" s="298" t="str">
        <f>INDEX(CarrierDriverTBL!$Q:$Q,MATCH(Table1[[#This Row],[DriverID]],CarrierDriverTBL!$A:$A,0))</f>
        <v>US</v>
      </c>
      <c r="BB216" s="176" t="str">
        <f>INDEX(CarrierDriverTBL!$R:$R,MATCH(Table1[[#This Row],[DriverID]],CarrierDriverTBL!$A:$A,0))</f>
        <v>Miguelmartin52@yahoo.com</v>
      </c>
      <c r="BC216" s="160">
        <f>INDEX(CarrierDriverTBL!$AB:$AB,MATCH(Table1[[#This Row],[DriverID]],CarrierDriverTBL!$A:$A,0))</f>
        <v>42334</v>
      </c>
      <c r="BD216" s="142" t="str">
        <f ca="1">INDEX(CarrierDriverTBL!$AD:$AD,MATCH(LoadMaster!$AN:$AN,CarrierDriverTBL!$A:$A,0))</f>
        <v>MISSING</v>
      </c>
      <c r="BE216" s="142">
        <f>INDEX(CarrierDriverTBL!$AE:$AE,MATCH(Table1[DriverID],CarrierDriverTBL!$A:$A,0))</f>
        <v>913971</v>
      </c>
      <c r="BF216" s="142">
        <f>INDEX(CarrierDriverTBL!$AF:$AF,MATCH(Table1[DriverID],CarrierDriverTBL!$A:$A,0))</f>
        <v>2627544</v>
      </c>
      <c r="BG216" s="142">
        <f>INDEX(CarrierDriverTBL!$AG:$AG,MATCH(Table1[DriverID],CarrierDriverTBL!$A:$A,0))</f>
        <v>466133</v>
      </c>
      <c r="BH216" s="142" t="str">
        <f>INDEX(CarrierDriverTBL!$AH:$AH,MATCH(Table1[DriverID],CarrierDriverTBL!$A:$A,0))</f>
        <v>GM Lawrence Ins</v>
      </c>
      <c r="BI216" s="142" t="str">
        <f>INDEX(CarrierDriverTBL!$AI:$AI,MATCH(Table1[DriverID],CarrierDriverTBL!$A:$A,0))</f>
        <v>DSK2842P160210</v>
      </c>
      <c r="BJ216" s="160">
        <f>INDEX(CarrierDriverTBL!$AJ:$AJ,MATCH(Table1[[#This Row],[DriverID]],CarrierDriverTBL!$A:$A,0))</f>
        <v>42778</v>
      </c>
      <c r="BK216" s="10">
        <f t="shared" si="98"/>
        <v>418</v>
      </c>
      <c r="BL216" s="174">
        <v>900</v>
      </c>
      <c r="BM216" s="144">
        <v>205</v>
      </c>
      <c r="BN216" s="159">
        <f t="shared" si="115"/>
        <v>4.3902439024390247</v>
      </c>
      <c r="BO216" s="167">
        <f>0.93*900</f>
        <v>837</v>
      </c>
      <c r="BP216" s="159">
        <f t="shared" si="116"/>
        <v>4.0829268292682928</v>
      </c>
      <c r="BQ216" s="133">
        <v>2.7989999999999999</v>
      </c>
      <c r="BR216" s="166">
        <f t="shared" si="117"/>
        <v>0.14983333333333335</v>
      </c>
      <c r="BS216" s="167">
        <f t="shared" si="99"/>
        <v>3.9330934959349593</v>
      </c>
      <c r="BT216" s="159">
        <f t="shared" si="100"/>
        <v>30.715833333333336</v>
      </c>
      <c r="BU216" s="10" t="str">
        <f t="shared" si="101"/>
        <v>Ch Robinson</v>
      </c>
      <c r="BV216" s="4"/>
      <c r="BW216" s="4" t="str">
        <f>Table1[[#This Row],[BrokerAddress]]</f>
        <v>P.O. Box 3474</v>
      </c>
      <c r="BX216" s="4" t="str">
        <f t="shared" si="102"/>
        <v>Chicago</v>
      </c>
      <c r="BY216" s="4" t="str">
        <f t="shared" si="103"/>
        <v>Il</v>
      </c>
      <c r="BZ216" s="4">
        <f t="shared" si="104"/>
        <v>60654</v>
      </c>
      <c r="CA216" s="10" t="str">
        <f t="shared" si="105"/>
        <v>US</v>
      </c>
      <c r="CB216" s="15" t="s">
        <v>131</v>
      </c>
      <c r="CC216" s="62"/>
      <c r="CD216" s="15" t="s">
        <v>132</v>
      </c>
      <c r="CE216" s="64">
        <v>0</v>
      </c>
      <c r="CF216" s="4">
        <v>0</v>
      </c>
      <c r="CG216" s="132">
        <f t="shared" si="106"/>
        <v>0</v>
      </c>
      <c r="CH216" s="4" t="s">
        <v>132</v>
      </c>
      <c r="CI216" s="5">
        <v>0</v>
      </c>
      <c r="CJ216" s="4">
        <v>0</v>
      </c>
      <c r="CK216" s="132">
        <f t="shared" si="107"/>
        <v>0</v>
      </c>
      <c r="CL216" s="4" t="s">
        <v>132</v>
      </c>
      <c r="CM216" s="5">
        <v>0</v>
      </c>
      <c r="CN216" s="4">
        <v>0</v>
      </c>
      <c r="CO216" s="132">
        <f t="shared" si="108"/>
        <v>0</v>
      </c>
      <c r="CP216" s="4" t="s">
        <v>132</v>
      </c>
      <c r="CQ216" s="5">
        <v>0</v>
      </c>
      <c r="CR216" s="4">
        <v>0</v>
      </c>
      <c r="CS216" s="132">
        <f t="shared" si="109"/>
        <v>0</v>
      </c>
      <c r="CT216" s="159">
        <f t="shared" si="110"/>
        <v>0</v>
      </c>
      <c r="CU216" s="168">
        <f t="shared" si="111"/>
        <v>900</v>
      </c>
      <c r="CV216" s="169">
        <f t="shared" si="94"/>
        <v>0</v>
      </c>
      <c r="CW216" s="82">
        <f t="shared" si="95"/>
        <v>837</v>
      </c>
      <c r="CX216" s="79">
        <f>IF(ISBLANK(E216),"AddQuickPay",IF(E216=2,CU216*0.98,IF(E216=2.4,CU216*0.976,IF(E216=3,CU216*0.97,IF(E216=5,CU216*0.95,IF(E216=1.5,CU216*0.985,IF(E216=2.5,CU216*0.975,IF(E216=1.3,CU216*0.987,IF(E216=1,CU216*0.99,IF(E216=4,CU216*0.96,CU216*1))))))))))-Table1[[#This Row],[ComCheck+QuickPayFee]]</f>
        <v>882</v>
      </c>
      <c r="CY216" s="5">
        <f t="shared" si="112"/>
        <v>63</v>
      </c>
      <c r="CZ216" s="5">
        <f t="shared" si="113"/>
        <v>18</v>
      </c>
      <c r="DA216" s="258">
        <f>Table1[[#This Row],[OriginalDispatch]]-Table1[[#This Row],[QuickPayCharge]]</f>
        <v>45</v>
      </c>
      <c r="DB216" s="5">
        <v>0</v>
      </c>
      <c r="DC216" s="5" t="s">
        <v>1287</v>
      </c>
      <c r="DD216" s="104">
        <f t="shared" si="114"/>
        <v>42363</v>
      </c>
      <c r="DE216" s="15">
        <f>MONTH(Table1[[#This Row],[Weekending]])</f>
        <v>12</v>
      </c>
      <c r="DF216" s="15">
        <f>YEAR(Table1[[#This Row],[Weekending]])</f>
        <v>2015</v>
      </c>
      <c r="DG216" s="4"/>
    </row>
    <row r="217" spans="1:111">
      <c r="A217" s="20" t="str">
        <f t="shared" si="96"/>
        <v>39167249</v>
      </c>
      <c r="B217" s="146">
        <v>42360</v>
      </c>
      <c r="C217" s="144">
        <v>188142939</v>
      </c>
      <c r="D217" s="298" t="s">
        <v>111</v>
      </c>
      <c r="E217" s="298">
        <v>2</v>
      </c>
      <c r="F217" s="142" t="str">
        <f>INDEX(BrokerTBL!$B:$B,MATCH(D217,BrokerTBL!$A:$A,0))</f>
        <v>P.O. Box 3474</v>
      </c>
      <c r="G217" s="142" t="str">
        <f>INDEX(BrokerTBL!$C:$C,MATCH(D217,BrokerTBL!$A:$A,0))</f>
        <v>Chicago</v>
      </c>
      <c r="H217" s="142" t="str">
        <f>INDEX(BrokerTBL!$D:$D,MATCH(D217,BrokerTBL!$A:$A,0))</f>
        <v>Il</v>
      </c>
      <c r="I217" s="142" t="str">
        <f>INDEX(BrokerTBL!$E:$E,MATCH(D217,BrokerTBL!$A:$A,0))</f>
        <v>US</v>
      </c>
      <c r="J217" s="142">
        <f>INDEX(BrokerTBL!$F:$F,MATCH(D217,BrokerTBL!$A:$A,0))</f>
        <v>60654</v>
      </c>
      <c r="K217" s="298" t="s">
        <v>700</v>
      </c>
      <c r="L217" s="145" t="s">
        <v>1631</v>
      </c>
      <c r="M217" s="146">
        <v>42360</v>
      </c>
      <c r="N217" s="144" t="s">
        <v>1632</v>
      </c>
      <c r="O217" s="298" t="s">
        <v>702</v>
      </c>
      <c r="P217" s="298" t="s">
        <v>703</v>
      </c>
      <c r="Q217" s="298" t="s">
        <v>139</v>
      </c>
      <c r="R217" s="298">
        <v>93030</v>
      </c>
      <c r="S217" s="298" t="s">
        <v>118</v>
      </c>
      <c r="T217" s="298" t="s">
        <v>704</v>
      </c>
      <c r="U217" s="298" t="s">
        <v>120</v>
      </c>
      <c r="V217" s="298">
        <v>53</v>
      </c>
      <c r="W217" s="298" t="s">
        <v>1633</v>
      </c>
      <c r="X217" s="144">
        <v>9848</v>
      </c>
      <c r="Y217" s="298" t="s">
        <v>740</v>
      </c>
      <c r="Z217" s="298">
        <v>720</v>
      </c>
      <c r="AA217" s="298">
        <v>30</v>
      </c>
      <c r="AB217" s="298" t="s">
        <v>123</v>
      </c>
      <c r="AC217" s="298" t="s">
        <v>1634</v>
      </c>
      <c r="AD217" s="145" t="s">
        <v>1635</v>
      </c>
      <c r="AE217" s="146">
        <v>42361</v>
      </c>
      <c r="AF217" s="298" t="s">
        <v>1281</v>
      </c>
      <c r="AG217" s="298" t="s">
        <v>1636</v>
      </c>
      <c r="AH217" s="298" t="s">
        <v>184</v>
      </c>
      <c r="AI217" s="298" t="s">
        <v>139</v>
      </c>
      <c r="AJ217" s="298">
        <v>95206</v>
      </c>
      <c r="AK217" s="298" t="s">
        <v>118</v>
      </c>
      <c r="AL217" s="298" t="s">
        <v>123</v>
      </c>
      <c r="AM217" s="142" t="str">
        <f>INDEX(CarrierDriverTBL!$B:$B,MATCH(Table1[[#This Row],[DriverID]],CarrierDriverTBL!$A:$A,0))</f>
        <v>UBTrucking</v>
      </c>
      <c r="AN217" s="10" t="s">
        <v>192</v>
      </c>
      <c r="AO217" s="10" t="str">
        <f>INDEX(CarrierDriverTBL!$C:$C,MATCH(Table1[[#This Row],[DriverID]],CarrierDriverTBL!$A:$A,0))</f>
        <v>Albel</v>
      </c>
      <c r="AP217" s="142" t="str">
        <f>INDEX(CarrierDriverTBL!$D:$D,MATCH(Table1[[#This Row],[DriverID]],CarrierDriverTBL!$A:$A,0))</f>
        <v>Chahil</v>
      </c>
      <c r="AQ217" s="142" t="str">
        <f>INDEX(CarrierDriverTBL!$X:$X,MATCH(Table1[[#This Row],[DriverID]],CarrierDriverTBL!$A:$A,0))</f>
        <v>A8390649</v>
      </c>
      <c r="AR217" s="160">
        <f>INDEX(CarrierDriverTBL!$Y:$Y,MATCH(Table1[[#This Row],[DriverID]],CarrierDriverTBL!$A:$A,0))</f>
        <v>42402</v>
      </c>
      <c r="AS217" s="142" t="str">
        <f t="shared" si="97"/>
        <v>GOOD</v>
      </c>
      <c r="AT217" s="160">
        <f>INDEX(CarrierDriverTBL!$E:$E,MATCH(Table1[[#This Row],[DriverID]],CarrierDriverTBL!$A:$A,0))</f>
        <v>22314</v>
      </c>
      <c r="AU217" s="163">
        <f ca="1">INDEX(CarrierDriverTBL!$F:$F,MATCH(Table1[[#This Row],[DriverID]],CarrierDriverTBL!$A:$A,0))</f>
        <v>55.512328767123286</v>
      </c>
      <c r="AV217" s="142" t="str">
        <f>INDEX(CarrierDriverTBL!$K:$K,MATCH(Table1[[#This Row],[DriverID]],CarrierDriverTBL!$A:$A,0))</f>
        <v>510-773-9450</v>
      </c>
      <c r="AW217" s="142" t="str">
        <f>INDEX(CarrierDriverTBL!$M:$M,MATCH(Table1[[#This Row],[DriverID]],CarrierDriverTBL!$A:$A,0))</f>
        <v>3124 Cynthia CT</v>
      </c>
      <c r="AX217" s="142" t="str">
        <f>INDEX(CarrierDriverTBL!$N:$N,MATCH(Table1[[#This Row],[DriverID]],CarrierDriverTBL!$A:$A,0))</f>
        <v>Tracy</v>
      </c>
      <c r="AY217" s="142" t="str">
        <f>INDEX(CarrierDriverTBL!$O:$O,MATCH(Table1[[#This Row],[DriverID]],CarrierDriverTBL!$A:$A,0))</f>
        <v>CA</v>
      </c>
      <c r="AZ217" s="142">
        <f>INDEX(CarrierDriverTBL!$P:$P,MATCH(Table1[[#This Row],[DriverID]],CarrierDriverTBL!$A:$A,0))</f>
        <v>95377</v>
      </c>
      <c r="BA217" s="142" t="str">
        <f>INDEX(CarrierDriverTBL!$Q:$Q,MATCH(Table1[[#This Row],[DriverID]],CarrierDriverTBL!$A:$A,0))</f>
        <v>US</v>
      </c>
      <c r="BB217" s="176" t="str">
        <f>INDEX(CarrierDriverTBL!$R:$R,MATCH(Table1[[#This Row],[DriverID]],CarrierDriverTBL!$A:$A,0))</f>
        <v>ubgollc@gmail.com</v>
      </c>
      <c r="BC217" s="160">
        <f>INDEX(CarrierDriverTBL!$AB:$AB,MATCH(Table1[[#This Row],[DriverID]],CarrierDriverTBL!$A:$A,0))</f>
        <v>42167</v>
      </c>
      <c r="BD217" s="142" t="str">
        <f ca="1">INDEX(CarrierDriverTBL!$AD:$AD,MATCH(LoadMaster!$AN:$AN,CarrierDriverTBL!$A:$A,0))</f>
        <v>MISSING</v>
      </c>
      <c r="BE217" s="142">
        <f>INDEX(CarrierDriverTBL!$AE:$AE,MATCH(Table1[DriverID],CarrierDriverTBL!$A:$A,0))</f>
        <v>913971</v>
      </c>
      <c r="BF217" s="142">
        <f>INDEX(CarrierDriverTBL!$AF:$AF,MATCH(Table1[DriverID],CarrierDriverTBL!$A:$A,0))</f>
        <v>2627544</v>
      </c>
      <c r="BG217" s="142">
        <f>INDEX(CarrierDriverTBL!$AG:$AG,MATCH(Table1[DriverID],CarrierDriverTBL!$A:$A,0))</f>
        <v>466133</v>
      </c>
      <c r="BH217" s="142" t="str">
        <f>INDEX(CarrierDriverTBL!$AH:$AH,MATCH(Table1[DriverID],CarrierDriverTBL!$A:$A,0))</f>
        <v>GM Lawrence Ins</v>
      </c>
      <c r="BI217" s="142" t="str">
        <f>INDEX(CarrierDriverTBL!$AI:$AI,MATCH(Table1[DriverID],CarrierDriverTBL!$A:$A,0))</f>
        <v>DSK2842P160210</v>
      </c>
      <c r="BJ217" s="160">
        <f>INDEX(CarrierDriverTBL!$AJ:$AJ,MATCH(Table1[[#This Row],[DriverID]],CarrierDriverTBL!$A:$A,0))</f>
        <v>42778</v>
      </c>
      <c r="BK217" s="10">
        <f t="shared" si="98"/>
        <v>418</v>
      </c>
      <c r="BL217" s="174">
        <v>700</v>
      </c>
      <c r="BM217" s="144">
        <v>350</v>
      </c>
      <c r="BN217" s="159">
        <f t="shared" si="115"/>
        <v>2</v>
      </c>
      <c r="BO217" s="167">
        <v>650</v>
      </c>
      <c r="BP217" s="159">
        <f t="shared" si="116"/>
        <v>1.8571428571428572</v>
      </c>
      <c r="BQ217" s="133">
        <v>2.7989999999999999</v>
      </c>
      <c r="BR217" s="166">
        <f t="shared" si="117"/>
        <v>0.14983333333333335</v>
      </c>
      <c r="BS217" s="167">
        <f t="shared" si="99"/>
        <v>1.7073095238095239</v>
      </c>
      <c r="BT217" s="159">
        <f t="shared" si="100"/>
        <v>52.44166666666667</v>
      </c>
      <c r="BU217" s="10" t="str">
        <f t="shared" si="101"/>
        <v>Ch Robinson</v>
      </c>
      <c r="BV217" s="4"/>
      <c r="BW217" s="4" t="str">
        <f>Table1[[#This Row],[BrokerAddress]]</f>
        <v>P.O. Box 3474</v>
      </c>
      <c r="BX217" s="4" t="str">
        <f t="shared" si="102"/>
        <v>Chicago</v>
      </c>
      <c r="BY217" s="4" t="str">
        <f t="shared" si="103"/>
        <v>Il</v>
      </c>
      <c r="BZ217" s="4">
        <f t="shared" si="104"/>
        <v>60654</v>
      </c>
      <c r="CA217" s="10" t="str">
        <f t="shared" si="105"/>
        <v>US</v>
      </c>
      <c r="CB217" s="15" t="s">
        <v>131</v>
      </c>
      <c r="CC217" s="62"/>
      <c r="CD217" s="15" t="s">
        <v>1637</v>
      </c>
      <c r="CE217" s="64">
        <v>150</v>
      </c>
      <c r="CF217" s="4">
        <v>1</v>
      </c>
      <c r="CG217" s="132">
        <f t="shared" si="106"/>
        <v>150</v>
      </c>
      <c r="CH217" s="4" t="s">
        <v>132</v>
      </c>
      <c r="CI217" s="5">
        <v>0</v>
      </c>
      <c r="CJ217" s="4">
        <v>0</v>
      </c>
      <c r="CK217" s="132">
        <f t="shared" si="107"/>
        <v>0</v>
      </c>
      <c r="CL217" s="4" t="s">
        <v>132</v>
      </c>
      <c r="CM217" s="5">
        <v>0</v>
      </c>
      <c r="CN217" s="4">
        <v>0</v>
      </c>
      <c r="CO217" s="132">
        <f t="shared" si="108"/>
        <v>0</v>
      </c>
      <c r="CP217" s="4" t="s">
        <v>132</v>
      </c>
      <c r="CQ217" s="5">
        <v>0</v>
      </c>
      <c r="CR217" s="4">
        <v>0</v>
      </c>
      <c r="CS217" s="132">
        <f t="shared" si="109"/>
        <v>0</v>
      </c>
      <c r="CT217" s="159">
        <f t="shared" si="110"/>
        <v>150</v>
      </c>
      <c r="CU217" s="168">
        <f t="shared" si="111"/>
        <v>850</v>
      </c>
      <c r="CV217" s="169">
        <f t="shared" si="94"/>
        <v>150</v>
      </c>
      <c r="CW217" s="82">
        <f t="shared" si="95"/>
        <v>800</v>
      </c>
      <c r="CX217" s="79">
        <f>IF(ISBLANK(E217),"AddQuickPay",IF(E217=2,CU217*0.98,IF(E217=2.4,CU217*0.976,IF(E217=3,CU217*0.97,IF(E217=5,CU217*0.95,IF(E217=1.5,CU217*0.985,IF(E217=2.5,CU217*0.975,IF(E217=1.3,CU217*0.987,IF(E217=1,CU217*0.99,IF(E217=4,CU217*0.96,CU217*1))))))))))-Table1[[#This Row],[ComCheck+QuickPayFee]]</f>
        <v>833</v>
      </c>
      <c r="CY217" s="5">
        <f t="shared" si="112"/>
        <v>50</v>
      </c>
      <c r="CZ217" s="5">
        <f t="shared" si="113"/>
        <v>17</v>
      </c>
      <c r="DA217" s="258">
        <f>Table1[[#This Row],[OriginalDispatch]]-Table1[[#This Row],[QuickPayCharge]]</f>
        <v>33</v>
      </c>
      <c r="DB217" s="5">
        <v>0</v>
      </c>
      <c r="DC217" s="5" t="s">
        <v>1287</v>
      </c>
      <c r="DD217" s="104">
        <f t="shared" si="114"/>
        <v>42363</v>
      </c>
      <c r="DE217" s="15">
        <f>MONTH(Table1[[#This Row],[Weekending]])</f>
        <v>12</v>
      </c>
      <c r="DF217" s="15">
        <f>YEAR(Table1[[#This Row],[Weekending]])</f>
        <v>2015</v>
      </c>
      <c r="DG217" s="4"/>
    </row>
    <row r="218" spans="1:111">
      <c r="A218" s="20" t="str">
        <f t="shared" si="96"/>
        <v>77-7wn19</v>
      </c>
      <c r="B218" s="146">
        <v>42361</v>
      </c>
      <c r="C218" s="144">
        <v>2359677</v>
      </c>
      <c r="D218" s="298" t="s">
        <v>1638</v>
      </c>
      <c r="E218" s="298">
        <v>0</v>
      </c>
      <c r="F218" s="298" t="str">
        <f>INDEX(BrokerTBL!$B:$B,MATCH(D218,BrokerTBL!$A:$A,0))</f>
        <v>4040 Embassy Parkway Suite 370</v>
      </c>
      <c r="G218" s="298" t="str">
        <f>INDEX(BrokerTBL!$C:$C,MATCH(D218,BrokerTBL!$A:$A,0))</f>
        <v>Akron</v>
      </c>
      <c r="H218" s="142" t="str">
        <f>INDEX(BrokerTBL!$D:$D,MATCH(D218,BrokerTBL!$A:$A,0))</f>
        <v>Ohio</v>
      </c>
      <c r="I218" s="142" t="str">
        <f>INDEX(BrokerTBL!$E:$E,MATCH(D218,BrokerTBL!$A:$A,0))</f>
        <v>US</v>
      </c>
      <c r="J218" s="298">
        <f>INDEX(BrokerTBL!$F:$F,MATCH(D218,BrokerTBL!$A:$A,0))</f>
        <v>44333</v>
      </c>
      <c r="K218" s="298" t="s">
        <v>1639</v>
      </c>
      <c r="L218" s="145" t="s">
        <v>1640</v>
      </c>
      <c r="M218" s="146">
        <v>42361</v>
      </c>
      <c r="N218" s="162" t="s">
        <v>136</v>
      </c>
      <c r="O218" s="298" t="s">
        <v>1641</v>
      </c>
      <c r="P218" s="298" t="s">
        <v>1642</v>
      </c>
      <c r="Q218" s="298" t="s">
        <v>264</v>
      </c>
      <c r="R218" s="298">
        <v>89706</v>
      </c>
      <c r="S218" s="298" t="s">
        <v>118</v>
      </c>
      <c r="T218" s="298" t="s">
        <v>1643</v>
      </c>
      <c r="U218" s="298" t="s">
        <v>120</v>
      </c>
      <c r="V218" s="298">
        <v>53</v>
      </c>
      <c r="W218" s="298" t="s">
        <v>1644</v>
      </c>
      <c r="X218" s="144">
        <v>44000</v>
      </c>
      <c r="Y218" s="298" t="s">
        <v>123</v>
      </c>
      <c r="Z218" s="298" t="s">
        <v>123</v>
      </c>
      <c r="AA218" s="298" t="s">
        <v>123</v>
      </c>
      <c r="AB218" s="298" t="s">
        <v>123</v>
      </c>
      <c r="AC218" s="298" t="s">
        <v>1645</v>
      </c>
      <c r="AD218" s="145" t="s">
        <v>1205</v>
      </c>
      <c r="AE218" s="146">
        <v>42362</v>
      </c>
      <c r="AF218" s="416" t="s">
        <v>123</v>
      </c>
      <c r="AG218" s="298" t="s">
        <v>1646</v>
      </c>
      <c r="AH218" s="298" t="s">
        <v>138</v>
      </c>
      <c r="AI218" s="298" t="s">
        <v>139</v>
      </c>
      <c r="AJ218" s="298">
        <v>93230</v>
      </c>
      <c r="AK218" s="298" t="s">
        <v>118</v>
      </c>
      <c r="AL218" s="298" t="s">
        <v>1647</v>
      </c>
      <c r="AM218" s="142" t="str">
        <f>INDEX(CarrierDriverTBL!$B:$B,MATCH(Table1[[#This Row],[DriverID]],CarrierDriverTBL!$A:$A,0))</f>
        <v>UBTrucking</v>
      </c>
      <c r="AN218" s="10" t="s">
        <v>1409</v>
      </c>
      <c r="AO218" s="298" t="str">
        <f>INDEX(CarrierDriverTBL!$C:$C,MATCH(Table1[[#This Row],[DriverID]],CarrierDriverTBL!$A:$A,0))</f>
        <v>Miguel Jaime</v>
      </c>
      <c r="AP218" s="298" t="str">
        <f>INDEX(CarrierDriverTBL!$D:$D,MATCH(Table1[[#This Row],[DriverID]],CarrierDriverTBL!$A:$A,0))</f>
        <v>Martin Del Campo Velarca</v>
      </c>
      <c r="AQ218" s="142" t="str">
        <f>INDEX(CarrierDriverTBL!$X:$X,MATCH(Table1[[#This Row],[DriverID]],CarrierDriverTBL!$A:$A,0))</f>
        <v>D5179619</v>
      </c>
      <c r="AR218" s="160">
        <f>INDEX(CarrierDriverTBL!$Y:$Y,MATCH(Table1[[#This Row],[DriverID]],CarrierDriverTBL!$A:$A,0))</f>
        <v>43843</v>
      </c>
      <c r="AS218" s="142" t="str">
        <f t="shared" si="97"/>
        <v>GOOD</v>
      </c>
      <c r="AT218" s="146">
        <f>INDEX(CarrierDriverTBL!$E:$E,MATCH(Table1[[#This Row],[DriverID]],CarrierDriverTBL!$A:$A,0))</f>
        <v>21198</v>
      </c>
      <c r="AU218" s="163">
        <f ca="1">INDEX(CarrierDriverTBL!$F:$F,MATCH(Table1[[#This Row],[DriverID]],CarrierDriverTBL!$A:$A,0))</f>
        <v>58.56986301369863</v>
      </c>
      <c r="AV218" s="298" t="str">
        <f>INDEX(CarrierDriverTBL!$K:$K,MATCH(Table1[[#This Row],[DriverID]],CarrierDriverTBL!$A:$A,0))</f>
        <v>209-322-5231</v>
      </c>
      <c r="AW218" s="298" t="str">
        <f>INDEX(CarrierDriverTBL!$M:$M,MATCH(Table1[[#This Row],[DriverID]],CarrierDriverTBL!$A:$A,0))</f>
        <v>572 Predersen RD</v>
      </c>
      <c r="AX218" s="298" t="str">
        <f>INDEX(CarrierDriverTBL!$N:$N,MATCH(Table1[[#This Row],[DriverID]],CarrierDriverTBL!$A:$A,0))</f>
        <v>Oakdale</v>
      </c>
      <c r="AY218" s="142" t="str">
        <f>INDEX(CarrierDriverTBL!$O:$O,MATCH(Table1[[#This Row],[DriverID]],CarrierDriverTBL!$A:$A,0))</f>
        <v>CA</v>
      </c>
      <c r="AZ218" s="298">
        <f>INDEX(CarrierDriverTBL!$P:$P,MATCH(Table1[[#This Row],[DriverID]],CarrierDriverTBL!$A:$A,0))</f>
        <v>95361</v>
      </c>
      <c r="BA218" s="298" t="str">
        <f>INDEX(CarrierDriverTBL!$Q:$Q,MATCH(Table1[[#This Row],[DriverID]],CarrierDriverTBL!$A:$A,0))</f>
        <v>US</v>
      </c>
      <c r="BB218" s="176" t="str">
        <f>INDEX(CarrierDriverTBL!$R:$R,MATCH(Table1[[#This Row],[DriverID]],CarrierDriverTBL!$A:$A,0))</f>
        <v>Miguelmartin52@yahoo.com</v>
      </c>
      <c r="BC218" s="160">
        <f>INDEX(CarrierDriverTBL!$AB:$AB,MATCH(Table1[[#This Row],[DriverID]],CarrierDriverTBL!$A:$A,0))</f>
        <v>42334</v>
      </c>
      <c r="BD218" s="142" t="str">
        <f ca="1">INDEX(CarrierDriverTBL!$AD:$AD,MATCH(LoadMaster!$AN:$AN,CarrierDriverTBL!$A:$A,0))</f>
        <v>MISSING</v>
      </c>
      <c r="BE218" s="142">
        <f>INDEX(CarrierDriverTBL!$AE:$AE,MATCH(Table1[DriverID],CarrierDriverTBL!$A:$A,0))</f>
        <v>913971</v>
      </c>
      <c r="BF218" s="142">
        <f>INDEX(CarrierDriverTBL!$AF:$AF,MATCH(Table1[DriverID],CarrierDriverTBL!$A:$A,0))</f>
        <v>2627544</v>
      </c>
      <c r="BG218" s="142">
        <f>INDEX(CarrierDriverTBL!$AG:$AG,MATCH(Table1[DriverID],CarrierDriverTBL!$A:$A,0))</f>
        <v>466133</v>
      </c>
      <c r="BH218" s="142" t="str">
        <f>INDEX(CarrierDriverTBL!$AH:$AH,MATCH(Table1[DriverID],CarrierDriverTBL!$A:$A,0))</f>
        <v>GM Lawrence Ins</v>
      </c>
      <c r="BI218" s="142" t="str">
        <f>INDEX(CarrierDriverTBL!$AI:$AI,MATCH(Table1[DriverID],CarrierDriverTBL!$A:$A,0))</f>
        <v>DSK2842P160210</v>
      </c>
      <c r="BJ218" s="160">
        <f>INDEX(CarrierDriverTBL!$AJ:$AJ,MATCH(Table1[[#This Row],[DriverID]],CarrierDriverTBL!$A:$A,0))</f>
        <v>42778</v>
      </c>
      <c r="BK218" s="10">
        <f t="shared" si="98"/>
        <v>417</v>
      </c>
      <c r="BL218" s="174">
        <v>600</v>
      </c>
      <c r="BM218" s="144">
        <v>310</v>
      </c>
      <c r="BN218" s="159">
        <f t="shared" si="115"/>
        <v>1.935483870967742</v>
      </c>
      <c r="BO218" s="167">
        <f>0.93*600</f>
        <v>558</v>
      </c>
      <c r="BP218" s="159">
        <f t="shared" si="116"/>
        <v>1.8</v>
      </c>
      <c r="BQ218" s="133">
        <v>2.7989999999999999</v>
      </c>
      <c r="BR218" s="166">
        <f t="shared" si="117"/>
        <v>0.14983333333333335</v>
      </c>
      <c r="BS218" s="167">
        <f t="shared" si="99"/>
        <v>1.6501666666666668</v>
      </c>
      <c r="BT218" s="159">
        <f t="shared" si="100"/>
        <v>46.448333333333338</v>
      </c>
      <c r="BU218" s="10" t="str">
        <f t="shared" si="101"/>
        <v>Matson Logistics</v>
      </c>
      <c r="BV218" s="15"/>
      <c r="BW218" s="4" t="str">
        <f>Table1[[#This Row],[BrokerAddress]]</f>
        <v>4040 Embassy Parkway Suite 370</v>
      </c>
      <c r="BX218" s="4" t="str">
        <f t="shared" si="102"/>
        <v>Akron</v>
      </c>
      <c r="BY218" s="4" t="str">
        <f t="shared" si="103"/>
        <v>Ohio</v>
      </c>
      <c r="BZ218" s="4">
        <f t="shared" si="104"/>
        <v>44333</v>
      </c>
      <c r="CA218" s="10" t="str">
        <f t="shared" si="105"/>
        <v>US</v>
      </c>
      <c r="CB218" s="15" t="s">
        <v>131</v>
      </c>
      <c r="CC218" s="62"/>
      <c r="CD218" s="15" t="s">
        <v>132</v>
      </c>
      <c r="CE218" s="64">
        <v>0</v>
      </c>
      <c r="CF218" s="4">
        <v>0</v>
      </c>
      <c r="CG218" s="132">
        <f t="shared" si="106"/>
        <v>0</v>
      </c>
      <c r="CH218" s="4" t="s">
        <v>132</v>
      </c>
      <c r="CI218" s="5">
        <v>0</v>
      </c>
      <c r="CJ218" s="4">
        <v>0</v>
      </c>
      <c r="CK218" s="132">
        <f t="shared" si="107"/>
        <v>0</v>
      </c>
      <c r="CL218" s="4" t="s">
        <v>132</v>
      </c>
      <c r="CM218" s="5">
        <v>0</v>
      </c>
      <c r="CN218" s="4">
        <v>0</v>
      </c>
      <c r="CO218" s="132">
        <f t="shared" si="108"/>
        <v>0</v>
      </c>
      <c r="CP218" s="4" t="s">
        <v>132</v>
      </c>
      <c r="CQ218" s="5">
        <v>0</v>
      </c>
      <c r="CR218" s="4">
        <v>0</v>
      </c>
      <c r="CS218" s="132">
        <f t="shared" si="109"/>
        <v>0</v>
      </c>
      <c r="CT218" s="159">
        <f t="shared" si="110"/>
        <v>0</v>
      </c>
      <c r="CU218" s="168">
        <f t="shared" si="111"/>
        <v>600</v>
      </c>
      <c r="CV218" s="169">
        <f t="shared" si="94"/>
        <v>0</v>
      </c>
      <c r="CW218" s="82">
        <f t="shared" si="95"/>
        <v>558</v>
      </c>
      <c r="CX218" s="79">
        <f>IF(ISBLANK(E218),"AddQuickPay",IF(E218=2,CU218*0.98,IF(E218=2.4,CU218*0.976,IF(E218=3,CU218*0.97,IF(E218=5,CU218*0.95,IF(E218=1.5,CU218*0.985,IF(E218=2.5,CU218*0.975,IF(E218=1.3,CU218*0.987,IF(E218=1,CU218*0.99,IF(E218=4,CU218*0.96,CU218*1))))))))))-Table1[[#This Row],[ComCheck+QuickPayFee]]</f>
        <v>600</v>
      </c>
      <c r="CY218" s="5">
        <f t="shared" si="112"/>
        <v>42</v>
      </c>
      <c r="CZ218" s="5">
        <f t="shared" si="113"/>
        <v>0</v>
      </c>
      <c r="DA218" s="258">
        <f>Table1[[#This Row],[OriginalDispatch]]-Table1[[#This Row],[QuickPayCharge]]</f>
        <v>42</v>
      </c>
      <c r="DB218" s="5">
        <v>0</v>
      </c>
      <c r="DC218" s="5" t="s">
        <v>1287</v>
      </c>
      <c r="DD218" s="104">
        <f t="shared" si="114"/>
        <v>42363</v>
      </c>
      <c r="DE218" s="15">
        <f>MONTH(Table1[[#This Row],[Weekending]])</f>
        <v>12</v>
      </c>
      <c r="DF218" s="15">
        <f>YEAR(Table1[[#This Row],[Weekending]])</f>
        <v>2015</v>
      </c>
      <c r="DG218" s="4"/>
    </row>
    <row r="219" spans="1:111" ht="30">
      <c r="A219" s="20" t="str">
        <f t="shared" si="96"/>
        <v>33959549</v>
      </c>
      <c r="B219" s="146">
        <v>42366</v>
      </c>
      <c r="C219" s="144">
        <v>189282833</v>
      </c>
      <c r="D219" s="298" t="s">
        <v>111</v>
      </c>
      <c r="E219" s="298">
        <v>2</v>
      </c>
      <c r="F219" s="142" t="str">
        <f>INDEX(BrokerTBL!$B:$B,MATCH(D219,BrokerTBL!$A:$A,0))</f>
        <v>P.O. Box 3474</v>
      </c>
      <c r="G219" s="142" t="str">
        <f>INDEX(BrokerTBL!$C:$C,MATCH(D219,BrokerTBL!$A:$A,0))</f>
        <v>Chicago</v>
      </c>
      <c r="H219" s="142" t="str">
        <f>INDEX(BrokerTBL!$D:$D,MATCH(D219,BrokerTBL!$A:$A,0))</f>
        <v>Il</v>
      </c>
      <c r="I219" s="142" t="str">
        <f>INDEX(BrokerTBL!$E:$E,MATCH(D219,BrokerTBL!$A:$A,0))</f>
        <v>US</v>
      </c>
      <c r="J219" s="142">
        <f>INDEX(BrokerTBL!$F:$F,MATCH(D219,BrokerTBL!$A:$A,0))</f>
        <v>60654</v>
      </c>
      <c r="K219" s="298" t="s">
        <v>628</v>
      </c>
      <c r="L219" s="145" t="s">
        <v>1648</v>
      </c>
      <c r="M219" s="146">
        <v>42366</v>
      </c>
      <c r="N219" s="144" t="s">
        <v>629</v>
      </c>
      <c r="O219" s="298" t="s">
        <v>630</v>
      </c>
      <c r="P219" s="298" t="s">
        <v>366</v>
      </c>
      <c r="Q219" s="298" t="s">
        <v>139</v>
      </c>
      <c r="R219" s="298">
        <v>95776</v>
      </c>
      <c r="S219" s="298" t="s">
        <v>118</v>
      </c>
      <c r="T219" s="298" t="s">
        <v>136</v>
      </c>
      <c r="U219" s="298" t="s">
        <v>120</v>
      </c>
      <c r="V219" s="298">
        <v>53</v>
      </c>
      <c r="W219" s="298" t="s">
        <v>631</v>
      </c>
      <c r="X219" s="185">
        <v>30000</v>
      </c>
      <c r="Y219" s="298" t="s">
        <v>1649</v>
      </c>
      <c r="Z219" s="298" t="s">
        <v>123</v>
      </c>
      <c r="AA219" s="298" t="s">
        <v>123</v>
      </c>
      <c r="AB219" s="298" t="s">
        <v>123</v>
      </c>
      <c r="AC219" s="187" t="s">
        <v>1650</v>
      </c>
      <c r="AD219" s="188" t="s">
        <v>1651</v>
      </c>
      <c r="AE219" s="190" t="s">
        <v>1652</v>
      </c>
      <c r="AF219" s="416" t="s">
        <v>123</v>
      </c>
      <c r="AG219" s="187" t="s">
        <v>1653</v>
      </c>
      <c r="AH219" s="187" t="s">
        <v>1654</v>
      </c>
      <c r="AI219" s="187" t="s">
        <v>1620</v>
      </c>
      <c r="AJ219" s="187" t="s">
        <v>1655</v>
      </c>
      <c r="AK219" s="187" t="s">
        <v>1622</v>
      </c>
      <c r="AL219" s="298" t="s">
        <v>123</v>
      </c>
      <c r="AM219" s="142" t="str">
        <f>INDEX(CarrierDriverTBL!$B:$B,MATCH(Table1[[#This Row],[DriverID]],CarrierDriverTBL!$A:$A,0))</f>
        <v>UBTrucking</v>
      </c>
      <c r="AN219" s="10" t="s">
        <v>192</v>
      </c>
      <c r="AO219" s="10" t="str">
        <f>INDEX(CarrierDriverTBL!$C:$C,MATCH(Table1[[#This Row],[DriverID]],CarrierDriverTBL!$A:$A,0))</f>
        <v>Albel</v>
      </c>
      <c r="AP219" s="142" t="str">
        <f>INDEX(CarrierDriverTBL!$D:$D,MATCH(Table1[[#This Row],[DriverID]],CarrierDriverTBL!$A:$A,0))</f>
        <v>Chahil</v>
      </c>
      <c r="AQ219" s="142" t="str">
        <f>INDEX(CarrierDriverTBL!$X:$X,MATCH(Table1[[#This Row],[DriverID]],CarrierDriverTBL!$A:$A,0))</f>
        <v>A8390649</v>
      </c>
      <c r="AR219" s="160">
        <f>INDEX(CarrierDriverTBL!$Y:$Y,MATCH(Table1[[#This Row],[DriverID]],CarrierDriverTBL!$A:$A,0))</f>
        <v>42402</v>
      </c>
      <c r="AS219" s="142" t="str">
        <f t="shared" si="97"/>
        <v>GOOD</v>
      </c>
      <c r="AT219" s="160">
        <f>INDEX(CarrierDriverTBL!$E:$E,MATCH(Table1[[#This Row],[DriverID]],CarrierDriverTBL!$A:$A,0))</f>
        <v>22314</v>
      </c>
      <c r="AU219" s="163">
        <f ca="1">INDEX(CarrierDriverTBL!$F:$F,MATCH(Table1[[#This Row],[DriverID]],CarrierDriverTBL!$A:$A,0))</f>
        <v>55.512328767123286</v>
      </c>
      <c r="AV219" s="142" t="str">
        <f>INDEX(CarrierDriverTBL!$K:$K,MATCH(Table1[[#This Row],[DriverID]],CarrierDriverTBL!$A:$A,0))</f>
        <v>510-773-9450</v>
      </c>
      <c r="AW219" s="142" t="str">
        <f>INDEX(CarrierDriverTBL!$M:$M,MATCH(Table1[[#This Row],[DriverID]],CarrierDriverTBL!$A:$A,0))</f>
        <v>3124 Cynthia CT</v>
      </c>
      <c r="AX219" s="142" t="str">
        <f>INDEX(CarrierDriverTBL!$N:$N,MATCH(Table1[[#This Row],[DriverID]],CarrierDriverTBL!$A:$A,0))</f>
        <v>Tracy</v>
      </c>
      <c r="AY219" s="142" t="str">
        <f>INDEX(CarrierDriverTBL!$O:$O,MATCH(Table1[[#This Row],[DriverID]],CarrierDriverTBL!$A:$A,0))</f>
        <v>CA</v>
      </c>
      <c r="AZ219" s="142">
        <f>INDEX(CarrierDriverTBL!$P:$P,MATCH(Table1[[#This Row],[DriverID]],CarrierDriverTBL!$A:$A,0))</f>
        <v>95377</v>
      </c>
      <c r="BA219" s="142" t="str">
        <f>INDEX(CarrierDriverTBL!$Q:$Q,MATCH(Table1[[#This Row],[DriverID]],CarrierDriverTBL!$A:$A,0))</f>
        <v>US</v>
      </c>
      <c r="BB219" s="176" t="str">
        <f>INDEX(CarrierDriverTBL!$R:$R,MATCH(Table1[[#This Row],[DriverID]],CarrierDriverTBL!$A:$A,0))</f>
        <v>ubgollc@gmail.com</v>
      </c>
      <c r="BC219" s="160">
        <f>INDEX(CarrierDriverTBL!$AB:$AB,MATCH(Table1[[#This Row],[DriverID]],CarrierDriverTBL!$A:$A,0))</f>
        <v>42167</v>
      </c>
      <c r="BD219" s="142" t="str">
        <f ca="1">INDEX(CarrierDriverTBL!$AD:$AD,MATCH(LoadMaster!$AN:$AN,CarrierDriverTBL!$A:$A,0))</f>
        <v>MISSING</v>
      </c>
      <c r="BE219" s="142">
        <f>INDEX(CarrierDriverTBL!$AE:$AE,MATCH(Table1[DriverID],CarrierDriverTBL!$A:$A,0))</f>
        <v>913971</v>
      </c>
      <c r="BF219" s="142">
        <f>INDEX(CarrierDriverTBL!$AF:$AF,MATCH(Table1[DriverID],CarrierDriverTBL!$A:$A,0))</f>
        <v>2627544</v>
      </c>
      <c r="BG219" s="142">
        <f>INDEX(CarrierDriverTBL!$AG:$AG,MATCH(Table1[DriverID],CarrierDriverTBL!$A:$A,0))</f>
        <v>466133</v>
      </c>
      <c r="BH219" s="142" t="str">
        <f>INDEX(CarrierDriverTBL!$AH:$AH,MATCH(Table1[DriverID],CarrierDriverTBL!$A:$A,0))</f>
        <v>GM Lawrence Ins</v>
      </c>
      <c r="BI219" s="142" t="str">
        <f>INDEX(CarrierDriverTBL!$AI:$AI,MATCH(Table1[DriverID],CarrierDriverTBL!$A:$A,0))</f>
        <v>DSK2842P160210</v>
      </c>
      <c r="BJ219" s="160">
        <f>INDEX(CarrierDriverTBL!$AJ:$AJ,MATCH(Table1[[#This Row],[DriverID]],CarrierDriverTBL!$A:$A,0))</f>
        <v>42778</v>
      </c>
      <c r="BK219" s="10">
        <f t="shared" si="98"/>
        <v>412</v>
      </c>
      <c r="BL219" s="174">
        <v>700</v>
      </c>
      <c r="BM219" s="144">
        <v>341</v>
      </c>
      <c r="BN219" s="159">
        <f t="shared" si="115"/>
        <v>2.0527859237536656</v>
      </c>
      <c r="BO219" s="167">
        <v>650</v>
      </c>
      <c r="BP219" s="159">
        <f t="shared" si="116"/>
        <v>1.9061583577712611</v>
      </c>
      <c r="BQ219" s="133">
        <v>2.6</v>
      </c>
      <c r="BR219" s="166">
        <f t="shared" si="117"/>
        <v>0.1166666666666667</v>
      </c>
      <c r="BS219" s="167">
        <f t="shared" si="99"/>
        <v>1.7894916911045944</v>
      </c>
      <c r="BT219" s="159">
        <f t="shared" si="100"/>
        <v>39.783333333333346</v>
      </c>
      <c r="BU219" s="10" t="str">
        <f t="shared" si="101"/>
        <v>Ch Robinson</v>
      </c>
      <c r="BV219" s="4"/>
      <c r="BW219" s="4" t="str">
        <f>Table1[[#This Row],[BrokerAddress]]</f>
        <v>P.O. Box 3474</v>
      </c>
      <c r="BX219" s="4" t="str">
        <f t="shared" si="102"/>
        <v>Chicago</v>
      </c>
      <c r="BY219" s="4" t="str">
        <f t="shared" si="103"/>
        <v>Il</v>
      </c>
      <c r="BZ219" s="4">
        <f t="shared" si="104"/>
        <v>60654</v>
      </c>
      <c r="CA219" s="10" t="str">
        <f t="shared" si="105"/>
        <v>US</v>
      </c>
      <c r="CB219" s="15" t="s">
        <v>131</v>
      </c>
      <c r="CC219" s="62"/>
      <c r="CD219" s="15" t="s">
        <v>1375</v>
      </c>
      <c r="CE219" s="64">
        <v>50</v>
      </c>
      <c r="CF219" s="4">
        <v>1</v>
      </c>
      <c r="CG219" s="132">
        <f t="shared" si="106"/>
        <v>50</v>
      </c>
      <c r="CH219" s="4" t="s">
        <v>132</v>
      </c>
      <c r="CI219" s="5">
        <v>0</v>
      </c>
      <c r="CJ219" s="4">
        <v>0</v>
      </c>
      <c r="CK219" s="132">
        <f t="shared" si="107"/>
        <v>0</v>
      </c>
      <c r="CL219" s="4" t="s">
        <v>132</v>
      </c>
      <c r="CM219" s="5">
        <v>0</v>
      </c>
      <c r="CN219" s="4">
        <v>0</v>
      </c>
      <c r="CO219" s="132">
        <f t="shared" si="108"/>
        <v>0</v>
      </c>
      <c r="CP219" s="4" t="s">
        <v>132</v>
      </c>
      <c r="CQ219" s="5">
        <v>0</v>
      </c>
      <c r="CR219" s="4">
        <v>0</v>
      </c>
      <c r="CS219" s="132">
        <f t="shared" si="109"/>
        <v>0</v>
      </c>
      <c r="CT219" s="159">
        <f t="shared" si="110"/>
        <v>50</v>
      </c>
      <c r="CU219" s="168">
        <f t="shared" si="111"/>
        <v>750</v>
      </c>
      <c r="CV219" s="169">
        <f t="shared" si="94"/>
        <v>50</v>
      </c>
      <c r="CW219" s="82">
        <f t="shared" si="95"/>
        <v>700</v>
      </c>
      <c r="CX219" s="79">
        <f>IF(ISBLANK(E219),"AddQuickPay",IF(E219=2,CU219*0.98,IF(E219=2.4,CU219*0.976,IF(E219=3,CU219*0.97,IF(E219=5,CU219*0.95,IF(E219=1.5,CU219*0.985,IF(E219=2.5,CU219*0.975,IF(E219=1.3,CU219*0.987,IF(E219=1,CU219*0.99,IF(E219=4,CU219*0.96,CU219*1))))))))))-Table1[[#This Row],[ComCheck+QuickPayFee]]</f>
        <v>735</v>
      </c>
      <c r="CY219" s="5">
        <f t="shared" si="112"/>
        <v>50</v>
      </c>
      <c r="CZ219" s="5">
        <f t="shared" si="113"/>
        <v>15</v>
      </c>
      <c r="DA219" s="258">
        <f>Table1[[#This Row],[OriginalDispatch]]-Table1[[#This Row],[QuickPayCharge]]</f>
        <v>35</v>
      </c>
      <c r="DB219" s="5">
        <v>0</v>
      </c>
      <c r="DC219" s="5" t="s">
        <v>1287</v>
      </c>
      <c r="DD219" s="104">
        <f t="shared" si="114"/>
        <v>42370</v>
      </c>
      <c r="DE219" s="15">
        <f>MONTH(Table1[[#This Row],[Weekending]])</f>
        <v>1</v>
      </c>
      <c r="DF219" s="15">
        <f>YEAR(Table1[[#This Row],[Weekending]])</f>
        <v>2016</v>
      </c>
      <c r="DG219" s="4"/>
    </row>
    <row r="220" spans="1:111">
      <c r="A220" s="20" t="str">
        <f t="shared" si="96"/>
        <v>27999988</v>
      </c>
      <c r="B220" s="146">
        <v>42366</v>
      </c>
      <c r="C220" s="144">
        <v>187950527</v>
      </c>
      <c r="D220" s="298" t="s">
        <v>111</v>
      </c>
      <c r="E220" s="298">
        <v>2</v>
      </c>
      <c r="F220" s="142" t="str">
        <f>INDEX(BrokerTBL!$B:$B,MATCH(D220,BrokerTBL!$A:$A,0))</f>
        <v>P.O. Box 3474</v>
      </c>
      <c r="G220" s="142" t="str">
        <f>INDEX(BrokerTBL!$C:$C,MATCH(D220,BrokerTBL!$A:$A,0))</f>
        <v>Chicago</v>
      </c>
      <c r="H220" s="142" t="str">
        <f>INDEX(BrokerTBL!$D:$D,MATCH(D220,BrokerTBL!$A:$A,0))</f>
        <v>Il</v>
      </c>
      <c r="I220" s="142" t="str">
        <f>INDEX(BrokerTBL!$E:$E,MATCH(D220,BrokerTBL!$A:$A,0))</f>
        <v>US</v>
      </c>
      <c r="J220" s="142">
        <f>INDEX(BrokerTBL!$F:$F,MATCH(D220,BrokerTBL!$A:$A,0))</f>
        <v>60654</v>
      </c>
      <c r="K220" s="298" t="s">
        <v>1656</v>
      </c>
      <c r="L220" s="145" t="s">
        <v>1657</v>
      </c>
      <c r="M220" s="146">
        <v>42366</v>
      </c>
      <c r="N220" s="144" t="s">
        <v>1116</v>
      </c>
      <c r="O220" s="298" t="s">
        <v>1658</v>
      </c>
      <c r="P220" s="298" t="s">
        <v>1590</v>
      </c>
      <c r="Q220" s="298" t="s">
        <v>139</v>
      </c>
      <c r="R220" s="298" t="s">
        <v>1659</v>
      </c>
      <c r="S220" s="298" t="s">
        <v>118</v>
      </c>
      <c r="T220" s="298" t="s">
        <v>136</v>
      </c>
      <c r="U220" s="298" t="s">
        <v>120</v>
      </c>
      <c r="V220" s="298">
        <v>53</v>
      </c>
      <c r="W220" s="298" t="s">
        <v>1660</v>
      </c>
      <c r="X220" s="144">
        <v>43000</v>
      </c>
      <c r="Y220" s="298" t="s">
        <v>740</v>
      </c>
      <c r="Z220" s="298">
        <v>2880</v>
      </c>
      <c r="AA220" s="298">
        <v>24</v>
      </c>
      <c r="AB220" s="298" t="s">
        <v>123</v>
      </c>
      <c r="AC220" s="298" t="s">
        <v>1661</v>
      </c>
      <c r="AD220" s="145" t="s">
        <v>1657</v>
      </c>
      <c r="AE220" s="146">
        <v>42367</v>
      </c>
      <c r="AF220" s="416" t="s">
        <v>123</v>
      </c>
      <c r="AG220" s="298" t="s">
        <v>1662</v>
      </c>
      <c r="AH220" s="298" t="s">
        <v>380</v>
      </c>
      <c r="AI220" s="298" t="s">
        <v>139</v>
      </c>
      <c r="AJ220" s="298">
        <v>95377</v>
      </c>
      <c r="AK220" s="298" t="s">
        <v>118</v>
      </c>
      <c r="AL220" s="298" t="s">
        <v>123</v>
      </c>
      <c r="AM220" s="142" t="str">
        <f>INDEX(CarrierDriverTBL!$B:$B,MATCH(Table1[[#This Row],[DriverID]],CarrierDriverTBL!$A:$A,0))</f>
        <v>UBTrucking</v>
      </c>
      <c r="AN220" s="10" t="s">
        <v>948</v>
      </c>
      <c r="AO220" s="10" t="str">
        <f>INDEX(CarrierDriverTBL!$C:$C,MATCH(Table1[[#This Row],[DriverID]],CarrierDriverTBL!$A:$A,0))</f>
        <v>Wesley</v>
      </c>
      <c r="AP220" s="10" t="str">
        <f>INDEX(CarrierDriverTBL!$D:$D,MATCH(Table1[[#This Row],[DriverID]],CarrierDriverTBL!$A:$A,0))</f>
        <v>Cousain</v>
      </c>
      <c r="AQ220" s="10" t="str">
        <f>INDEX(CarrierDriverTBL!$X:$X,MATCH(Table1[[#This Row],[DriverID]],CarrierDriverTBL!$A:$A,0))</f>
        <v>D4903588</v>
      </c>
      <c r="AR220" s="11">
        <f>INDEX(CarrierDriverTBL!$Y:$Y,MATCH(Table1[[#This Row],[DriverID]],CarrierDriverTBL!$A:$A,0))</f>
        <v>43458</v>
      </c>
      <c r="AS220" s="142" t="str">
        <f t="shared" si="97"/>
        <v>GOOD</v>
      </c>
      <c r="AT220" s="11">
        <f>INDEX(CarrierDriverTBL!$E:$E,MATCH(Table1[[#This Row],[DriverID]],CarrierDriverTBL!$A:$A,0))</f>
        <v>31405</v>
      </c>
      <c r="AU220" s="163">
        <f ca="1">INDEX(CarrierDriverTBL!$F:$F,MATCH(Table1[[#This Row],[DriverID]],CarrierDriverTBL!$A:$A,0))</f>
        <v>30.605479452054794</v>
      </c>
      <c r="AV220" s="10" t="str">
        <f>INDEX(CarrierDriverTBL!$K:$K,MATCH(Table1[[#This Row],[DriverID]],CarrierDriverTBL!$A:$A,0))</f>
        <v>925-383-5364</v>
      </c>
      <c r="AW220" s="10" t="str">
        <f>INDEX(CarrierDriverTBL!$M:$M,MATCH(Table1[[#This Row],[DriverID]],CarrierDriverTBL!$A:$A,0))</f>
        <v>110 Cordova Ln</v>
      </c>
      <c r="AX220" s="10" t="str">
        <f>INDEX(CarrierDriverTBL!$N:$N,MATCH(Table1[[#This Row],[DriverID]],CarrierDriverTBL!$A:$A,0))</f>
        <v>Stockton</v>
      </c>
      <c r="AY220" s="10" t="str">
        <f>INDEX(CarrierDriverTBL!$O:$O,MATCH(Table1[[#This Row],[DriverID]],CarrierDriverTBL!$A:$A,0))</f>
        <v>CA</v>
      </c>
      <c r="AZ220" s="10">
        <f>INDEX(CarrierDriverTBL!$P:$P,MATCH(Table1[[#This Row],[DriverID]],CarrierDriverTBL!$A:$A,0))</f>
        <v>95207</v>
      </c>
      <c r="BA220" s="10" t="str">
        <f>INDEX(CarrierDriverTBL!$Q:$Q,MATCH(Table1[[#This Row],[DriverID]],CarrierDriverTBL!$A:$A,0))</f>
        <v>US</v>
      </c>
      <c r="BB220" s="173" t="str">
        <f>INDEX(CarrierDriverTBL!$R:$R,MATCH(Table1[[#This Row],[DriverID]],CarrierDriverTBL!$A:$A,0))</f>
        <v>wesleycousain1@gmail.com</v>
      </c>
      <c r="BC220" s="160">
        <f>INDEX(CarrierDriverTBL!$AB:$AB,MATCH(Table1[[#This Row],[DriverID]],CarrierDriverTBL!$A:$A,0))</f>
        <v>42271</v>
      </c>
      <c r="BD220" s="142" t="str">
        <f ca="1">INDEX(CarrierDriverTBL!$AD:$AD,MATCH(LoadMaster!$AN:$AN,CarrierDriverTBL!$A:$A,0))</f>
        <v>MISSING</v>
      </c>
      <c r="BE220" s="142">
        <f>INDEX(CarrierDriverTBL!$AE:$AE,MATCH(Table1[DriverID],CarrierDriverTBL!$A:$A,0))</f>
        <v>913971</v>
      </c>
      <c r="BF220" s="142">
        <f>INDEX(CarrierDriverTBL!$AF:$AF,MATCH(Table1[DriverID],CarrierDriverTBL!$A:$A,0))</f>
        <v>2627544</v>
      </c>
      <c r="BG220" s="142">
        <f>INDEX(CarrierDriverTBL!$AG:$AG,MATCH(Table1[DriverID],CarrierDriverTBL!$A:$A,0))</f>
        <v>466133</v>
      </c>
      <c r="BH220" s="142" t="str">
        <f>INDEX(CarrierDriverTBL!$AH:$AH,MATCH(Table1[DriverID],CarrierDriverTBL!$A:$A,0))</f>
        <v>GM Lawrence Ins</v>
      </c>
      <c r="BI220" s="142" t="str">
        <f>INDEX(CarrierDriverTBL!$AI:$AI,MATCH(Table1[DriverID],CarrierDriverTBL!$A:$A,0))</f>
        <v>DSK2842P160210</v>
      </c>
      <c r="BJ220" s="160">
        <f>INDEX(CarrierDriverTBL!$AJ:$AJ,MATCH(Table1[[#This Row],[DriverID]],CarrierDriverTBL!$A:$A,0))</f>
        <v>42778</v>
      </c>
      <c r="BK220" s="10">
        <f t="shared" si="98"/>
        <v>412</v>
      </c>
      <c r="BL220" s="174">
        <v>850</v>
      </c>
      <c r="BM220" s="144">
        <v>370</v>
      </c>
      <c r="BN220" s="159">
        <f t="shared" si="115"/>
        <v>2.2972972972972974</v>
      </c>
      <c r="BO220" s="167">
        <f>0.93*BL220</f>
        <v>790.5</v>
      </c>
      <c r="BP220" s="159">
        <f t="shared" si="116"/>
        <v>2.1364864864864863</v>
      </c>
      <c r="BQ220" s="133">
        <v>2.6</v>
      </c>
      <c r="BR220" s="166">
        <f t="shared" si="117"/>
        <v>0.1166666666666667</v>
      </c>
      <c r="BS220" s="167">
        <f t="shared" si="99"/>
        <v>2.0198198198198196</v>
      </c>
      <c r="BT220" s="159">
        <f t="shared" si="100"/>
        <v>43.166666666666679</v>
      </c>
      <c r="BU220" s="10" t="str">
        <f t="shared" si="101"/>
        <v>Ch Robinson</v>
      </c>
      <c r="BV220" s="4"/>
      <c r="BW220" s="4" t="str">
        <f>Table1[[#This Row],[BrokerAddress]]</f>
        <v>P.O. Box 3474</v>
      </c>
      <c r="BX220" s="4" t="str">
        <f t="shared" si="102"/>
        <v>Chicago</v>
      </c>
      <c r="BY220" s="4" t="str">
        <f t="shared" si="103"/>
        <v>Il</v>
      </c>
      <c r="BZ220" s="4">
        <f t="shared" si="104"/>
        <v>60654</v>
      </c>
      <c r="CA220" s="10" t="str">
        <f t="shared" si="105"/>
        <v>US</v>
      </c>
      <c r="CB220" s="15" t="s">
        <v>131</v>
      </c>
      <c r="CC220" s="62"/>
      <c r="CD220" s="15" t="s">
        <v>132</v>
      </c>
      <c r="CE220" s="64">
        <v>0</v>
      </c>
      <c r="CF220" s="4">
        <v>0</v>
      </c>
      <c r="CG220" s="132">
        <f t="shared" si="106"/>
        <v>0</v>
      </c>
      <c r="CH220" s="4" t="s">
        <v>132</v>
      </c>
      <c r="CI220" s="5">
        <v>0</v>
      </c>
      <c r="CJ220" s="4">
        <v>0</v>
      </c>
      <c r="CK220" s="132">
        <f t="shared" si="107"/>
        <v>0</v>
      </c>
      <c r="CL220" s="4" t="s">
        <v>132</v>
      </c>
      <c r="CM220" s="5">
        <v>0</v>
      </c>
      <c r="CN220" s="4">
        <v>0</v>
      </c>
      <c r="CO220" s="132">
        <f t="shared" si="108"/>
        <v>0</v>
      </c>
      <c r="CP220" s="4" t="s">
        <v>132</v>
      </c>
      <c r="CQ220" s="5">
        <v>0</v>
      </c>
      <c r="CR220" s="4">
        <v>0</v>
      </c>
      <c r="CS220" s="132">
        <f t="shared" si="109"/>
        <v>0</v>
      </c>
      <c r="CT220" s="159">
        <f t="shared" si="110"/>
        <v>0</v>
      </c>
      <c r="CU220" s="168">
        <f t="shared" si="111"/>
        <v>850</v>
      </c>
      <c r="CV220" s="169">
        <f t="shared" si="94"/>
        <v>0</v>
      </c>
      <c r="CW220" s="82">
        <f t="shared" si="95"/>
        <v>790.5</v>
      </c>
      <c r="CX220" s="79">
        <f>IF(ISBLANK(E220),"AddQuickPay",IF(E220=2,CU220*0.98,IF(E220=2.4,CU220*0.976,IF(E220=3,CU220*0.97,IF(E220=5,CU220*0.95,IF(E220=1.5,CU220*0.985,IF(E220=2.5,CU220*0.975,IF(E220=1.3,CU220*0.987,IF(E220=1,CU220*0.99,IF(E220=4,CU220*0.96,CU220*1))))))))))-Table1[[#This Row],[ComCheck+QuickPayFee]]</f>
        <v>833</v>
      </c>
      <c r="CY220" s="5">
        <f t="shared" si="112"/>
        <v>59.5</v>
      </c>
      <c r="CZ220" s="5">
        <f t="shared" si="113"/>
        <v>17</v>
      </c>
      <c r="DA220" s="258">
        <f>Table1[[#This Row],[OriginalDispatch]]-Table1[[#This Row],[QuickPayCharge]]</f>
        <v>42.5</v>
      </c>
      <c r="DB220" s="5">
        <v>0</v>
      </c>
      <c r="DC220" s="5" t="s">
        <v>1287</v>
      </c>
      <c r="DD220" s="104">
        <f t="shared" si="114"/>
        <v>42370</v>
      </c>
      <c r="DE220" s="15">
        <f>MONTH(Table1[[#This Row],[Weekending]])</f>
        <v>1</v>
      </c>
      <c r="DF220" s="15">
        <f>YEAR(Table1[[#This Row],[Weekending]])</f>
        <v>2016</v>
      </c>
      <c r="DG220" s="4"/>
    </row>
    <row r="221" spans="1:111">
      <c r="A221" s="20" t="str">
        <f t="shared" si="96"/>
        <v>6233ne19</v>
      </c>
      <c r="B221" s="146">
        <v>42366</v>
      </c>
      <c r="C221" s="144">
        <v>189399862</v>
      </c>
      <c r="D221" s="298" t="s">
        <v>111</v>
      </c>
      <c r="E221" s="298">
        <v>2</v>
      </c>
      <c r="F221" s="142" t="str">
        <f>INDEX(BrokerTBL!$B:$B,MATCH(D221,BrokerTBL!$A:$A,0))</f>
        <v>P.O. Box 3474</v>
      </c>
      <c r="G221" s="142" t="str">
        <f>INDEX(BrokerTBL!$C:$C,MATCH(D221,BrokerTBL!$A:$A,0))</f>
        <v>Chicago</v>
      </c>
      <c r="H221" s="142" t="str">
        <f>INDEX(BrokerTBL!$D:$D,MATCH(D221,BrokerTBL!$A:$A,0))</f>
        <v>Il</v>
      </c>
      <c r="I221" s="142" t="str">
        <f>INDEX(BrokerTBL!$E:$E,MATCH(D221,BrokerTBL!$A:$A,0))</f>
        <v>US</v>
      </c>
      <c r="J221" s="142">
        <f>INDEX(BrokerTBL!$F:$F,MATCH(D221,BrokerTBL!$A:$A,0))</f>
        <v>60654</v>
      </c>
      <c r="K221" s="298" t="s">
        <v>1510</v>
      </c>
      <c r="L221" s="145" t="s">
        <v>1663</v>
      </c>
      <c r="M221" s="146">
        <v>42366</v>
      </c>
      <c r="N221" s="162" t="s">
        <v>136</v>
      </c>
      <c r="O221" s="298" t="s">
        <v>1511</v>
      </c>
      <c r="P221" s="298" t="s">
        <v>253</v>
      </c>
      <c r="Q221" s="298" t="s">
        <v>139</v>
      </c>
      <c r="R221" s="298">
        <v>93639</v>
      </c>
      <c r="S221" s="298" t="s">
        <v>118</v>
      </c>
      <c r="T221" s="298" t="s">
        <v>136</v>
      </c>
      <c r="U221" s="298" t="s">
        <v>120</v>
      </c>
      <c r="V221" s="298">
        <v>53</v>
      </c>
      <c r="W221" s="298" t="s">
        <v>1512</v>
      </c>
      <c r="X221" s="185">
        <v>20000</v>
      </c>
      <c r="Y221" s="298" t="s">
        <v>1513</v>
      </c>
      <c r="Z221" s="298" t="s">
        <v>123</v>
      </c>
      <c r="AA221" s="298" t="s">
        <v>123</v>
      </c>
      <c r="AB221" s="298" t="s">
        <v>123</v>
      </c>
      <c r="AC221" s="298" t="s">
        <v>1514</v>
      </c>
      <c r="AD221" s="145" t="s">
        <v>132</v>
      </c>
      <c r="AE221" s="146">
        <v>42367</v>
      </c>
      <c r="AF221" s="416" t="s">
        <v>123</v>
      </c>
      <c r="AG221" s="298" t="s">
        <v>1515</v>
      </c>
      <c r="AH221" s="298" t="s">
        <v>738</v>
      </c>
      <c r="AI221" s="298" t="s">
        <v>264</v>
      </c>
      <c r="AJ221" s="298">
        <v>89506</v>
      </c>
      <c r="AK221" s="298" t="s">
        <v>118</v>
      </c>
      <c r="AL221" s="298" t="s">
        <v>123</v>
      </c>
      <c r="AM221" s="142" t="str">
        <f>INDEX(CarrierDriverTBL!$B:$B,MATCH(Table1[[#This Row],[DriverID]],CarrierDriverTBL!$A:$A,0))</f>
        <v>UBTrucking</v>
      </c>
      <c r="AN221" s="10" t="s">
        <v>1409</v>
      </c>
      <c r="AO221" s="298" t="str">
        <f>INDEX(CarrierDriverTBL!$C:$C,MATCH(Table1[[#This Row],[DriverID]],CarrierDriverTBL!$A:$A,0))</f>
        <v>Miguel Jaime</v>
      </c>
      <c r="AP221" s="298" t="str">
        <f>INDEX(CarrierDriverTBL!$D:$D,MATCH(Table1[[#This Row],[DriverID]],CarrierDriverTBL!$A:$A,0))</f>
        <v>Martin Del Campo Velarca</v>
      </c>
      <c r="AQ221" s="142" t="str">
        <f>INDEX(CarrierDriverTBL!$X:$X,MATCH(Table1[[#This Row],[DriverID]],CarrierDriverTBL!$A:$A,0))</f>
        <v>D5179619</v>
      </c>
      <c r="AR221" s="160">
        <f>INDEX(CarrierDriverTBL!$Y:$Y,MATCH(Table1[[#This Row],[DriverID]],CarrierDriverTBL!$A:$A,0))</f>
        <v>43843</v>
      </c>
      <c r="AS221" s="142" t="str">
        <f t="shared" si="97"/>
        <v>GOOD</v>
      </c>
      <c r="AT221" s="146">
        <f>INDEX(CarrierDriverTBL!$E:$E,MATCH(Table1[[#This Row],[DriverID]],CarrierDriverTBL!$A:$A,0))</f>
        <v>21198</v>
      </c>
      <c r="AU221" s="163">
        <f ca="1">INDEX(CarrierDriverTBL!$F:$F,MATCH(Table1[[#This Row],[DriverID]],CarrierDriverTBL!$A:$A,0))</f>
        <v>58.56986301369863</v>
      </c>
      <c r="AV221" s="298" t="str">
        <f>INDEX(CarrierDriverTBL!$K:$K,MATCH(Table1[[#This Row],[DriverID]],CarrierDriverTBL!$A:$A,0))</f>
        <v>209-322-5231</v>
      </c>
      <c r="AW221" s="298" t="str">
        <f>INDEX(CarrierDriverTBL!$M:$M,MATCH(Table1[[#This Row],[DriverID]],CarrierDriverTBL!$A:$A,0))</f>
        <v>572 Predersen RD</v>
      </c>
      <c r="AX221" s="298" t="str">
        <f>INDEX(CarrierDriverTBL!$N:$N,MATCH(Table1[[#This Row],[DriverID]],CarrierDriverTBL!$A:$A,0))</f>
        <v>Oakdale</v>
      </c>
      <c r="AY221" s="142" t="str">
        <f>INDEX(CarrierDriverTBL!$O:$O,MATCH(Table1[[#This Row],[DriverID]],CarrierDriverTBL!$A:$A,0))</f>
        <v>CA</v>
      </c>
      <c r="AZ221" s="298">
        <f>INDEX(CarrierDriverTBL!$P:$P,MATCH(Table1[[#This Row],[DriverID]],CarrierDriverTBL!$A:$A,0))</f>
        <v>95361</v>
      </c>
      <c r="BA221" s="298" t="str">
        <f>INDEX(CarrierDriverTBL!$Q:$Q,MATCH(Table1[[#This Row],[DriverID]],CarrierDriverTBL!$A:$A,0))</f>
        <v>US</v>
      </c>
      <c r="BB221" s="176" t="str">
        <f>INDEX(CarrierDriverTBL!$R:$R,MATCH(Table1[[#This Row],[DriverID]],CarrierDriverTBL!$A:$A,0))</f>
        <v>Miguelmartin52@yahoo.com</v>
      </c>
      <c r="BC221" s="160">
        <f>INDEX(CarrierDriverTBL!$AB:$AB,MATCH(Table1[[#This Row],[DriverID]],CarrierDriverTBL!$A:$A,0))</f>
        <v>42334</v>
      </c>
      <c r="BD221" s="142" t="str">
        <f ca="1">INDEX(CarrierDriverTBL!$AD:$AD,MATCH(LoadMaster!$AN:$AN,CarrierDriverTBL!$A:$A,0))</f>
        <v>MISSING</v>
      </c>
      <c r="BE221" s="142">
        <f>INDEX(CarrierDriverTBL!$AE:$AE,MATCH(Table1[DriverID],CarrierDriverTBL!$A:$A,0))</f>
        <v>913971</v>
      </c>
      <c r="BF221" s="142">
        <f>INDEX(CarrierDriverTBL!$AF:$AF,MATCH(Table1[DriverID],CarrierDriverTBL!$A:$A,0))</f>
        <v>2627544</v>
      </c>
      <c r="BG221" s="142">
        <f>INDEX(CarrierDriverTBL!$AG:$AG,MATCH(Table1[DriverID],CarrierDriverTBL!$A:$A,0))</f>
        <v>466133</v>
      </c>
      <c r="BH221" s="142" t="str">
        <f>INDEX(CarrierDriverTBL!$AH:$AH,MATCH(Table1[DriverID],CarrierDriverTBL!$A:$A,0))</f>
        <v>GM Lawrence Ins</v>
      </c>
      <c r="BI221" s="142" t="str">
        <f>INDEX(CarrierDriverTBL!$AI:$AI,MATCH(Table1[DriverID],CarrierDriverTBL!$A:$A,0))</f>
        <v>DSK2842P160210</v>
      </c>
      <c r="BJ221" s="160">
        <f>INDEX(CarrierDriverTBL!$AJ:$AJ,MATCH(Table1[[#This Row],[DriverID]],CarrierDriverTBL!$A:$A,0))</f>
        <v>42778</v>
      </c>
      <c r="BK221" s="10">
        <f t="shared" si="98"/>
        <v>412</v>
      </c>
      <c r="BL221" s="174">
        <v>700</v>
      </c>
      <c r="BM221" s="144">
        <v>276</v>
      </c>
      <c r="BN221" s="159">
        <f t="shared" si="115"/>
        <v>2.5362318840579712</v>
      </c>
      <c r="BO221" s="167">
        <f>0.93*BL221</f>
        <v>651</v>
      </c>
      <c r="BP221" s="159">
        <f t="shared" si="116"/>
        <v>2.3586956521739131</v>
      </c>
      <c r="BQ221" s="133">
        <v>2.6</v>
      </c>
      <c r="BR221" s="166">
        <f t="shared" si="117"/>
        <v>0.1166666666666667</v>
      </c>
      <c r="BS221" s="167">
        <f t="shared" si="99"/>
        <v>2.2420289855072464</v>
      </c>
      <c r="BT221" s="159">
        <f t="shared" si="100"/>
        <v>32.20000000000001</v>
      </c>
      <c r="BU221" s="10" t="str">
        <f t="shared" si="101"/>
        <v>Ch Robinson</v>
      </c>
      <c r="BV221" s="4"/>
      <c r="BW221" s="4" t="str">
        <f>Table1[[#This Row],[BrokerAddress]]</f>
        <v>P.O. Box 3474</v>
      </c>
      <c r="BX221" s="4" t="str">
        <f t="shared" si="102"/>
        <v>Chicago</v>
      </c>
      <c r="BY221" s="4" t="str">
        <f t="shared" si="103"/>
        <v>Il</v>
      </c>
      <c r="BZ221" s="4">
        <f t="shared" si="104"/>
        <v>60654</v>
      </c>
      <c r="CA221" s="10" t="str">
        <f t="shared" si="105"/>
        <v>US</v>
      </c>
      <c r="CB221" s="15" t="s">
        <v>131</v>
      </c>
      <c r="CC221" s="62"/>
      <c r="CD221" s="15" t="s">
        <v>132</v>
      </c>
      <c r="CE221" s="64">
        <v>0</v>
      </c>
      <c r="CF221" s="4">
        <v>0</v>
      </c>
      <c r="CG221" s="132">
        <f t="shared" si="106"/>
        <v>0</v>
      </c>
      <c r="CH221" s="4" t="s">
        <v>132</v>
      </c>
      <c r="CI221" s="5">
        <v>0</v>
      </c>
      <c r="CJ221" s="4">
        <v>0</v>
      </c>
      <c r="CK221" s="132">
        <f t="shared" si="107"/>
        <v>0</v>
      </c>
      <c r="CL221" s="4" t="s">
        <v>132</v>
      </c>
      <c r="CM221" s="5">
        <v>0</v>
      </c>
      <c r="CN221" s="4">
        <v>0</v>
      </c>
      <c r="CO221" s="132">
        <f t="shared" si="108"/>
        <v>0</v>
      </c>
      <c r="CP221" s="4" t="s">
        <v>132</v>
      </c>
      <c r="CQ221" s="5">
        <v>0</v>
      </c>
      <c r="CR221" s="4">
        <v>0</v>
      </c>
      <c r="CS221" s="132">
        <f t="shared" si="109"/>
        <v>0</v>
      </c>
      <c r="CT221" s="159">
        <f t="shared" si="110"/>
        <v>0</v>
      </c>
      <c r="CU221" s="168">
        <f t="shared" si="111"/>
        <v>700</v>
      </c>
      <c r="CV221" s="169">
        <f t="shared" si="94"/>
        <v>0</v>
      </c>
      <c r="CW221" s="82">
        <f t="shared" si="95"/>
        <v>651</v>
      </c>
      <c r="CX221" s="79">
        <f>IF(ISBLANK(E221),"AddQuickPay",IF(E221=2,CU221*0.98,IF(E221=2.4,CU221*0.976,IF(E221=3,CU221*0.97,IF(E221=5,CU221*0.95,IF(E221=1.5,CU221*0.985,IF(E221=2.5,CU221*0.975,IF(E221=1.3,CU221*0.987,IF(E221=1,CU221*0.99,IF(E221=4,CU221*0.96,CU221*1))))))))))-Table1[[#This Row],[ComCheck+QuickPayFee]]</f>
        <v>686</v>
      </c>
      <c r="CY221" s="5">
        <f t="shared" si="112"/>
        <v>49</v>
      </c>
      <c r="CZ221" s="5">
        <f t="shared" si="113"/>
        <v>14</v>
      </c>
      <c r="DA221" s="258">
        <f>Table1[[#This Row],[OriginalDispatch]]-Table1[[#This Row],[QuickPayCharge]]</f>
        <v>35</v>
      </c>
      <c r="DB221" s="5">
        <v>0</v>
      </c>
      <c r="DC221" s="5" t="s">
        <v>1287</v>
      </c>
      <c r="DD221" s="104">
        <f t="shared" si="114"/>
        <v>42370</v>
      </c>
      <c r="DE221" s="15">
        <f>MONTH(Table1[[#This Row],[Weekending]])</f>
        <v>1</v>
      </c>
      <c r="DF221" s="15">
        <f>YEAR(Table1[[#This Row],[Weekending]])</f>
        <v>2016</v>
      </c>
      <c r="DG221" s="4"/>
    </row>
    <row r="222" spans="1:111">
      <c r="A222" s="20" t="str">
        <f t="shared" si="96"/>
        <v>4768ne19</v>
      </c>
      <c r="B222" s="146">
        <v>42368</v>
      </c>
      <c r="C222" s="144">
        <v>189434147</v>
      </c>
      <c r="D222" s="298" t="s">
        <v>111</v>
      </c>
      <c r="E222" s="298">
        <v>2</v>
      </c>
      <c r="F222" s="142" t="str">
        <f>INDEX(BrokerTBL!$B:$B,MATCH(D222,BrokerTBL!$A:$A,0))</f>
        <v>P.O. Box 3474</v>
      </c>
      <c r="G222" s="142" t="str">
        <f>INDEX(BrokerTBL!$C:$C,MATCH(D222,BrokerTBL!$A:$A,0))</f>
        <v>Chicago</v>
      </c>
      <c r="H222" s="142" t="str">
        <f>INDEX(BrokerTBL!$D:$D,MATCH(D222,BrokerTBL!$A:$A,0))</f>
        <v>Il</v>
      </c>
      <c r="I222" s="142" t="str">
        <f>INDEX(BrokerTBL!$E:$E,MATCH(D222,BrokerTBL!$A:$A,0))</f>
        <v>US</v>
      </c>
      <c r="J222" s="142">
        <f>INDEX(BrokerTBL!$F:$F,MATCH(D222,BrokerTBL!$A:$A,0))</f>
        <v>60654</v>
      </c>
      <c r="K222" s="298" t="s">
        <v>259</v>
      </c>
      <c r="L222" s="145">
        <v>32868</v>
      </c>
      <c r="M222" s="146">
        <v>42367</v>
      </c>
      <c r="N222" s="162" t="s">
        <v>136</v>
      </c>
      <c r="O222" s="298" t="s">
        <v>262</v>
      </c>
      <c r="P222" s="298" t="s">
        <v>263</v>
      </c>
      <c r="Q222" s="298" t="s">
        <v>264</v>
      </c>
      <c r="R222" s="298">
        <v>89431</v>
      </c>
      <c r="S222" s="298" t="s">
        <v>118</v>
      </c>
      <c r="T222" s="298" t="s">
        <v>136</v>
      </c>
      <c r="U222" s="298" t="s">
        <v>120</v>
      </c>
      <c r="V222" s="298">
        <v>53</v>
      </c>
      <c r="W222" s="298" t="s">
        <v>266</v>
      </c>
      <c r="X222" s="185">
        <v>26000</v>
      </c>
      <c r="Y222" s="298" t="s">
        <v>1537</v>
      </c>
      <c r="Z222" s="298">
        <v>26</v>
      </c>
      <c r="AA222" s="298" t="s">
        <v>123</v>
      </c>
      <c r="AB222" s="298" t="s">
        <v>123</v>
      </c>
      <c r="AC222" s="298" t="s">
        <v>1664</v>
      </c>
      <c r="AD222" s="145" t="s">
        <v>132</v>
      </c>
      <c r="AE222" s="146">
        <v>42368</v>
      </c>
      <c r="AF222" s="416" t="s">
        <v>123</v>
      </c>
      <c r="AG222" s="298" t="s">
        <v>1665</v>
      </c>
      <c r="AH222" s="298" t="s">
        <v>1666</v>
      </c>
      <c r="AI222" s="298" t="s">
        <v>139</v>
      </c>
      <c r="AJ222" s="298">
        <v>94060</v>
      </c>
      <c r="AK222" s="298" t="s">
        <v>118</v>
      </c>
      <c r="AL222" s="298" t="s">
        <v>123</v>
      </c>
      <c r="AM222" s="142" t="str">
        <f>INDEX(CarrierDriverTBL!$B:$B,MATCH(Table1[[#This Row],[DriverID]],CarrierDriverTBL!$A:$A,0))</f>
        <v>UBTrucking</v>
      </c>
      <c r="AN222" s="10" t="s">
        <v>1409</v>
      </c>
      <c r="AO222" s="298" t="str">
        <f>INDEX(CarrierDriverTBL!$C:$C,MATCH(Table1[[#This Row],[DriverID]],CarrierDriverTBL!$A:$A,0))</f>
        <v>Miguel Jaime</v>
      </c>
      <c r="AP222" s="298" t="str">
        <f>INDEX(CarrierDriverTBL!$D:$D,MATCH(Table1[[#This Row],[DriverID]],CarrierDriverTBL!$A:$A,0))</f>
        <v>Martin Del Campo Velarca</v>
      </c>
      <c r="AQ222" s="142" t="str">
        <f>INDEX(CarrierDriverTBL!$X:$X,MATCH(Table1[[#This Row],[DriverID]],CarrierDriverTBL!$A:$A,0))</f>
        <v>D5179619</v>
      </c>
      <c r="AR222" s="160">
        <f>INDEX(CarrierDriverTBL!$Y:$Y,MATCH(Table1[[#This Row],[DriverID]],CarrierDriverTBL!$A:$A,0))</f>
        <v>43843</v>
      </c>
      <c r="AS222" s="142" t="str">
        <f t="shared" si="97"/>
        <v>GOOD</v>
      </c>
      <c r="AT222" s="146">
        <f>INDEX(CarrierDriverTBL!$E:$E,MATCH(Table1[[#This Row],[DriverID]],CarrierDriverTBL!$A:$A,0))</f>
        <v>21198</v>
      </c>
      <c r="AU222" s="163">
        <f ca="1">INDEX(CarrierDriverTBL!$F:$F,MATCH(Table1[[#This Row],[DriverID]],CarrierDriverTBL!$A:$A,0))</f>
        <v>58.56986301369863</v>
      </c>
      <c r="AV222" s="298" t="str">
        <f>INDEX(CarrierDriverTBL!$K:$K,MATCH(Table1[[#This Row],[DriverID]],CarrierDriverTBL!$A:$A,0))</f>
        <v>209-322-5231</v>
      </c>
      <c r="AW222" s="298" t="str">
        <f>INDEX(CarrierDriverTBL!$M:$M,MATCH(Table1[[#This Row],[DriverID]],CarrierDriverTBL!$A:$A,0))</f>
        <v>572 Predersen RD</v>
      </c>
      <c r="AX222" s="298" t="str">
        <f>INDEX(CarrierDriverTBL!$N:$N,MATCH(Table1[[#This Row],[DriverID]],CarrierDriverTBL!$A:$A,0))</f>
        <v>Oakdale</v>
      </c>
      <c r="AY222" s="142" t="str">
        <f>INDEX(CarrierDriverTBL!$O:$O,MATCH(Table1[[#This Row],[DriverID]],CarrierDriverTBL!$A:$A,0))</f>
        <v>CA</v>
      </c>
      <c r="AZ222" s="298">
        <f>INDEX(CarrierDriverTBL!$P:$P,MATCH(Table1[[#This Row],[DriverID]],CarrierDriverTBL!$A:$A,0))</f>
        <v>95361</v>
      </c>
      <c r="BA222" s="298" t="str">
        <f>INDEX(CarrierDriverTBL!$Q:$Q,MATCH(Table1[[#This Row],[DriverID]],CarrierDriverTBL!$A:$A,0))</f>
        <v>US</v>
      </c>
      <c r="BB222" s="176" t="str">
        <f>INDEX(CarrierDriverTBL!$R:$R,MATCH(Table1[[#This Row],[DriverID]],CarrierDriverTBL!$A:$A,0))</f>
        <v>Miguelmartin52@yahoo.com</v>
      </c>
      <c r="BC222" s="160">
        <f>INDEX(CarrierDriverTBL!$AB:$AB,MATCH(Table1[[#This Row],[DriverID]],CarrierDriverTBL!$A:$A,0))</f>
        <v>42334</v>
      </c>
      <c r="BD222" s="142" t="str">
        <f ca="1">INDEX(CarrierDriverTBL!$AD:$AD,MATCH(LoadMaster!$AN:$AN,CarrierDriverTBL!$A:$A,0))</f>
        <v>MISSING</v>
      </c>
      <c r="BE222" s="142">
        <f>INDEX(CarrierDriverTBL!$AE:$AE,MATCH(Table1[DriverID],CarrierDriverTBL!$A:$A,0))</f>
        <v>913971</v>
      </c>
      <c r="BF222" s="142">
        <f>INDEX(CarrierDriverTBL!$AF:$AF,MATCH(Table1[DriverID],CarrierDriverTBL!$A:$A,0))</f>
        <v>2627544</v>
      </c>
      <c r="BG222" s="142">
        <f>INDEX(CarrierDriverTBL!$AG:$AG,MATCH(Table1[DriverID],CarrierDriverTBL!$A:$A,0))</f>
        <v>466133</v>
      </c>
      <c r="BH222" s="142" t="str">
        <f>INDEX(CarrierDriverTBL!$AH:$AH,MATCH(Table1[DriverID],CarrierDriverTBL!$A:$A,0))</f>
        <v>GM Lawrence Ins</v>
      </c>
      <c r="BI222" s="142" t="str">
        <f>INDEX(CarrierDriverTBL!$AI:$AI,MATCH(Table1[DriverID],CarrierDriverTBL!$A:$A,0))</f>
        <v>DSK2842P160210</v>
      </c>
      <c r="BJ222" s="160">
        <f>INDEX(CarrierDriverTBL!$AJ:$AJ,MATCH(Table1[[#This Row],[DriverID]],CarrierDriverTBL!$A:$A,0))</f>
        <v>42778</v>
      </c>
      <c r="BK222" s="10">
        <f t="shared" si="98"/>
        <v>411</v>
      </c>
      <c r="BL222" s="174">
        <v>650</v>
      </c>
      <c r="BM222" s="144">
        <v>266</v>
      </c>
      <c r="BN222" s="159">
        <f t="shared" si="115"/>
        <v>2.4436090225563909</v>
      </c>
      <c r="BO222" s="167">
        <f>0.93*BL222</f>
        <v>604.5</v>
      </c>
      <c r="BP222" s="159">
        <f t="shared" si="116"/>
        <v>2.2725563909774436</v>
      </c>
      <c r="BQ222" s="133">
        <v>2.6</v>
      </c>
      <c r="BR222" s="166">
        <f t="shared" si="117"/>
        <v>0.1166666666666667</v>
      </c>
      <c r="BS222" s="167">
        <f t="shared" si="99"/>
        <v>2.1558897243107769</v>
      </c>
      <c r="BT222" s="159">
        <f t="shared" si="100"/>
        <v>31.033333333333342</v>
      </c>
      <c r="BU222" s="10" t="str">
        <f t="shared" si="101"/>
        <v>Ch Robinson</v>
      </c>
      <c r="BV222" s="4"/>
      <c r="BW222" s="4" t="str">
        <f>Table1[[#This Row],[BrokerAddress]]</f>
        <v>P.O. Box 3474</v>
      </c>
      <c r="BX222" s="4" t="str">
        <f t="shared" si="102"/>
        <v>Chicago</v>
      </c>
      <c r="BY222" s="4" t="str">
        <f t="shared" si="103"/>
        <v>Il</v>
      </c>
      <c r="BZ222" s="4">
        <f t="shared" si="104"/>
        <v>60654</v>
      </c>
      <c r="CA222" s="10" t="str">
        <f t="shared" si="105"/>
        <v>US</v>
      </c>
      <c r="CB222" s="15" t="s">
        <v>131</v>
      </c>
      <c r="CC222" s="62"/>
      <c r="CD222" s="15" t="s">
        <v>132</v>
      </c>
      <c r="CE222" s="64">
        <v>0</v>
      </c>
      <c r="CF222" s="4">
        <v>0</v>
      </c>
      <c r="CG222" s="132">
        <f t="shared" si="106"/>
        <v>0</v>
      </c>
      <c r="CH222" s="4" t="s">
        <v>132</v>
      </c>
      <c r="CI222" s="5">
        <v>0</v>
      </c>
      <c r="CJ222" s="4">
        <v>0</v>
      </c>
      <c r="CK222" s="132">
        <f t="shared" si="107"/>
        <v>0</v>
      </c>
      <c r="CL222" s="4" t="s">
        <v>132</v>
      </c>
      <c r="CM222" s="5">
        <v>0</v>
      </c>
      <c r="CN222" s="4">
        <v>0</v>
      </c>
      <c r="CO222" s="132">
        <f t="shared" si="108"/>
        <v>0</v>
      </c>
      <c r="CP222" s="4" t="s">
        <v>132</v>
      </c>
      <c r="CQ222" s="5">
        <v>0</v>
      </c>
      <c r="CR222" s="4">
        <v>0</v>
      </c>
      <c r="CS222" s="132">
        <f t="shared" si="109"/>
        <v>0</v>
      </c>
      <c r="CT222" s="159">
        <f t="shared" si="110"/>
        <v>0</v>
      </c>
      <c r="CU222" s="168">
        <f t="shared" si="111"/>
        <v>650</v>
      </c>
      <c r="CV222" s="169">
        <f t="shared" si="94"/>
        <v>0</v>
      </c>
      <c r="CW222" s="82">
        <f t="shared" si="95"/>
        <v>604.5</v>
      </c>
      <c r="CX222" s="79">
        <f>IF(ISBLANK(E222),"AddQuickPay",IF(E222=2,CU222*0.98,IF(E222=2.4,CU222*0.976,IF(E222=3,CU222*0.97,IF(E222=5,CU222*0.95,IF(E222=1.5,CU222*0.985,IF(E222=2.5,CU222*0.975,IF(E222=1.3,CU222*0.987,IF(E222=1,CU222*0.99,IF(E222=4,CU222*0.96,CU222*1))))))))))-Table1[[#This Row],[ComCheck+QuickPayFee]]</f>
        <v>637</v>
      </c>
      <c r="CY222" s="5">
        <f t="shared" si="112"/>
        <v>45.5</v>
      </c>
      <c r="CZ222" s="5">
        <f t="shared" si="113"/>
        <v>13</v>
      </c>
      <c r="DA222" s="258">
        <f>Table1[[#This Row],[OriginalDispatch]]-Table1[[#This Row],[QuickPayCharge]]</f>
        <v>32.5</v>
      </c>
      <c r="DB222" s="5">
        <v>0</v>
      </c>
      <c r="DC222" s="5" t="s">
        <v>1287</v>
      </c>
      <c r="DD222" s="104">
        <f t="shared" si="114"/>
        <v>42370</v>
      </c>
      <c r="DE222" s="15">
        <f>MONTH(Table1[[#This Row],[Weekending]])</f>
        <v>1</v>
      </c>
      <c r="DF222" s="15">
        <f>YEAR(Table1[[#This Row],[Weekending]])</f>
        <v>2016</v>
      </c>
      <c r="DG222" s="4"/>
    </row>
    <row r="223" spans="1:111">
      <c r="A223" s="20" t="str">
        <f t="shared" si="96"/>
        <v>17826388</v>
      </c>
      <c r="B223" s="146">
        <v>42368</v>
      </c>
      <c r="C223" s="144">
        <v>189424917</v>
      </c>
      <c r="D223" s="298" t="s">
        <v>111</v>
      </c>
      <c r="E223" s="298">
        <v>2</v>
      </c>
      <c r="F223" s="142" t="str">
        <f>INDEX(BrokerTBL!$B:$B,MATCH(D223,BrokerTBL!$A:$A,0))</f>
        <v>P.O. Box 3474</v>
      </c>
      <c r="G223" s="142" t="str">
        <f>INDEX(BrokerTBL!$C:$C,MATCH(D223,BrokerTBL!$A:$A,0))</f>
        <v>Chicago</v>
      </c>
      <c r="H223" s="142" t="str">
        <f>INDEX(BrokerTBL!$D:$D,MATCH(D223,BrokerTBL!$A:$A,0))</f>
        <v>Il</v>
      </c>
      <c r="I223" s="142" t="str">
        <f>INDEX(BrokerTBL!$E:$E,MATCH(D223,BrokerTBL!$A:$A,0))</f>
        <v>US</v>
      </c>
      <c r="J223" s="142">
        <f>INDEX(BrokerTBL!$F:$F,MATCH(D223,BrokerTBL!$A:$A,0))</f>
        <v>60654</v>
      </c>
      <c r="K223" s="298" t="s">
        <v>1667</v>
      </c>
      <c r="L223" s="145">
        <v>104882</v>
      </c>
      <c r="M223" s="146">
        <v>42367</v>
      </c>
      <c r="N223" s="162" t="s">
        <v>136</v>
      </c>
      <c r="O223" s="298" t="s">
        <v>1668</v>
      </c>
      <c r="P223" s="298" t="s">
        <v>570</v>
      </c>
      <c r="Q223" s="298" t="s">
        <v>139</v>
      </c>
      <c r="R223" s="298">
        <v>94952</v>
      </c>
      <c r="S223" s="298" t="s">
        <v>118</v>
      </c>
      <c r="T223" s="298" t="s">
        <v>136</v>
      </c>
      <c r="U223" s="298" t="s">
        <v>120</v>
      </c>
      <c r="V223" s="298">
        <v>53</v>
      </c>
      <c r="W223" s="298" t="s">
        <v>1669</v>
      </c>
      <c r="X223" s="185">
        <v>10000</v>
      </c>
      <c r="Y223" s="298" t="s">
        <v>1537</v>
      </c>
      <c r="Z223" s="298">
        <v>5</v>
      </c>
      <c r="AA223" s="298" t="s">
        <v>123</v>
      </c>
      <c r="AB223" s="298" t="s">
        <v>123</v>
      </c>
      <c r="AC223" s="298" t="s">
        <v>1670</v>
      </c>
      <c r="AD223" s="145">
        <v>274063</v>
      </c>
      <c r="AE223" s="146">
        <v>42368</v>
      </c>
      <c r="AF223" s="416" t="s">
        <v>123</v>
      </c>
      <c r="AG223" s="298" t="s">
        <v>1671</v>
      </c>
      <c r="AH223" s="298" t="s">
        <v>263</v>
      </c>
      <c r="AI223" s="298" t="s">
        <v>139</v>
      </c>
      <c r="AJ223" s="298" t="s">
        <v>1672</v>
      </c>
      <c r="AK223" s="298" t="s">
        <v>118</v>
      </c>
      <c r="AL223" s="298" t="s">
        <v>123</v>
      </c>
      <c r="AM223" s="142" t="str">
        <f>INDEX(CarrierDriverTBL!$B:$B,MATCH(Table1[[#This Row],[DriverID]],CarrierDriverTBL!$A:$A,0))</f>
        <v>UBTrucking</v>
      </c>
      <c r="AN223" s="10" t="s">
        <v>948</v>
      </c>
      <c r="AO223" s="10" t="str">
        <f>INDEX(CarrierDriverTBL!$C:$C,MATCH(Table1[[#This Row],[DriverID]],CarrierDriverTBL!$A:$A,0))</f>
        <v>Wesley</v>
      </c>
      <c r="AP223" s="10" t="str">
        <f>INDEX(CarrierDriverTBL!$D:$D,MATCH(Table1[[#This Row],[DriverID]],CarrierDriverTBL!$A:$A,0))</f>
        <v>Cousain</v>
      </c>
      <c r="AQ223" s="10" t="str">
        <f>INDEX(CarrierDriverTBL!$X:$X,MATCH(Table1[[#This Row],[DriverID]],CarrierDriverTBL!$A:$A,0))</f>
        <v>D4903588</v>
      </c>
      <c r="AR223" s="11">
        <f>INDEX(CarrierDriverTBL!$Y:$Y,MATCH(Table1[[#This Row],[DriverID]],CarrierDriverTBL!$A:$A,0))</f>
        <v>43458</v>
      </c>
      <c r="AS223" s="142" t="str">
        <f t="shared" si="97"/>
        <v>GOOD</v>
      </c>
      <c r="AT223" s="11">
        <f>INDEX(CarrierDriverTBL!$E:$E,MATCH(Table1[[#This Row],[DriverID]],CarrierDriverTBL!$A:$A,0))</f>
        <v>31405</v>
      </c>
      <c r="AU223" s="163">
        <f ca="1">INDEX(CarrierDriverTBL!$F:$F,MATCH(Table1[[#This Row],[DriverID]],CarrierDriverTBL!$A:$A,0))</f>
        <v>30.605479452054794</v>
      </c>
      <c r="AV223" s="10" t="str">
        <f>INDEX(CarrierDriverTBL!$K:$K,MATCH(Table1[[#This Row],[DriverID]],CarrierDriverTBL!$A:$A,0))</f>
        <v>925-383-5364</v>
      </c>
      <c r="AW223" s="10" t="str">
        <f>INDEX(CarrierDriverTBL!$M:$M,MATCH(Table1[[#This Row],[DriverID]],CarrierDriverTBL!$A:$A,0))</f>
        <v>110 Cordova Ln</v>
      </c>
      <c r="AX223" s="10" t="str">
        <f>INDEX(CarrierDriverTBL!$N:$N,MATCH(Table1[[#This Row],[DriverID]],CarrierDriverTBL!$A:$A,0))</f>
        <v>Stockton</v>
      </c>
      <c r="AY223" s="10" t="str">
        <f>INDEX(CarrierDriverTBL!$O:$O,MATCH(Table1[[#This Row],[DriverID]],CarrierDriverTBL!$A:$A,0))</f>
        <v>CA</v>
      </c>
      <c r="AZ223" s="10">
        <f>INDEX(CarrierDriverTBL!$P:$P,MATCH(Table1[[#This Row],[DriverID]],CarrierDriverTBL!$A:$A,0))</f>
        <v>95207</v>
      </c>
      <c r="BA223" s="10" t="str">
        <f>INDEX(CarrierDriverTBL!$Q:$Q,MATCH(Table1[[#This Row],[DriverID]],CarrierDriverTBL!$A:$A,0))</f>
        <v>US</v>
      </c>
      <c r="BB223" s="173" t="str">
        <f>INDEX(CarrierDriverTBL!$R:$R,MATCH(Table1[[#This Row],[DriverID]],CarrierDriverTBL!$A:$A,0))</f>
        <v>wesleycousain1@gmail.com</v>
      </c>
      <c r="BC223" s="160">
        <f>INDEX(CarrierDriverTBL!$AB:$AB,MATCH(Table1[[#This Row],[DriverID]],CarrierDriverTBL!$A:$A,0))</f>
        <v>42271</v>
      </c>
      <c r="BD223" s="142" t="str">
        <f ca="1">INDEX(CarrierDriverTBL!$AD:$AD,MATCH(LoadMaster!$AN:$AN,CarrierDriverTBL!$A:$A,0))</f>
        <v>MISSING</v>
      </c>
      <c r="BE223" s="142">
        <f>INDEX(CarrierDriverTBL!$AE:$AE,MATCH(Table1[DriverID],CarrierDriverTBL!$A:$A,0))</f>
        <v>913971</v>
      </c>
      <c r="BF223" s="142">
        <f>INDEX(CarrierDriverTBL!$AF:$AF,MATCH(Table1[DriverID],CarrierDriverTBL!$A:$A,0))</f>
        <v>2627544</v>
      </c>
      <c r="BG223" s="142">
        <f>INDEX(CarrierDriverTBL!$AG:$AG,MATCH(Table1[DriverID],CarrierDriverTBL!$A:$A,0))</f>
        <v>466133</v>
      </c>
      <c r="BH223" s="142" t="str">
        <f>INDEX(CarrierDriverTBL!$AH:$AH,MATCH(Table1[DriverID],CarrierDriverTBL!$A:$A,0))</f>
        <v>GM Lawrence Ins</v>
      </c>
      <c r="BI223" s="142" t="str">
        <f>INDEX(CarrierDriverTBL!$AI:$AI,MATCH(Table1[DriverID],CarrierDriverTBL!$A:$A,0))</f>
        <v>DSK2842P160210</v>
      </c>
      <c r="BJ223" s="160">
        <f>INDEX(CarrierDriverTBL!$AJ:$AJ,MATCH(Table1[[#This Row],[DriverID]],CarrierDriverTBL!$A:$A,0))</f>
        <v>42778</v>
      </c>
      <c r="BK223" s="10">
        <f t="shared" si="98"/>
        <v>411</v>
      </c>
      <c r="BL223" s="174">
        <v>600</v>
      </c>
      <c r="BM223" s="144">
        <v>215</v>
      </c>
      <c r="BN223" s="159">
        <f t="shared" si="115"/>
        <v>2.7906976744186047</v>
      </c>
      <c r="BO223" s="167">
        <f>0.93*BL223</f>
        <v>558</v>
      </c>
      <c r="BP223" s="159">
        <f t="shared" si="116"/>
        <v>2.5953488372093023</v>
      </c>
      <c r="BQ223" s="133">
        <v>2.6</v>
      </c>
      <c r="BR223" s="166">
        <f t="shared" si="117"/>
        <v>0.1166666666666667</v>
      </c>
      <c r="BS223" s="167">
        <f t="shared" si="99"/>
        <v>2.4786821705426356</v>
      </c>
      <c r="BT223" s="159">
        <f t="shared" si="100"/>
        <v>25.083333333333339</v>
      </c>
      <c r="BU223" s="10" t="str">
        <f t="shared" si="101"/>
        <v>Ch Robinson</v>
      </c>
      <c r="BV223" s="4"/>
      <c r="BW223" s="4" t="str">
        <f>Table1[[#This Row],[BrokerAddress]]</f>
        <v>P.O. Box 3474</v>
      </c>
      <c r="BX223" s="4" t="str">
        <f t="shared" si="102"/>
        <v>Chicago</v>
      </c>
      <c r="BY223" s="4" t="str">
        <f t="shared" si="103"/>
        <v>Il</v>
      </c>
      <c r="BZ223" s="4">
        <f t="shared" si="104"/>
        <v>60654</v>
      </c>
      <c r="CA223" s="10" t="str">
        <f t="shared" si="105"/>
        <v>US</v>
      </c>
      <c r="CB223" s="15" t="s">
        <v>131</v>
      </c>
      <c r="CC223" s="62"/>
      <c r="CD223" s="15" t="s">
        <v>132</v>
      </c>
      <c r="CE223" s="64">
        <v>0</v>
      </c>
      <c r="CF223" s="4">
        <v>0</v>
      </c>
      <c r="CG223" s="132">
        <f t="shared" si="106"/>
        <v>0</v>
      </c>
      <c r="CH223" s="4" t="s">
        <v>132</v>
      </c>
      <c r="CI223" s="5">
        <v>0</v>
      </c>
      <c r="CJ223" s="4">
        <v>0</v>
      </c>
      <c r="CK223" s="132">
        <f t="shared" si="107"/>
        <v>0</v>
      </c>
      <c r="CL223" s="4" t="s">
        <v>132</v>
      </c>
      <c r="CM223" s="5">
        <v>0</v>
      </c>
      <c r="CN223" s="4">
        <v>0</v>
      </c>
      <c r="CO223" s="132">
        <f t="shared" si="108"/>
        <v>0</v>
      </c>
      <c r="CP223" s="4" t="s">
        <v>132</v>
      </c>
      <c r="CQ223" s="5">
        <v>0</v>
      </c>
      <c r="CR223" s="4">
        <v>0</v>
      </c>
      <c r="CS223" s="132">
        <f t="shared" si="109"/>
        <v>0</v>
      </c>
      <c r="CT223" s="159">
        <f t="shared" si="110"/>
        <v>0</v>
      </c>
      <c r="CU223" s="168">
        <f t="shared" si="111"/>
        <v>600</v>
      </c>
      <c r="CV223" s="169">
        <f t="shared" si="94"/>
        <v>0</v>
      </c>
      <c r="CW223" s="82">
        <f t="shared" si="95"/>
        <v>558</v>
      </c>
      <c r="CX223" s="79">
        <f>IF(ISBLANK(E223),"AddQuickPay",IF(E223=2,CU223*0.98,IF(E223=2.4,CU223*0.976,IF(E223=3,CU223*0.97,IF(E223=5,CU223*0.95,IF(E223=1.5,CU223*0.985,IF(E223=2.5,CU223*0.975,IF(E223=1.3,CU223*0.987,IF(E223=1,CU223*0.99,IF(E223=4,CU223*0.96,CU223*1))))))))))-Table1[[#This Row],[ComCheck+QuickPayFee]]</f>
        <v>588</v>
      </c>
      <c r="CY223" s="5">
        <f t="shared" si="112"/>
        <v>42</v>
      </c>
      <c r="CZ223" s="5">
        <f t="shared" si="113"/>
        <v>12</v>
      </c>
      <c r="DA223" s="258">
        <f>Table1[[#This Row],[OriginalDispatch]]-Table1[[#This Row],[QuickPayCharge]]</f>
        <v>30</v>
      </c>
      <c r="DB223" s="5">
        <v>0</v>
      </c>
      <c r="DC223" s="5" t="s">
        <v>1287</v>
      </c>
      <c r="DD223" s="104">
        <f t="shared" si="114"/>
        <v>42370</v>
      </c>
      <c r="DE223" s="15">
        <f>MONTH(Table1[[#This Row],[Weekending]])</f>
        <v>1</v>
      </c>
      <c r="DF223" s="15">
        <f>YEAR(Table1[[#This Row],[Weekending]])</f>
        <v>2016</v>
      </c>
      <c r="DG223" s="4"/>
    </row>
    <row r="224" spans="1:111">
      <c r="A224" s="20" t="str">
        <f t="shared" si="96"/>
        <v>73561288</v>
      </c>
      <c r="B224" s="146">
        <v>42368</v>
      </c>
      <c r="C224" s="144">
        <v>189509073</v>
      </c>
      <c r="D224" s="298" t="s">
        <v>111</v>
      </c>
      <c r="E224" s="298">
        <v>2</v>
      </c>
      <c r="F224" s="142" t="str">
        <f>INDEX(BrokerTBL!$B:$B,MATCH(D224,BrokerTBL!$A:$A,0))</f>
        <v>P.O. Box 3474</v>
      </c>
      <c r="G224" s="142" t="str">
        <f>INDEX(BrokerTBL!$C:$C,MATCH(D224,BrokerTBL!$A:$A,0))</f>
        <v>Chicago</v>
      </c>
      <c r="H224" s="142" t="str">
        <f>INDEX(BrokerTBL!$D:$D,MATCH(D224,BrokerTBL!$A:$A,0))</f>
        <v>Il</v>
      </c>
      <c r="I224" s="142" t="str">
        <f>INDEX(BrokerTBL!$E:$E,MATCH(D224,BrokerTBL!$A:$A,0))</f>
        <v>US</v>
      </c>
      <c r="J224" s="142">
        <f>INDEX(BrokerTBL!$F:$F,MATCH(D224,BrokerTBL!$A:$A,0))</f>
        <v>60654</v>
      </c>
      <c r="K224" s="298" t="s">
        <v>1376</v>
      </c>
      <c r="L224" s="145" t="s">
        <v>1673</v>
      </c>
      <c r="M224" s="146">
        <v>42368</v>
      </c>
      <c r="N224" s="144" t="s">
        <v>1378</v>
      </c>
      <c r="O224" s="298" t="s">
        <v>1379</v>
      </c>
      <c r="P224" s="298" t="s">
        <v>1380</v>
      </c>
      <c r="Q224" s="298" t="s">
        <v>264</v>
      </c>
      <c r="R224" s="298" t="s">
        <v>1674</v>
      </c>
      <c r="S224" s="298" t="s">
        <v>118</v>
      </c>
      <c r="T224" s="298" t="s">
        <v>136</v>
      </c>
      <c r="U224" s="298" t="s">
        <v>120</v>
      </c>
      <c r="V224" s="298">
        <v>53</v>
      </c>
      <c r="W224" s="298" t="s">
        <v>1675</v>
      </c>
      <c r="X224" s="144">
        <v>29230</v>
      </c>
      <c r="Y224" s="298" t="s">
        <v>740</v>
      </c>
      <c r="Z224" s="298">
        <v>2</v>
      </c>
      <c r="AA224" s="298">
        <v>31</v>
      </c>
      <c r="AB224" s="298" t="s">
        <v>123</v>
      </c>
      <c r="AC224" s="298" t="s">
        <v>1676</v>
      </c>
      <c r="AD224" s="145" t="s">
        <v>1677</v>
      </c>
      <c r="AE224" s="146">
        <v>42369</v>
      </c>
      <c r="AF224" s="298" t="s">
        <v>1150</v>
      </c>
      <c r="AG224" s="298" t="s">
        <v>1678</v>
      </c>
      <c r="AH224" s="298" t="s">
        <v>214</v>
      </c>
      <c r="AI224" s="298" t="s">
        <v>139</v>
      </c>
      <c r="AJ224" s="298">
        <v>93706</v>
      </c>
      <c r="AK224" s="298" t="s">
        <v>118</v>
      </c>
      <c r="AL224" s="298" t="s">
        <v>123</v>
      </c>
      <c r="AM224" s="142" t="str">
        <f>INDEX(CarrierDriverTBL!$B:$B,MATCH(Table1[[#This Row],[DriverID]],CarrierDriverTBL!$A:$A,0))</f>
        <v>UBTrucking</v>
      </c>
      <c r="AN224" s="10" t="s">
        <v>948</v>
      </c>
      <c r="AO224" s="10" t="str">
        <f>INDEX(CarrierDriverTBL!$C:$C,MATCH(Table1[[#This Row],[DriverID]],CarrierDriverTBL!$A:$A,0))</f>
        <v>Wesley</v>
      </c>
      <c r="AP224" s="10" t="str">
        <f>INDEX(CarrierDriverTBL!$D:$D,MATCH(Table1[[#This Row],[DriverID]],CarrierDriverTBL!$A:$A,0))</f>
        <v>Cousain</v>
      </c>
      <c r="AQ224" s="10" t="str">
        <f>INDEX(CarrierDriverTBL!$X:$X,MATCH(Table1[[#This Row],[DriverID]],CarrierDriverTBL!$A:$A,0))</f>
        <v>D4903588</v>
      </c>
      <c r="AR224" s="11">
        <f>INDEX(CarrierDriverTBL!$Y:$Y,MATCH(Table1[[#This Row],[DriverID]],CarrierDriverTBL!$A:$A,0))</f>
        <v>43458</v>
      </c>
      <c r="AS224" s="142" t="str">
        <f t="shared" si="97"/>
        <v>GOOD</v>
      </c>
      <c r="AT224" s="11">
        <f>INDEX(CarrierDriverTBL!$E:$E,MATCH(Table1[[#This Row],[DriverID]],CarrierDriverTBL!$A:$A,0))</f>
        <v>31405</v>
      </c>
      <c r="AU224" s="163">
        <f ca="1">INDEX(CarrierDriverTBL!$F:$F,MATCH(Table1[[#This Row],[DriverID]],CarrierDriverTBL!$A:$A,0))</f>
        <v>30.605479452054794</v>
      </c>
      <c r="AV224" s="10" t="str">
        <f>INDEX(CarrierDriverTBL!$K:$K,MATCH(Table1[[#This Row],[DriverID]],CarrierDriverTBL!$A:$A,0))</f>
        <v>925-383-5364</v>
      </c>
      <c r="AW224" s="10" t="str">
        <f>INDEX(CarrierDriverTBL!$M:$M,MATCH(Table1[[#This Row],[DriverID]],CarrierDriverTBL!$A:$A,0))</f>
        <v>110 Cordova Ln</v>
      </c>
      <c r="AX224" s="10" t="str">
        <f>INDEX(CarrierDriverTBL!$N:$N,MATCH(Table1[[#This Row],[DriverID]],CarrierDriverTBL!$A:$A,0))</f>
        <v>Stockton</v>
      </c>
      <c r="AY224" s="10" t="str">
        <f>INDEX(CarrierDriverTBL!$O:$O,MATCH(Table1[[#This Row],[DriverID]],CarrierDriverTBL!$A:$A,0))</f>
        <v>CA</v>
      </c>
      <c r="AZ224" s="10">
        <f>INDEX(CarrierDriverTBL!$P:$P,MATCH(Table1[[#This Row],[DriverID]],CarrierDriverTBL!$A:$A,0))</f>
        <v>95207</v>
      </c>
      <c r="BA224" s="10" t="str">
        <f>INDEX(CarrierDriverTBL!$Q:$Q,MATCH(Table1[[#This Row],[DriverID]],CarrierDriverTBL!$A:$A,0))</f>
        <v>US</v>
      </c>
      <c r="BB224" s="173" t="str">
        <f>INDEX(CarrierDriverTBL!$R:$R,MATCH(Table1[[#This Row],[DriverID]],CarrierDriverTBL!$A:$A,0))</f>
        <v>wesleycousain1@gmail.com</v>
      </c>
      <c r="BC224" s="160">
        <f>INDEX(CarrierDriverTBL!$AB:$AB,MATCH(Table1[[#This Row],[DriverID]],CarrierDriverTBL!$A:$A,0))</f>
        <v>42271</v>
      </c>
      <c r="BD224" s="142" t="str">
        <f ca="1">INDEX(CarrierDriverTBL!$AD:$AD,MATCH(LoadMaster!$AN:$AN,CarrierDriverTBL!$A:$A,0))</f>
        <v>MISSING</v>
      </c>
      <c r="BE224" s="142">
        <f>INDEX(CarrierDriverTBL!$AE:$AE,MATCH(Table1[DriverID],CarrierDriverTBL!$A:$A,0))</f>
        <v>913971</v>
      </c>
      <c r="BF224" s="142">
        <f>INDEX(CarrierDriverTBL!$AF:$AF,MATCH(Table1[DriverID],CarrierDriverTBL!$A:$A,0))</f>
        <v>2627544</v>
      </c>
      <c r="BG224" s="142">
        <f>INDEX(CarrierDriverTBL!$AG:$AG,MATCH(Table1[DriverID],CarrierDriverTBL!$A:$A,0))</f>
        <v>466133</v>
      </c>
      <c r="BH224" s="142" t="str">
        <f>INDEX(CarrierDriverTBL!$AH:$AH,MATCH(Table1[DriverID],CarrierDriverTBL!$A:$A,0))</f>
        <v>GM Lawrence Ins</v>
      </c>
      <c r="BI224" s="142" t="str">
        <f>INDEX(CarrierDriverTBL!$AI:$AI,MATCH(Table1[DriverID],CarrierDriverTBL!$A:$A,0))</f>
        <v>DSK2842P160210</v>
      </c>
      <c r="BJ224" s="160">
        <f>INDEX(CarrierDriverTBL!$AJ:$AJ,MATCH(Table1[[#This Row],[DriverID]],CarrierDriverTBL!$A:$A,0))</f>
        <v>42778</v>
      </c>
      <c r="BK224" s="10">
        <f t="shared" si="98"/>
        <v>410</v>
      </c>
      <c r="BL224" s="174">
        <v>700</v>
      </c>
      <c r="BM224" s="144">
        <v>260</v>
      </c>
      <c r="BN224" s="159">
        <f t="shared" si="115"/>
        <v>2.6923076923076925</v>
      </c>
      <c r="BO224" s="167">
        <f>0.93*BL224</f>
        <v>651</v>
      </c>
      <c r="BP224" s="159">
        <f t="shared" si="116"/>
        <v>2.5038461538461538</v>
      </c>
      <c r="BQ224" s="133">
        <v>2.6</v>
      </c>
      <c r="BR224" s="166">
        <f t="shared" si="117"/>
        <v>0.1166666666666667</v>
      </c>
      <c r="BS224" s="167">
        <f t="shared" si="99"/>
        <v>2.3871794871794871</v>
      </c>
      <c r="BT224" s="159">
        <f t="shared" si="100"/>
        <v>30.333333333333343</v>
      </c>
      <c r="BU224" s="10" t="str">
        <f t="shared" si="101"/>
        <v>Ch Robinson</v>
      </c>
      <c r="BV224" s="4"/>
      <c r="BW224" s="4" t="str">
        <f>Table1[[#This Row],[BrokerAddress]]</f>
        <v>P.O. Box 3474</v>
      </c>
      <c r="BX224" s="4" t="str">
        <f t="shared" si="102"/>
        <v>Chicago</v>
      </c>
      <c r="BY224" s="4" t="str">
        <f t="shared" si="103"/>
        <v>Il</v>
      </c>
      <c r="BZ224" s="4">
        <f t="shared" si="104"/>
        <v>60654</v>
      </c>
      <c r="CA224" s="10" t="str">
        <f t="shared" si="105"/>
        <v>US</v>
      </c>
      <c r="CB224" s="15" t="s">
        <v>131</v>
      </c>
      <c r="CC224" s="62"/>
      <c r="CD224" s="15" t="s">
        <v>149</v>
      </c>
      <c r="CE224" s="64">
        <v>350</v>
      </c>
      <c r="CF224" s="4">
        <v>1</v>
      </c>
      <c r="CG224" s="132">
        <f t="shared" si="106"/>
        <v>350</v>
      </c>
      <c r="CH224" s="4" t="s">
        <v>132</v>
      </c>
      <c r="CI224" s="5">
        <v>0</v>
      </c>
      <c r="CJ224" s="4">
        <v>0</v>
      </c>
      <c r="CK224" s="132">
        <f t="shared" si="107"/>
        <v>0</v>
      </c>
      <c r="CL224" s="4" t="s">
        <v>132</v>
      </c>
      <c r="CM224" s="5">
        <v>0</v>
      </c>
      <c r="CN224" s="4">
        <v>0</v>
      </c>
      <c r="CO224" s="132">
        <f t="shared" si="108"/>
        <v>0</v>
      </c>
      <c r="CP224" s="4" t="s">
        <v>132</v>
      </c>
      <c r="CQ224" s="5">
        <v>0</v>
      </c>
      <c r="CR224" s="4">
        <v>0</v>
      </c>
      <c r="CS224" s="132">
        <f t="shared" si="109"/>
        <v>0</v>
      </c>
      <c r="CT224" s="159">
        <f t="shared" si="110"/>
        <v>350</v>
      </c>
      <c r="CU224" s="168">
        <f t="shared" si="111"/>
        <v>1050</v>
      </c>
      <c r="CV224" s="169">
        <f t="shared" si="94"/>
        <v>325.5</v>
      </c>
      <c r="CW224" s="82">
        <f t="shared" si="95"/>
        <v>976.5</v>
      </c>
      <c r="CX224" s="79">
        <f>IF(ISBLANK(E224),"AddQuickPay",IF(E224=2,CU224*0.98,IF(E224=2.4,CU224*0.976,IF(E224=3,CU224*0.97,IF(E224=5,CU224*0.95,IF(E224=1.5,CU224*0.985,IF(E224=2.5,CU224*0.975,IF(E224=1.3,CU224*0.987,IF(E224=1,CU224*0.99,IF(E224=4,CU224*0.96,CU224*1))))))))))-Table1[[#This Row],[ComCheck+QuickPayFee]]</f>
        <v>1029</v>
      </c>
      <c r="CY224" s="5">
        <f t="shared" si="112"/>
        <v>73.5</v>
      </c>
      <c r="CZ224" s="5">
        <f t="shared" si="113"/>
        <v>21</v>
      </c>
      <c r="DA224" s="258">
        <f>Table1[[#This Row],[OriginalDispatch]]-Table1[[#This Row],[QuickPayCharge]]</f>
        <v>52.5</v>
      </c>
      <c r="DB224" s="5">
        <v>0</v>
      </c>
      <c r="DC224" s="5" t="s">
        <v>1287</v>
      </c>
      <c r="DD224" s="104">
        <f t="shared" si="114"/>
        <v>42370</v>
      </c>
      <c r="DE224" s="15">
        <f>MONTH(Table1[[#This Row],[Weekending]])</f>
        <v>1</v>
      </c>
      <c r="DF224" s="15">
        <f>YEAR(Table1[[#This Row],[Weekending]])</f>
        <v>2016</v>
      </c>
      <c r="DG224" s="4" t="s">
        <v>1679</v>
      </c>
    </row>
    <row r="225" spans="1:111" ht="45">
      <c r="A225" s="20" t="str">
        <f t="shared" si="96"/>
        <v>97441249</v>
      </c>
      <c r="B225" s="146">
        <v>42368</v>
      </c>
      <c r="C225" s="144">
        <v>188999397</v>
      </c>
      <c r="D225" s="298" t="s">
        <v>111</v>
      </c>
      <c r="E225" s="298">
        <v>2</v>
      </c>
      <c r="F225" s="142" t="str">
        <f>INDEX(BrokerTBL!$B:$B,MATCH(D225,BrokerTBL!$A:$A,0))</f>
        <v>P.O. Box 3474</v>
      </c>
      <c r="G225" s="142" t="str">
        <f>INDEX(BrokerTBL!$C:$C,MATCH(D225,BrokerTBL!$A:$A,0))</f>
        <v>Chicago</v>
      </c>
      <c r="H225" s="142" t="str">
        <f>INDEX(BrokerTBL!$D:$D,MATCH(D225,BrokerTBL!$A:$A,0))</f>
        <v>Il</v>
      </c>
      <c r="I225" s="142" t="str">
        <f>INDEX(BrokerTBL!$E:$E,MATCH(D225,BrokerTBL!$A:$A,0))</f>
        <v>US</v>
      </c>
      <c r="J225" s="142">
        <f>INDEX(BrokerTBL!$F:$F,MATCH(D225,BrokerTBL!$A:$A,0))</f>
        <v>60654</v>
      </c>
      <c r="K225" s="298" t="s">
        <v>700</v>
      </c>
      <c r="L225" s="145">
        <v>305594944</v>
      </c>
      <c r="M225" s="146">
        <v>42368</v>
      </c>
      <c r="N225" s="162" t="s">
        <v>136</v>
      </c>
      <c r="O225" s="298" t="s">
        <v>702</v>
      </c>
      <c r="P225" s="298" t="s">
        <v>703</v>
      </c>
      <c r="Q225" s="298" t="s">
        <v>139</v>
      </c>
      <c r="R225" s="298">
        <v>93030</v>
      </c>
      <c r="S225" s="298" t="s">
        <v>118</v>
      </c>
      <c r="T225" s="298" t="s">
        <v>136</v>
      </c>
      <c r="U225" s="298" t="s">
        <v>120</v>
      </c>
      <c r="V225" s="298">
        <v>53</v>
      </c>
      <c r="W225" s="298" t="s">
        <v>136</v>
      </c>
      <c r="X225" s="144" t="s">
        <v>136</v>
      </c>
      <c r="Y225" s="298" t="s">
        <v>123</v>
      </c>
      <c r="Z225" s="298" t="s">
        <v>123</v>
      </c>
      <c r="AA225" s="298" t="s">
        <v>123</v>
      </c>
      <c r="AB225" s="298" t="s">
        <v>123</v>
      </c>
      <c r="AC225" s="187" t="s">
        <v>1680</v>
      </c>
      <c r="AD225" s="188" t="s">
        <v>1681</v>
      </c>
      <c r="AE225" s="146">
        <v>42369</v>
      </c>
      <c r="AF225" s="416" t="s">
        <v>123</v>
      </c>
      <c r="AG225" s="187" t="s">
        <v>1682</v>
      </c>
      <c r="AH225" s="187" t="s">
        <v>1683</v>
      </c>
      <c r="AI225" s="298" t="s">
        <v>139</v>
      </c>
      <c r="AJ225" s="187" t="s">
        <v>1684</v>
      </c>
      <c r="AK225" s="298" t="s">
        <v>118</v>
      </c>
      <c r="AL225" s="298" t="s">
        <v>123</v>
      </c>
      <c r="AM225" s="142" t="str">
        <f>INDEX(CarrierDriverTBL!$B:$B,MATCH(Table1[[#This Row],[DriverID]],CarrierDriverTBL!$A:$A,0))</f>
        <v>UBTrucking</v>
      </c>
      <c r="AN225" s="10" t="s">
        <v>192</v>
      </c>
      <c r="AO225" s="10" t="str">
        <f>INDEX(CarrierDriverTBL!$C:$C,MATCH(Table1[[#This Row],[DriverID]],CarrierDriverTBL!$A:$A,0))</f>
        <v>Albel</v>
      </c>
      <c r="AP225" s="142" t="str">
        <f>INDEX(CarrierDriverTBL!$D:$D,MATCH(Table1[[#This Row],[DriverID]],CarrierDriverTBL!$A:$A,0))</f>
        <v>Chahil</v>
      </c>
      <c r="AQ225" s="142" t="str">
        <f>INDEX(CarrierDriverTBL!$X:$X,MATCH(Table1[[#This Row],[DriverID]],CarrierDriverTBL!$A:$A,0))</f>
        <v>A8390649</v>
      </c>
      <c r="AR225" s="160">
        <f>INDEX(CarrierDriverTBL!$Y:$Y,MATCH(Table1[[#This Row],[DriverID]],CarrierDriverTBL!$A:$A,0))</f>
        <v>42402</v>
      </c>
      <c r="AS225" s="142" t="str">
        <f t="shared" si="97"/>
        <v>GOOD</v>
      </c>
      <c r="AT225" s="160">
        <f>INDEX(CarrierDriverTBL!$E:$E,MATCH(Table1[[#This Row],[DriverID]],CarrierDriverTBL!$A:$A,0))</f>
        <v>22314</v>
      </c>
      <c r="AU225" s="163">
        <f ca="1">INDEX(CarrierDriverTBL!$F:$F,MATCH(Table1[[#This Row],[DriverID]],CarrierDriverTBL!$A:$A,0))</f>
        <v>55.512328767123286</v>
      </c>
      <c r="AV225" s="142" t="str">
        <f>INDEX(CarrierDriverTBL!$K:$K,MATCH(Table1[[#This Row],[DriverID]],CarrierDriverTBL!$A:$A,0))</f>
        <v>510-773-9450</v>
      </c>
      <c r="AW225" s="142" t="str">
        <f>INDEX(CarrierDriverTBL!$M:$M,MATCH(Table1[[#This Row],[DriverID]],CarrierDriverTBL!$A:$A,0))</f>
        <v>3124 Cynthia CT</v>
      </c>
      <c r="AX225" s="142" t="str">
        <f>INDEX(CarrierDriverTBL!$N:$N,MATCH(Table1[[#This Row],[DriverID]],CarrierDriverTBL!$A:$A,0))</f>
        <v>Tracy</v>
      </c>
      <c r="AY225" s="142" t="str">
        <f>INDEX(CarrierDriverTBL!$O:$O,MATCH(Table1[[#This Row],[DriverID]],CarrierDriverTBL!$A:$A,0))</f>
        <v>CA</v>
      </c>
      <c r="AZ225" s="142">
        <f>INDEX(CarrierDriverTBL!$P:$P,MATCH(Table1[[#This Row],[DriverID]],CarrierDriverTBL!$A:$A,0))</f>
        <v>95377</v>
      </c>
      <c r="BA225" s="142" t="str">
        <f>INDEX(CarrierDriverTBL!$Q:$Q,MATCH(Table1[[#This Row],[DriverID]],CarrierDriverTBL!$A:$A,0))</f>
        <v>US</v>
      </c>
      <c r="BB225" s="176" t="str">
        <f>INDEX(CarrierDriverTBL!$R:$R,MATCH(Table1[[#This Row],[DriverID]],CarrierDriverTBL!$A:$A,0))</f>
        <v>ubgollc@gmail.com</v>
      </c>
      <c r="BC225" s="160">
        <f>INDEX(CarrierDriverTBL!$AB:$AB,MATCH(Table1[[#This Row],[DriverID]],CarrierDriverTBL!$A:$A,0))</f>
        <v>42167</v>
      </c>
      <c r="BD225" s="142" t="str">
        <f ca="1">INDEX(CarrierDriverTBL!$AD:$AD,MATCH(LoadMaster!$AN:$AN,CarrierDriverTBL!$A:$A,0))</f>
        <v>MISSING</v>
      </c>
      <c r="BE225" s="142">
        <f>INDEX(CarrierDriverTBL!$AE:$AE,MATCH(Table1[DriverID],CarrierDriverTBL!$A:$A,0))</f>
        <v>913971</v>
      </c>
      <c r="BF225" s="142">
        <f>INDEX(CarrierDriverTBL!$AF:$AF,MATCH(Table1[DriverID],CarrierDriverTBL!$A:$A,0))</f>
        <v>2627544</v>
      </c>
      <c r="BG225" s="142">
        <f>INDEX(CarrierDriverTBL!$AG:$AG,MATCH(Table1[DriverID],CarrierDriverTBL!$A:$A,0))</f>
        <v>466133</v>
      </c>
      <c r="BH225" s="142" t="str">
        <f>INDEX(CarrierDriverTBL!$AH:$AH,MATCH(Table1[DriverID],CarrierDriverTBL!$A:$A,0))</f>
        <v>GM Lawrence Ins</v>
      </c>
      <c r="BI225" s="142" t="str">
        <f>INDEX(CarrierDriverTBL!$AI:$AI,MATCH(Table1[DriverID],CarrierDriverTBL!$A:$A,0))</f>
        <v>DSK2842P160210</v>
      </c>
      <c r="BJ225" s="160">
        <f>INDEX(CarrierDriverTBL!$AJ:$AJ,MATCH(Table1[[#This Row],[DriverID]],CarrierDriverTBL!$A:$A,0))</f>
        <v>42778</v>
      </c>
      <c r="BK225" s="10">
        <f t="shared" si="98"/>
        <v>410</v>
      </c>
      <c r="BL225" s="174">
        <v>1000</v>
      </c>
      <c r="BM225" s="144">
        <v>420</v>
      </c>
      <c r="BN225" s="159">
        <f t="shared" si="115"/>
        <v>2.3809523809523809</v>
      </c>
      <c r="BO225" s="167">
        <v>950</v>
      </c>
      <c r="BP225" s="159">
        <f t="shared" si="116"/>
        <v>2.2619047619047619</v>
      </c>
      <c r="BQ225" s="133">
        <v>2.6</v>
      </c>
      <c r="BR225" s="166">
        <f t="shared" si="117"/>
        <v>0.1166666666666667</v>
      </c>
      <c r="BS225" s="167">
        <f t="shared" si="99"/>
        <v>2.1452380952380952</v>
      </c>
      <c r="BT225" s="159">
        <f t="shared" si="100"/>
        <v>49.000000000000014</v>
      </c>
      <c r="BU225" s="10" t="str">
        <f t="shared" si="101"/>
        <v>Ch Robinson</v>
      </c>
      <c r="BV225" s="4"/>
      <c r="BW225" s="4" t="str">
        <f>Table1[[#This Row],[BrokerAddress]]</f>
        <v>P.O. Box 3474</v>
      </c>
      <c r="BX225" s="4" t="str">
        <f t="shared" si="102"/>
        <v>Chicago</v>
      </c>
      <c r="BY225" s="4" t="str">
        <f t="shared" si="103"/>
        <v>Il</v>
      </c>
      <c r="BZ225" s="4">
        <f t="shared" si="104"/>
        <v>60654</v>
      </c>
      <c r="CA225" s="10" t="str">
        <f t="shared" si="105"/>
        <v>US</v>
      </c>
      <c r="CB225" s="15" t="s">
        <v>131</v>
      </c>
      <c r="CC225" s="62"/>
      <c r="CD225" s="15" t="s">
        <v>132</v>
      </c>
      <c r="CE225" s="64">
        <v>0</v>
      </c>
      <c r="CF225" s="4">
        <v>0</v>
      </c>
      <c r="CG225" s="132">
        <f t="shared" si="106"/>
        <v>0</v>
      </c>
      <c r="CH225" s="4" t="s">
        <v>132</v>
      </c>
      <c r="CI225" s="5">
        <v>0</v>
      </c>
      <c r="CJ225" s="4">
        <v>0</v>
      </c>
      <c r="CK225" s="132">
        <f t="shared" si="107"/>
        <v>0</v>
      </c>
      <c r="CL225" s="4" t="s">
        <v>132</v>
      </c>
      <c r="CM225" s="5">
        <v>0</v>
      </c>
      <c r="CN225" s="4">
        <v>0</v>
      </c>
      <c r="CO225" s="132">
        <f t="shared" si="108"/>
        <v>0</v>
      </c>
      <c r="CP225" s="4" t="s">
        <v>132</v>
      </c>
      <c r="CQ225" s="5">
        <v>0</v>
      </c>
      <c r="CR225" s="4">
        <v>0</v>
      </c>
      <c r="CS225" s="132">
        <f t="shared" si="109"/>
        <v>0</v>
      </c>
      <c r="CT225" s="159">
        <f t="shared" si="110"/>
        <v>0</v>
      </c>
      <c r="CU225" s="168">
        <f t="shared" si="111"/>
        <v>1000</v>
      </c>
      <c r="CV225" s="169">
        <f t="shared" si="94"/>
        <v>0</v>
      </c>
      <c r="CW225" s="82">
        <f t="shared" si="95"/>
        <v>950</v>
      </c>
      <c r="CX225" s="79">
        <f>IF(ISBLANK(E225),"AddQuickPay",IF(E225=2,CU225*0.98,IF(E225=2.4,CU225*0.976,IF(E225=3,CU225*0.97,IF(E225=5,CU225*0.95,IF(E225=1.5,CU225*0.985,IF(E225=2.5,CU225*0.975,IF(E225=1.3,CU225*0.987,IF(E225=1,CU225*0.99,IF(E225=4,CU225*0.96,CU225*1))))))))))-Table1[[#This Row],[ComCheck+QuickPayFee]]</f>
        <v>980</v>
      </c>
      <c r="CY225" s="5">
        <f t="shared" si="112"/>
        <v>50</v>
      </c>
      <c r="CZ225" s="5">
        <f t="shared" si="113"/>
        <v>20</v>
      </c>
      <c r="DA225" s="258">
        <f>Table1[[#This Row],[OriginalDispatch]]-Table1[[#This Row],[QuickPayCharge]]</f>
        <v>30</v>
      </c>
      <c r="DB225" s="5">
        <v>0</v>
      </c>
      <c r="DC225" s="5" t="s">
        <v>1287</v>
      </c>
      <c r="DD225" s="104">
        <f t="shared" si="114"/>
        <v>42370</v>
      </c>
      <c r="DE225" s="15">
        <f>MONTH(Table1[[#This Row],[Weekending]])</f>
        <v>1</v>
      </c>
      <c r="DF225" s="15">
        <f>YEAR(Table1[[#This Row],[Weekending]])</f>
        <v>2016</v>
      </c>
      <c r="DG225" s="4"/>
    </row>
    <row r="226" spans="1:111">
      <c r="A226" s="20" t="str">
        <f t="shared" si="96"/>
        <v>09newn88</v>
      </c>
      <c r="B226" s="160">
        <v>42373</v>
      </c>
      <c r="C226" s="162">
        <v>189633109</v>
      </c>
      <c r="D226" s="142" t="s">
        <v>111</v>
      </c>
      <c r="E226" s="142">
        <v>2</v>
      </c>
      <c r="F226" s="142" t="str">
        <f>INDEX(BrokerTBL!$B:$B,MATCH(D226,BrokerTBL!$A:$A,0))</f>
        <v>P.O. Box 3474</v>
      </c>
      <c r="G226" s="142" t="str">
        <f>INDEX(BrokerTBL!$C:$C,MATCH(D226,BrokerTBL!$A:$A,0))</f>
        <v>Chicago</v>
      </c>
      <c r="H226" s="142" t="str">
        <f>INDEX(BrokerTBL!$D:$D,MATCH(D226,BrokerTBL!$A:$A,0))</f>
        <v>Il</v>
      </c>
      <c r="I226" s="142" t="str">
        <f>INDEX(BrokerTBL!$E:$E,MATCH(D226,BrokerTBL!$A:$A,0))</f>
        <v>US</v>
      </c>
      <c r="J226" s="142">
        <f>INDEX(BrokerTBL!$F:$F,MATCH(D226,BrokerTBL!$A:$A,0))</f>
        <v>60654</v>
      </c>
      <c r="K226" s="142" t="s">
        <v>1282</v>
      </c>
      <c r="L226" s="161" t="s">
        <v>132</v>
      </c>
      <c r="M226" s="160">
        <v>42373</v>
      </c>
      <c r="N226" s="162" t="s">
        <v>1002</v>
      </c>
      <c r="O226" s="142" t="s">
        <v>1070</v>
      </c>
      <c r="P226" s="142" t="s">
        <v>366</v>
      </c>
      <c r="Q226" s="142" t="s">
        <v>139</v>
      </c>
      <c r="R226" s="142">
        <v>95776</v>
      </c>
      <c r="S226" s="142" t="s">
        <v>118</v>
      </c>
      <c r="T226" s="298" t="s">
        <v>136</v>
      </c>
      <c r="U226" s="142" t="s">
        <v>120</v>
      </c>
      <c r="V226" s="142">
        <v>53</v>
      </c>
      <c r="W226" s="142" t="s">
        <v>1685</v>
      </c>
      <c r="X226" s="186">
        <v>30000</v>
      </c>
      <c r="Y226" s="142" t="s">
        <v>1537</v>
      </c>
      <c r="Z226" s="142" t="s">
        <v>123</v>
      </c>
      <c r="AA226" s="142" t="s">
        <v>123</v>
      </c>
      <c r="AB226" s="142" t="s">
        <v>123</v>
      </c>
      <c r="AC226" s="142" t="s">
        <v>1686</v>
      </c>
      <c r="AD226" s="161" t="s">
        <v>1205</v>
      </c>
      <c r="AE226" s="160">
        <v>42373</v>
      </c>
      <c r="AF226" s="142" t="s">
        <v>218</v>
      </c>
      <c r="AG226" s="142" t="s">
        <v>1687</v>
      </c>
      <c r="AH226" s="142" t="s">
        <v>738</v>
      </c>
      <c r="AI226" s="142" t="s">
        <v>264</v>
      </c>
      <c r="AJ226" s="142">
        <v>89502</v>
      </c>
      <c r="AK226" s="142" t="s">
        <v>118</v>
      </c>
      <c r="AL226" s="142" t="s">
        <v>123</v>
      </c>
      <c r="AM226" s="142" t="str">
        <f>INDEX(CarrierDriverTBL!$B:$B,MATCH(Table1[[#This Row],[DriverID]],CarrierDriverTBL!$A:$A,0))</f>
        <v>UBTrucking</v>
      </c>
      <c r="AN226" s="10" t="s">
        <v>948</v>
      </c>
      <c r="AO226" s="10" t="str">
        <f>INDEX(CarrierDriverTBL!$C:$C,MATCH(Table1[[#This Row],[DriverID]],CarrierDriverTBL!$A:$A,0))</f>
        <v>Wesley</v>
      </c>
      <c r="AP226" s="10" t="str">
        <f>INDEX(CarrierDriverTBL!$D:$D,MATCH(Table1[[#This Row],[DriverID]],CarrierDriverTBL!$A:$A,0))</f>
        <v>Cousain</v>
      </c>
      <c r="AQ226" s="10" t="str">
        <f>INDEX(CarrierDriverTBL!$X:$X,MATCH(Table1[[#This Row],[DriverID]],CarrierDriverTBL!$A:$A,0))</f>
        <v>D4903588</v>
      </c>
      <c r="AR226" s="11">
        <f>INDEX(CarrierDriverTBL!$Y:$Y,MATCH(Table1[[#This Row],[DriverID]],CarrierDriverTBL!$A:$A,0))</f>
        <v>43458</v>
      </c>
      <c r="AS226" s="142" t="str">
        <f t="shared" si="97"/>
        <v>GOOD</v>
      </c>
      <c r="AT226" s="11">
        <f>INDEX(CarrierDriverTBL!$E:$E,MATCH(Table1[[#This Row],[DriverID]],CarrierDriverTBL!$A:$A,0))</f>
        <v>31405</v>
      </c>
      <c r="AU226" s="163">
        <f ca="1">INDEX(CarrierDriverTBL!$F:$F,MATCH(Table1[[#This Row],[DriverID]],CarrierDriverTBL!$A:$A,0))</f>
        <v>30.605479452054794</v>
      </c>
      <c r="AV226" s="10" t="str">
        <f>INDEX(CarrierDriverTBL!$K:$K,MATCH(Table1[[#This Row],[DriverID]],CarrierDriverTBL!$A:$A,0))</f>
        <v>925-383-5364</v>
      </c>
      <c r="AW226" s="10" t="str">
        <f>INDEX(CarrierDriverTBL!$M:$M,MATCH(Table1[[#This Row],[DriverID]],CarrierDriverTBL!$A:$A,0))</f>
        <v>110 Cordova Ln</v>
      </c>
      <c r="AX226" s="10" t="str">
        <f>INDEX(CarrierDriverTBL!$N:$N,MATCH(Table1[[#This Row],[DriverID]],CarrierDriverTBL!$A:$A,0))</f>
        <v>Stockton</v>
      </c>
      <c r="AY226" s="10" t="str">
        <f>INDEX(CarrierDriverTBL!$O:$O,MATCH(Table1[[#This Row],[DriverID]],CarrierDriverTBL!$A:$A,0))</f>
        <v>CA</v>
      </c>
      <c r="AZ226" s="10">
        <f>INDEX(CarrierDriverTBL!$P:$P,MATCH(Table1[[#This Row],[DriverID]],CarrierDriverTBL!$A:$A,0))</f>
        <v>95207</v>
      </c>
      <c r="BA226" s="10" t="str">
        <f>INDEX(CarrierDriverTBL!$Q:$Q,MATCH(Table1[[#This Row],[DriverID]],CarrierDriverTBL!$A:$A,0))</f>
        <v>US</v>
      </c>
      <c r="BB226" s="173" t="str">
        <f>INDEX(CarrierDriverTBL!$R:$R,MATCH(Table1[[#This Row],[DriverID]],CarrierDriverTBL!$A:$A,0))</f>
        <v>wesleycousain1@gmail.com</v>
      </c>
      <c r="BC226" s="160">
        <f>INDEX(CarrierDriverTBL!$AB:$AB,MATCH(Table1[[#This Row],[DriverID]],CarrierDriverTBL!$A:$A,0))</f>
        <v>42271</v>
      </c>
      <c r="BD226" s="142" t="str">
        <f ca="1">INDEX(CarrierDriverTBL!$AD:$AD,MATCH(LoadMaster!$AN:$AN,CarrierDriverTBL!$A:$A,0))</f>
        <v>MISSING</v>
      </c>
      <c r="BE226" s="142">
        <f>INDEX(CarrierDriverTBL!$AE:$AE,MATCH(Table1[DriverID],CarrierDriverTBL!$A:$A,0))</f>
        <v>913971</v>
      </c>
      <c r="BF226" s="142">
        <f>INDEX(CarrierDriverTBL!$AF:$AF,MATCH(Table1[DriverID],CarrierDriverTBL!$A:$A,0))</f>
        <v>2627544</v>
      </c>
      <c r="BG226" s="142">
        <f>INDEX(CarrierDriverTBL!$AG:$AG,MATCH(Table1[DriverID],CarrierDriverTBL!$A:$A,0))</f>
        <v>466133</v>
      </c>
      <c r="BH226" s="142" t="str">
        <f>INDEX(CarrierDriverTBL!$AH:$AH,MATCH(Table1[DriverID],CarrierDriverTBL!$A:$A,0))</f>
        <v>GM Lawrence Ins</v>
      </c>
      <c r="BI226" s="142" t="str">
        <f>INDEX(CarrierDriverTBL!$AI:$AI,MATCH(Table1[DriverID],CarrierDriverTBL!$A:$A,0))</f>
        <v>DSK2842P160210</v>
      </c>
      <c r="BJ226" s="160">
        <f>INDEX(CarrierDriverTBL!$AJ:$AJ,MATCH(Table1[[#This Row],[DriverID]],CarrierDriverTBL!$A:$A,0))</f>
        <v>42778</v>
      </c>
      <c r="BK226" s="10">
        <f t="shared" si="98"/>
        <v>405</v>
      </c>
      <c r="BL226" s="167">
        <v>650</v>
      </c>
      <c r="BM226" s="162">
        <v>147</v>
      </c>
      <c r="BN226" s="159">
        <f t="shared" si="115"/>
        <v>4.4217687074829932</v>
      </c>
      <c r="BO226" s="167">
        <f t="shared" ref="BO226:BO234" si="118">0.93*BL226</f>
        <v>604.5</v>
      </c>
      <c r="BP226" s="159">
        <f t="shared" si="116"/>
        <v>4.1122448979591839</v>
      </c>
      <c r="BQ226" s="134">
        <v>2.6</v>
      </c>
      <c r="BR226" s="166">
        <f t="shared" si="117"/>
        <v>0.1166666666666667</v>
      </c>
      <c r="BS226" s="167">
        <f t="shared" si="99"/>
        <v>3.9955782312925172</v>
      </c>
      <c r="BT226" s="159">
        <f t="shared" si="100"/>
        <v>17.150000000000006</v>
      </c>
      <c r="BU226" s="10" t="str">
        <f t="shared" si="101"/>
        <v>Ch Robinson</v>
      </c>
      <c r="BV226" s="4"/>
      <c r="BW226" s="4" t="str">
        <f>Table1[[#This Row],[BrokerAddress]]</f>
        <v>P.O. Box 3474</v>
      </c>
      <c r="BX226" s="4" t="str">
        <f t="shared" si="102"/>
        <v>Chicago</v>
      </c>
      <c r="BY226" s="4" t="str">
        <f t="shared" si="103"/>
        <v>Il</v>
      </c>
      <c r="BZ226" s="4">
        <f t="shared" si="104"/>
        <v>60654</v>
      </c>
      <c r="CA226" s="10" t="str">
        <f t="shared" si="105"/>
        <v>US</v>
      </c>
      <c r="CB226" s="15" t="s">
        <v>131</v>
      </c>
      <c r="CC226" s="61"/>
      <c r="CD226" s="4" t="s">
        <v>132</v>
      </c>
      <c r="CE226" s="5">
        <v>0</v>
      </c>
      <c r="CF226" s="4">
        <v>0</v>
      </c>
      <c r="CG226" s="132">
        <f t="shared" si="106"/>
        <v>0</v>
      </c>
      <c r="CH226" s="4" t="s">
        <v>132</v>
      </c>
      <c r="CI226" s="5">
        <v>0</v>
      </c>
      <c r="CJ226" s="4">
        <v>0</v>
      </c>
      <c r="CK226" s="132">
        <f t="shared" si="107"/>
        <v>0</v>
      </c>
      <c r="CL226" s="4" t="s">
        <v>132</v>
      </c>
      <c r="CM226" s="5">
        <v>0</v>
      </c>
      <c r="CN226" s="4">
        <v>0</v>
      </c>
      <c r="CO226" s="132">
        <f t="shared" si="108"/>
        <v>0</v>
      </c>
      <c r="CP226" s="4" t="s">
        <v>132</v>
      </c>
      <c r="CQ226" s="5">
        <v>0</v>
      </c>
      <c r="CR226" s="4">
        <v>0</v>
      </c>
      <c r="CS226" s="132">
        <f t="shared" si="109"/>
        <v>0</v>
      </c>
      <c r="CT226" s="159">
        <f t="shared" si="110"/>
        <v>0</v>
      </c>
      <c r="CU226" s="168">
        <f t="shared" si="111"/>
        <v>650</v>
      </c>
      <c r="CV226" s="167">
        <f t="shared" si="94"/>
        <v>0</v>
      </c>
      <c r="CW226" s="82">
        <f t="shared" si="95"/>
        <v>604.5</v>
      </c>
      <c r="CX226" s="79">
        <f>IF(ISBLANK(E226),"AddQuickPay",IF(E226=2,CU226*0.98,IF(E226=2.4,CU226*0.976,IF(E226=3,CU226*0.97,IF(E226=5,CU226*0.95,IF(E226=1.5,CU226*0.985,IF(E226=2.5,CU226*0.975,IF(E226=1.3,CU226*0.987,IF(E226=1,CU226*0.99,IF(E226=4,CU226*0.96,CU226*1))))))))))-Table1[[#This Row],[ComCheck+QuickPayFee]]</f>
        <v>637</v>
      </c>
      <c r="CY226" s="5">
        <f t="shared" si="112"/>
        <v>45.5</v>
      </c>
      <c r="CZ226" s="5">
        <f t="shared" si="113"/>
        <v>13</v>
      </c>
      <c r="DA226" s="258">
        <f>Table1[[#This Row],[OriginalDispatch]]-Table1[[#This Row],[QuickPayCharge]]</f>
        <v>32.5</v>
      </c>
      <c r="DB226" s="5">
        <v>0</v>
      </c>
      <c r="DC226" s="5" t="s">
        <v>1287</v>
      </c>
      <c r="DD226" s="20">
        <f t="shared" si="114"/>
        <v>42377</v>
      </c>
      <c r="DE226" s="4">
        <f>MONTH(Table1[[#This Row],[Weekending]])</f>
        <v>1</v>
      </c>
      <c r="DF226" s="4">
        <f>YEAR(Table1[[#This Row],[Weekending]])</f>
        <v>2016</v>
      </c>
      <c r="DG226" s="4"/>
    </row>
    <row r="227" spans="1:111" s="15" customFormat="1">
      <c r="A227" s="20" t="str">
        <f t="shared" si="96"/>
        <v>76131319</v>
      </c>
      <c r="B227" s="146">
        <v>42373</v>
      </c>
      <c r="C227" s="144">
        <v>189617476</v>
      </c>
      <c r="D227" s="298" t="s">
        <v>111</v>
      </c>
      <c r="E227" s="298">
        <v>2</v>
      </c>
      <c r="F227" s="142" t="str">
        <f>INDEX(BrokerTBL!$B:$B,MATCH(D227,BrokerTBL!$A:$A,0))</f>
        <v>P.O. Box 3474</v>
      </c>
      <c r="G227" s="142" t="str">
        <f>INDEX(BrokerTBL!$C:$C,MATCH(D227,BrokerTBL!$A:$A,0))</f>
        <v>Chicago</v>
      </c>
      <c r="H227" s="142" t="str">
        <f>INDEX(BrokerTBL!$D:$D,MATCH(D227,BrokerTBL!$A:$A,0))</f>
        <v>Il</v>
      </c>
      <c r="I227" s="142" t="str">
        <f>INDEX(BrokerTBL!$E:$E,MATCH(D227,BrokerTBL!$A:$A,0))</f>
        <v>US</v>
      </c>
      <c r="J227" s="142">
        <f>INDEX(BrokerTBL!$F:$F,MATCH(D227,BrokerTBL!$A:$A,0))</f>
        <v>60654</v>
      </c>
      <c r="K227" s="298" t="s">
        <v>1688</v>
      </c>
      <c r="L227" s="145">
        <v>48113</v>
      </c>
      <c r="M227" s="146">
        <v>42373</v>
      </c>
      <c r="N227" s="162" t="s">
        <v>136</v>
      </c>
      <c r="O227" s="298" t="s">
        <v>1689</v>
      </c>
      <c r="P227" s="298" t="s">
        <v>395</v>
      </c>
      <c r="Q227" s="298" t="s">
        <v>139</v>
      </c>
      <c r="R227" s="298">
        <v>95351</v>
      </c>
      <c r="S227" s="298" t="s">
        <v>118</v>
      </c>
      <c r="T227" s="298" t="s">
        <v>1690</v>
      </c>
      <c r="U227" s="298" t="s">
        <v>120</v>
      </c>
      <c r="V227" s="298">
        <v>53</v>
      </c>
      <c r="W227" s="298" t="s">
        <v>1691</v>
      </c>
      <c r="X227" s="185">
        <v>12000</v>
      </c>
      <c r="Y227" s="298" t="s">
        <v>1537</v>
      </c>
      <c r="Z227" s="298">
        <v>0</v>
      </c>
      <c r="AA227" s="298">
        <v>56</v>
      </c>
      <c r="AB227" s="298" t="s">
        <v>123</v>
      </c>
      <c r="AC227" s="298" t="s">
        <v>718</v>
      </c>
      <c r="AD227" s="145">
        <v>48113</v>
      </c>
      <c r="AE227" s="146">
        <v>42374</v>
      </c>
      <c r="AF227" s="416" t="s">
        <v>123</v>
      </c>
      <c r="AG227" s="298" t="s">
        <v>1692</v>
      </c>
      <c r="AH227" s="298" t="s">
        <v>263</v>
      </c>
      <c r="AI227" s="298" t="s">
        <v>139</v>
      </c>
      <c r="AJ227" s="298" t="s">
        <v>1693</v>
      </c>
      <c r="AK227" s="298" t="s">
        <v>118</v>
      </c>
      <c r="AL227" s="298" t="s">
        <v>123</v>
      </c>
      <c r="AM227" s="142" t="str">
        <f>INDEX(CarrierDriverTBL!$B:$B,MATCH(Table1[[#This Row],[DriverID]],CarrierDriverTBL!$A:$A,0))</f>
        <v>UBTrucking</v>
      </c>
      <c r="AN227" s="10" t="s">
        <v>1409</v>
      </c>
      <c r="AO227" s="298" t="str">
        <f>INDEX(CarrierDriverTBL!$C:$C,MATCH(Table1[[#This Row],[DriverID]],CarrierDriverTBL!$A:$A,0))</f>
        <v>Miguel Jaime</v>
      </c>
      <c r="AP227" s="298" t="str">
        <f>INDEX(CarrierDriverTBL!$D:$D,MATCH(Table1[[#This Row],[DriverID]],CarrierDriverTBL!$A:$A,0))</f>
        <v>Martin Del Campo Velarca</v>
      </c>
      <c r="AQ227" s="142" t="str">
        <f>INDEX(CarrierDriverTBL!$X:$X,MATCH(Table1[[#This Row],[DriverID]],CarrierDriverTBL!$A:$A,0))</f>
        <v>D5179619</v>
      </c>
      <c r="AR227" s="160">
        <f>INDEX(CarrierDriverTBL!$Y:$Y,MATCH(Table1[[#This Row],[DriverID]],CarrierDriverTBL!$A:$A,0))</f>
        <v>43843</v>
      </c>
      <c r="AS227" s="142" t="str">
        <f t="shared" si="97"/>
        <v>GOOD</v>
      </c>
      <c r="AT227" s="146">
        <f>INDEX(CarrierDriverTBL!$E:$E,MATCH(Table1[[#This Row],[DriverID]],CarrierDriverTBL!$A:$A,0))</f>
        <v>21198</v>
      </c>
      <c r="AU227" s="163">
        <f ca="1">INDEX(CarrierDriverTBL!$F:$F,MATCH(Table1[[#This Row],[DriverID]],CarrierDriverTBL!$A:$A,0))</f>
        <v>58.56986301369863</v>
      </c>
      <c r="AV227" s="298" t="str">
        <f>INDEX(CarrierDriverTBL!$K:$K,MATCH(Table1[[#This Row],[DriverID]],CarrierDriverTBL!$A:$A,0))</f>
        <v>209-322-5231</v>
      </c>
      <c r="AW227" s="298" t="str">
        <f>INDEX(CarrierDriverTBL!$M:$M,MATCH(Table1[[#This Row],[DriverID]],CarrierDriverTBL!$A:$A,0))</f>
        <v>572 Predersen RD</v>
      </c>
      <c r="AX227" s="298" t="str">
        <f>INDEX(CarrierDriverTBL!$N:$N,MATCH(Table1[[#This Row],[DriverID]],CarrierDriverTBL!$A:$A,0))</f>
        <v>Oakdale</v>
      </c>
      <c r="AY227" s="142" t="str">
        <f>INDEX(CarrierDriverTBL!$O:$O,MATCH(Table1[[#This Row],[DriverID]],CarrierDriverTBL!$A:$A,0))</f>
        <v>CA</v>
      </c>
      <c r="AZ227" s="298">
        <f>INDEX(CarrierDriverTBL!$P:$P,MATCH(Table1[[#This Row],[DriverID]],CarrierDriverTBL!$A:$A,0))</f>
        <v>95361</v>
      </c>
      <c r="BA227" s="298" t="str">
        <f>INDEX(CarrierDriverTBL!$Q:$Q,MATCH(Table1[[#This Row],[DriverID]],CarrierDriverTBL!$A:$A,0))</f>
        <v>US</v>
      </c>
      <c r="BB227" s="176" t="str">
        <f>INDEX(CarrierDriverTBL!$R:$R,MATCH(Table1[[#This Row],[DriverID]],CarrierDriverTBL!$A:$A,0))</f>
        <v>Miguelmartin52@yahoo.com</v>
      </c>
      <c r="BC227" s="160">
        <f>INDEX(CarrierDriverTBL!$AB:$AB,MATCH(Table1[[#This Row],[DriverID]],CarrierDriverTBL!$A:$A,0))</f>
        <v>42334</v>
      </c>
      <c r="BD227" s="142" t="str">
        <f ca="1">INDEX(CarrierDriverTBL!$AD:$AD,MATCH(LoadMaster!$AN:$AN,CarrierDriverTBL!$A:$A,0))</f>
        <v>MISSING</v>
      </c>
      <c r="BE227" s="142">
        <f>INDEX(CarrierDriverTBL!$AE:$AE,MATCH(Table1[DriverID],CarrierDriverTBL!$A:$A,0))</f>
        <v>913971</v>
      </c>
      <c r="BF227" s="142">
        <f>INDEX(CarrierDriverTBL!$AF:$AF,MATCH(Table1[DriverID],CarrierDriverTBL!$A:$A,0))</f>
        <v>2627544</v>
      </c>
      <c r="BG227" s="142">
        <f>INDEX(CarrierDriverTBL!$AG:$AG,MATCH(Table1[DriverID],CarrierDriverTBL!$A:$A,0))</f>
        <v>466133</v>
      </c>
      <c r="BH227" s="142" t="str">
        <f>INDEX(CarrierDriverTBL!$AH:$AH,MATCH(Table1[DriverID],CarrierDriverTBL!$A:$A,0))</f>
        <v>GM Lawrence Ins</v>
      </c>
      <c r="BI227" s="142" t="str">
        <f>INDEX(CarrierDriverTBL!$AI:$AI,MATCH(Table1[DriverID],CarrierDriverTBL!$A:$A,0))</f>
        <v>DSK2842P160210</v>
      </c>
      <c r="BJ227" s="160">
        <f>INDEX(CarrierDriverTBL!$AJ:$AJ,MATCH(Table1[[#This Row],[DriverID]],CarrierDriverTBL!$A:$A,0))</f>
        <v>42778</v>
      </c>
      <c r="BK227" s="10">
        <f t="shared" si="98"/>
        <v>405</v>
      </c>
      <c r="BL227" s="174">
        <v>600</v>
      </c>
      <c r="BM227" s="144">
        <v>220</v>
      </c>
      <c r="BN227" s="159">
        <f t="shared" si="115"/>
        <v>2.7272727272727271</v>
      </c>
      <c r="BO227" s="167">
        <f t="shared" si="118"/>
        <v>558</v>
      </c>
      <c r="BP227" s="159">
        <f t="shared" si="116"/>
        <v>2.5363636363636362</v>
      </c>
      <c r="BQ227" s="133">
        <v>2.6</v>
      </c>
      <c r="BR227" s="166">
        <f t="shared" si="117"/>
        <v>0.1166666666666667</v>
      </c>
      <c r="BS227" s="167">
        <f t="shared" si="99"/>
        <v>2.4196969696969695</v>
      </c>
      <c r="BT227" s="159">
        <f t="shared" si="100"/>
        <v>25.666666666666671</v>
      </c>
      <c r="BU227" s="10" t="str">
        <f t="shared" si="101"/>
        <v>Ch Robinson</v>
      </c>
      <c r="BV227" s="4"/>
      <c r="BW227" s="4" t="str">
        <f>Table1[[#This Row],[BrokerAddress]]</f>
        <v>P.O. Box 3474</v>
      </c>
      <c r="BX227" s="4" t="str">
        <f t="shared" si="102"/>
        <v>Chicago</v>
      </c>
      <c r="BY227" s="4" t="str">
        <f t="shared" si="103"/>
        <v>Il</v>
      </c>
      <c r="BZ227" s="4">
        <f t="shared" si="104"/>
        <v>60654</v>
      </c>
      <c r="CA227" s="10" t="str">
        <f t="shared" si="105"/>
        <v>US</v>
      </c>
      <c r="CB227" s="15" t="s">
        <v>131</v>
      </c>
      <c r="CC227" s="62"/>
      <c r="CD227" s="15" t="s">
        <v>132</v>
      </c>
      <c r="CE227" s="64">
        <v>0</v>
      </c>
      <c r="CF227" s="4">
        <v>0</v>
      </c>
      <c r="CG227" s="132">
        <f t="shared" si="106"/>
        <v>0</v>
      </c>
      <c r="CH227" s="4" t="s">
        <v>132</v>
      </c>
      <c r="CI227" s="5">
        <v>0</v>
      </c>
      <c r="CJ227" s="4">
        <v>0</v>
      </c>
      <c r="CK227" s="132">
        <f t="shared" si="107"/>
        <v>0</v>
      </c>
      <c r="CL227" s="4" t="s">
        <v>132</v>
      </c>
      <c r="CM227" s="5">
        <v>0</v>
      </c>
      <c r="CN227" s="4">
        <v>0</v>
      </c>
      <c r="CO227" s="132">
        <f t="shared" si="108"/>
        <v>0</v>
      </c>
      <c r="CP227" s="4" t="s">
        <v>132</v>
      </c>
      <c r="CQ227" s="5">
        <v>0</v>
      </c>
      <c r="CR227" s="4">
        <v>0</v>
      </c>
      <c r="CS227" s="132">
        <f t="shared" si="109"/>
        <v>0</v>
      </c>
      <c r="CT227" s="159">
        <f t="shared" si="110"/>
        <v>0</v>
      </c>
      <c r="CU227" s="168">
        <f t="shared" si="111"/>
        <v>600</v>
      </c>
      <c r="CV227" s="169">
        <f t="shared" si="94"/>
        <v>0</v>
      </c>
      <c r="CW227" s="82">
        <f t="shared" si="95"/>
        <v>558</v>
      </c>
      <c r="CX227" s="79">
        <f>IF(ISBLANK(E227),"AddQuickPay",IF(E227=2,CU227*0.98,IF(E227=2.4,CU227*0.976,IF(E227=3,CU227*0.97,IF(E227=5,CU227*0.95,IF(E227=1.5,CU227*0.985,IF(E227=2.5,CU227*0.975,IF(E227=1.3,CU227*0.987,IF(E227=1,CU227*0.99,IF(E227=4,CU227*0.96,CU227*1))))))))))-Table1[[#This Row],[ComCheck+QuickPayFee]]</f>
        <v>588</v>
      </c>
      <c r="CY227" s="5">
        <f t="shared" si="112"/>
        <v>42</v>
      </c>
      <c r="CZ227" s="5">
        <f t="shared" si="113"/>
        <v>12</v>
      </c>
      <c r="DA227" s="258">
        <f>Table1[[#This Row],[OriginalDispatch]]-Table1[[#This Row],[QuickPayCharge]]</f>
        <v>30</v>
      </c>
      <c r="DB227" s="5">
        <v>0</v>
      </c>
      <c r="DC227" s="5" t="s">
        <v>133</v>
      </c>
      <c r="DD227" s="104">
        <f t="shared" si="114"/>
        <v>42377</v>
      </c>
      <c r="DE227" s="15">
        <f>MONTH(Table1[[#This Row],[Weekending]])</f>
        <v>1</v>
      </c>
      <c r="DF227" s="15">
        <f>YEAR(Table1[[#This Row],[Weekending]])</f>
        <v>2016</v>
      </c>
      <c r="DG227" s="4"/>
    </row>
    <row r="228" spans="1:111">
      <c r="A228" s="20" t="str">
        <f t="shared" si="96"/>
        <v>51665119</v>
      </c>
      <c r="B228" s="160">
        <v>42376</v>
      </c>
      <c r="C228" s="162">
        <v>189514151</v>
      </c>
      <c r="D228" s="142" t="s">
        <v>111</v>
      </c>
      <c r="E228" s="142">
        <v>2</v>
      </c>
      <c r="F228" s="142" t="str">
        <f>INDEX(BrokerTBL!$B:$B,MATCH(D228,BrokerTBL!$A:$A,0))</f>
        <v>P.O. Box 3474</v>
      </c>
      <c r="G228" s="142" t="str">
        <f>INDEX(BrokerTBL!$C:$C,MATCH(D228,BrokerTBL!$A:$A,0))</f>
        <v>Chicago</v>
      </c>
      <c r="H228" s="142" t="str">
        <f>INDEX(BrokerTBL!$D:$D,MATCH(D228,BrokerTBL!$A:$A,0))</f>
        <v>Il</v>
      </c>
      <c r="I228" s="142" t="str">
        <f>INDEX(BrokerTBL!$E:$E,MATCH(D228,BrokerTBL!$A:$A,0))</f>
        <v>US</v>
      </c>
      <c r="J228" s="142">
        <f>INDEX(BrokerTBL!$F:$F,MATCH(D228,BrokerTBL!$A:$A,0))</f>
        <v>60654</v>
      </c>
      <c r="K228" s="142" t="s">
        <v>1694</v>
      </c>
      <c r="L228" s="161" t="s">
        <v>1695</v>
      </c>
      <c r="M228" s="160">
        <v>42373</v>
      </c>
      <c r="N228" s="162" t="s">
        <v>136</v>
      </c>
      <c r="O228" s="142" t="s">
        <v>1696</v>
      </c>
      <c r="P228" s="142" t="s">
        <v>1697</v>
      </c>
      <c r="Q228" s="142" t="s">
        <v>264</v>
      </c>
      <c r="R228" s="142">
        <v>89409</v>
      </c>
      <c r="S228" s="142" t="s">
        <v>118</v>
      </c>
      <c r="T228" s="142" t="s">
        <v>1698</v>
      </c>
      <c r="U228" s="142" t="s">
        <v>120</v>
      </c>
      <c r="V228" s="142">
        <v>53</v>
      </c>
      <c r="W228" s="142" t="s">
        <v>1699</v>
      </c>
      <c r="X228" s="186">
        <v>44000</v>
      </c>
      <c r="Y228" s="142" t="s">
        <v>1700</v>
      </c>
      <c r="Z228" s="142" t="s">
        <v>123</v>
      </c>
      <c r="AA228" s="142" t="s">
        <v>123</v>
      </c>
      <c r="AB228" s="142" t="s">
        <v>123</v>
      </c>
      <c r="AC228" s="142" t="s">
        <v>1701</v>
      </c>
      <c r="AD228" s="161" t="s">
        <v>1702</v>
      </c>
      <c r="AE228" s="160">
        <v>42376</v>
      </c>
      <c r="AF228" s="416" t="s">
        <v>123</v>
      </c>
      <c r="AG228" s="142" t="s">
        <v>1703</v>
      </c>
      <c r="AH228" s="142" t="s">
        <v>1704</v>
      </c>
      <c r="AI228" s="142" t="s">
        <v>139</v>
      </c>
      <c r="AJ228" s="142" t="s">
        <v>1705</v>
      </c>
      <c r="AK228" s="142" t="s">
        <v>118</v>
      </c>
      <c r="AL228" s="142" t="s">
        <v>1706</v>
      </c>
      <c r="AM228" s="142" t="str">
        <f>INDEX(CarrierDriverTBL!$B:$B,MATCH(Table1[[#This Row],[DriverID]],CarrierDriverTBL!$A:$A,0))</f>
        <v>UBTrucking</v>
      </c>
      <c r="AN228" s="10" t="s">
        <v>1409</v>
      </c>
      <c r="AO228" s="142" t="str">
        <f>INDEX(CarrierDriverTBL!$C:$C,MATCH(Table1[[#This Row],[DriverID]],CarrierDriverTBL!$A:$A,0))</f>
        <v>Miguel Jaime</v>
      </c>
      <c r="AP228" s="142" t="str">
        <f>INDEX(CarrierDriverTBL!$D:$D,MATCH(Table1[[#This Row],[DriverID]],CarrierDriverTBL!$A:$A,0))</f>
        <v>Martin Del Campo Velarca</v>
      </c>
      <c r="AQ228" s="142" t="str">
        <f>INDEX(CarrierDriverTBL!$X:$X,MATCH(Table1[[#This Row],[DriverID]],CarrierDriverTBL!$A:$A,0))</f>
        <v>D5179619</v>
      </c>
      <c r="AR228" s="160">
        <f>INDEX(CarrierDriverTBL!$Y:$Y,MATCH(Table1[[#This Row],[DriverID]],CarrierDriverTBL!$A:$A,0))</f>
        <v>43843</v>
      </c>
      <c r="AS228" s="142" t="str">
        <f t="shared" si="97"/>
        <v>GOOD</v>
      </c>
      <c r="AT228" s="160">
        <f>INDEX(CarrierDriverTBL!$E:$E,MATCH(Table1[[#This Row],[DriverID]],CarrierDriverTBL!$A:$A,0))</f>
        <v>21198</v>
      </c>
      <c r="AU228" s="163">
        <f ca="1">INDEX(CarrierDriverTBL!$F:$F,MATCH(Table1[[#This Row],[DriverID]],CarrierDriverTBL!$A:$A,0))</f>
        <v>58.56986301369863</v>
      </c>
      <c r="AV228" s="142" t="str">
        <f>INDEX(CarrierDriverTBL!$K:$K,MATCH(Table1[[#This Row],[DriverID]],CarrierDriverTBL!$A:$A,0))</f>
        <v>209-322-5231</v>
      </c>
      <c r="AW228" s="142" t="str">
        <f>INDEX(CarrierDriverTBL!$M:$M,MATCH(Table1[[#This Row],[DriverID]],CarrierDriverTBL!$A:$A,0))</f>
        <v>572 Predersen RD</v>
      </c>
      <c r="AX228" s="142" t="str">
        <f>INDEX(CarrierDriverTBL!$N:$N,MATCH(Table1[[#This Row],[DriverID]],CarrierDriverTBL!$A:$A,0))</f>
        <v>Oakdale</v>
      </c>
      <c r="AY228" s="142" t="str">
        <f>INDEX(CarrierDriverTBL!$O:$O,MATCH(Table1[[#This Row],[DriverID]],CarrierDriverTBL!$A:$A,0))</f>
        <v>CA</v>
      </c>
      <c r="AZ228" s="142">
        <f>INDEX(CarrierDriverTBL!$P:$P,MATCH(Table1[[#This Row],[DriverID]],CarrierDriverTBL!$A:$A,0))</f>
        <v>95361</v>
      </c>
      <c r="BA228" s="142" t="str">
        <f>INDEX(CarrierDriverTBL!$Q:$Q,MATCH(Table1[[#This Row],[DriverID]],CarrierDriverTBL!$A:$A,0))</f>
        <v>US</v>
      </c>
      <c r="BB228" s="176" t="str">
        <f>INDEX(CarrierDriverTBL!$R:$R,MATCH(Table1[[#This Row],[DriverID]],CarrierDriverTBL!$A:$A,0))</f>
        <v>Miguelmartin52@yahoo.com</v>
      </c>
      <c r="BC228" s="160">
        <f>INDEX(CarrierDriverTBL!$AB:$AB,MATCH(Table1[[#This Row],[DriverID]],CarrierDriverTBL!$A:$A,0))</f>
        <v>42334</v>
      </c>
      <c r="BD228" s="142" t="str">
        <f ca="1">INDEX(CarrierDriverTBL!$AD:$AD,MATCH(LoadMaster!$AN:$AN,CarrierDriverTBL!$A:$A,0))</f>
        <v>MISSING</v>
      </c>
      <c r="BE228" s="142">
        <f>INDEX(CarrierDriverTBL!$AE:$AE,MATCH(Table1[DriverID],CarrierDriverTBL!$A:$A,0))</f>
        <v>913971</v>
      </c>
      <c r="BF228" s="142">
        <f>INDEX(CarrierDriverTBL!$AF:$AF,MATCH(Table1[DriverID],CarrierDriverTBL!$A:$A,0))</f>
        <v>2627544</v>
      </c>
      <c r="BG228" s="142">
        <f>INDEX(CarrierDriverTBL!$AG:$AG,MATCH(Table1[DriverID],CarrierDriverTBL!$A:$A,0))</f>
        <v>466133</v>
      </c>
      <c r="BH228" s="142" t="str">
        <f>INDEX(CarrierDriverTBL!$AH:$AH,MATCH(Table1[DriverID],CarrierDriverTBL!$A:$A,0))</f>
        <v>GM Lawrence Ins</v>
      </c>
      <c r="BI228" s="142" t="str">
        <f>INDEX(CarrierDriverTBL!$AI:$AI,MATCH(Table1[DriverID],CarrierDriverTBL!$A:$A,0))</f>
        <v>DSK2842P160210</v>
      </c>
      <c r="BJ228" s="160">
        <f>INDEX(CarrierDriverTBL!$AJ:$AJ,MATCH(Table1[[#This Row],[DriverID]],CarrierDriverTBL!$A:$A,0))</f>
        <v>42778</v>
      </c>
      <c r="BK228" s="10">
        <f t="shared" si="98"/>
        <v>405</v>
      </c>
      <c r="BL228" s="167">
        <v>650</v>
      </c>
      <c r="BM228" s="162">
        <v>335</v>
      </c>
      <c r="BN228" s="159">
        <f t="shared" si="115"/>
        <v>1.9402985074626866</v>
      </c>
      <c r="BO228" s="167">
        <f t="shared" si="118"/>
        <v>604.5</v>
      </c>
      <c r="BP228" s="159">
        <f t="shared" si="116"/>
        <v>1.8044776119402985</v>
      </c>
      <c r="BQ228" s="134">
        <v>2.6</v>
      </c>
      <c r="BR228" s="166">
        <f t="shared" si="117"/>
        <v>0.1166666666666667</v>
      </c>
      <c r="BS228" s="167">
        <f t="shared" si="99"/>
        <v>1.6878109452736318</v>
      </c>
      <c r="BT228" s="159">
        <f t="shared" si="100"/>
        <v>39.083333333333343</v>
      </c>
      <c r="BU228" s="10" t="str">
        <f t="shared" si="101"/>
        <v>Ch Robinson</v>
      </c>
      <c r="BV228" s="4"/>
      <c r="BW228" s="4" t="str">
        <f>Table1[[#This Row],[BrokerAddress]]</f>
        <v>P.O. Box 3474</v>
      </c>
      <c r="BX228" s="4" t="str">
        <f t="shared" si="102"/>
        <v>Chicago</v>
      </c>
      <c r="BY228" s="4" t="str">
        <f t="shared" si="103"/>
        <v>Il</v>
      </c>
      <c r="BZ228" s="4">
        <f t="shared" si="104"/>
        <v>60654</v>
      </c>
      <c r="CA228" s="10" t="str">
        <f t="shared" si="105"/>
        <v>US</v>
      </c>
      <c r="CB228" s="15" t="s">
        <v>131</v>
      </c>
      <c r="CC228" s="61"/>
      <c r="CD228" s="4" t="s">
        <v>132</v>
      </c>
      <c r="CE228" s="5">
        <v>0</v>
      </c>
      <c r="CF228" s="4">
        <v>0</v>
      </c>
      <c r="CG228" s="132">
        <f t="shared" si="106"/>
        <v>0</v>
      </c>
      <c r="CH228" s="4" t="s">
        <v>132</v>
      </c>
      <c r="CI228" s="5">
        <v>0</v>
      </c>
      <c r="CJ228" s="4">
        <v>0</v>
      </c>
      <c r="CK228" s="132">
        <f t="shared" si="107"/>
        <v>0</v>
      </c>
      <c r="CL228" s="4" t="s">
        <v>132</v>
      </c>
      <c r="CM228" s="5">
        <v>0</v>
      </c>
      <c r="CN228" s="4">
        <v>0</v>
      </c>
      <c r="CO228" s="132">
        <f t="shared" si="108"/>
        <v>0</v>
      </c>
      <c r="CP228" s="4" t="s">
        <v>132</v>
      </c>
      <c r="CQ228" s="5">
        <v>0</v>
      </c>
      <c r="CR228" s="4">
        <v>0</v>
      </c>
      <c r="CS228" s="132">
        <f t="shared" si="109"/>
        <v>0</v>
      </c>
      <c r="CT228" s="159">
        <f t="shared" si="110"/>
        <v>0</v>
      </c>
      <c r="CU228" s="168">
        <f t="shared" si="111"/>
        <v>650</v>
      </c>
      <c r="CV228" s="167">
        <f t="shared" si="94"/>
        <v>0</v>
      </c>
      <c r="CW228" s="82">
        <f t="shared" si="95"/>
        <v>604.5</v>
      </c>
      <c r="CX228" s="79">
        <f>IF(ISBLANK(E228),"AddQuickPay",IF(E228=2,CU228*0.98,IF(E228=2.4,CU228*0.976,IF(E228=3,CU228*0.97,IF(E228=5,CU228*0.95,IF(E228=1.5,CU228*0.985,IF(E228=2.5,CU228*0.975,IF(E228=1.3,CU228*0.987,IF(E228=1,CU228*0.99,IF(E228=4,CU228*0.96,CU228*1))))))))))-Table1[[#This Row],[ComCheck+QuickPayFee]]</f>
        <v>637</v>
      </c>
      <c r="CY228" s="5">
        <f t="shared" si="112"/>
        <v>45.5</v>
      </c>
      <c r="CZ228" s="5">
        <f t="shared" si="113"/>
        <v>13</v>
      </c>
      <c r="DA228" s="258">
        <f>Table1[[#This Row],[OriginalDispatch]]-Table1[[#This Row],[QuickPayCharge]]</f>
        <v>32.5</v>
      </c>
      <c r="DB228" s="5">
        <v>0</v>
      </c>
      <c r="DC228" s="5" t="s">
        <v>133</v>
      </c>
      <c r="DD228" s="20">
        <f t="shared" si="114"/>
        <v>42377</v>
      </c>
      <c r="DE228" s="4">
        <f>MONTH(Table1[[#This Row],[Weekending]])</f>
        <v>1</v>
      </c>
      <c r="DF228" s="4">
        <f>YEAR(Table1[[#This Row],[Weekending]])</f>
        <v>2016</v>
      </c>
      <c r="DG228" s="4"/>
    </row>
    <row r="229" spans="1:111">
      <c r="A229" s="20" t="str">
        <f t="shared" si="96"/>
        <v>76020288</v>
      </c>
      <c r="B229" s="146">
        <v>42374</v>
      </c>
      <c r="C229" s="144">
        <v>189636676</v>
      </c>
      <c r="D229" s="298" t="s">
        <v>111</v>
      </c>
      <c r="E229" s="298">
        <v>2</v>
      </c>
      <c r="F229" s="298" t="str">
        <f>INDEX(BrokerTBL!$B:$B,MATCH(D229,BrokerTBL!$A:$A,0))</f>
        <v>P.O. Box 3474</v>
      </c>
      <c r="G229" s="298" t="str">
        <f>INDEX(BrokerTBL!$C:$C,MATCH(D229,BrokerTBL!$A:$A,0))</f>
        <v>Chicago</v>
      </c>
      <c r="H229" s="298" t="str">
        <f>INDEX(BrokerTBL!$D:$D,MATCH(D229,BrokerTBL!$A:$A,0))</f>
        <v>Il</v>
      </c>
      <c r="I229" s="298" t="str">
        <f>INDEX(BrokerTBL!$E:$E,MATCH(D229,BrokerTBL!$A:$A,0))</f>
        <v>US</v>
      </c>
      <c r="J229" s="298">
        <f>INDEX(BrokerTBL!$F:$F,MATCH(D229,BrokerTBL!$A:$A,0))</f>
        <v>60654</v>
      </c>
      <c r="K229" s="298" t="s">
        <v>1707</v>
      </c>
      <c r="L229" s="145">
        <v>3678805402</v>
      </c>
      <c r="M229" s="146">
        <v>42374</v>
      </c>
      <c r="N229" s="144" t="s">
        <v>1041</v>
      </c>
      <c r="O229" s="298" t="s">
        <v>1708</v>
      </c>
      <c r="P229" s="298" t="s">
        <v>263</v>
      </c>
      <c r="Q229" s="298" t="s">
        <v>264</v>
      </c>
      <c r="R229" s="298">
        <v>89434</v>
      </c>
      <c r="S229" s="298" t="s">
        <v>118</v>
      </c>
      <c r="T229" s="298" t="s">
        <v>136</v>
      </c>
      <c r="U229" s="298" t="s">
        <v>120</v>
      </c>
      <c r="V229" s="298">
        <v>53</v>
      </c>
      <c r="W229" s="298" t="s">
        <v>1709</v>
      </c>
      <c r="X229" s="185">
        <v>37050</v>
      </c>
      <c r="Y229" s="298" t="s">
        <v>1710</v>
      </c>
      <c r="Z229" s="298" t="s">
        <v>123</v>
      </c>
      <c r="AA229" s="298" t="s">
        <v>123</v>
      </c>
      <c r="AB229" s="298" t="s">
        <v>123</v>
      </c>
      <c r="AC229" s="298" t="s">
        <v>1711</v>
      </c>
      <c r="AD229" s="145">
        <v>3678805402</v>
      </c>
      <c r="AE229" s="146">
        <v>42375</v>
      </c>
      <c r="AF229" s="298" t="s">
        <v>1150</v>
      </c>
      <c r="AG229" s="298" t="s">
        <v>1712</v>
      </c>
      <c r="AH229" s="298" t="s">
        <v>1713</v>
      </c>
      <c r="AI229" s="298" t="s">
        <v>139</v>
      </c>
      <c r="AJ229" s="298" t="s">
        <v>1714</v>
      </c>
      <c r="AK229" s="298" t="s">
        <v>118</v>
      </c>
      <c r="AL229" s="298" t="s">
        <v>123</v>
      </c>
      <c r="AM229" s="298" t="str">
        <f>INDEX(CarrierDriverTBL!$B:$B,MATCH(Table1[[#This Row],[DriverID]],CarrierDriverTBL!$A:$A,0))</f>
        <v>UBTrucking</v>
      </c>
      <c r="AN229" s="10" t="s">
        <v>948</v>
      </c>
      <c r="AO229" s="171" t="str">
        <f>INDEX(CarrierDriverTBL!$C:$C,MATCH(Table1[[#This Row],[DriverID]],CarrierDriverTBL!$A:$A,0))</f>
        <v>Wesley</v>
      </c>
      <c r="AP229" s="171" t="str">
        <f>INDEX(CarrierDriverTBL!$D:$D,MATCH(Table1[[#This Row],[DriverID]],CarrierDriverTBL!$A:$A,0))</f>
        <v>Cousain</v>
      </c>
      <c r="AQ229" s="171" t="str">
        <f>INDEX(CarrierDriverTBL!$X:$X,MATCH(Table1[[#This Row],[DriverID]],CarrierDriverTBL!$A:$A,0))</f>
        <v>D4903588</v>
      </c>
      <c r="AR229" s="172">
        <f>INDEX(CarrierDriverTBL!$Y:$Y,MATCH(Table1[[#This Row],[DriverID]],CarrierDriverTBL!$A:$A,0))</f>
        <v>43458</v>
      </c>
      <c r="AS229" s="142" t="str">
        <f t="shared" si="97"/>
        <v>GOOD</v>
      </c>
      <c r="AT229" s="172">
        <f>INDEX(CarrierDriverTBL!$E:$E,MATCH(Table1[[#This Row],[DriverID]],CarrierDriverTBL!$A:$A,0))</f>
        <v>31405</v>
      </c>
      <c r="AU229" s="163">
        <f ca="1">INDEX(CarrierDriverTBL!$F:$F,MATCH(Table1[[#This Row],[DriverID]],CarrierDriverTBL!$A:$A,0))</f>
        <v>30.605479452054794</v>
      </c>
      <c r="AV229" s="171" t="str">
        <f>INDEX(CarrierDriverTBL!$K:$K,MATCH(Table1[[#This Row],[DriverID]],CarrierDriverTBL!$A:$A,0))</f>
        <v>925-383-5364</v>
      </c>
      <c r="AW229" s="171" t="str">
        <f>INDEX(CarrierDriverTBL!$M:$M,MATCH(Table1[[#This Row],[DriverID]],CarrierDriverTBL!$A:$A,0))</f>
        <v>110 Cordova Ln</v>
      </c>
      <c r="AX229" s="171" t="str">
        <f>INDEX(CarrierDriverTBL!$N:$N,MATCH(Table1[[#This Row],[DriverID]],CarrierDriverTBL!$A:$A,0))</f>
        <v>Stockton</v>
      </c>
      <c r="AY229" s="171" t="str">
        <f>INDEX(CarrierDriverTBL!$O:$O,MATCH(Table1[[#This Row],[DriverID]],CarrierDriverTBL!$A:$A,0))</f>
        <v>CA</v>
      </c>
      <c r="AZ229" s="171">
        <f>INDEX(CarrierDriverTBL!$P:$P,MATCH(Table1[[#This Row],[DriverID]],CarrierDriverTBL!$A:$A,0))</f>
        <v>95207</v>
      </c>
      <c r="BA229" s="171" t="str">
        <f>INDEX(CarrierDriverTBL!$Q:$Q,MATCH(Table1[[#This Row],[DriverID]],CarrierDriverTBL!$A:$A,0))</f>
        <v>US</v>
      </c>
      <c r="BB229" s="173" t="str">
        <f>INDEX(CarrierDriverTBL!$R:$R,MATCH(Table1[[#This Row],[DriverID]],CarrierDriverTBL!$A:$A,0))</f>
        <v>wesleycousain1@gmail.com</v>
      </c>
      <c r="BC229" s="160">
        <f>INDEX(CarrierDriverTBL!$AB:$AB,MATCH(Table1[[#This Row],[DriverID]],CarrierDriverTBL!$A:$A,0))</f>
        <v>42271</v>
      </c>
      <c r="BD229" s="142" t="str">
        <f ca="1">INDEX(CarrierDriverTBL!$AD:$AD,MATCH(LoadMaster!$AN:$AN,CarrierDriverTBL!$A:$A,0))</f>
        <v>MISSING</v>
      </c>
      <c r="BE229" s="298">
        <f>INDEX(CarrierDriverTBL!$AE:$AE,MATCH(Table1[DriverID],CarrierDriverTBL!$A:$A,0))</f>
        <v>913971</v>
      </c>
      <c r="BF229" s="298">
        <f>INDEX(CarrierDriverTBL!$AF:$AF,MATCH(Table1[DriverID],CarrierDriverTBL!$A:$A,0))</f>
        <v>2627544</v>
      </c>
      <c r="BG229" s="142">
        <f>INDEX(CarrierDriverTBL!$AG:$AG,MATCH(Table1[DriverID],CarrierDriverTBL!$A:$A,0))</f>
        <v>466133</v>
      </c>
      <c r="BH229" s="298" t="str">
        <f>INDEX(CarrierDriverTBL!$AH:$AH,MATCH(Table1[DriverID],CarrierDriverTBL!$A:$A,0))</f>
        <v>GM Lawrence Ins</v>
      </c>
      <c r="BI229" s="298" t="str">
        <f>INDEX(CarrierDriverTBL!$AI:$AI,MATCH(Table1[DriverID],CarrierDriverTBL!$A:$A,0))</f>
        <v>DSK2842P160210</v>
      </c>
      <c r="BJ229" s="146">
        <f>INDEX(CarrierDriverTBL!$AJ:$AJ,MATCH(Table1[[#This Row],[DriverID]],CarrierDriverTBL!$A:$A,0))</f>
        <v>42778</v>
      </c>
      <c r="BK229" s="10">
        <f t="shared" si="98"/>
        <v>404</v>
      </c>
      <c r="BL229" s="174">
        <v>500</v>
      </c>
      <c r="BM229" s="144">
        <v>215</v>
      </c>
      <c r="BN229" s="159">
        <f t="shared" si="115"/>
        <v>2.3255813953488373</v>
      </c>
      <c r="BO229" s="167">
        <f t="shared" si="118"/>
        <v>465</v>
      </c>
      <c r="BP229" s="159">
        <f t="shared" si="116"/>
        <v>2.1627906976744184</v>
      </c>
      <c r="BQ229" s="133">
        <v>2.6</v>
      </c>
      <c r="BR229" s="166">
        <f t="shared" si="117"/>
        <v>0.1166666666666667</v>
      </c>
      <c r="BS229" s="167">
        <f t="shared" si="99"/>
        <v>2.0461240310077518</v>
      </c>
      <c r="BT229" s="159">
        <f t="shared" si="100"/>
        <v>25.083333333333339</v>
      </c>
      <c r="BU229" s="10" t="str">
        <f t="shared" si="101"/>
        <v>Ch Robinson</v>
      </c>
      <c r="BV229" s="15"/>
      <c r="BW229" s="4" t="str">
        <f>Table1[[#This Row],[BrokerAddress]]</f>
        <v>P.O. Box 3474</v>
      </c>
      <c r="BX229" s="4" t="str">
        <f t="shared" si="102"/>
        <v>Chicago</v>
      </c>
      <c r="BY229" s="4" t="str">
        <f t="shared" si="103"/>
        <v>Il</v>
      </c>
      <c r="BZ229" s="4">
        <f t="shared" si="104"/>
        <v>60654</v>
      </c>
      <c r="CA229" s="10" t="str">
        <f t="shared" si="105"/>
        <v>US</v>
      </c>
      <c r="CB229" s="15" t="s">
        <v>131</v>
      </c>
      <c r="CC229" s="62"/>
      <c r="CD229" s="15" t="s">
        <v>132</v>
      </c>
      <c r="CE229" s="64">
        <v>0</v>
      </c>
      <c r="CF229" s="15">
        <v>0</v>
      </c>
      <c r="CG229" s="132">
        <f t="shared" si="106"/>
        <v>0</v>
      </c>
      <c r="CH229" s="15" t="s">
        <v>132</v>
      </c>
      <c r="CI229" s="64">
        <v>0</v>
      </c>
      <c r="CJ229" s="15">
        <v>0</v>
      </c>
      <c r="CK229" s="136">
        <f t="shared" si="107"/>
        <v>0</v>
      </c>
      <c r="CL229" s="15" t="s">
        <v>132</v>
      </c>
      <c r="CM229" s="64">
        <v>0</v>
      </c>
      <c r="CN229" s="15">
        <v>0</v>
      </c>
      <c r="CO229" s="136">
        <f t="shared" si="108"/>
        <v>0</v>
      </c>
      <c r="CP229" s="15" t="s">
        <v>132</v>
      </c>
      <c r="CQ229" s="64">
        <v>0</v>
      </c>
      <c r="CR229" s="15">
        <v>0</v>
      </c>
      <c r="CS229" s="136">
        <f t="shared" si="109"/>
        <v>0</v>
      </c>
      <c r="CT229" s="59">
        <f t="shared" si="110"/>
        <v>0</v>
      </c>
      <c r="CU229" s="214">
        <f t="shared" si="111"/>
        <v>500</v>
      </c>
      <c r="CV229" s="174">
        <f t="shared" si="94"/>
        <v>0</v>
      </c>
      <c r="CW229" s="82">
        <f t="shared" si="95"/>
        <v>465</v>
      </c>
      <c r="CX229" s="79">
        <f>IF(ISBLANK(E229),"AddQuickPay",IF(E229=2,CU229*0.98,IF(E229=2.4,CU229*0.976,IF(E229=3,CU229*0.97,IF(E229=5,CU229*0.95,IF(E229=1.5,CU229*0.985,IF(E229=2.5,CU229*0.975,IF(E229=1.3,CU229*0.987,IF(E229=1,CU229*0.99,IF(E229=4,CU229*0.96,CU229*1))))))))))-Table1[[#This Row],[ComCheck+QuickPayFee]]</f>
        <v>490</v>
      </c>
      <c r="CY229" s="64">
        <f t="shared" si="112"/>
        <v>35</v>
      </c>
      <c r="CZ229" s="64">
        <f t="shared" si="113"/>
        <v>10</v>
      </c>
      <c r="DA229" s="262">
        <f>Table1[[#This Row],[OriginalDispatch]]-Table1[[#This Row],[QuickPayCharge]]</f>
        <v>25</v>
      </c>
      <c r="DB229" s="5">
        <v>0</v>
      </c>
      <c r="DC229" s="64" t="s">
        <v>1287</v>
      </c>
      <c r="DD229" s="104">
        <f t="shared" si="114"/>
        <v>42377</v>
      </c>
      <c r="DE229" s="15">
        <f>MONTH(Table1[[#This Row],[Weekending]])</f>
        <v>1</v>
      </c>
      <c r="DF229" s="15">
        <f>YEAR(Table1[[#This Row],[Weekending]])</f>
        <v>2016</v>
      </c>
      <c r="DG229" s="15" t="s">
        <v>1715</v>
      </c>
    </row>
    <row r="230" spans="1:111">
      <c r="A230" s="20" t="str">
        <f t="shared" si="96"/>
        <v>270ne88</v>
      </c>
      <c r="B230" s="160">
        <v>42375</v>
      </c>
      <c r="C230" s="162">
        <v>189958627</v>
      </c>
      <c r="D230" s="142" t="s">
        <v>111</v>
      </c>
      <c r="E230" s="142">
        <v>2</v>
      </c>
      <c r="F230" s="142" t="str">
        <f>INDEX(BrokerTBL!$B:$B,MATCH(D230,BrokerTBL!$A:$A,0))</f>
        <v>P.O. Box 3474</v>
      </c>
      <c r="G230" s="142" t="str">
        <f>INDEX(BrokerTBL!$C:$C,MATCH(D230,BrokerTBL!$A:$A,0))</f>
        <v>Chicago</v>
      </c>
      <c r="H230" s="142" t="str">
        <f>INDEX(BrokerTBL!$D:$D,MATCH(D230,BrokerTBL!$A:$A,0))</f>
        <v>Il</v>
      </c>
      <c r="I230" s="142" t="str">
        <f>INDEX(BrokerTBL!$E:$E,MATCH(D230,BrokerTBL!$A:$A,0))</f>
        <v>US</v>
      </c>
      <c r="J230" s="142">
        <f>INDEX(BrokerTBL!$F:$F,MATCH(D230,BrokerTBL!$A:$A,0))</f>
        <v>60654</v>
      </c>
      <c r="K230" s="142" t="s">
        <v>1716</v>
      </c>
      <c r="L230" s="161">
        <v>0</v>
      </c>
      <c r="M230" s="160">
        <v>42375</v>
      </c>
      <c r="N230" s="162" t="s">
        <v>1447</v>
      </c>
      <c r="O230" s="142" t="s">
        <v>1717</v>
      </c>
      <c r="P230" s="142" t="s">
        <v>366</v>
      </c>
      <c r="Q230" s="142" t="s">
        <v>139</v>
      </c>
      <c r="R230" s="142">
        <v>95776</v>
      </c>
      <c r="S230" s="142" t="s">
        <v>118</v>
      </c>
      <c r="T230" s="298" t="s">
        <v>136</v>
      </c>
      <c r="U230" s="142" t="s">
        <v>120</v>
      </c>
      <c r="V230" s="142">
        <v>53</v>
      </c>
      <c r="W230" s="142" t="s">
        <v>1718</v>
      </c>
      <c r="X230" s="186">
        <v>40000</v>
      </c>
      <c r="Y230" s="142" t="s">
        <v>1537</v>
      </c>
      <c r="Z230" s="142" t="s">
        <v>123</v>
      </c>
      <c r="AA230" s="142" t="s">
        <v>123</v>
      </c>
      <c r="AB230" s="142" t="s">
        <v>123</v>
      </c>
      <c r="AC230" s="142" t="s">
        <v>1719</v>
      </c>
      <c r="AD230" s="161" t="s">
        <v>132</v>
      </c>
      <c r="AE230" s="160">
        <v>42376</v>
      </c>
      <c r="AF230" s="416" t="s">
        <v>123</v>
      </c>
      <c r="AG230" s="142" t="s">
        <v>1720</v>
      </c>
      <c r="AH230" s="142" t="s">
        <v>263</v>
      </c>
      <c r="AI230" s="142" t="s">
        <v>264</v>
      </c>
      <c r="AJ230" s="142">
        <v>89431</v>
      </c>
      <c r="AK230" s="142" t="s">
        <v>118</v>
      </c>
      <c r="AL230" s="142" t="s">
        <v>123</v>
      </c>
      <c r="AM230" s="142" t="str">
        <f>INDEX(CarrierDriverTBL!$B:$B,MATCH(Table1[[#This Row],[DriverID]],CarrierDriverTBL!$A:$A,0))</f>
        <v>UBTrucking</v>
      </c>
      <c r="AN230" s="10" t="s">
        <v>948</v>
      </c>
      <c r="AO230" s="10" t="str">
        <f>INDEX(CarrierDriverTBL!$C:$C,MATCH(Table1[[#This Row],[DriverID]],CarrierDriverTBL!$A:$A,0))</f>
        <v>Wesley</v>
      </c>
      <c r="AP230" s="10" t="str">
        <f>INDEX(CarrierDriverTBL!$D:$D,MATCH(Table1[[#This Row],[DriverID]],CarrierDriverTBL!$A:$A,0))</f>
        <v>Cousain</v>
      </c>
      <c r="AQ230" s="10" t="str">
        <f>INDEX(CarrierDriverTBL!$X:$X,MATCH(Table1[[#This Row],[DriverID]],CarrierDriverTBL!$A:$A,0))</f>
        <v>D4903588</v>
      </c>
      <c r="AR230" s="11">
        <f>INDEX(CarrierDriverTBL!$Y:$Y,MATCH(Table1[[#This Row],[DriverID]],CarrierDriverTBL!$A:$A,0))</f>
        <v>43458</v>
      </c>
      <c r="AS230" s="142" t="str">
        <f t="shared" si="97"/>
        <v>GOOD</v>
      </c>
      <c r="AT230" s="11">
        <f>INDEX(CarrierDriverTBL!$E:$E,MATCH(Table1[[#This Row],[DriverID]],CarrierDriverTBL!$A:$A,0))</f>
        <v>31405</v>
      </c>
      <c r="AU230" s="163">
        <f ca="1">INDEX(CarrierDriverTBL!$F:$F,MATCH(Table1[[#This Row],[DriverID]],CarrierDriverTBL!$A:$A,0))</f>
        <v>30.605479452054794</v>
      </c>
      <c r="AV230" s="10" t="str">
        <f>INDEX(CarrierDriverTBL!$K:$K,MATCH(Table1[[#This Row],[DriverID]],CarrierDriverTBL!$A:$A,0))</f>
        <v>925-383-5364</v>
      </c>
      <c r="AW230" s="10" t="str">
        <f>INDEX(CarrierDriverTBL!$M:$M,MATCH(Table1[[#This Row],[DriverID]],CarrierDriverTBL!$A:$A,0))</f>
        <v>110 Cordova Ln</v>
      </c>
      <c r="AX230" s="10" t="str">
        <f>INDEX(CarrierDriverTBL!$N:$N,MATCH(Table1[[#This Row],[DriverID]],CarrierDriverTBL!$A:$A,0))</f>
        <v>Stockton</v>
      </c>
      <c r="AY230" s="10" t="str">
        <f>INDEX(CarrierDriverTBL!$O:$O,MATCH(Table1[[#This Row],[DriverID]],CarrierDriverTBL!$A:$A,0))</f>
        <v>CA</v>
      </c>
      <c r="AZ230" s="10">
        <f>INDEX(CarrierDriverTBL!$P:$P,MATCH(Table1[[#This Row],[DriverID]],CarrierDriverTBL!$A:$A,0))</f>
        <v>95207</v>
      </c>
      <c r="BA230" s="10" t="str">
        <f>INDEX(CarrierDriverTBL!$Q:$Q,MATCH(Table1[[#This Row],[DriverID]],CarrierDriverTBL!$A:$A,0))</f>
        <v>US</v>
      </c>
      <c r="BB230" s="173" t="str">
        <f>INDEX(CarrierDriverTBL!$R:$R,MATCH(Table1[[#This Row],[DriverID]],CarrierDriverTBL!$A:$A,0))</f>
        <v>wesleycousain1@gmail.com</v>
      </c>
      <c r="BC230" s="160">
        <f>INDEX(CarrierDriverTBL!$AB:$AB,MATCH(Table1[[#This Row],[DriverID]],CarrierDriverTBL!$A:$A,0))</f>
        <v>42271</v>
      </c>
      <c r="BD230" s="142" t="str">
        <f ca="1">INDEX(CarrierDriverTBL!$AD:$AD,MATCH(LoadMaster!$AN:$AN,CarrierDriverTBL!$A:$A,0))</f>
        <v>MISSING</v>
      </c>
      <c r="BE230" s="142">
        <f>INDEX(CarrierDriverTBL!$AE:$AE,MATCH(Table1[DriverID],CarrierDriverTBL!$A:$A,0))</f>
        <v>913971</v>
      </c>
      <c r="BF230" s="142">
        <f>INDEX(CarrierDriverTBL!$AF:$AF,MATCH(Table1[DriverID],CarrierDriverTBL!$A:$A,0))</f>
        <v>2627544</v>
      </c>
      <c r="BG230" s="142">
        <f>INDEX(CarrierDriverTBL!$AG:$AG,MATCH(Table1[DriverID],CarrierDriverTBL!$A:$A,0))</f>
        <v>466133</v>
      </c>
      <c r="BH230" s="142" t="str">
        <f>INDEX(CarrierDriverTBL!$AH:$AH,MATCH(Table1[DriverID],CarrierDriverTBL!$A:$A,0))</f>
        <v>GM Lawrence Ins</v>
      </c>
      <c r="BI230" s="142" t="str">
        <f>INDEX(CarrierDriverTBL!$AI:$AI,MATCH(Table1[DriverID],CarrierDriverTBL!$A:$A,0))</f>
        <v>DSK2842P160210</v>
      </c>
      <c r="BJ230" s="160">
        <f>INDEX(CarrierDriverTBL!$AJ:$AJ,MATCH(Table1[[#This Row],[DriverID]],CarrierDriverTBL!$A:$A,0))</f>
        <v>42778</v>
      </c>
      <c r="BK230" s="10">
        <f t="shared" si="98"/>
        <v>403</v>
      </c>
      <c r="BL230" s="167">
        <v>525</v>
      </c>
      <c r="BM230" s="162">
        <v>151</v>
      </c>
      <c r="BN230" s="159">
        <f t="shared" si="115"/>
        <v>3.4768211920529803</v>
      </c>
      <c r="BO230" s="167">
        <f t="shared" si="118"/>
        <v>488.25</v>
      </c>
      <c r="BP230" s="159">
        <f t="shared" si="116"/>
        <v>3.2334437086092715</v>
      </c>
      <c r="BQ230" s="134">
        <v>2.6</v>
      </c>
      <c r="BR230" s="166">
        <f t="shared" si="117"/>
        <v>0.1166666666666667</v>
      </c>
      <c r="BS230" s="167">
        <f t="shared" si="99"/>
        <v>3.1167770419426049</v>
      </c>
      <c r="BT230" s="159">
        <f t="shared" si="100"/>
        <v>17.616666666666671</v>
      </c>
      <c r="BU230" s="10" t="str">
        <f t="shared" si="101"/>
        <v>Ch Robinson</v>
      </c>
      <c r="BV230" s="4"/>
      <c r="BW230" s="4" t="str">
        <f>Table1[[#This Row],[BrokerAddress]]</f>
        <v>P.O. Box 3474</v>
      </c>
      <c r="BX230" s="4" t="str">
        <f t="shared" si="102"/>
        <v>Chicago</v>
      </c>
      <c r="BY230" s="4" t="str">
        <f t="shared" si="103"/>
        <v>Il</v>
      </c>
      <c r="BZ230" s="4">
        <f t="shared" si="104"/>
        <v>60654</v>
      </c>
      <c r="CA230" s="10" t="str">
        <f t="shared" si="105"/>
        <v>US</v>
      </c>
      <c r="CB230" s="15" t="s">
        <v>131</v>
      </c>
      <c r="CC230" s="61"/>
      <c r="CD230" s="4" t="s">
        <v>132</v>
      </c>
      <c r="CE230" s="5">
        <v>0</v>
      </c>
      <c r="CF230" s="4">
        <v>0</v>
      </c>
      <c r="CG230" s="132">
        <f t="shared" si="106"/>
        <v>0</v>
      </c>
      <c r="CH230" s="4" t="s">
        <v>132</v>
      </c>
      <c r="CI230" s="5">
        <v>0</v>
      </c>
      <c r="CJ230" s="4">
        <v>0</v>
      </c>
      <c r="CK230" s="132">
        <f t="shared" si="107"/>
        <v>0</v>
      </c>
      <c r="CL230" s="4" t="s">
        <v>132</v>
      </c>
      <c r="CM230" s="5">
        <v>0</v>
      </c>
      <c r="CN230" s="4">
        <v>0</v>
      </c>
      <c r="CO230" s="132">
        <f t="shared" si="108"/>
        <v>0</v>
      </c>
      <c r="CP230" s="4" t="s">
        <v>132</v>
      </c>
      <c r="CQ230" s="5">
        <v>0</v>
      </c>
      <c r="CR230" s="4">
        <v>0</v>
      </c>
      <c r="CS230" s="132">
        <f t="shared" si="109"/>
        <v>0</v>
      </c>
      <c r="CT230" s="159">
        <f t="shared" si="110"/>
        <v>0</v>
      </c>
      <c r="CU230" s="168">
        <f t="shared" si="111"/>
        <v>525</v>
      </c>
      <c r="CV230" s="167">
        <f t="shared" si="94"/>
        <v>0</v>
      </c>
      <c r="CW230" s="82">
        <f t="shared" si="95"/>
        <v>488.25</v>
      </c>
      <c r="CX230" s="79">
        <f>IF(ISBLANK(E230),"AddQuickPay",IF(E230=2,CU230*0.98,IF(E230=2.4,CU230*0.976,IF(E230=3,CU230*0.97,IF(E230=5,CU230*0.95,IF(E230=1.5,CU230*0.985,IF(E230=2.5,CU230*0.975,IF(E230=1.3,CU230*0.987,IF(E230=1,CU230*0.99,IF(E230=4,CU230*0.96,CU230*1))))))))))-Table1[[#This Row],[ComCheck+QuickPayFee]]</f>
        <v>514.5</v>
      </c>
      <c r="CY230" s="5">
        <f t="shared" si="112"/>
        <v>36.75</v>
      </c>
      <c r="CZ230" s="5">
        <f t="shared" si="113"/>
        <v>10.5</v>
      </c>
      <c r="DA230" s="258">
        <f>Table1[[#This Row],[OriginalDispatch]]-Table1[[#This Row],[QuickPayCharge]]</f>
        <v>26.25</v>
      </c>
      <c r="DB230" s="5">
        <v>0</v>
      </c>
      <c r="DC230" s="5" t="s">
        <v>1287</v>
      </c>
      <c r="DD230" s="20">
        <f t="shared" si="114"/>
        <v>42377</v>
      </c>
      <c r="DE230" s="4">
        <f>MONTH(Table1[[#This Row],[Weekending]])</f>
        <v>1</v>
      </c>
      <c r="DF230" s="4">
        <f>YEAR(Table1[[#This Row],[Weekending]])</f>
        <v>2016</v>
      </c>
      <c r="DG230" s="4"/>
    </row>
    <row r="231" spans="1:111">
      <c r="A231" s="20" t="str">
        <f t="shared" si="96"/>
        <v>80193319</v>
      </c>
      <c r="B231" s="160">
        <v>42375</v>
      </c>
      <c r="C231" s="162">
        <v>189618880</v>
      </c>
      <c r="D231" s="142" t="s">
        <v>111</v>
      </c>
      <c r="E231" s="142">
        <v>2</v>
      </c>
      <c r="F231" s="142" t="str">
        <f>INDEX(BrokerTBL!$B:$B,MATCH(D231,BrokerTBL!$A:$A,0))</f>
        <v>P.O. Box 3474</v>
      </c>
      <c r="G231" s="142" t="str">
        <f>INDEX(BrokerTBL!$C:$C,MATCH(D231,BrokerTBL!$A:$A,0))</f>
        <v>Chicago</v>
      </c>
      <c r="H231" s="142" t="str">
        <f>INDEX(BrokerTBL!$D:$D,MATCH(D231,BrokerTBL!$A:$A,0))</f>
        <v>Il</v>
      </c>
      <c r="I231" s="142" t="str">
        <f>INDEX(BrokerTBL!$E:$E,MATCH(D231,BrokerTBL!$A:$A,0))</f>
        <v>US</v>
      </c>
      <c r="J231" s="142">
        <f>INDEX(BrokerTBL!$F:$F,MATCH(D231,BrokerTBL!$A:$A,0))</f>
        <v>60654</v>
      </c>
      <c r="K231" s="142" t="s">
        <v>1688</v>
      </c>
      <c r="L231" s="161">
        <v>48119</v>
      </c>
      <c r="M231" s="160">
        <v>42375</v>
      </c>
      <c r="N231" s="162" t="s">
        <v>136</v>
      </c>
      <c r="O231" s="142" t="s">
        <v>1689</v>
      </c>
      <c r="P231" s="142" t="s">
        <v>395</v>
      </c>
      <c r="Q231" s="142" t="s">
        <v>139</v>
      </c>
      <c r="R231" s="142">
        <v>95351</v>
      </c>
      <c r="S231" s="142" t="s">
        <v>118</v>
      </c>
      <c r="T231" s="142" t="s">
        <v>1690</v>
      </c>
      <c r="U231" s="142" t="s">
        <v>120</v>
      </c>
      <c r="V231" s="142">
        <v>53</v>
      </c>
      <c r="W231" s="142" t="s">
        <v>1691</v>
      </c>
      <c r="X231" s="162">
        <v>12000</v>
      </c>
      <c r="Y231" s="142" t="s">
        <v>26</v>
      </c>
      <c r="Z231" s="142">
        <v>0</v>
      </c>
      <c r="AA231" s="142">
        <v>56</v>
      </c>
      <c r="AB231" s="142" t="s">
        <v>123</v>
      </c>
      <c r="AC231" s="142" t="s">
        <v>718</v>
      </c>
      <c r="AD231" s="161">
        <v>24333</v>
      </c>
      <c r="AE231" s="160">
        <v>42376</v>
      </c>
      <c r="AF231" s="142" t="s">
        <v>1071</v>
      </c>
      <c r="AG231" s="142" t="s">
        <v>1692</v>
      </c>
      <c r="AH231" s="142" t="s">
        <v>263</v>
      </c>
      <c r="AI231" s="142" t="s">
        <v>139</v>
      </c>
      <c r="AJ231" s="142" t="s">
        <v>1693</v>
      </c>
      <c r="AK231" s="142" t="s">
        <v>118</v>
      </c>
      <c r="AL231" s="142" t="s">
        <v>1721</v>
      </c>
      <c r="AM231" s="142" t="str">
        <f>INDEX(CarrierDriverTBL!$B:$B,MATCH(Table1[[#This Row],[DriverID]],CarrierDriverTBL!$A:$A,0))</f>
        <v>UBTrucking</v>
      </c>
      <c r="AN231" s="10" t="s">
        <v>1409</v>
      </c>
      <c r="AO231" s="142" t="str">
        <f>INDEX(CarrierDriverTBL!$C:$C,MATCH(Table1[[#This Row],[DriverID]],CarrierDriverTBL!$A:$A,0))</f>
        <v>Miguel Jaime</v>
      </c>
      <c r="AP231" s="142" t="str">
        <f>INDEX(CarrierDriverTBL!$D:$D,MATCH(Table1[[#This Row],[DriverID]],CarrierDriverTBL!$A:$A,0))</f>
        <v>Martin Del Campo Velarca</v>
      </c>
      <c r="AQ231" s="142" t="str">
        <f>INDEX(CarrierDriverTBL!$X:$X,MATCH(Table1[[#This Row],[DriverID]],CarrierDriverTBL!$A:$A,0))</f>
        <v>D5179619</v>
      </c>
      <c r="AR231" s="160">
        <f>INDEX(CarrierDriverTBL!$Y:$Y,MATCH(Table1[[#This Row],[DriverID]],CarrierDriverTBL!$A:$A,0))</f>
        <v>43843</v>
      </c>
      <c r="AS231" s="142" t="str">
        <f t="shared" si="97"/>
        <v>GOOD</v>
      </c>
      <c r="AT231" s="160">
        <f>INDEX(CarrierDriverTBL!$E:$E,MATCH(Table1[[#This Row],[DriverID]],CarrierDriverTBL!$A:$A,0))</f>
        <v>21198</v>
      </c>
      <c r="AU231" s="163">
        <f ca="1">INDEX(CarrierDriverTBL!$F:$F,MATCH(Table1[[#This Row],[DriverID]],CarrierDriverTBL!$A:$A,0))</f>
        <v>58.56986301369863</v>
      </c>
      <c r="AV231" s="142" t="str">
        <f>INDEX(CarrierDriverTBL!$K:$K,MATCH(Table1[[#This Row],[DriverID]],CarrierDriverTBL!$A:$A,0))</f>
        <v>209-322-5231</v>
      </c>
      <c r="AW231" s="142" t="str">
        <f>INDEX(CarrierDriverTBL!$M:$M,MATCH(Table1[[#This Row],[DriverID]],CarrierDriverTBL!$A:$A,0))</f>
        <v>572 Predersen RD</v>
      </c>
      <c r="AX231" s="142" t="str">
        <f>INDEX(CarrierDriverTBL!$N:$N,MATCH(Table1[[#This Row],[DriverID]],CarrierDriverTBL!$A:$A,0))</f>
        <v>Oakdale</v>
      </c>
      <c r="AY231" s="142" t="str">
        <f>INDEX(CarrierDriverTBL!$O:$O,MATCH(Table1[[#This Row],[DriverID]],CarrierDriverTBL!$A:$A,0))</f>
        <v>CA</v>
      </c>
      <c r="AZ231" s="142">
        <f>INDEX(CarrierDriverTBL!$P:$P,MATCH(Table1[[#This Row],[DriverID]],CarrierDriverTBL!$A:$A,0))</f>
        <v>95361</v>
      </c>
      <c r="BA231" s="142" t="str">
        <f>INDEX(CarrierDriverTBL!$Q:$Q,MATCH(Table1[[#This Row],[DriverID]],CarrierDriverTBL!$A:$A,0))</f>
        <v>US</v>
      </c>
      <c r="BB231" s="176" t="str">
        <f>INDEX(CarrierDriverTBL!$R:$R,MATCH(Table1[[#This Row],[DriverID]],CarrierDriverTBL!$A:$A,0))</f>
        <v>Miguelmartin52@yahoo.com</v>
      </c>
      <c r="BC231" s="160">
        <f>INDEX(CarrierDriverTBL!$AB:$AB,MATCH(Table1[[#This Row],[DriverID]],CarrierDriverTBL!$A:$A,0))</f>
        <v>42334</v>
      </c>
      <c r="BD231" s="142" t="str">
        <f ca="1">INDEX(CarrierDriverTBL!$AD:$AD,MATCH(LoadMaster!$AN:$AN,CarrierDriverTBL!$A:$A,0))</f>
        <v>MISSING</v>
      </c>
      <c r="BE231" s="142">
        <f>INDEX(CarrierDriverTBL!$AE:$AE,MATCH(Table1[DriverID],CarrierDriverTBL!$A:$A,0))</f>
        <v>913971</v>
      </c>
      <c r="BF231" s="142">
        <f>INDEX(CarrierDriverTBL!$AF:$AF,MATCH(Table1[DriverID],CarrierDriverTBL!$A:$A,0))</f>
        <v>2627544</v>
      </c>
      <c r="BG231" s="142">
        <f>INDEX(CarrierDriverTBL!$AG:$AG,MATCH(Table1[DriverID],CarrierDriverTBL!$A:$A,0))</f>
        <v>466133</v>
      </c>
      <c r="BH231" s="142" t="str">
        <f>INDEX(CarrierDriverTBL!$AH:$AH,MATCH(Table1[DriverID],CarrierDriverTBL!$A:$A,0))</f>
        <v>GM Lawrence Ins</v>
      </c>
      <c r="BI231" s="142" t="str">
        <f>INDEX(CarrierDriverTBL!$AI:$AI,MATCH(Table1[DriverID],CarrierDriverTBL!$A:$A,0))</f>
        <v>DSK2842P160210</v>
      </c>
      <c r="BJ231" s="160">
        <f>INDEX(CarrierDriverTBL!$AJ:$AJ,MATCH(Table1[[#This Row],[DriverID]],CarrierDriverTBL!$A:$A,0))</f>
        <v>42778</v>
      </c>
      <c r="BK231" s="10">
        <f t="shared" si="98"/>
        <v>403</v>
      </c>
      <c r="BL231" s="167">
        <v>600</v>
      </c>
      <c r="BM231" s="162">
        <v>210</v>
      </c>
      <c r="BN231" s="159">
        <f t="shared" si="115"/>
        <v>2.8571428571428572</v>
      </c>
      <c r="BO231" s="167">
        <f t="shared" si="118"/>
        <v>558</v>
      </c>
      <c r="BP231" s="159">
        <f t="shared" si="116"/>
        <v>2.657142857142857</v>
      </c>
      <c r="BQ231" s="134">
        <v>2.6</v>
      </c>
      <c r="BR231" s="166">
        <f t="shared" si="117"/>
        <v>0.1166666666666667</v>
      </c>
      <c r="BS231" s="167">
        <f t="shared" si="99"/>
        <v>2.5404761904761903</v>
      </c>
      <c r="BT231" s="159">
        <f t="shared" si="100"/>
        <v>24.500000000000007</v>
      </c>
      <c r="BU231" s="10" t="str">
        <f t="shared" si="101"/>
        <v>Ch Robinson</v>
      </c>
      <c r="BV231" s="4"/>
      <c r="BW231" s="4" t="str">
        <f>Table1[[#This Row],[BrokerAddress]]</f>
        <v>P.O. Box 3474</v>
      </c>
      <c r="BX231" s="4" t="str">
        <f t="shared" si="102"/>
        <v>Chicago</v>
      </c>
      <c r="BY231" s="4" t="str">
        <f t="shared" si="103"/>
        <v>Il</v>
      </c>
      <c r="BZ231" s="4">
        <f t="shared" si="104"/>
        <v>60654</v>
      </c>
      <c r="CA231" s="10" t="str">
        <f t="shared" si="105"/>
        <v>US</v>
      </c>
      <c r="CB231" s="15" t="s">
        <v>131</v>
      </c>
      <c r="CC231" s="61"/>
      <c r="CD231" s="4" t="s">
        <v>132</v>
      </c>
      <c r="CE231" s="5">
        <v>0</v>
      </c>
      <c r="CF231" s="4">
        <v>0</v>
      </c>
      <c r="CG231" s="132">
        <f t="shared" si="106"/>
        <v>0</v>
      </c>
      <c r="CH231" s="4" t="s">
        <v>132</v>
      </c>
      <c r="CI231" s="5">
        <v>0</v>
      </c>
      <c r="CJ231" s="4">
        <v>0</v>
      </c>
      <c r="CK231" s="132">
        <f t="shared" si="107"/>
        <v>0</v>
      </c>
      <c r="CL231" s="4" t="s">
        <v>132</v>
      </c>
      <c r="CM231" s="5">
        <v>0</v>
      </c>
      <c r="CN231" s="4">
        <v>0</v>
      </c>
      <c r="CO231" s="132">
        <f t="shared" si="108"/>
        <v>0</v>
      </c>
      <c r="CP231" s="4" t="s">
        <v>132</v>
      </c>
      <c r="CQ231" s="5">
        <v>0</v>
      </c>
      <c r="CR231" s="4">
        <v>0</v>
      </c>
      <c r="CS231" s="132">
        <f t="shared" si="109"/>
        <v>0</v>
      </c>
      <c r="CT231" s="159">
        <f t="shared" si="110"/>
        <v>0</v>
      </c>
      <c r="CU231" s="168">
        <f t="shared" si="111"/>
        <v>600</v>
      </c>
      <c r="CV231" s="167">
        <f t="shared" si="94"/>
        <v>0</v>
      </c>
      <c r="CW231" s="82">
        <f t="shared" si="95"/>
        <v>558</v>
      </c>
      <c r="CX231" s="79">
        <f>IF(ISBLANK(E231),"AddQuickPay",IF(E231=2,CU231*0.98,IF(E231=2.4,CU231*0.976,IF(E231=3,CU231*0.97,IF(E231=5,CU231*0.95,IF(E231=1.5,CU231*0.985,IF(E231=2.5,CU231*0.975,IF(E231=1.3,CU231*0.987,IF(E231=1,CU231*0.99,IF(E231=4,CU231*0.96,CU231*1))))))))))-Table1[[#This Row],[ComCheck+QuickPayFee]]</f>
        <v>588</v>
      </c>
      <c r="CY231" s="5">
        <f t="shared" si="112"/>
        <v>42</v>
      </c>
      <c r="CZ231" s="5">
        <f t="shared" si="113"/>
        <v>12</v>
      </c>
      <c r="DA231" s="258">
        <f>Table1[[#This Row],[OriginalDispatch]]-Table1[[#This Row],[QuickPayCharge]]</f>
        <v>30</v>
      </c>
      <c r="DB231" s="5">
        <v>0</v>
      </c>
      <c r="DC231" s="5" t="s">
        <v>133</v>
      </c>
      <c r="DD231" s="20">
        <f t="shared" si="114"/>
        <v>42377</v>
      </c>
      <c r="DE231" s="4">
        <f>MONTH(Table1[[#This Row],[Weekending]])</f>
        <v>1</v>
      </c>
      <c r="DF231" s="4">
        <f>YEAR(Table1[[#This Row],[Weekending]])</f>
        <v>2016</v>
      </c>
      <c r="DG231" s="4"/>
    </row>
    <row r="232" spans="1:111">
      <c r="A232" s="20" t="str">
        <f t="shared" si="96"/>
        <v>0502wn88</v>
      </c>
      <c r="B232" s="160">
        <v>42376</v>
      </c>
      <c r="C232" s="162">
        <v>189883405</v>
      </c>
      <c r="D232" s="142" t="s">
        <v>111</v>
      </c>
      <c r="E232" s="142">
        <v>2</v>
      </c>
      <c r="F232" s="142" t="str">
        <f>INDEX(BrokerTBL!$B:$B,MATCH(D232,BrokerTBL!$A:$A,0))</f>
        <v>P.O. Box 3474</v>
      </c>
      <c r="G232" s="142" t="str">
        <f>INDEX(BrokerTBL!$C:$C,MATCH(D232,BrokerTBL!$A:$A,0))</f>
        <v>Chicago</v>
      </c>
      <c r="H232" s="142" t="str">
        <f>INDEX(BrokerTBL!$D:$D,MATCH(D232,BrokerTBL!$A:$A,0))</f>
        <v>Il</v>
      </c>
      <c r="I232" s="142" t="str">
        <f>INDEX(BrokerTBL!$E:$E,MATCH(D232,BrokerTBL!$A:$A,0))</f>
        <v>US</v>
      </c>
      <c r="J232" s="142">
        <f>INDEX(BrokerTBL!$F:$F,MATCH(D232,BrokerTBL!$A:$A,0))</f>
        <v>60654</v>
      </c>
      <c r="K232" s="142" t="s">
        <v>1529</v>
      </c>
      <c r="L232" s="161">
        <v>839202</v>
      </c>
      <c r="M232" s="160">
        <v>42376</v>
      </c>
      <c r="N232" s="162" t="s">
        <v>1722</v>
      </c>
      <c r="O232" s="142" t="s">
        <v>1530</v>
      </c>
      <c r="P232" s="142" t="s">
        <v>738</v>
      </c>
      <c r="Q232" s="142" t="s">
        <v>264</v>
      </c>
      <c r="R232" s="142">
        <v>89512</v>
      </c>
      <c r="S232" s="142" t="s">
        <v>118</v>
      </c>
      <c r="T232" s="298" t="s">
        <v>136</v>
      </c>
      <c r="U232" s="142" t="s">
        <v>120</v>
      </c>
      <c r="V232" s="142">
        <v>53</v>
      </c>
      <c r="W232" s="142" t="s">
        <v>1531</v>
      </c>
      <c r="X232" s="186">
        <v>45000</v>
      </c>
      <c r="Y232" s="142" t="s">
        <v>123</v>
      </c>
      <c r="Z232" s="142" t="s">
        <v>123</v>
      </c>
      <c r="AA232" s="142" t="s">
        <v>123</v>
      </c>
      <c r="AB232" s="142" t="s">
        <v>123</v>
      </c>
      <c r="AC232" s="142" t="s">
        <v>1532</v>
      </c>
      <c r="AD232" s="161" t="s">
        <v>1205</v>
      </c>
      <c r="AE232" s="160">
        <v>42377</v>
      </c>
      <c r="AF232" s="142" t="s">
        <v>1723</v>
      </c>
      <c r="AG232" s="142" t="s">
        <v>1533</v>
      </c>
      <c r="AH232" s="142" t="s">
        <v>1343</v>
      </c>
      <c r="AI232" s="142" t="s">
        <v>139</v>
      </c>
      <c r="AJ232" s="142">
        <v>96080</v>
      </c>
      <c r="AK232" s="142" t="s">
        <v>118</v>
      </c>
      <c r="AL232" s="142" t="s">
        <v>123</v>
      </c>
      <c r="AM232" s="142" t="str">
        <f>INDEX(CarrierDriverTBL!$B:$B,MATCH(Table1[[#This Row],[DriverID]],CarrierDriverTBL!$A:$A,0))</f>
        <v>UBTrucking</v>
      </c>
      <c r="AN232" s="10" t="s">
        <v>948</v>
      </c>
      <c r="AO232" s="10" t="str">
        <f>INDEX(CarrierDriverTBL!$C:$C,MATCH(Table1[[#This Row],[DriverID]],CarrierDriverTBL!$A:$A,0))</f>
        <v>Wesley</v>
      </c>
      <c r="AP232" s="10" t="str">
        <f>INDEX(CarrierDriverTBL!$D:$D,MATCH(Table1[[#This Row],[DriverID]],CarrierDriverTBL!$A:$A,0))</f>
        <v>Cousain</v>
      </c>
      <c r="AQ232" s="10" t="str">
        <f>INDEX(CarrierDriverTBL!$X:$X,MATCH(Table1[[#This Row],[DriverID]],CarrierDriverTBL!$A:$A,0))</f>
        <v>D4903588</v>
      </c>
      <c r="AR232" s="11">
        <f>INDEX(CarrierDriverTBL!$Y:$Y,MATCH(Table1[[#This Row],[DriverID]],CarrierDriverTBL!$A:$A,0))</f>
        <v>43458</v>
      </c>
      <c r="AS232" s="142" t="str">
        <f t="shared" si="97"/>
        <v>GOOD</v>
      </c>
      <c r="AT232" s="11">
        <f>INDEX(CarrierDriverTBL!$E:$E,MATCH(Table1[[#This Row],[DriverID]],CarrierDriverTBL!$A:$A,0))</f>
        <v>31405</v>
      </c>
      <c r="AU232" s="163">
        <f ca="1">INDEX(CarrierDriverTBL!$F:$F,MATCH(Table1[[#This Row],[DriverID]],CarrierDriverTBL!$A:$A,0))</f>
        <v>30.605479452054794</v>
      </c>
      <c r="AV232" s="10" t="str">
        <f>INDEX(CarrierDriverTBL!$K:$K,MATCH(Table1[[#This Row],[DriverID]],CarrierDriverTBL!$A:$A,0))</f>
        <v>925-383-5364</v>
      </c>
      <c r="AW232" s="10" t="str">
        <f>INDEX(CarrierDriverTBL!$M:$M,MATCH(Table1[[#This Row],[DriverID]],CarrierDriverTBL!$A:$A,0))</f>
        <v>110 Cordova Ln</v>
      </c>
      <c r="AX232" s="10" t="str">
        <f>INDEX(CarrierDriverTBL!$N:$N,MATCH(Table1[[#This Row],[DriverID]],CarrierDriverTBL!$A:$A,0))</f>
        <v>Stockton</v>
      </c>
      <c r="AY232" s="10" t="str">
        <f>INDEX(CarrierDriverTBL!$O:$O,MATCH(Table1[[#This Row],[DriverID]],CarrierDriverTBL!$A:$A,0))</f>
        <v>CA</v>
      </c>
      <c r="AZ232" s="10">
        <f>INDEX(CarrierDriverTBL!$P:$P,MATCH(Table1[[#This Row],[DriverID]],CarrierDriverTBL!$A:$A,0))</f>
        <v>95207</v>
      </c>
      <c r="BA232" s="10" t="str">
        <f>INDEX(CarrierDriverTBL!$Q:$Q,MATCH(Table1[[#This Row],[DriverID]],CarrierDriverTBL!$A:$A,0))</f>
        <v>US</v>
      </c>
      <c r="BB232" s="173" t="str">
        <f>INDEX(CarrierDriverTBL!$R:$R,MATCH(Table1[[#This Row],[DriverID]],CarrierDriverTBL!$A:$A,0))</f>
        <v>wesleycousain1@gmail.com</v>
      </c>
      <c r="BC232" s="160">
        <f>INDEX(CarrierDriverTBL!$AB:$AB,MATCH(Table1[[#This Row],[DriverID]],CarrierDriverTBL!$A:$A,0))</f>
        <v>42271</v>
      </c>
      <c r="BD232" s="142" t="str">
        <f ca="1">INDEX(CarrierDriverTBL!$AD:$AD,MATCH(LoadMaster!$AN:$AN,CarrierDriverTBL!$A:$A,0))</f>
        <v>MISSING</v>
      </c>
      <c r="BE232" s="142">
        <f>INDEX(CarrierDriverTBL!$AE:$AE,MATCH(Table1[DriverID],CarrierDriverTBL!$A:$A,0))</f>
        <v>913971</v>
      </c>
      <c r="BF232" s="142">
        <f>INDEX(CarrierDriverTBL!$AF:$AF,MATCH(Table1[DriverID],CarrierDriverTBL!$A:$A,0))</f>
        <v>2627544</v>
      </c>
      <c r="BG232" s="142">
        <f>INDEX(CarrierDriverTBL!$AG:$AG,MATCH(Table1[DriverID],CarrierDriverTBL!$A:$A,0))</f>
        <v>466133</v>
      </c>
      <c r="BH232" s="142" t="str">
        <f>INDEX(CarrierDriverTBL!$AH:$AH,MATCH(Table1[DriverID],CarrierDriverTBL!$A:$A,0))</f>
        <v>GM Lawrence Ins</v>
      </c>
      <c r="BI232" s="142" t="str">
        <f>INDEX(CarrierDriverTBL!$AI:$AI,MATCH(Table1[DriverID],CarrierDriverTBL!$A:$A,0))</f>
        <v>DSK2842P160210</v>
      </c>
      <c r="BJ232" s="160">
        <f>INDEX(CarrierDriverTBL!$AJ:$AJ,MATCH(Table1[[#This Row],[DriverID]],CarrierDriverTBL!$A:$A,0))</f>
        <v>42778</v>
      </c>
      <c r="BK232" s="10">
        <f t="shared" si="98"/>
        <v>402</v>
      </c>
      <c r="BL232" s="167">
        <v>526</v>
      </c>
      <c r="BM232" s="162">
        <v>200</v>
      </c>
      <c r="BN232" s="159">
        <f t="shared" si="115"/>
        <v>2.63</v>
      </c>
      <c r="BO232" s="167">
        <f t="shared" si="118"/>
        <v>489.18</v>
      </c>
      <c r="BP232" s="159">
        <f t="shared" si="116"/>
        <v>2.4459</v>
      </c>
      <c r="BQ232" s="134">
        <v>2.6</v>
      </c>
      <c r="BR232" s="166">
        <f t="shared" si="117"/>
        <v>0.1166666666666667</v>
      </c>
      <c r="BS232" s="167">
        <f t="shared" si="99"/>
        <v>2.3292333333333333</v>
      </c>
      <c r="BT232" s="159">
        <f t="shared" si="100"/>
        <v>23.333333333333339</v>
      </c>
      <c r="BU232" s="10" t="str">
        <f t="shared" si="101"/>
        <v>Ch Robinson</v>
      </c>
      <c r="BV232" s="4"/>
      <c r="BW232" s="4" t="str">
        <f>Table1[[#This Row],[BrokerAddress]]</f>
        <v>P.O. Box 3474</v>
      </c>
      <c r="BX232" s="4" t="str">
        <f t="shared" si="102"/>
        <v>Chicago</v>
      </c>
      <c r="BY232" s="4" t="str">
        <f t="shared" si="103"/>
        <v>Il</v>
      </c>
      <c r="BZ232" s="4">
        <f t="shared" si="104"/>
        <v>60654</v>
      </c>
      <c r="CA232" s="10" t="str">
        <f t="shared" si="105"/>
        <v>US</v>
      </c>
      <c r="CB232" s="15" t="s">
        <v>131</v>
      </c>
      <c r="CC232" s="61"/>
      <c r="CD232" s="4" t="s">
        <v>132</v>
      </c>
      <c r="CE232" s="5">
        <v>0</v>
      </c>
      <c r="CF232" s="4">
        <v>0</v>
      </c>
      <c r="CG232" s="132">
        <f t="shared" si="106"/>
        <v>0</v>
      </c>
      <c r="CH232" s="4" t="s">
        <v>132</v>
      </c>
      <c r="CI232" s="5">
        <v>0</v>
      </c>
      <c r="CJ232" s="4">
        <v>0</v>
      </c>
      <c r="CK232" s="132">
        <f t="shared" si="107"/>
        <v>0</v>
      </c>
      <c r="CL232" s="4" t="s">
        <v>132</v>
      </c>
      <c r="CM232" s="5">
        <v>0</v>
      </c>
      <c r="CN232" s="4">
        <v>0</v>
      </c>
      <c r="CO232" s="132">
        <f t="shared" si="108"/>
        <v>0</v>
      </c>
      <c r="CP232" s="4" t="s">
        <v>132</v>
      </c>
      <c r="CQ232" s="5">
        <v>0</v>
      </c>
      <c r="CR232" s="4">
        <v>0</v>
      </c>
      <c r="CS232" s="132">
        <f t="shared" si="109"/>
        <v>0</v>
      </c>
      <c r="CT232" s="159">
        <f t="shared" si="110"/>
        <v>0</v>
      </c>
      <c r="CU232" s="168">
        <f t="shared" si="111"/>
        <v>526</v>
      </c>
      <c r="CV232" s="167">
        <f t="shared" si="94"/>
        <v>0</v>
      </c>
      <c r="CW232" s="82">
        <f t="shared" si="95"/>
        <v>489.18</v>
      </c>
      <c r="CX232" s="79">
        <f>IF(ISBLANK(E232),"AddQuickPay",IF(E232=2,CU232*0.98,IF(E232=2.4,CU232*0.976,IF(E232=3,CU232*0.97,IF(E232=5,CU232*0.95,IF(E232=1.5,CU232*0.985,IF(E232=2.5,CU232*0.975,IF(E232=1.3,CU232*0.987,IF(E232=1,CU232*0.99,IF(E232=4,CU232*0.96,CU232*1))))))))))-Table1[[#This Row],[ComCheck+QuickPayFee]]</f>
        <v>515.48</v>
      </c>
      <c r="CY232" s="5">
        <f t="shared" si="112"/>
        <v>36.819999999999993</v>
      </c>
      <c r="CZ232" s="5">
        <f t="shared" si="113"/>
        <v>10.52</v>
      </c>
      <c r="DA232" s="258">
        <f>Table1[[#This Row],[OriginalDispatch]]-Table1[[#This Row],[QuickPayCharge]]</f>
        <v>26.299999999999994</v>
      </c>
      <c r="DB232" s="5">
        <v>0</v>
      </c>
      <c r="DC232" s="5" t="s">
        <v>1287</v>
      </c>
      <c r="DD232" s="20">
        <f t="shared" si="114"/>
        <v>42377</v>
      </c>
      <c r="DE232" s="4">
        <f>MONTH(Table1[[#This Row],[Weekending]])</f>
        <v>1</v>
      </c>
      <c r="DF232" s="4">
        <f>YEAR(Table1[[#This Row],[Weekending]])</f>
        <v>2016</v>
      </c>
      <c r="DG232" s="4"/>
    </row>
    <row r="233" spans="1:111">
      <c r="A233" s="20" t="str">
        <f t="shared" si="96"/>
        <v>0103ne19</v>
      </c>
      <c r="B233" s="160">
        <v>42376</v>
      </c>
      <c r="C233" s="162">
        <v>187075201</v>
      </c>
      <c r="D233" s="142" t="s">
        <v>111</v>
      </c>
      <c r="E233" s="142">
        <v>2</v>
      </c>
      <c r="F233" s="142" t="str">
        <f>INDEX(BrokerTBL!$B:$B,MATCH(D233,BrokerTBL!$A:$A,0))</f>
        <v>P.O. Box 3474</v>
      </c>
      <c r="G233" s="142" t="str">
        <f>INDEX(BrokerTBL!$C:$C,MATCH(D233,BrokerTBL!$A:$A,0))</f>
        <v>Chicago</v>
      </c>
      <c r="H233" s="142" t="str">
        <f>INDEX(BrokerTBL!$D:$D,MATCH(D233,BrokerTBL!$A:$A,0))</f>
        <v>Il</v>
      </c>
      <c r="I233" s="142" t="str">
        <f>INDEX(BrokerTBL!$E:$E,MATCH(D233,BrokerTBL!$A:$A,0))</f>
        <v>US</v>
      </c>
      <c r="J233" s="142">
        <f>INDEX(BrokerTBL!$F:$F,MATCH(D233,BrokerTBL!$A:$A,0))</f>
        <v>60654</v>
      </c>
      <c r="K233" s="142" t="s">
        <v>1724</v>
      </c>
      <c r="L233" s="161">
        <v>19503</v>
      </c>
      <c r="M233" s="160">
        <v>42376</v>
      </c>
      <c r="N233" s="162" t="s">
        <v>136</v>
      </c>
      <c r="O233" s="142" t="s">
        <v>1725</v>
      </c>
      <c r="P233" s="142" t="s">
        <v>738</v>
      </c>
      <c r="Q233" s="142" t="s">
        <v>264</v>
      </c>
      <c r="R233" s="142">
        <v>89506</v>
      </c>
      <c r="S233" s="142" t="s">
        <v>118</v>
      </c>
      <c r="T233" s="298" t="s">
        <v>136</v>
      </c>
      <c r="U233" s="142" t="s">
        <v>120</v>
      </c>
      <c r="V233" s="142">
        <v>53</v>
      </c>
      <c r="W233" s="142" t="s">
        <v>1726</v>
      </c>
      <c r="X233" s="186">
        <v>10000</v>
      </c>
      <c r="Y233" s="142" t="s">
        <v>1545</v>
      </c>
      <c r="Z233" s="142" t="s">
        <v>123</v>
      </c>
      <c r="AA233" s="142" t="s">
        <v>123</v>
      </c>
      <c r="AB233" s="142" t="s">
        <v>123</v>
      </c>
      <c r="AC233" s="142" t="s">
        <v>1727</v>
      </c>
      <c r="AD233" s="161" t="s">
        <v>132</v>
      </c>
      <c r="AE233" s="160">
        <v>42377</v>
      </c>
      <c r="AF233" s="142" t="s">
        <v>1121</v>
      </c>
      <c r="AG233" s="142" t="s">
        <v>1728</v>
      </c>
      <c r="AH233" s="142" t="s">
        <v>1029</v>
      </c>
      <c r="AI233" s="142" t="s">
        <v>139</v>
      </c>
      <c r="AJ233" s="142">
        <v>95023</v>
      </c>
      <c r="AK233" s="142" t="s">
        <v>118</v>
      </c>
      <c r="AL233" s="142" t="s">
        <v>1729</v>
      </c>
      <c r="AM233" s="142" t="str">
        <f>INDEX(CarrierDriverTBL!$B:$B,MATCH(Table1[[#This Row],[DriverID]],CarrierDriverTBL!$A:$A,0))</f>
        <v>UBTrucking</v>
      </c>
      <c r="AN233" s="10" t="s">
        <v>1409</v>
      </c>
      <c r="AO233" s="142" t="str">
        <f>INDEX(CarrierDriverTBL!$C:$C,MATCH(Table1[[#This Row],[DriverID]],CarrierDriverTBL!$A:$A,0))</f>
        <v>Miguel Jaime</v>
      </c>
      <c r="AP233" s="142" t="str">
        <f>INDEX(CarrierDriverTBL!$D:$D,MATCH(Table1[[#This Row],[DriverID]],CarrierDriverTBL!$A:$A,0))</f>
        <v>Martin Del Campo Velarca</v>
      </c>
      <c r="AQ233" s="142" t="str">
        <f>INDEX(CarrierDriverTBL!$X:$X,MATCH(Table1[[#This Row],[DriverID]],CarrierDriverTBL!$A:$A,0))</f>
        <v>D5179619</v>
      </c>
      <c r="AR233" s="160">
        <f>INDEX(CarrierDriverTBL!$Y:$Y,MATCH(Table1[[#This Row],[DriverID]],CarrierDriverTBL!$A:$A,0))</f>
        <v>43843</v>
      </c>
      <c r="AS233" s="142" t="str">
        <f t="shared" si="97"/>
        <v>GOOD</v>
      </c>
      <c r="AT233" s="160">
        <f>INDEX(CarrierDriverTBL!$E:$E,MATCH(Table1[[#This Row],[DriverID]],CarrierDriverTBL!$A:$A,0))</f>
        <v>21198</v>
      </c>
      <c r="AU233" s="163">
        <f ca="1">INDEX(CarrierDriverTBL!$F:$F,MATCH(Table1[[#This Row],[DriverID]],CarrierDriverTBL!$A:$A,0))</f>
        <v>58.56986301369863</v>
      </c>
      <c r="AV233" s="142" t="str">
        <f>INDEX(CarrierDriverTBL!$K:$K,MATCH(Table1[[#This Row],[DriverID]],CarrierDriverTBL!$A:$A,0))</f>
        <v>209-322-5231</v>
      </c>
      <c r="AW233" s="142" t="str">
        <f>INDEX(CarrierDriverTBL!$M:$M,MATCH(Table1[[#This Row],[DriverID]],CarrierDriverTBL!$A:$A,0))</f>
        <v>572 Predersen RD</v>
      </c>
      <c r="AX233" s="142" t="str">
        <f>INDEX(CarrierDriverTBL!$N:$N,MATCH(Table1[[#This Row],[DriverID]],CarrierDriverTBL!$A:$A,0))</f>
        <v>Oakdale</v>
      </c>
      <c r="AY233" s="142" t="str">
        <f>INDEX(CarrierDriverTBL!$O:$O,MATCH(Table1[[#This Row],[DriverID]],CarrierDriverTBL!$A:$A,0))</f>
        <v>CA</v>
      </c>
      <c r="AZ233" s="142">
        <f>INDEX(CarrierDriverTBL!$P:$P,MATCH(Table1[[#This Row],[DriverID]],CarrierDriverTBL!$A:$A,0))</f>
        <v>95361</v>
      </c>
      <c r="BA233" s="142" t="str">
        <f>INDEX(CarrierDriverTBL!$Q:$Q,MATCH(Table1[[#This Row],[DriverID]],CarrierDriverTBL!$A:$A,0))</f>
        <v>US</v>
      </c>
      <c r="BB233" s="176" t="str">
        <f>INDEX(CarrierDriverTBL!$R:$R,MATCH(Table1[[#This Row],[DriverID]],CarrierDriverTBL!$A:$A,0))</f>
        <v>Miguelmartin52@yahoo.com</v>
      </c>
      <c r="BC233" s="160">
        <f>INDEX(CarrierDriverTBL!$AB:$AB,MATCH(Table1[[#This Row],[DriverID]],CarrierDriverTBL!$A:$A,0))</f>
        <v>42334</v>
      </c>
      <c r="BD233" s="142" t="str">
        <f ca="1">INDEX(CarrierDriverTBL!$AD:$AD,MATCH(LoadMaster!$AN:$AN,CarrierDriverTBL!$A:$A,0))</f>
        <v>MISSING</v>
      </c>
      <c r="BE233" s="142">
        <f>INDEX(CarrierDriverTBL!$AE:$AE,MATCH(Table1[DriverID],CarrierDriverTBL!$A:$A,0))</f>
        <v>913971</v>
      </c>
      <c r="BF233" s="142">
        <f>INDEX(CarrierDriverTBL!$AF:$AF,MATCH(Table1[DriverID],CarrierDriverTBL!$A:$A,0))</f>
        <v>2627544</v>
      </c>
      <c r="BG233" s="142">
        <f>INDEX(CarrierDriverTBL!$AG:$AG,MATCH(Table1[DriverID],CarrierDriverTBL!$A:$A,0))</f>
        <v>466133</v>
      </c>
      <c r="BH233" s="142" t="str">
        <f>INDEX(CarrierDriverTBL!$AH:$AH,MATCH(Table1[DriverID],CarrierDriverTBL!$A:$A,0))</f>
        <v>GM Lawrence Ins</v>
      </c>
      <c r="BI233" s="142" t="str">
        <f>INDEX(CarrierDriverTBL!$AI:$AI,MATCH(Table1[DriverID],CarrierDriverTBL!$A:$A,0))</f>
        <v>DSK2842P160210</v>
      </c>
      <c r="BJ233" s="160">
        <f>INDEX(CarrierDriverTBL!$AJ:$AJ,MATCH(Table1[[#This Row],[DriverID]],CarrierDriverTBL!$A:$A,0))</f>
        <v>42778</v>
      </c>
      <c r="BK233" s="10">
        <f t="shared" si="98"/>
        <v>402</v>
      </c>
      <c r="BL233" s="167">
        <v>600</v>
      </c>
      <c r="BM233" s="162">
        <v>285</v>
      </c>
      <c r="BN233" s="159">
        <f t="shared" si="115"/>
        <v>2.1052631578947367</v>
      </c>
      <c r="BO233" s="167">
        <f t="shared" si="118"/>
        <v>558</v>
      </c>
      <c r="BP233" s="159">
        <f t="shared" si="116"/>
        <v>1.9578947368421054</v>
      </c>
      <c r="BQ233" s="134">
        <v>2.6</v>
      </c>
      <c r="BR233" s="166">
        <f t="shared" si="117"/>
        <v>0.1166666666666667</v>
      </c>
      <c r="BS233" s="167">
        <f t="shared" si="99"/>
        <v>1.8412280701754387</v>
      </c>
      <c r="BT233" s="159">
        <f t="shared" si="100"/>
        <v>33.250000000000007</v>
      </c>
      <c r="BU233" s="10" t="str">
        <f t="shared" si="101"/>
        <v>Ch Robinson</v>
      </c>
      <c r="BV233" s="4"/>
      <c r="BW233" s="4" t="str">
        <f>Table1[[#This Row],[BrokerAddress]]</f>
        <v>P.O. Box 3474</v>
      </c>
      <c r="BX233" s="4" t="str">
        <f t="shared" si="102"/>
        <v>Chicago</v>
      </c>
      <c r="BY233" s="4" t="str">
        <f t="shared" si="103"/>
        <v>Il</v>
      </c>
      <c r="BZ233" s="4">
        <f t="shared" si="104"/>
        <v>60654</v>
      </c>
      <c r="CA233" s="10" t="str">
        <f t="shared" si="105"/>
        <v>US</v>
      </c>
      <c r="CB233" s="15" t="s">
        <v>131</v>
      </c>
      <c r="CC233" s="61"/>
      <c r="CD233" s="4" t="s">
        <v>132</v>
      </c>
      <c r="CE233" s="5">
        <v>0</v>
      </c>
      <c r="CF233" s="4">
        <v>0</v>
      </c>
      <c r="CG233" s="132">
        <f t="shared" si="106"/>
        <v>0</v>
      </c>
      <c r="CH233" s="4" t="s">
        <v>132</v>
      </c>
      <c r="CI233" s="5">
        <v>0</v>
      </c>
      <c r="CJ233" s="4">
        <v>0</v>
      </c>
      <c r="CK233" s="132">
        <f t="shared" si="107"/>
        <v>0</v>
      </c>
      <c r="CL233" s="4" t="s">
        <v>132</v>
      </c>
      <c r="CM233" s="5">
        <v>0</v>
      </c>
      <c r="CN233" s="4">
        <v>0</v>
      </c>
      <c r="CO233" s="132">
        <f t="shared" si="108"/>
        <v>0</v>
      </c>
      <c r="CP233" s="4" t="s">
        <v>132</v>
      </c>
      <c r="CQ233" s="5">
        <v>0</v>
      </c>
      <c r="CR233" s="4">
        <v>0</v>
      </c>
      <c r="CS233" s="132">
        <f t="shared" si="109"/>
        <v>0</v>
      </c>
      <c r="CT233" s="159">
        <f t="shared" si="110"/>
        <v>0</v>
      </c>
      <c r="CU233" s="168">
        <f t="shared" si="111"/>
        <v>600</v>
      </c>
      <c r="CV233" s="167">
        <f t="shared" si="94"/>
        <v>0</v>
      </c>
      <c r="CW233" s="82">
        <f t="shared" si="95"/>
        <v>558</v>
      </c>
      <c r="CX233" s="79">
        <f>IF(ISBLANK(E233),"AddQuickPay",IF(E233=2,CU233*0.98,IF(E233=2.4,CU233*0.976,IF(E233=3,CU233*0.97,IF(E233=5,CU233*0.95,IF(E233=1.5,CU233*0.985,IF(E233=2.5,CU233*0.975,IF(E233=1.3,CU233*0.987,IF(E233=1,CU233*0.99,IF(E233=4,CU233*0.96,CU233*1))))))))))-Table1[[#This Row],[ComCheck+QuickPayFee]]</f>
        <v>588</v>
      </c>
      <c r="CY233" s="5">
        <f t="shared" si="112"/>
        <v>42</v>
      </c>
      <c r="CZ233" s="5">
        <f t="shared" si="113"/>
        <v>12</v>
      </c>
      <c r="DA233" s="258">
        <f>Table1[[#This Row],[OriginalDispatch]]-Table1[[#This Row],[QuickPayCharge]]</f>
        <v>30</v>
      </c>
      <c r="DB233" s="5">
        <v>0</v>
      </c>
      <c r="DC233" s="5" t="s">
        <v>133</v>
      </c>
      <c r="DD233" s="20">
        <f t="shared" si="114"/>
        <v>42377</v>
      </c>
      <c r="DE233" s="4">
        <f>MONTH(Table1[[#This Row],[Weekending]])</f>
        <v>1</v>
      </c>
      <c r="DF233" s="4">
        <f>YEAR(Table1[[#This Row],[Weekending]])</f>
        <v>2016</v>
      </c>
      <c r="DG233" s="4"/>
    </row>
    <row r="234" spans="1:111">
      <c r="A234" s="20" t="str">
        <f t="shared" si="96"/>
        <v>79wnne19</v>
      </c>
      <c r="B234" s="160">
        <v>42377</v>
      </c>
      <c r="C234" s="162">
        <v>6476479</v>
      </c>
      <c r="D234" s="142" t="s">
        <v>555</v>
      </c>
      <c r="E234" s="142">
        <v>3</v>
      </c>
      <c r="F234" s="142" t="str">
        <f>INDEX(BrokerTBL!$B:$B,MATCH(D234,BrokerTBL!$A:$A,0))</f>
        <v>P.O. Box 799</v>
      </c>
      <c r="G234" s="142" t="str">
        <f>INDEX(BrokerTBL!$C:$C,MATCH(D234,BrokerTBL!$A:$A,0))</f>
        <v>Milford</v>
      </c>
      <c r="H234" s="142" t="str">
        <f>INDEX(BrokerTBL!$D:$D,MATCH(D234,BrokerTBL!$A:$A,0))</f>
        <v>Ohio</v>
      </c>
      <c r="I234" s="142" t="str">
        <f>INDEX(BrokerTBL!$E:$E,MATCH(D234,BrokerTBL!$A:$A,0))</f>
        <v>US</v>
      </c>
      <c r="J234" s="142">
        <f>INDEX(BrokerTBL!$F:$F,MATCH(D234,BrokerTBL!$A:$A,0))</f>
        <v>45150</v>
      </c>
      <c r="K234" s="142" t="s">
        <v>1730</v>
      </c>
      <c r="L234" s="161" t="s">
        <v>1205</v>
      </c>
      <c r="M234" s="160">
        <v>42377</v>
      </c>
      <c r="N234" s="184">
        <v>0.45833333333333298</v>
      </c>
      <c r="O234" s="142" t="s">
        <v>1731</v>
      </c>
      <c r="P234" s="142" t="s">
        <v>1391</v>
      </c>
      <c r="Q234" s="142" t="s">
        <v>139</v>
      </c>
      <c r="R234" s="142">
        <v>94005</v>
      </c>
      <c r="S234" s="142" t="s">
        <v>118</v>
      </c>
      <c r="T234" s="298" t="s">
        <v>136</v>
      </c>
      <c r="U234" s="142" t="s">
        <v>120</v>
      </c>
      <c r="V234" s="142">
        <v>53</v>
      </c>
      <c r="W234" s="142" t="s">
        <v>1732</v>
      </c>
      <c r="X234" s="144" t="s">
        <v>136</v>
      </c>
      <c r="Y234" s="142" t="s">
        <v>123</v>
      </c>
      <c r="Z234" s="142" t="s">
        <v>123</v>
      </c>
      <c r="AA234" s="142" t="s">
        <v>123</v>
      </c>
      <c r="AB234" s="142" t="s">
        <v>123</v>
      </c>
      <c r="AC234" s="142" t="s">
        <v>1733</v>
      </c>
      <c r="AD234" s="161" t="s">
        <v>132</v>
      </c>
      <c r="AE234" s="160">
        <v>42380</v>
      </c>
      <c r="AF234" s="142" t="s">
        <v>1734</v>
      </c>
      <c r="AG234" s="142" t="s">
        <v>1735</v>
      </c>
      <c r="AH234" s="142" t="s">
        <v>214</v>
      </c>
      <c r="AI234" s="142" t="s">
        <v>139</v>
      </c>
      <c r="AJ234" s="142">
        <v>93727</v>
      </c>
      <c r="AK234" s="142" t="s">
        <v>118</v>
      </c>
      <c r="AL234" s="142" t="s">
        <v>123</v>
      </c>
      <c r="AM234" s="142" t="str">
        <f>INDEX(CarrierDriverTBL!$B:$B,MATCH(Table1[[#This Row],[DriverID]],CarrierDriverTBL!$A:$A,0))</f>
        <v>UBTrucking</v>
      </c>
      <c r="AN234" s="10" t="s">
        <v>1409</v>
      </c>
      <c r="AO234" s="142" t="str">
        <f>INDEX(CarrierDriverTBL!$C:$C,MATCH(Table1[[#This Row],[DriverID]],CarrierDriverTBL!$A:$A,0))</f>
        <v>Miguel Jaime</v>
      </c>
      <c r="AP234" s="142" t="str">
        <f>INDEX(CarrierDriverTBL!$D:$D,MATCH(Table1[[#This Row],[DriverID]],CarrierDriverTBL!$A:$A,0))</f>
        <v>Martin Del Campo Velarca</v>
      </c>
      <c r="AQ234" s="142" t="str">
        <f>INDEX(CarrierDriverTBL!$X:$X,MATCH(Table1[[#This Row],[DriverID]],CarrierDriverTBL!$A:$A,0))</f>
        <v>D5179619</v>
      </c>
      <c r="AR234" s="160">
        <f>INDEX(CarrierDriverTBL!$Y:$Y,MATCH(Table1[[#This Row],[DriverID]],CarrierDriverTBL!$A:$A,0))</f>
        <v>43843</v>
      </c>
      <c r="AS234" s="142" t="str">
        <f t="shared" si="97"/>
        <v>GOOD</v>
      </c>
      <c r="AT234" s="160">
        <f>INDEX(CarrierDriverTBL!$E:$E,MATCH(Table1[[#This Row],[DriverID]],CarrierDriverTBL!$A:$A,0))</f>
        <v>21198</v>
      </c>
      <c r="AU234" s="163">
        <f ca="1">INDEX(CarrierDriverTBL!$F:$F,MATCH(Table1[[#This Row],[DriverID]],CarrierDriverTBL!$A:$A,0))</f>
        <v>58.56986301369863</v>
      </c>
      <c r="AV234" s="142" t="str">
        <f>INDEX(CarrierDriverTBL!$K:$K,MATCH(Table1[[#This Row],[DriverID]],CarrierDriverTBL!$A:$A,0))</f>
        <v>209-322-5231</v>
      </c>
      <c r="AW234" s="142" t="str">
        <f>INDEX(CarrierDriverTBL!$M:$M,MATCH(Table1[[#This Row],[DriverID]],CarrierDriverTBL!$A:$A,0))</f>
        <v>572 Predersen RD</v>
      </c>
      <c r="AX234" s="142" t="str">
        <f>INDEX(CarrierDriverTBL!$N:$N,MATCH(Table1[[#This Row],[DriverID]],CarrierDriverTBL!$A:$A,0))</f>
        <v>Oakdale</v>
      </c>
      <c r="AY234" s="142" t="str">
        <f>INDEX(CarrierDriverTBL!$O:$O,MATCH(Table1[[#This Row],[DriverID]],CarrierDriverTBL!$A:$A,0))</f>
        <v>CA</v>
      </c>
      <c r="AZ234" s="142">
        <f>INDEX(CarrierDriverTBL!$P:$P,MATCH(Table1[[#This Row],[DriverID]],CarrierDriverTBL!$A:$A,0))</f>
        <v>95361</v>
      </c>
      <c r="BA234" s="142" t="str">
        <f>INDEX(CarrierDriverTBL!$Q:$Q,MATCH(Table1[[#This Row],[DriverID]],CarrierDriverTBL!$A:$A,0))</f>
        <v>US</v>
      </c>
      <c r="BB234" s="176" t="str">
        <f>INDEX(CarrierDriverTBL!$R:$R,MATCH(Table1[[#This Row],[DriverID]],CarrierDriverTBL!$A:$A,0))</f>
        <v>Miguelmartin52@yahoo.com</v>
      </c>
      <c r="BC234" s="160">
        <f>INDEX(CarrierDriverTBL!$AB:$AB,MATCH(Table1[[#This Row],[DriverID]],CarrierDriverTBL!$A:$A,0))</f>
        <v>42334</v>
      </c>
      <c r="BD234" s="142" t="str">
        <f ca="1">INDEX(CarrierDriverTBL!$AD:$AD,MATCH(LoadMaster!$AN:$AN,CarrierDriverTBL!$A:$A,0))</f>
        <v>MISSING</v>
      </c>
      <c r="BE234" s="142">
        <f>INDEX(CarrierDriverTBL!$AE:$AE,MATCH(Table1[DriverID],CarrierDriverTBL!$A:$A,0))</f>
        <v>913971</v>
      </c>
      <c r="BF234" s="142">
        <f>INDEX(CarrierDriverTBL!$AF:$AF,MATCH(Table1[DriverID],CarrierDriverTBL!$A:$A,0))</f>
        <v>2627544</v>
      </c>
      <c r="BG234" s="142">
        <f>INDEX(CarrierDriverTBL!$AG:$AG,MATCH(Table1[DriverID],CarrierDriverTBL!$A:$A,0))</f>
        <v>466133</v>
      </c>
      <c r="BH234" s="142" t="str">
        <f>INDEX(CarrierDriverTBL!$AH:$AH,MATCH(Table1[DriverID],CarrierDriverTBL!$A:$A,0))</f>
        <v>GM Lawrence Ins</v>
      </c>
      <c r="BI234" s="142" t="str">
        <f>INDEX(CarrierDriverTBL!$AI:$AI,MATCH(Table1[DriverID],CarrierDriverTBL!$A:$A,0))</f>
        <v>DSK2842P160210</v>
      </c>
      <c r="BJ234" s="160">
        <f>INDEX(CarrierDriverTBL!$AJ:$AJ,MATCH(Table1[[#This Row],[DriverID]],CarrierDriverTBL!$A:$A,0))</f>
        <v>42778</v>
      </c>
      <c r="BK234" s="10">
        <f t="shared" si="98"/>
        <v>401</v>
      </c>
      <c r="BL234" s="167">
        <v>525</v>
      </c>
      <c r="BM234" s="162">
        <v>200</v>
      </c>
      <c r="BN234" s="159">
        <f t="shared" si="115"/>
        <v>2.625</v>
      </c>
      <c r="BO234" s="167">
        <f t="shared" si="118"/>
        <v>488.25</v>
      </c>
      <c r="BP234" s="159">
        <f t="shared" si="116"/>
        <v>2.4412500000000001</v>
      </c>
      <c r="BQ234" s="134">
        <v>2.6</v>
      </c>
      <c r="BR234" s="166">
        <f t="shared" si="117"/>
        <v>0.1166666666666667</v>
      </c>
      <c r="BS234" s="167">
        <f t="shared" si="99"/>
        <v>2.3245833333333334</v>
      </c>
      <c r="BT234" s="159">
        <f t="shared" si="100"/>
        <v>23.333333333333339</v>
      </c>
      <c r="BU234" s="10" t="str">
        <f t="shared" si="101"/>
        <v>Tql</v>
      </c>
      <c r="BV234" s="4"/>
      <c r="BW234" s="4" t="str">
        <f>Table1[[#This Row],[BrokerAddress]]</f>
        <v>P.O. Box 799</v>
      </c>
      <c r="BX234" s="4" t="str">
        <f t="shared" si="102"/>
        <v>Milford</v>
      </c>
      <c r="BY234" s="4" t="str">
        <f t="shared" si="103"/>
        <v>Ohio</v>
      </c>
      <c r="BZ234" s="4">
        <f t="shared" si="104"/>
        <v>45150</v>
      </c>
      <c r="CA234" s="10" t="str">
        <f t="shared" si="105"/>
        <v>US</v>
      </c>
      <c r="CB234" s="15" t="s">
        <v>131</v>
      </c>
      <c r="CC234" s="61"/>
      <c r="CD234" s="4" t="s">
        <v>132</v>
      </c>
      <c r="CE234" s="5">
        <v>0</v>
      </c>
      <c r="CF234" s="4">
        <v>0</v>
      </c>
      <c r="CG234" s="132">
        <f t="shared" si="106"/>
        <v>0</v>
      </c>
      <c r="CH234" s="4" t="s">
        <v>132</v>
      </c>
      <c r="CI234" s="5">
        <v>0</v>
      </c>
      <c r="CJ234" s="4">
        <v>0</v>
      </c>
      <c r="CK234" s="132">
        <f t="shared" si="107"/>
        <v>0</v>
      </c>
      <c r="CL234" s="4" t="s">
        <v>132</v>
      </c>
      <c r="CM234" s="5">
        <v>0</v>
      </c>
      <c r="CN234" s="4">
        <v>0</v>
      </c>
      <c r="CO234" s="132">
        <f t="shared" si="108"/>
        <v>0</v>
      </c>
      <c r="CP234" s="4" t="s">
        <v>132</v>
      </c>
      <c r="CQ234" s="5">
        <v>0</v>
      </c>
      <c r="CR234" s="4">
        <v>0</v>
      </c>
      <c r="CS234" s="132">
        <f t="shared" si="109"/>
        <v>0</v>
      </c>
      <c r="CT234" s="159">
        <f t="shared" si="110"/>
        <v>0</v>
      </c>
      <c r="CU234" s="168">
        <f t="shared" si="111"/>
        <v>525</v>
      </c>
      <c r="CV234" s="167">
        <f t="shared" si="94"/>
        <v>0</v>
      </c>
      <c r="CW234" s="82">
        <f t="shared" si="95"/>
        <v>488.25</v>
      </c>
      <c r="CX234" s="79">
        <f>IF(ISBLANK(E234),"AddQuickPay",IF(E234=2,CU234*0.98,IF(E234=2.4,CU234*0.976,IF(E234=3,CU234*0.97,IF(E234=5,CU234*0.95,IF(E234=1.5,CU234*0.985,IF(E234=2.5,CU234*0.975,IF(E234=1.3,CU234*0.987,IF(E234=1,CU234*0.99,IF(E234=4,CU234*0.96,CU234*1))))))))))-Table1[[#This Row],[ComCheck+QuickPayFee]]</f>
        <v>509.25</v>
      </c>
      <c r="CY234" s="5">
        <f t="shared" si="112"/>
        <v>36.75</v>
      </c>
      <c r="CZ234" s="5">
        <f t="shared" si="113"/>
        <v>15.75</v>
      </c>
      <c r="DA234" s="258">
        <f>Table1[[#This Row],[OriginalDispatch]]-Table1[[#This Row],[QuickPayCharge]]</f>
        <v>21</v>
      </c>
      <c r="DB234" s="5">
        <v>0</v>
      </c>
      <c r="DC234" s="5" t="s">
        <v>133</v>
      </c>
      <c r="DD234" s="20">
        <f t="shared" si="114"/>
        <v>42377</v>
      </c>
      <c r="DE234" s="4">
        <f>MONTH(Table1[[#This Row],[Weekending]])</f>
        <v>1</v>
      </c>
      <c r="DF234" s="4">
        <f>YEAR(Table1[[#This Row],[Weekending]])</f>
        <v>2016</v>
      </c>
      <c r="DG234" s="56"/>
    </row>
    <row r="235" spans="1:111">
      <c r="A235" s="20" t="str">
        <f t="shared" si="96"/>
        <v>61723549</v>
      </c>
      <c r="B235" s="160">
        <v>42380</v>
      </c>
      <c r="C235" s="162">
        <v>188905061</v>
      </c>
      <c r="D235" s="142" t="s">
        <v>111</v>
      </c>
      <c r="E235" s="142">
        <v>2</v>
      </c>
      <c r="F235" s="142" t="str">
        <f>INDEX(BrokerTBL!$B:$B,MATCH(D235,BrokerTBL!$A:$A,0))</f>
        <v>P.O. Box 3474</v>
      </c>
      <c r="G235" s="142" t="str">
        <f>INDEX(BrokerTBL!$C:$C,MATCH(D235,BrokerTBL!$A:$A,0))</f>
        <v>Chicago</v>
      </c>
      <c r="H235" s="142" t="str">
        <f>INDEX(BrokerTBL!$D:$D,MATCH(D235,BrokerTBL!$A:$A,0))</f>
        <v>Il</v>
      </c>
      <c r="I235" s="142" t="str">
        <f>INDEX(BrokerTBL!$E:$E,MATCH(D235,BrokerTBL!$A:$A,0))</f>
        <v>US</v>
      </c>
      <c r="J235" s="142">
        <f>INDEX(BrokerTBL!$F:$F,MATCH(D235,BrokerTBL!$A:$A,0))</f>
        <v>60654</v>
      </c>
      <c r="K235" s="142" t="s">
        <v>1736</v>
      </c>
      <c r="L235" s="161">
        <v>140172</v>
      </c>
      <c r="M235" s="160">
        <v>42380</v>
      </c>
      <c r="N235" s="184">
        <v>0.375</v>
      </c>
      <c r="O235" s="142" t="s">
        <v>1737</v>
      </c>
      <c r="P235" s="142" t="s">
        <v>414</v>
      </c>
      <c r="Q235" s="142" t="s">
        <v>139</v>
      </c>
      <c r="R235" s="142">
        <v>95076</v>
      </c>
      <c r="S235" s="142" t="s">
        <v>118</v>
      </c>
      <c r="T235" s="142" t="s">
        <v>1738</v>
      </c>
      <c r="U235" s="142" t="s">
        <v>120</v>
      </c>
      <c r="V235" s="142">
        <v>53</v>
      </c>
      <c r="W235" s="142" t="s">
        <v>995</v>
      </c>
      <c r="X235" s="186">
        <v>23603</v>
      </c>
      <c r="Y235" s="142" t="s">
        <v>1537</v>
      </c>
      <c r="Z235" s="186">
        <v>6045</v>
      </c>
      <c r="AA235" s="142">
        <v>53</v>
      </c>
      <c r="AB235" s="142" t="s">
        <v>123</v>
      </c>
      <c r="AC235" s="142" t="s">
        <v>1739</v>
      </c>
      <c r="AD235" s="161" t="s">
        <v>1740</v>
      </c>
      <c r="AE235" s="160">
        <v>42381</v>
      </c>
      <c r="AF235" s="142" t="s">
        <v>1097</v>
      </c>
      <c r="AG235" s="142" t="s">
        <v>1741</v>
      </c>
      <c r="AH235" s="142" t="s">
        <v>366</v>
      </c>
      <c r="AI235" s="142" t="s">
        <v>139</v>
      </c>
      <c r="AJ235" s="142">
        <v>95776</v>
      </c>
      <c r="AK235" s="142" t="s">
        <v>118</v>
      </c>
      <c r="AL235" s="142" t="s">
        <v>1742</v>
      </c>
      <c r="AM235" s="142" t="str">
        <f>INDEX(CarrierDriverTBL!$B:$B,MATCH(Table1[[#This Row],[DriverID]],CarrierDriverTBL!$A:$A,0))</f>
        <v>UBTrucking</v>
      </c>
      <c r="AN235" s="10" t="s">
        <v>192</v>
      </c>
      <c r="AO235" s="10" t="str">
        <f>INDEX(CarrierDriverTBL!$C:$C,MATCH(Table1[[#This Row],[DriverID]],CarrierDriverTBL!$A:$A,0))</f>
        <v>Albel</v>
      </c>
      <c r="AP235" s="142" t="str">
        <f>INDEX(CarrierDriverTBL!$D:$D,MATCH(Table1[[#This Row],[DriverID]],CarrierDriverTBL!$A:$A,0))</f>
        <v>Chahil</v>
      </c>
      <c r="AQ235" s="142" t="str">
        <f>INDEX(CarrierDriverTBL!$X:$X,MATCH(Table1[[#This Row],[DriverID]],CarrierDriverTBL!$A:$A,0))</f>
        <v>A8390649</v>
      </c>
      <c r="AR235" s="160">
        <f>INDEX(CarrierDriverTBL!$Y:$Y,MATCH(Table1[[#This Row],[DriverID]],CarrierDriverTBL!$A:$A,0))</f>
        <v>42402</v>
      </c>
      <c r="AS235" s="142" t="str">
        <f t="shared" si="97"/>
        <v>GOOD</v>
      </c>
      <c r="AT235" s="160">
        <f>INDEX(CarrierDriverTBL!$E:$E,MATCH(Table1[[#This Row],[DriverID]],CarrierDriverTBL!$A:$A,0))</f>
        <v>22314</v>
      </c>
      <c r="AU235" s="163">
        <f ca="1">INDEX(CarrierDriverTBL!$F:$F,MATCH(Table1[[#This Row],[DriverID]],CarrierDriverTBL!$A:$A,0))</f>
        <v>55.512328767123286</v>
      </c>
      <c r="AV235" s="142" t="str">
        <f>INDEX(CarrierDriverTBL!$K:$K,MATCH(Table1[[#This Row],[DriverID]],CarrierDriverTBL!$A:$A,0))</f>
        <v>510-773-9450</v>
      </c>
      <c r="AW235" s="142" t="str">
        <f>INDEX(CarrierDriverTBL!$M:$M,MATCH(Table1[[#This Row],[DriverID]],CarrierDriverTBL!$A:$A,0))</f>
        <v>3124 Cynthia CT</v>
      </c>
      <c r="AX235" s="142" t="str">
        <f>INDEX(CarrierDriverTBL!$N:$N,MATCH(Table1[[#This Row],[DriverID]],CarrierDriverTBL!$A:$A,0))</f>
        <v>Tracy</v>
      </c>
      <c r="AY235" s="142" t="str">
        <f>INDEX(CarrierDriverTBL!$O:$O,MATCH(Table1[[#This Row],[DriverID]],CarrierDriverTBL!$A:$A,0))</f>
        <v>CA</v>
      </c>
      <c r="AZ235" s="142">
        <f>INDEX(CarrierDriverTBL!$P:$P,MATCH(Table1[[#This Row],[DriverID]],CarrierDriverTBL!$A:$A,0))</f>
        <v>95377</v>
      </c>
      <c r="BA235" s="142" t="str">
        <f>INDEX(CarrierDriverTBL!$Q:$Q,MATCH(Table1[[#This Row],[DriverID]],CarrierDriverTBL!$A:$A,0))</f>
        <v>US</v>
      </c>
      <c r="BB235" s="176" t="str">
        <f>INDEX(CarrierDriverTBL!$R:$R,MATCH(Table1[[#This Row],[DriverID]],CarrierDriverTBL!$A:$A,0))</f>
        <v>ubgollc@gmail.com</v>
      </c>
      <c r="BC235" s="160">
        <f>INDEX(CarrierDriverTBL!$AB:$AB,MATCH(Table1[[#This Row],[DriverID]],CarrierDriverTBL!$A:$A,0))</f>
        <v>42167</v>
      </c>
      <c r="BD235" s="142" t="str">
        <f ca="1">INDEX(CarrierDriverTBL!$AD:$AD,MATCH(LoadMaster!$AN:$AN,CarrierDriverTBL!$A:$A,0))</f>
        <v>MISSING</v>
      </c>
      <c r="BE235" s="142">
        <f>INDEX(CarrierDriverTBL!$AE:$AE,MATCH(Table1[DriverID],CarrierDriverTBL!$A:$A,0))</f>
        <v>913971</v>
      </c>
      <c r="BF235" s="142">
        <f>INDEX(CarrierDriverTBL!$AF:$AF,MATCH(Table1[DriverID],CarrierDriverTBL!$A:$A,0))</f>
        <v>2627544</v>
      </c>
      <c r="BG235" s="142">
        <f>INDEX(CarrierDriverTBL!$AG:$AG,MATCH(Table1[DriverID],CarrierDriverTBL!$A:$A,0))</f>
        <v>466133</v>
      </c>
      <c r="BH235" s="142" t="str">
        <f>INDEX(CarrierDriverTBL!$AH:$AH,MATCH(Table1[DriverID],CarrierDriverTBL!$A:$A,0))</f>
        <v>GM Lawrence Ins</v>
      </c>
      <c r="BI235" s="142" t="str">
        <f>INDEX(CarrierDriverTBL!$AI:$AI,MATCH(Table1[DriverID],CarrierDriverTBL!$A:$A,0))</f>
        <v>DSK2842P160210</v>
      </c>
      <c r="BJ235" s="160">
        <f>INDEX(CarrierDriverTBL!$AJ:$AJ,MATCH(Table1[[#This Row],[DriverID]],CarrierDriverTBL!$A:$A,0))</f>
        <v>42778</v>
      </c>
      <c r="BK235" s="10">
        <f t="shared" si="98"/>
        <v>398</v>
      </c>
      <c r="BL235" s="167">
        <v>475</v>
      </c>
      <c r="BM235" s="162">
        <v>165</v>
      </c>
      <c r="BN235" s="159">
        <f t="shared" si="115"/>
        <v>2.8787878787878789</v>
      </c>
      <c r="BO235" s="167">
        <v>425</v>
      </c>
      <c r="BP235" s="159">
        <f t="shared" si="116"/>
        <v>2.5757575757575757</v>
      </c>
      <c r="BQ235" s="134">
        <v>2.6</v>
      </c>
      <c r="BR235" s="166">
        <f t="shared" si="117"/>
        <v>0.1166666666666667</v>
      </c>
      <c r="BS235" s="167">
        <f t="shared" si="99"/>
        <v>2.459090909090909</v>
      </c>
      <c r="BT235" s="159">
        <f t="shared" si="100"/>
        <v>19.250000000000004</v>
      </c>
      <c r="BU235" s="10" t="str">
        <f t="shared" si="101"/>
        <v>Ch Robinson</v>
      </c>
      <c r="BV235" s="4"/>
      <c r="BW235" s="4" t="str">
        <f>Table1[[#This Row],[BrokerAddress]]</f>
        <v>P.O. Box 3474</v>
      </c>
      <c r="BX235" s="4" t="str">
        <f t="shared" si="102"/>
        <v>Chicago</v>
      </c>
      <c r="BY235" s="4" t="str">
        <f t="shared" si="103"/>
        <v>Il</v>
      </c>
      <c r="BZ235" s="4">
        <f t="shared" si="104"/>
        <v>60654</v>
      </c>
      <c r="CA235" s="10" t="str">
        <f t="shared" si="105"/>
        <v>US</v>
      </c>
      <c r="CB235" s="15" t="s">
        <v>131</v>
      </c>
      <c r="CC235" s="61"/>
      <c r="CD235" s="4" t="s">
        <v>149</v>
      </c>
      <c r="CE235" s="5">
        <v>35</v>
      </c>
      <c r="CF235" s="4">
        <v>2</v>
      </c>
      <c r="CG235" s="132">
        <f t="shared" si="106"/>
        <v>70</v>
      </c>
      <c r="CH235" s="4" t="s">
        <v>132</v>
      </c>
      <c r="CI235" s="5">
        <v>0</v>
      </c>
      <c r="CJ235" s="4">
        <v>0</v>
      </c>
      <c r="CK235" s="132">
        <f t="shared" si="107"/>
        <v>0</v>
      </c>
      <c r="CL235" s="4" t="s">
        <v>132</v>
      </c>
      <c r="CM235" s="5">
        <v>0</v>
      </c>
      <c r="CN235" s="4">
        <v>0</v>
      </c>
      <c r="CO235" s="132">
        <f t="shared" si="108"/>
        <v>0</v>
      </c>
      <c r="CP235" s="4" t="s">
        <v>132</v>
      </c>
      <c r="CQ235" s="5">
        <v>0</v>
      </c>
      <c r="CR235" s="4">
        <v>0</v>
      </c>
      <c r="CS235" s="132">
        <f t="shared" si="109"/>
        <v>0</v>
      </c>
      <c r="CT235" s="159">
        <f t="shared" si="110"/>
        <v>70</v>
      </c>
      <c r="CU235" s="168">
        <f t="shared" si="111"/>
        <v>545</v>
      </c>
      <c r="CV235" s="167">
        <f t="shared" si="94"/>
        <v>70</v>
      </c>
      <c r="CW235" s="82">
        <f t="shared" si="95"/>
        <v>495</v>
      </c>
      <c r="CX235" s="79">
        <f>IF(ISBLANK(E235),"AddQuickPay",IF(E235=2,CU235*0.98,IF(E235=2.4,CU235*0.976,IF(E235=3,CU235*0.97,IF(E235=5,CU235*0.95,IF(E235=1.5,CU235*0.985,IF(E235=2.5,CU235*0.975,IF(E235=1.3,CU235*0.987,IF(E235=1,CU235*0.99,IF(E235=4,CU235*0.96,CU235*1))))))))))-Table1[[#This Row],[ComCheck+QuickPayFee]]</f>
        <v>534.1</v>
      </c>
      <c r="CY235" s="5">
        <f t="shared" si="112"/>
        <v>50</v>
      </c>
      <c r="CZ235" s="5">
        <f t="shared" si="113"/>
        <v>10.9</v>
      </c>
      <c r="DA235" s="258">
        <f>Table1[[#This Row],[OriginalDispatch]]-Table1[[#This Row],[QuickPayCharge]]</f>
        <v>39.1</v>
      </c>
      <c r="DB235" s="5">
        <v>0</v>
      </c>
      <c r="DC235" s="5" t="s">
        <v>133</v>
      </c>
      <c r="DD235" s="20">
        <f t="shared" si="114"/>
        <v>42384</v>
      </c>
      <c r="DE235" s="4">
        <f>MONTH(Table1[[#This Row],[Weekending]])</f>
        <v>1</v>
      </c>
      <c r="DF235" s="4">
        <f>YEAR(Table1[[#This Row],[Weekending]])</f>
        <v>2016</v>
      </c>
      <c r="DG235" s="4"/>
    </row>
    <row r="236" spans="1:111">
      <c r="A236" s="20" t="str">
        <f t="shared" si="96"/>
        <v>58122419</v>
      </c>
      <c r="B236" s="160">
        <v>42380</v>
      </c>
      <c r="C236" s="162">
        <v>190122758</v>
      </c>
      <c r="D236" s="142" t="s">
        <v>111</v>
      </c>
      <c r="E236" s="142">
        <v>2</v>
      </c>
      <c r="F236" s="142" t="str">
        <f>INDEX(BrokerTBL!$B:$B,MATCH(D236,BrokerTBL!$A:$A,0))</f>
        <v>P.O. Box 3474</v>
      </c>
      <c r="G236" s="142" t="str">
        <f>INDEX(BrokerTBL!$C:$C,MATCH(D236,BrokerTBL!$A:$A,0))</f>
        <v>Chicago</v>
      </c>
      <c r="H236" s="142" t="str">
        <f>INDEX(BrokerTBL!$D:$D,MATCH(D236,BrokerTBL!$A:$A,0))</f>
        <v>Il</v>
      </c>
      <c r="I236" s="142" t="str">
        <f>INDEX(BrokerTBL!$E:$E,MATCH(D236,BrokerTBL!$A:$A,0))</f>
        <v>US</v>
      </c>
      <c r="J236" s="142">
        <f>INDEX(BrokerTBL!$F:$F,MATCH(D236,BrokerTBL!$A:$A,0))</f>
        <v>60654</v>
      </c>
      <c r="K236" s="142" t="s">
        <v>1743</v>
      </c>
      <c r="L236" s="161">
        <v>388085212</v>
      </c>
      <c r="M236" s="160">
        <v>42380</v>
      </c>
      <c r="N236" s="162" t="s">
        <v>1744</v>
      </c>
      <c r="O236" s="142" t="s">
        <v>1745</v>
      </c>
      <c r="P236" s="142" t="s">
        <v>1361</v>
      </c>
      <c r="Q236" s="142" t="s">
        <v>139</v>
      </c>
      <c r="R236" s="142" t="s">
        <v>1746</v>
      </c>
      <c r="S236" s="142" t="s">
        <v>118</v>
      </c>
      <c r="T236" s="142" t="s">
        <v>1747</v>
      </c>
      <c r="U236" s="142" t="s">
        <v>120</v>
      </c>
      <c r="V236" s="142">
        <v>53</v>
      </c>
      <c r="W236" s="142" t="s">
        <v>1748</v>
      </c>
      <c r="X236" s="186">
        <v>29084</v>
      </c>
      <c r="Y236" s="142" t="s">
        <v>1537</v>
      </c>
      <c r="Z236" s="142" t="s">
        <v>123</v>
      </c>
      <c r="AA236" s="142">
        <v>78</v>
      </c>
      <c r="AB236" s="142" t="s">
        <v>123</v>
      </c>
      <c r="AC236" s="142" t="s">
        <v>1743</v>
      </c>
      <c r="AD236" s="161">
        <v>18324</v>
      </c>
      <c r="AE236" s="160">
        <v>42381</v>
      </c>
      <c r="AF236" s="142" t="s">
        <v>427</v>
      </c>
      <c r="AG236" s="142" t="s">
        <v>1749</v>
      </c>
      <c r="AH236" s="142" t="s">
        <v>1561</v>
      </c>
      <c r="AI236" s="142" t="s">
        <v>139</v>
      </c>
      <c r="AJ236" s="142" t="s">
        <v>1750</v>
      </c>
      <c r="AK236" s="142" t="s">
        <v>118</v>
      </c>
      <c r="AL236" s="142" t="s">
        <v>1751</v>
      </c>
      <c r="AM236" s="142" t="str">
        <f>INDEX(CarrierDriverTBL!$B:$B,MATCH(Table1[[#This Row],[DriverID]],CarrierDriverTBL!$A:$A,0))</f>
        <v>UBTrucking</v>
      </c>
      <c r="AN236" s="10" t="s">
        <v>1409</v>
      </c>
      <c r="AO236" s="142" t="str">
        <f>INDEX(CarrierDriverTBL!$C:$C,MATCH(Table1[[#This Row],[DriverID]],CarrierDriverTBL!$A:$A,0))</f>
        <v>Miguel Jaime</v>
      </c>
      <c r="AP236" s="142" t="str">
        <f>INDEX(CarrierDriverTBL!$D:$D,MATCH(Table1[[#This Row],[DriverID]],CarrierDriverTBL!$A:$A,0))</f>
        <v>Martin Del Campo Velarca</v>
      </c>
      <c r="AQ236" s="142" t="str">
        <f>INDEX(CarrierDriverTBL!$X:$X,MATCH(Table1[[#This Row],[DriverID]],CarrierDriverTBL!$A:$A,0))</f>
        <v>D5179619</v>
      </c>
      <c r="AR236" s="160">
        <f>INDEX(CarrierDriverTBL!$Y:$Y,MATCH(Table1[[#This Row],[DriverID]],CarrierDriverTBL!$A:$A,0))</f>
        <v>43843</v>
      </c>
      <c r="AS236" s="142" t="str">
        <f t="shared" si="97"/>
        <v>GOOD</v>
      </c>
      <c r="AT236" s="160">
        <f>INDEX(CarrierDriverTBL!$E:$E,MATCH(Table1[[#This Row],[DriverID]],CarrierDriverTBL!$A:$A,0))</f>
        <v>21198</v>
      </c>
      <c r="AU236" s="163">
        <f ca="1">INDEX(CarrierDriverTBL!$F:$F,MATCH(Table1[[#This Row],[DriverID]],CarrierDriverTBL!$A:$A,0))</f>
        <v>58.56986301369863</v>
      </c>
      <c r="AV236" s="142" t="str">
        <f>INDEX(CarrierDriverTBL!$K:$K,MATCH(Table1[[#This Row],[DriverID]],CarrierDriverTBL!$A:$A,0))</f>
        <v>209-322-5231</v>
      </c>
      <c r="AW236" s="142" t="str">
        <f>INDEX(CarrierDriverTBL!$M:$M,MATCH(Table1[[#This Row],[DriverID]],CarrierDriverTBL!$A:$A,0))</f>
        <v>572 Predersen RD</v>
      </c>
      <c r="AX236" s="142" t="str">
        <f>INDEX(CarrierDriverTBL!$N:$N,MATCH(Table1[[#This Row],[DriverID]],CarrierDriverTBL!$A:$A,0))</f>
        <v>Oakdale</v>
      </c>
      <c r="AY236" s="142" t="str">
        <f>INDEX(CarrierDriverTBL!$O:$O,MATCH(Table1[[#This Row],[DriverID]],CarrierDriverTBL!$A:$A,0))</f>
        <v>CA</v>
      </c>
      <c r="AZ236" s="142">
        <f>INDEX(CarrierDriverTBL!$P:$P,MATCH(Table1[[#This Row],[DriverID]],CarrierDriverTBL!$A:$A,0))</f>
        <v>95361</v>
      </c>
      <c r="BA236" s="142" t="str">
        <f>INDEX(CarrierDriverTBL!$Q:$Q,MATCH(Table1[[#This Row],[DriverID]],CarrierDriverTBL!$A:$A,0))</f>
        <v>US</v>
      </c>
      <c r="BB236" s="176" t="str">
        <f>INDEX(CarrierDriverTBL!$R:$R,MATCH(Table1[[#This Row],[DriverID]],CarrierDriverTBL!$A:$A,0))</f>
        <v>Miguelmartin52@yahoo.com</v>
      </c>
      <c r="BC236" s="160">
        <f>INDEX(CarrierDriverTBL!$AB:$AB,MATCH(Table1[[#This Row],[DriverID]],CarrierDriverTBL!$A:$A,0))</f>
        <v>42334</v>
      </c>
      <c r="BD236" s="142" t="str">
        <f ca="1">INDEX(CarrierDriverTBL!$AD:$AD,MATCH(LoadMaster!$AN:$AN,CarrierDriverTBL!$A:$A,0))</f>
        <v>MISSING</v>
      </c>
      <c r="BE236" s="142">
        <f>INDEX(CarrierDriverTBL!$AE:$AE,MATCH(Table1[DriverID],CarrierDriverTBL!$A:$A,0))</f>
        <v>913971</v>
      </c>
      <c r="BF236" s="142">
        <f>INDEX(CarrierDriverTBL!$AF:$AF,MATCH(Table1[DriverID],CarrierDriverTBL!$A:$A,0))</f>
        <v>2627544</v>
      </c>
      <c r="BG236" s="142">
        <f>INDEX(CarrierDriverTBL!$AG:$AG,MATCH(Table1[DriverID],CarrierDriverTBL!$A:$A,0))</f>
        <v>466133</v>
      </c>
      <c r="BH236" s="142" t="str">
        <f>INDEX(CarrierDriverTBL!$AH:$AH,MATCH(Table1[DriverID],CarrierDriverTBL!$A:$A,0))</f>
        <v>GM Lawrence Ins</v>
      </c>
      <c r="BI236" s="142" t="str">
        <f>INDEX(CarrierDriverTBL!$AI:$AI,MATCH(Table1[DriverID],CarrierDriverTBL!$A:$A,0))</f>
        <v>DSK2842P160210</v>
      </c>
      <c r="BJ236" s="160">
        <f>INDEX(CarrierDriverTBL!$AJ:$AJ,MATCH(Table1[[#This Row],[DriverID]],CarrierDriverTBL!$A:$A,0))</f>
        <v>42778</v>
      </c>
      <c r="BK236" s="10">
        <f t="shared" si="98"/>
        <v>398</v>
      </c>
      <c r="BL236" s="167">
        <v>700</v>
      </c>
      <c r="BM236" s="162">
        <v>380</v>
      </c>
      <c r="BN236" s="159">
        <f t="shared" si="115"/>
        <v>1.8421052631578947</v>
      </c>
      <c r="BO236" s="167">
        <f>0.93*BL236</f>
        <v>651</v>
      </c>
      <c r="BP236" s="159">
        <f t="shared" si="116"/>
        <v>1.7131578947368422</v>
      </c>
      <c r="BQ236" s="134">
        <v>2.6</v>
      </c>
      <c r="BR236" s="166">
        <f t="shared" si="117"/>
        <v>0.1166666666666667</v>
      </c>
      <c r="BS236" s="167">
        <f t="shared" si="99"/>
        <v>1.5964912280701755</v>
      </c>
      <c r="BT236" s="159">
        <f t="shared" si="100"/>
        <v>44.333333333333343</v>
      </c>
      <c r="BU236" s="10" t="str">
        <f t="shared" si="101"/>
        <v>Ch Robinson</v>
      </c>
      <c r="BV236" s="4"/>
      <c r="BW236" s="4" t="str">
        <f>Table1[[#This Row],[BrokerAddress]]</f>
        <v>P.O. Box 3474</v>
      </c>
      <c r="BX236" s="4" t="str">
        <f t="shared" si="102"/>
        <v>Chicago</v>
      </c>
      <c r="BY236" s="4" t="str">
        <f t="shared" si="103"/>
        <v>Il</v>
      </c>
      <c r="BZ236" s="4">
        <f t="shared" si="104"/>
        <v>60654</v>
      </c>
      <c r="CA236" s="10" t="str">
        <f t="shared" si="105"/>
        <v>US</v>
      </c>
      <c r="CB236" s="15" t="s">
        <v>131</v>
      </c>
      <c r="CC236" s="61"/>
      <c r="CD236" s="212" t="s">
        <v>149</v>
      </c>
      <c r="CE236" s="213">
        <v>0</v>
      </c>
      <c r="CF236" s="212">
        <v>1</v>
      </c>
      <c r="CG236" s="132">
        <f t="shared" si="106"/>
        <v>0</v>
      </c>
      <c r="CH236" s="4" t="s">
        <v>132</v>
      </c>
      <c r="CI236" s="5">
        <v>0</v>
      </c>
      <c r="CJ236" s="4">
        <v>0</v>
      </c>
      <c r="CK236" s="132">
        <f t="shared" si="107"/>
        <v>0</v>
      </c>
      <c r="CL236" s="4" t="s">
        <v>132</v>
      </c>
      <c r="CM236" s="5">
        <v>0</v>
      </c>
      <c r="CN236" s="4">
        <v>0</v>
      </c>
      <c r="CO236" s="132">
        <f t="shared" si="108"/>
        <v>0</v>
      </c>
      <c r="CP236" s="4" t="s">
        <v>132</v>
      </c>
      <c r="CQ236" s="5">
        <v>0</v>
      </c>
      <c r="CR236" s="4">
        <v>0</v>
      </c>
      <c r="CS236" s="132">
        <f t="shared" si="109"/>
        <v>0</v>
      </c>
      <c r="CT236" s="159">
        <f t="shared" si="110"/>
        <v>0</v>
      </c>
      <c r="CU236" s="168">
        <f t="shared" si="111"/>
        <v>700</v>
      </c>
      <c r="CV236" s="167">
        <f t="shared" si="94"/>
        <v>0</v>
      </c>
      <c r="CW236" s="82">
        <f t="shared" si="95"/>
        <v>651</v>
      </c>
      <c r="CX236" s="79">
        <f>IF(ISBLANK(E236),"AddQuickPay",IF(E236=2,CU236*0.98,IF(E236=2.4,CU236*0.976,IF(E236=3,CU236*0.97,IF(E236=5,CU236*0.95,IF(E236=1.5,CU236*0.985,IF(E236=2.5,CU236*0.975,IF(E236=1.3,CU236*0.987,IF(E236=1,CU236*0.99,IF(E236=4,CU236*0.96,CU236*1))))))))))-Table1[[#This Row],[ComCheck+QuickPayFee]]</f>
        <v>686</v>
      </c>
      <c r="CY236" s="5">
        <f t="shared" si="112"/>
        <v>49</v>
      </c>
      <c r="CZ236" s="5">
        <f t="shared" si="113"/>
        <v>14</v>
      </c>
      <c r="DA236" s="258">
        <f>Table1[[#This Row],[OriginalDispatch]]-Table1[[#This Row],[QuickPayCharge]]</f>
        <v>35</v>
      </c>
      <c r="DB236" s="5">
        <v>0</v>
      </c>
      <c r="DC236" s="5" t="s">
        <v>133</v>
      </c>
      <c r="DD236" s="20">
        <f t="shared" si="114"/>
        <v>42384</v>
      </c>
      <c r="DE236" s="4">
        <f>MONTH(Table1[[#This Row],[Weekending]])</f>
        <v>1</v>
      </c>
      <c r="DF236" s="4">
        <f>YEAR(Table1[[#This Row],[Weekending]])</f>
        <v>2016</v>
      </c>
      <c r="DG236" s="29" t="s">
        <v>1752</v>
      </c>
    </row>
    <row r="237" spans="1:111">
      <c r="A237" s="20" t="str">
        <f t="shared" si="96"/>
        <v>91087088</v>
      </c>
      <c r="B237" s="160">
        <v>42380</v>
      </c>
      <c r="C237" s="162">
        <v>190241991</v>
      </c>
      <c r="D237" s="142" t="s">
        <v>111</v>
      </c>
      <c r="E237" s="142">
        <v>2</v>
      </c>
      <c r="F237" s="142" t="str">
        <f>INDEX(BrokerTBL!$B:$B,MATCH(D237,BrokerTBL!$A:$A,0))</f>
        <v>P.O. Box 3474</v>
      </c>
      <c r="G237" s="142" t="str">
        <f>INDEX(BrokerTBL!$C:$C,MATCH(D237,BrokerTBL!$A:$A,0))</f>
        <v>Chicago</v>
      </c>
      <c r="H237" s="142" t="str">
        <f>INDEX(BrokerTBL!$D:$D,MATCH(D237,BrokerTBL!$A:$A,0))</f>
        <v>Il</v>
      </c>
      <c r="I237" s="142" t="str">
        <f>INDEX(BrokerTBL!$E:$E,MATCH(D237,BrokerTBL!$A:$A,0))</f>
        <v>US</v>
      </c>
      <c r="J237" s="142">
        <f>INDEX(BrokerTBL!$F:$F,MATCH(D237,BrokerTBL!$A:$A,0))</f>
        <v>60654</v>
      </c>
      <c r="K237" s="142" t="s">
        <v>1753</v>
      </c>
      <c r="L237" s="161" t="s">
        <v>1754</v>
      </c>
      <c r="M237" s="160">
        <v>42380</v>
      </c>
      <c r="N237" s="162" t="s">
        <v>1194</v>
      </c>
      <c r="O237" s="142" t="s">
        <v>1755</v>
      </c>
      <c r="P237" s="142" t="s">
        <v>299</v>
      </c>
      <c r="Q237" s="142" t="s">
        <v>139</v>
      </c>
      <c r="R237" s="142">
        <v>946032318</v>
      </c>
      <c r="S237" s="142" t="s">
        <v>118</v>
      </c>
      <c r="T237" s="142" t="s">
        <v>1756</v>
      </c>
      <c r="U237" s="142" t="s">
        <v>120</v>
      </c>
      <c r="V237" s="142">
        <v>53</v>
      </c>
      <c r="W237" s="142" t="s">
        <v>483</v>
      </c>
      <c r="X237" s="186">
        <v>44240</v>
      </c>
      <c r="Y237" s="142" t="s">
        <v>1537</v>
      </c>
      <c r="Z237" s="186">
        <v>1454</v>
      </c>
      <c r="AA237" s="142">
        <v>21</v>
      </c>
      <c r="AB237" s="142" t="s">
        <v>123</v>
      </c>
      <c r="AC237" s="142" t="s">
        <v>1757</v>
      </c>
      <c r="AD237" s="161">
        <v>260270</v>
      </c>
      <c r="AE237" s="160">
        <v>42381</v>
      </c>
      <c r="AF237" s="142" t="s">
        <v>1398</v>
      </c>
      <c r="AG237" s="142" t="s">
        <v>1758</v>
      </c>
      <c r="AH237" s="142" t="s">
        <v>892</v>
      </c>
      <c r="AI237" s="142" t="s">
        <v>139</v>
      </c>
      <c r="AJ237" s="142" t="s">
        <v>1759</v>
      </c>
      <c r="AK237" s="142" t="s">
        <v>118</v>
      </c>
      <c r="AL237" s="142" t="s">
        <v>1760</v>
      </c>
      <c r="AM237" s="142" t="str">
        <f>INDEX(CarrierDriverTBL!$B:$B,MATCH(Table1[[#This Row],[DriverID]],CarrierDriverTBL!$A:$A,0))</f>
        <v>UBTrucking</v>
      </c>
      <c r="AN237" s="10" t="s">
        <v>948</v>
      </c>
      <c r="AO237" s="10" t="str">
        <f>INDEX(CarrierDriverTBL!$C:$C,MATCH(Table1[[#This Row],[DriverID]],CarrierDriverTBL!$A:$A,0))</f>
        <v>Wesley</v>
      </c>
      <c r="AP237" s="10" t="str">
        <f>INDEX(CarrierDriverTBL!$D:$D,MATCH(Table1[[#This Row],[DriverID]],CarrierDriverTBL!$A:$A,0))</f>
        <v>Cousain</v>
      </c>
      <c r="AQ237" s="10" t="str">
        <f>INDEX(CarrierDriverTBL!$X:$X,MATCH(Table1[[#This Row],[DriverID]],CarrierDriverTBL!$A:$A,0))</f>
        <v>D4903588</v>
      </c>
      <c r="AR237" s="11">
        <f>INDEX(CarrierDriverTBL!$Y:$Y,MATCH(Table1[[#This Row],[DriverID]],CarrierDriverTBL!$A:$A,0))</f>
        <v>43458</v>
      </c>
      <c r="AS237" s="142" t="str">
        <f t="shared" si="97"/>
        <v>GOOD</v>
      </c>
      <c r="AT237" s="11">
        <f>INDEX(CarrierDriverTBL!$E:$E,MATCH(Table1[[#This Row],[DriverID]],CarrierDriverTBL!$A:$A,0))</f>
        <v>31405</v>
      </c>
      <c r="AU237" s="163">
        <f ca="1">INDEX(CarrierDriverTBL!$F:$F,MATCH(Table1[[#This Row],[DriverID]],CarrierDriverTBL!$A:$A,0))</f>
        <v>30.605479452054794</v>
      </c>
      <c r="AV237" s="10" t="str">
        <f>INDEX(CarrierDriverTBL!$K:$K,MATCH(Table1[[#This Row],[DriverID]],CarrierDriverTBL!$A:$A,0))</f>
        <v>925-383-5364</v>
      </c>
      <c r="AW237" s="10" t="str">
        <f>INDEX(CarrierDriverTBL!$M:$M,MATCH(Table1[[#This Row],[DriverID]],CarrierDriverTBL!$A:$A,0))</f>
        <v>110 Cordova Ln</v>
      </c>
      <c r="AX237" s="10" t="str">
        <f>INDEX(CarrierDriverTBL!$N:$N,MATCH(Table1[[#This Row],[DriverID]],CarrierDriverTBL!$A:$A,0))</f>
        <v>Stockton</v>
      </c>
      <c r="AY237" s="10" t="str">
        <f>INDEX(CarrierDriverTBL!$O:$O,MATCH(Table1[[#This Row],[DriverID]],CarrierDriverTBL!$A:$A,0))</f>
        <v>CA</v>
      </c>
      <c r="AZ237" s="10">
        <f>INDEX(CarrierDriverTBL!$P:$P,MATCH(Table1[[#This Row],[DriverID]],CarrierDriverTBL!$A:$A,0))</f>
        <v>95207</v>
      </c>
      <c r="BA237" s="10" t="str">
        <f>INDEX(CarrierDriverTBL!$Q:$Q,MATCH(Table1[[#This Row],[DriverID]],CarrierDriverTBL!$A:$A,0))</f>
        <v>US</v>
      </c>
      <c r="BB237" s="173" t="str">
        <f>INDEX(CarrierDriverTBL!$R:$R,MATCH(Table1[[#This Row],[DriverID]],CarrierDriverTBL!$A:$A,0))</f>
        <v>wesleycousain1@gmail.com</v>
      </c>
      <c r="BC237" s="160">
        <f>INDEX(CarrierDriverTBL!$AB:$AB,MATCH(Table1[[#This Row],[DriverID]],CarrierDriverTBL!$A:$A,0))</f>
        <v>42271</v>
      </c>
      <c r="BD237" s="142" t="str">
        <f ca="1">INDEX(CarrierDriverTBL!$AD:$AD,MATCH(LoadMaster!$AN:$AN,CarrierDriverTBL!$A:$A,0))</f>
        <v>MISSING</v>
      </c>
      <c r="BE237" s="142">
        <f>INDEX(CarrierDriverTBL!$AE:$AE,MATCH(Table1[DriverID],CarrierDriverTBL!$A:$A,0))</f>
        <v>913971</v>
      </c>
      <c r="BF237" s="142">
        <f>INDEX(CarrierDriverTBL!$AF:$AF,MATCH(Table1[DriverID],CarrierDriverTBL!$A:$A,0))</f>
        <v>2627544</v>
      </c>
      <c r="BG237" s="142">
        <f>INDEX(CarrierDriverTBL!$AG:$AG,MATCH(Table1[DriverID],CarrierDriverTBL!$A:$A,0))</f>
        <v>466133</v>
      </c>
      <c r="BH237" s="142" t="str">
        <f>INDEX(CarrierDriverTBL!$AH:$AH,MATCH(Table1[DriverID],CarrierDriverTBL!$A:$A,0))</f>
        <v>GM Lawrence Ins</v>
      </c>
      <c r="BI237" s="142" t="str">
        <f>INDEX(CarrierDriverTBL!$AI:$AI,MATCH(Table1[DriverID],CarrierDriverTBL!$A:$A,0))</f>
        <v>DSK2842P160210</v>
      </c>
      <c r="BJ237" s="160">
        <f>INDEX(CarrierDriverTBL!$AJ:$AJ,MATCH(Table1[[#This Row],[DriverID]],CarrierDriverTBL!$A:$A,0))</f>
        <v>42778</v>
      </c>
      <c r="BK237" s="10">
        <f t="shared" si="98"/>
        <v>398</v>
      </c>
      <c r="BL237" s="167">
        <v>525</v>
      </c>
      <c r="BM237" s="162">
        <v>390</v>
      </c>
      <c r="BN237" s="159">
        <f t="shared" si="115"/>
        <v>1.3461538461538463</v>
      </c>
      <c r="BO237" s="167">
        <f>0.93*BL237</f>
        <v>488.25</v>
      </c>
      <c r="BP237" s="159">
        <f t="shared" si="116"/>
        <v>1.2519230769230769</v>
      </c>
      <c r="BQ237" s="134">
        <v>2.6</v>
      </c>
      <c r="BR237" s="166">
        <f t="shared" si="117"/>
        <v>0.1166666666666667</v>
      </c>
      <c r="BS237" s="167">
        <f t="shared" si="99"/>
        <v>1.1352564102564102</v>
      </c>
      <c r="BT237" s="159">
        <f t="shared" si="100"/>
        <v>45.500000000000014</v>
      </c>
      <c r="BU237" s="10" t="str">
        <f t="shared" si="101"/>
        <v>Ch Robinson</v>
      </c>
      <c r="BV237" s="4"/>
      <c r="BW237" s="4" t="str">
        <f>Table1[[#This Row],[BrokerAddress]]</f>
        <v>P.O. Box 3474</v>
      </c>
      <c r="BX237" s="4" t="str">
        <f t="shared" si="102"/>
        <v>Chicago</v>
      </c>
      <c r="BY237" s="4" t="str">
        <f t="shared" si="103"/>
        <v>Il</v>
      </c>
      <c r="BZ237" s="4">
        <f t="shared" si="104"/>
        <v>60654</v>
      </c>
      <c r="CA237" s="10" t="str">
        <f t="shared" si="105"/>
        <v>US</v>
      </c>
      <c r="CB237" s="15" t="s">
        <v>131</v>
      </c>
      <c r="CC237" s="61"/>
      <c r="CD237" s="4" t="s">
        <v>132</v>
      </c>
      <c r="CE237" s="5">
        <v>0</v>
      </c>
      <c r="CF237" s="4">
        <v>0</v>
      </c>
      <c r="CG237" s="132">
        <f t="shared" si="106"/>
        <v>0</v>
      </c>
      <c r="CH237" s="4" t="s">
        <v>132</v>
      </c>
      <c r="CI237" s="5">
        <v>0</v>
      </c>
      <c r="CJ237" s="4">
        <v>0</v>
      </c>
      <c r="CK237" s="132">
        <f t="shared" si="107"/>
        <v>0</v>
      </c>
      <c r="CL237" s="4" t="s">
        <v>132</v>
      </c>
      <c r="CM237" s="5">
        <v>0</v>
      </c>
      <c r="CN237" s="4">
        <v>0</v>
      </c>
      <c r="CO237" s="132">
        <f t="shared" si="108"/>
        <v>0</v>
      </c>
      <c r="CP237" s="4" t="s">
        <v>132</v>
      </c>
      <c r="CQ237" s="5">
        <v>0</v>
      </c>
      <c r="CR237" s="4">
        <v>0</v>
      </c>
      <c r="CS237" s="132">
        <f t="shared" si="109"/>
        <v>0</v>
      </c>
      <c r="CT237" s="159">
        <f t="shared" si="110"/>
        <v>0</v>
      </c>
      <c r="CU237" s="168">
        <f t="shared" si="111"/>
        <v>525</v>
      </c>
      <c r="CV237" s="167">
        <f t="shared" si="94"/>
        <v>0</v>
      </c>
      <c r="CW237" s="82">
        <f t="shared" si="95"/>
        <v>488.25</v>
      </c>
      <c r="CX237" s="79">
        <f>IF(ISBLANK(E237),"AddQuickPay",IF(E237=2,CU237*0.98,IF(E237=2.4,CU237*0.976,IF(E237=3,CU237*0.97,IF(E237=5,CU237*0.95,IF(E237=1.5,CU237*0.985,IF(E237=2.5,CU237*0.975,IF(E237=1.3,CU237*0.987,IF(E237=1,CU237*0.99,IF(E237=4,CU237*0.96,CU237*1))))))))))-Table1[[#This Row],[ComCheck+QuickPayFee]]</f>
        <v>514.5</v>
      </c>
      <c r="CY237" s="5">
        <f t="shared" si="112"/>
        <v>36.75</v>
      </c>
      <c r="CZ237" s="5">
        <f t="shared" si="113"/>
        <v>10.5</v>
      </c>
      <c r="DA237" s="258">
        <f>Table1[[#This Row],[OriginalDispatch]]-Table1[[#This Row],[QuickPayCharge]]</f>
        <v>26.25</v>
      </c>
      <c r="DB237" s="5">
        <v>0</v>
      </c>
      <c r="DC237" s="5" t="s">
        <v>1287</v>
      </c>
      <c r="DD237" s="20">
        <f t="shared" si="114"/>
        <v>42384</v>
      </c>
      <c r="DE237" s="4">
        <f>MONTH(Table1[[#This Row],[Weekending]])</f>
        <v>1</v>
      </c>
      <c r="DF237" s="4">
        <f>YEAR(Table1[[#This Row],[Weekending]])</f>
        <v>2016</v>
      </c>
      <c r="DG237" s="4"/>
    </row>
    <row r="238" spans="1:111">
      <c r="A238" s="20" t="str">
        <f t="shared" si="96"/>
        <v>15938088</v>
      </c>
      <c r="B238" s="160">
        <v>42381</v>
      </c>
      <c r="C238" s="162">
        <v>190016515</v>
      </c>
      <c r="D238" s="142" t="s">
        <v>111</v>
      </c>
      <c r="E238" s="142">
        <v>2</v>
      </c>
      <c r="F238" s="142" t="str">
        <f>INDEX(BrokerTBL!$B:$B,MATCH(D238,BrokerTBL!$A:$A,0))</f>
        <v>P.O. Box 3474</v>
      </c>
      <c r="G238" s="142" t="str">
        <f>INDEX(BrokerTBL!$C:$C,MATCH(D238,BrokerTBL!$A:$A,0))</f>
        <v>Chicago</v>
      </c>
      <c r="H238" s="142" t="str">
        <f>INDEX(BrokerTBL!$D:$D,MATCH(D238,BrokerTBL!$A:$A,0))</f>
        <v>Il</v>
      </c>
      <c r="I238" s="142" t="str">
        <f>INDEX(BrokerTBL!$E:$E,MATCH(D238,BrokerTBL!$A:$A,0))</f>
        <v>US</v>
      </c>
      <c r="J238" s="142">
        <f>INDEX(BrokerTBL!$F:$F,MATCH(D238,BrokerTBL!$A:$A,0))</f>
        <v>60654</v>
      </c>
      <c r="K238" s="142" t="s">
        <v>1324</v>
      </c>
      <c r="L238" s="161">
        <v>578791493</v>
      </c>
      <c r="M238" s="160">
        <v>42381</v>
      </c>
      <c r="N238" s="162" t="s">
        <v>1150</v>
      </c>
      <c r="O238" s="142" t="s">
        <v>1326</v>
      </c>
      <c r="P238" s="142" t="s">
        <v>1327</v>
      </c>
      <c r="Q238" s="142" t="s">
        <v>139</v>
      </c>
      <c r="R238" s="142">
        <v>578791493</v>
      </c>
      <c r="S238" s="142" t="s">
        <v>118</v>
      </c>
      <c r="T238" s="298" t="s">
        <v>136</v>
      </c>
      <c r="U238" s="142" t="s">
        <v>120</v>
      </c>
      <c r="V238" s="142">
        <v>53</v>
      </c>
      <c r="W238" s="298" t="s">
        <v>136</v>
      </c>
      <c r="X238" s="144" t="s">
        <v>136</v>
      </c>
      <c r="Y238" s="142" t="s">
        <v>123</v>
      </c>
      <c r="Z238" s="142" t="s">
        <v>123</v>
      </c>
      <c r="AA238" s="142" t="s">
        <v>123</v>
      </c>
      <c r="AB238" s="142" t="s">
        <v>123</v>
      </c>
      <c r="AC238" s="142" t="s">
        <v>1761</v>
      </c>
      <c r="AD238" s="161" t="s">
        <v>1762</v>
      </c>
      <c r="AE238" s="160">
        <v>42382</v>
      </c>
      <c r="AF238" s="142" t="s">
        <v>353</v>
      </c>
      <c r="AG238" s="142" t="s">
        <v>1763</v>
      </c>
      <c r="AH238" s="142" t="s">
        <v>228</v>
      </c>
      <c r="AI238" s="142" t="s">
        <v>139</v>
      </c>
      <c r="AJ238" s="142">
        <v>94544</v>
      </c>
      <c r="AK238" s="142" t="s">
        <v>118</v>
      </c>
      <c r="AL238" s="142" t="s">
        <v>123</v>
      </c>
      <c r="AM238" s="142" t="str">
        <f>INDEX(CarrierDriverTBL!$B:$B,MATCH(Table1[[#This Row],[DriverID]],CarrierDriverTBL!$A:$A,0))</f>
        <v>UBTrucking</v>
      </c>
      <c r="AN238" s="10" t="s">
        <v>948</v>
      </c>
      <c r="AO238" s="10" t="str">
        <f>INDEX(CarrierDriverTBL!$C:$C,MATCH(Table1[[#This Row],[DriverID]],CarrierDriverTBL!$A:$A,0))</f>
        <v>Wesley</v>
      </c>
      <c r="AP238" s="10" t="str">
        <f>INDEX(CarrierDriverTBL!$D:$D,MATCH(Table1[[#This Row],[DriverID]],CarrierDriverTBL!$A:$A,0))</f>
        <v>Cousain</v>
      </c>
      <c r="AQ238" s="10" t="str">
        <f>INDEX(CarrierDriverTBL!$X:$X,MATCH(Table1[[#This Row],[DriverID]],CarrierDriverTBL!$A:$A,0))</f>
        <v>D4903588</v>
      </c>
      <c r="AR238" s="11">
        <f>INDEX(CarrierDriverTBL!$Y:$Y,MATCH(Table1[[#This Row],[DriverID]],CarrierDriverTBL!$A:$A,0))</f>
        <v>43458</v>
      </c>
      <c r="AS238" s="142" t="str">
        <f t="shared" si="97"/>
        <v>GOOD</v>
      </c>
      <c r="AT238" s="11">
        <f>INDEX(CarrierDriverTBL!$E:$E,MATCH(Table1[[#This Row],[DriverID]],CarrierDriverTBL!$A:$A,0))</f>
        <v>31405</v>
      </c>
      <c r="AU238" s="163">
        <f ca="1">INDEX(CarrierDriverTBL!$F:$F,MATCH(Table1[[#This Row],[DriverID]],CarrierDriverTBL!$A:$A,0))</f>
        <v>30.605479452054794</v>
      </c>
      <c r="AV238" s="10" t="str">
        <f>INDEX(CarrierDriverTBL!$K:$K,MATCH(Table1[[#This Row],[DriverID]],CarrierDriverTBL!$A:$A,0))</f>
        <v>925-383-5364</v>
      </c>
      <c r="AW238" s="10" t="str">
        <f>INDEX(CarrierDriverTBL!$M:$M,MATCH(Table1[[#This Row],[DriverID]],CarrierDriverTBL!$A:$A,0))</f>
        <v>110 Cordova Ln</v>
      </c>
      <c r="AX238" s="10" t="str">
        <f>INDEX(CarrierDriverTBL!$N:$N,MATCH(Table1[[#This Row],[DriverID]],CarrierDriverTBL!$A:$A,0))</f>
        <v>Stockton</v>
      </c>
      <c r="AY238" s="10" t="str">
        <f>INDEX(CarrierDriverTBL!$O:$O,MATCH(Table1[[#This Row],[DriverID]],CarrierDriverTBL!$A:$A,0))</f>
        <v>CA</v>
      </c>
      <c r="AZ238" s="10">
        <f>INDEX(CarrierDriverTBL!$P:$P,MATCH(Table1[[#This Row],[DriverID]],CarrierDriverTBL!$A:$A,0))</f>
        <v>95207</v>
      </c>
      <c r="BA238" s="10" t="str">
        <f>INDEX(CarrierDriverTBL!$Q:$Q,MATCH(Table1[[#This Row],[DriverID]],CarrierDriverTBL!$A:$A,0))</f>
        <v>US</v>
      </c>
      <c r="BB238" s="173" t="str">
        <f>INDEX(CarrierDriverTBL!$R:$R,MATCH(Table1[[#This Row],[DriverID]],CarrierDriverTBL!$A:$A,0))</f>
        <v>wesleycousain1@gmail.com</v>
      </c>
      <c r="BC238" s="160">
        <f>INDEX(CarrierDriverTBL!$AB:$AB,MATCH(Table1[[#This Row],[DriverID]],CarrierDriverTBL!$A:$A,0))</f>
        <v>42271</v>
      </c>
      <c r="BD238" s="142" t="str">
        <f ca="1">INDEX(CarrierDriverTBL!$AD:$AD,MATCH(LoadMaster!$AN:$AN,CarrierDriverTBL!$A:$A,0))</f>
        <v>MISSING</v>
      </c>
      <c r="BE238" s="142">
        <f>INDEX(CarrierDriverTBL!$AE:$AE,MATCH(Table1[DriverID],CarrierDriverTBL!$A:$A,0))</f>
        <v>913971</v>
      </c>
      <c r="BF238" s="142">
        <f>INDEX(CarrierDriverTBL!$AF:$AF,MATCH(Table1[DriverID],CarrierDriverTBL!$A:$A,0))</f>
        <v>2627544</v>
      </c>
      <c r="BG238" s="142">
        <f>INDEX(CarrierDriverTBL!$AG:$AG,MATCH(Table1[DriverID],CarrierDriverTBL!$A:$A,0))</f>
        <v>466133</v>
      </c>
      <c r="BH238" s="142" t="str">
        <f>INDEX(CarrierDriverTBL!$AH:$AH,MATCH(Table1[DriverID],CarrierDriverTBL!$A:$A,0))</f>
        <v>GM Lawrence Ins</v>
      </c>
      <c r="BI238" s="142" t="str">
        <f>INDEX(CarrierDriverTBL!$AI:$AI,MATCH(Table1[DriverID],CarrierDriverTBL!$A:$A,0))</f>
        <v>DSK2842P160210</v>
      </c>
      <c r="BJ238" s="160">
        <f>INDEX(CarrierDriverTBL!$AJ:$AJ,MATCH(Table1[[#This Row],[DriverID]],CarrierDriverTBL!$A:$A,0))</f>
        <v>42778</v>
      </c>
      <c r="BK238" s="10">
        <f t="shared" si="98"/>
        <v>397</v>
      </c>
      <c r="BL238" s="167">
        <v>785</v>
      </c>
      <c r="BM238" s="162">
        <v>450</v>
      </c>
      <c r="BN238" s="159">
        <f t="shared" si="115"/>
        <v>1.7444444444444445</v>
      </c>
      <c r="BO238" s="167">
        <f>0.93*BL238</f>
        <v>730.05000000000007</v>
      </c>
      <c r="BP238" s="159">
        <f t="shared" si="116"/>
        <v>1.6223333333333334</v>
      </c>
      <c r="BQ238" s="134">
        <v>2.6</v>
      </c>
      <c r="BR238" s="166">
        <f t="shared" si="117"/>
        <v>0.1166666666666667</v>
      </c>
      <c r="BS238" s="167">
        <f t="shared" si="99"/>
        <v>1.5056666666666667</v>
      </c>
      <c r="BT238" s="159">
        <f t="shared" si="100"/>
        <v>52.500000000000014</v>
      </c>
      <c r="BU238" s="10" t="str">
        <f t="shared" si="101"/>
        <v>Ch Robinson</v>
      </c>
      <c r="BV238" s="4"/>
      <c r="BW238" s="4" t="str">
        <f>Table1[[#This Row],[BrokerAddress]]</f>
        <v>P.O. Box 3474</v>
      </c>
      <c r="BX238" s="4" t="str">
        <f t="shared" si="102"/>
        <v>Chicago</v>
      </c>
      <c r="BY238" s="4" t="str">
        <f t="shared" si="103"/>
        <v>Il</v>
      </c>
      <c r="BZ238" s="4">
        <f t="shared" si="104"/>
        <v>60654</v>
      </c>
      <c r="CA238" s="10" t="str">
        <f t="shared" si="105"/>
        <v>US</v>
      </c>
      <c r="CB238" s="15" t="s">
        <v>131</v>
      </c>
      <c r="CC238" s="61"/>
      <c r="CD238" s="4" t="s">
        <v>132</v>
      </c>
      <c r="CE238" s="5">
        <v>0</v>
      </c>
      <c r="CF238" s="4">
        <v>0</v>
      </c>
      <c r="CG238" s="132">
        <f t="shared" si="106"/>
        <v>0</v>
      </c>
      <c r="CH238" s="4" t="s">
        <v>132</v>
      </c>
      <c r="CI238" s="5">
        <v>0</v>
      </c>
      <c r="CJ238" s="4">
        <v>0</v>
      </c>
      <c r="CK238" s="132">
        <f t="shared" si="107"/>
        <v>0</v>
      </c>
      <c r="CL238" s="4" t="s">
        <v>132</v>
      </c>
      <c r="CM238" s="5">
        <v>0</v>
      </c>
      <c r="CN238" s="4">
        <v>0</v>
      </c>
      <c r="CO238" s="132">
        <f t="shared" si="108"/>
        <v>0</v>
      </c>
      <c r="CP238" s="4" t="s">
        <v>132</v>
      </c>
      <c r="CQ238" s="5">
        <v>0</v>
      </c>
      <c r="CR238" s="4">
        <v>0</v>
      </c>
      <c r="CS238" s="132">
        <f t="shared" si="109"/>
        <v>0</v>
      </c>
      <c r="CT238" s="159">
        <f t="shared" si="110"/>
        <v>0</v>
      </c>
      <c r="CU238" s="168">
        <f t="shared" si="111"/>
        <v>785</v>
      </c>
      <c r="CV238" s="167">
        <f t="shared" si="94"/>
        <v>0</v>
      </c>
      <c r="CW238" s="82">
        <f t="shared" si="95"/>
        <v>730.05000000000007</v>
      </c>
      <c r="CX238" s="79">
        <f>IF(ISBLANK(E238),"AddQuickPay",IF(E238=2,CU238*0.98,IF(E238=2.4,CU238*0.976,IF(E238=3,CU238*0.97,IF(E238=5,CU238*0.95,IF(E238=1.5,CU238*0.985,IF(E238=2.5,CU238*0.975,IF(E238=1.3,CU238*0.987,IF(E238=1,CU238*0.99,IF(E238=4,CU238*0.96,CU238*1))))))))))-Table1[[#This Row],[ComCheck+QuickPayFee]]</f>
        <v>769.3</v>
      </c>
      <c r="CY238" s="5">
        <f t="shared" si="112"/>
        <v>54.949999999999932</v>
      </c>
      <c r="CZ238" s="5">
        <f t="shared" si="113"/>
        <v>15.700000000000001</v>
      </c>
      <c r="DA238" s="258">
        <f>Table1[[#This Row],[OriginalDispatch]]-Table1[[#This Row],[QuickPayCharge]]</f>
        <v>39.249999999999929</v>
      </c>
      <c r="DB238" s="5">
        <v>0</v>
      </c>
      <c r="DC238" s="5" t="s">
        <v>1287</v>
      </c>
      <c r="DD238" s="20">
        <f t="shared" si="114"/>
        <v>42384</v>
      </c>
      <c r="DE238" s="4">
        <f>MONTH(Table1[[#This Row],[Weekending]])</f>
        <v>1</v>
      </c>
      <c r="DF238" s="4">
        <f>YEAR(Table1[[#This Row],[Weekending]])</f>
        <v>2016</v>
      </c>
      <c r="DG238" s="4"/>
    </row>
    <row r="239" spans="1:111">
      <c r="A239" s="20" t="str">
        <f t="shared" si="96"/>
        <v>70070774</v>
      </c>
      <c r="B239" s="146">
        <v>42381</v>
      </c>
      <c r="C239" s="144">
        <v>6755170</v>
      </c>
      <c r="D239" s="298" t="s">
        <v>445</v>
      </c>
      <c r="E239" s="298">
        <v>3</v>
      </c>
      <c r="F239" s="298" t="str">
        <f>INDEX(BrokerTBL!$B:$B,MATCH(D239,BrokerTBL!$A:$A,0))</f>
        <v>960 Northpoint Parkway Suite 150</v>
      </c>
      <c r="G239" s="298" t="str">
        <f>INDEX(BrokerTBL!$C:$C,MATCH(D239,BrokerTBL!$A:$A,0))</f>
        <v>Alpharetta</v>
      </c>
      <c r="H239" s="298" t="str">
        <f>INDEX(BrokerTBL!$D:$D,MATCH(D239,BrokerTBL!$A:$A,0))</f>
        <v>Ga</v>
      </c>
      <c r="I239" s="298" t="str">
        <f>INDEX(BrokerTBL!$E:$E,MATCH(D239,BrokerTBL!$A:$A,0))</f>
        <v>US</v>
      </c>
      <c r="J239" s="298">
        <f>INDEX(BrokerTBL!$F:$F,MATCH(D239,BrokerTBL!$A:$A,0))</f>
        <v>30005</v>
      </c>
      <c r="K239" s="298" t="s">
        <v>1764</v>
      </c>
      <c r="L239" s="145" t="s">
        <v>1765</v>
      </c>
      <c r="M239" s="146">
        <v>42381</v>
      </c>
      <c r="N239" s="182">
        <v>0.33333333333333298</v>
      </c>
      <c r="O239" s="298" t="s">
        <v>1766</v>
      </c>
      <c r="P239" s="298" t="s">
        <v>983</v>
      </c>
      <c r="Q239" s="298" t="s">
        <v>139</v>
      </c>
      <c r="R239" s="298">
        <v>94503</v>
      </c>
      <c r="S239" s="298" t="s">
        <v>118</v>
      </c>
      <c r="T239" s="298" t="s">
        <v>136</v>
      </c>
      <c r="U239" s="298" t="s">
        <v>120</v>
      </c>
      <c r="V239" s="298">
        <v>53</v>
      </c>
      <c r="W239" s="298" t="s">
        <v>136</v>
      </c>
      <c r="X239" s="185">
        <v>40724</v>
      </c>
      <c r="Y239" s="298" t="s">
        <v>566</v>
      </c>
      <c r="Z239" s="185">
        <v>1073</v>
      </c>
      <c r="AA239" s="298">
        <v>21</v>
      </c>
      <c r="AB239" s="298" t="s">
        <v>123</v>
      </c>
      <c r="AC239" s="298" t="s">
        <v>1767</v>
      </c>
      <c r="AD239" s="145" t="s">
        <v>1765</v>
      </c>
      <c r="AE239" s="146">
        <v>42381</v>
      </c>
      <c r="AF239" s="182">
        <v>0.54166666666666696</v>
      </c>
      <c r="AG239" s="298" t="s">
        <v>1024</v>
      </c>
      <c r="AH239" s="298" t="s">
        <v>1768</v>
      </c>
      <c r="AI239" s="298" t="s">
        <v>139</v>
      </c>
      <c r="AJ239" s="298">
        <v>95037</v>
      </c>
      <c r="AK239" s="298" t="s">
        <v>118</v>
      </c>
      <c r="AL239" s="298" t="s">
        <v>123</v>
      </c>
      <c r="AM239" s="142" t="str">
        <f>INDEX(CarrierDriverTBL!$B:$B,MATCH(Table1[[#This Row],[DriverID]],CarrierDriverTBL!$A:$A,0))</f>
        <v>First Transportion</v>
      </c>
      <c r="AN239" s="10" t="s">
        <v>1769</v>
      </c>
      <c r="AO239" s="142" t="str">
        <f>INDEX(CarrierDriverTBL!$C:$C,MATCH(Table1[[#This Row],[DriverID]],CarrierDriverTBL!$A:$A,0))</f>
        <v>Manjit</v>
      </c>
      <c r="AP239" s="142" t="str">
        <f>INDEX(CarrierDriverTBL!$D:$D,MATCH(Table1[[#This Row],[DriverID]],CarrierDriverTBL!$A:$A,0))</f>
        <v>Singh</v>
      </c>
      <c r="AQ239" s="142" t="str">
        <f>INDEX(CarrierDriverTBL!$X:$X,MATCH(Table1[[#This Row],[DriverID]],CarrierDriverTBL!$A:$A,0))</f>
        <v>D4777274</v>
      </c>
      <c r="AR239" s="160">
        <f>INDEX(CarrierDriverTBL!$Y:$Y,MATCH(Table1[[#This Row],[DriverID]],CarrierDriverTBL!$A:$A,0))</f>
        <v>42576</v>
      </c>
      <c r="AS239" s="142" t="str">
        <f t="shared" si="97"/>
        <v>GOOD</v>
      </c>
      <c r="AT239" s="160">
        <f>INDEX(CarrierDriverTBL!$E:$E,MATCH(Table1[[#This Row],[DriverID]],CarrierDriverTBL!$A:$A,0))</f>
        <v>23217</v>
      </c>
      <c r="AU239" s="163">
        <f ca="1">INDEX(CarrierDriverTBL!$F:$F,MATCH(Table1[[#This Row],[DriverID]],CarrierDriverTBL!$A:$A,0))</f>
        <v>53.038356164383565</v>
      </c>
      <c r="AV239" s="142" t="str">
        <f>INDEX(CarrierDriverTBL!$K:$K,MATCH(Table1[[#This Row],[DriverID]],CarrierDriverTBL!$A:$A,0))</f>
        <v>209-409-1626 </v>
      </c>
      <c r="AW239" s="142" t="str">
        <f>INDEX(CarrierDriverTBL!$M:$M,MATCH(Table1[[#This Row],[DriverID]],CarrierDriverTBL!$A:$A,0))</f>
        <v>1860 Matterhorn St</v>
      </c>
      <c r="AX239" s="142" t="str">
        <f>INDEX(CarrierDriverTBL!$N:$N,MATCH(Table1[[#This Row],[DriverID]],CarrierDriverTBL!$A:$A,0))</f>
        <v>Manteca</v>
      </c>
      <c r="AY239" s="142" t="str">
        <f>INDEX(CarrierDriverTBL!$O:$O,MATCH(Table1[[#This Row],[DriverID]],CarrierDriverTBL!$A:$A,0))</f>
        <v>CA</v>
      </c>
      <c r="AZ239" s="142">
        <f>INDEX(CarrierDriverTBL!$P:$P,MATCH(Table1[[#This Row],[DriverID]],CarrierDriverTBL!$A:$A,0))</f>
        <v>95337</v>
      </c>
      <c r="BA239" s="142" t="str">
        <f>INDEX(CarrierDriverTBL!$Q:$Q,MATCH(Table1[[#This Row],[DriverID]],CarrierDriverTBL!$A:$A,0))</f>
        <v>US</v>
      </c>
      <c r="BB239" s="176" t="str">
        <f>INDEX(CarrierDriverTBL!$R:$R,MATCH(Table1[[#This Row],[DriverID]],CarrierDriverTBL!$A:$A,0))</f>
        <v>firsttransportation@gmail.com</v>
      </c>
      <c r="BC239" s="160">
        <f>INDEX(CarrierDriverTBL!$AB:$AB,MATCH(Table1[[#This Row],[DriverID]],CarrierDriverTBL!$A:$A,0))</f>
        <v>42271</v>
      </c>
      <c r="BD239" s="142" t="str">
        <f ca="1">INDEX(CarrierDriverTBL!$AD:$AD,MATCH(LoadMaster!$AN:$AN,CarrierDriverTBL!$A:$A,0))</f>
        <v>MISSING</v>
      </c>
      <c r="BE239" s="142">
        <f>INDEX(CarrierDriverTBL!$AE:$AE,MATCH(Table1[DriverID],CarrierDriverTBL!$A:$A,0))</f>
        <v>789222</v>
      </c>
      <c r="BF239" s="142">
        <f>INDEX(CarrierDriverTBL!$AF:$AF,MATCH(Table1[DriverID],CarrierDriverTBL!$A:$A,0))</f>
        <v>2311783</v>
      </c>
      <c r="BG239" s="142" t="str">
        <f>INDEX(CarrierDriverTBL!$AG:$AG,MATCH(Table1[DriverID],CarrierDriverTBL!$A:$A,0))</f>
        <v>Missing</v>
      </c>
      <c r="BH239" s="142" t="str">
        <f>INDEX(CarrierDriverTBL!$AH:$AH,MATCH(Table1[DriverID],CarrierDriverTBL!$A:$A,0))</f>
        <v>Northland Insurance Company</v>
      </c>
      <c r="BI239" s="142" t="str">
        <f>INDEX(CarrierDriverTBL!$AI:$AI,MATCH(Table1[DriverID],CarrierDriverTBL!$A:$A,0))</f>
        <v>WK167462</v>
      </c>
      <c r="BJ239" s="160" t="str">
        <f>INDEX(CarrierDriverTBL!$AJ:$AJ,MATCH(Table1[[#This Row],[DriverID]],CarrierDriverTBL!$A:$A,0))</f>
        <v>Missing</v>
      </c>
      <c r="BK239" s="10" t="str">
        <f t="shared" si="98"/>
        <v>MISSING</v>
      </c>
      <c r="BL239" s="174">
        <v>350</v>
      </c>
      <c r="BM239" s="144">
        <v>92</v>
      </c>
      <c r="BN239" s="159">
        <f t="shared" si="115"/>
        <v>3.8043478260869565</v>
      </c>
      <c r="BO239" s="167">
        <f>0.9*BL239</f>
        <v>315</v>
      </c>
      <c r="BP239" s="159">
        <f t="shared" si="116"/>
        <v>3.4239130434782608</v>
      </c>
      <c r="BQ239" s="133">
        <v>2.6</v>
      </c>
      <c r="BR239" s="166">
        <f t="shared" si="117"/>
        <v>0.1166666666666667</v>
      </c>
      <c r="BS239" s="167">
        <f t="shared" si="99"/>
        <v>3.3072463768115941</v>
      </c>
      <c r="BT239" s="159">
        <f t="shared" si="100"/>
        <v>10.733333333333336</v>
      </c>
      <c r="BU239" s="10" t="str">
        <f t="shared" si="101"/>
        <v>Coyote</v>
      </c>
      <c r="BV239" s="15"/>
      <c r="BW239" s="4" t="str">
        <f>Table1[[#This Row],[BrokerAddress]]</f>
        <v>960 Northpoint Parkway Suite 150</v>
      </c>
      <c r="BX239" s="4" t="str">
        <f t="shared" si="102"/>
        <v>Alpharetta</v>
      </c>
      <c r="BY239" s="4" t="str">
        <f t="shared" si="103"/>
        <v>Ga</v>
      </c>
      <c r="BZ239" s="4">
        <f t="shared" si="104"/>
        <v>30005</v>
      </c>
      <c r="CA239" s="10" t="str">
        <f t="shared" si="105"/>
        <v>US</v>
      </c>
      <c r="CB239" s="15" t="s">
        <v>131</v>
      </c>
      <c r="CC239" s="62"/>
      <c r="CD239" s="15" t="s">
        <v>132</v>
      </c>
      <c r="CE239" s="64">
        <v>0</v>
      </c>
      <c r="CF239" s="4">
        <v>0</v>
      </c>
      <c r="CG239" s="132">
        <f t="shared" si="106"/>
        <v>0</v>
      </c>
      <c r="CH239" s="4" t="s">
        <v>132</v>
      </c>
      <c r="CI239" s="5">
        <v>0</v>
      </c>
      <c r="CJ239" s="4">
        <v>0</v>
      </c>
      <c r="CK239" s="132">
        <f t="shared" si="107"/>
        <v>0</v>
      </c>
      <c r="CL239" s="4" t="s">
        <v>132</v>
      </c>
      <c r="CM239" s="5">
        <v>0</v>
      </c>
      <c r="CN239" s="4">
        <v>0</v>
      </c>
      <c r="CO239" s="132">
        <f t="shared" si="108"/>
        <v>0</v>
      </c>
      <c r="CP239" s="4" t="s">
        <v>132</v>
      </c>
      <c r="CQ239" s="5">
        <v>0</v>
      </c>
      <c r="CR239" s="4">
        <v>0</v>
      </c>
      <c r="CS239" s="132">
        <f t="shared" si="109"/>
        <v>0</v>
      </c>
      <c r="CT239" s="159">
        <f t="shared" si="110"/>
        <v>0</v>
      </c>
      <c r="CU239" s="168">
        <f t="shared" si="111"/>
        <v>350</v>
      </c>
      <c r="CV239" s="169">
        <f t="shared" si="94"/>
        <v>0</v>
      </c>
      <c r="CW239" s="82">
        <f t="shared" si="95"/>
        <v>315</v>
      </c>
      <c r="CX239" s="79">
        <f>IF(ISBLANK(E239),"AddQuickPay",IF(E239=2,CU239*0.98,IF(E239=2.4,CU239*0.976,IF(E239=3,CU239*0.97,IF(E239=5,CU239*0.95,IF(E239=1.5,CU239*0.985,IF(E239=2.5,CU239*0.975,IF(E239=1.3,CU239*0.987,IF(E239=1,CU239*0.99,IF(E239=4,CU239*0.96,CU239*1))))))))))-Table1[[#This Row],[ComCheck+QuickPayFee]]</f>
        <v>339.5</v>
      </c>
      <c r="CY239" s="5">
        <f t="shared" si="112"/>
        <v>35</v>
      </c>
      <c r="CZ239" s="5">
        <f t="shared" si="113"/>
        <v>10.5</v>
      </c>
      <c r="DA239" s="258">
        <f>Table1[[#This Row],[OriginalDispatch]]-Table1[[#This Row],[QuickPayCharge]]</f>
        <v>24.5</v>
      </c>
      <c r="DB239" s="5">
        <v>0</v>
      </c>
      <c r="DC239" s="5" t="s">
        <v>133</v>
      </c>
      <c r="DD239" s="104">
        <f t="shared" si="114"/>
        <v>42384</v>
      </c>
      <c r="DE239" s="15">
        <f>MONTH(Table1[[#This Row],[Weekending]])</f>
        <v>1</v>
      </c>
      <c r="DF239" s="15">
        <f>YEAR(Table1[[#This Row],[Weekending]])</f>
        <v>2016</v>
      </c>
      <c r="DG239" s="56"/>
    </row>
    <row r="240" spans="1:111">
      <c r="A240" s="20" t="str">
        <f t="shared" si="96"/>
        <v>4500wn19</v>
      </c>
      <c r="B240" s="160">
        <v>42381</v>
      </c>
      <c r="C240" s="162">
        <v>6487845</v>
      </c>
      <c r="D240" s="142" t="s">
        <v>555</v>
      </c>
      <c r="E240" s="142">
        <v>3</v>
      </c>
      <c r="F240" s="142" t="str">
        <f>INDEX(BrokerTBL!$B:$B,MATCH(D240,BrokerTBL!$A:$A,0))</f>
        <v>P.O. Box 799</v>
      </c>
      <c r="G240" s="142" t="str">
        <f>INDEX(BrokerTBL!$C:$C,MATCH(D240,BrokerTBL!$A:$A,0))</f>
        <v>Milford</v>
      </c>
      <c r="H240" s="142" t="str">
        <f>INDEX(BrokerTBL!$D:$D,MATCH(D240,BrokerTBL!$A:$A,0))</f>
        <v>Ohio</v>
      </c>
      <c r="I240" s="142" t="str">
        <f>INDEX(BrokerTBL!$E:$E,MATCH(D240,BrokerTBL!$A:$A,0))</f>
        <v>US</v>
      </c>
      <c r="J240" s="142">
        <f>INDEX(BrokerTBL!$F:$F,MATCH(D240,BrokerTBL!$A:$A,0))</f>
        <v>45150</v>
      </c>
      <c r="K240" s="142" t="s">
        <v>1770</v>
      </c>
      <c r="L240" s="161">
        <v>9700</v>
      </c>
      <c r="M240" s="160">
        <v>42381</v>
      </c>
      <c r="N240" s="162" t="s">
        <v>1771</v>
      </c>
      <c r="O240" s="142" t="s">
        <v>1772</v>
      </c>
      <c r="P240" s="142" t="s">
        <v>1773</v>
      </c>
      <c r="Q240" s="142" t="s">
        <v>264</v>
      </c>
      <c r="R240" s="142">
        <v>89004</v>
      </c>
      <c r="S240" s="142" t="s">
        <v>118</v>
      </c>
      <c r="T240" s="142" t="s">
        <v>1774</v>
      </c>
      <c r="U240" s="142" t="s">
        <v>120</v>
      </c>
      <c r="V240" s="142">
        <v>53</v>
      </c>
      <c r="W240" s="142" t="s">
        <v>1775</v>
      </c>
      <c r="X240" s="144" t="s">
        <v>136</v>
      </c>
      <c r="Y240" s="142" t="s">
        <v>123</v>
      </c>
      <c r="Z240" s="142" t="s">
        <v>123</v>
      </c>
      <c r="AA240" s="142" t="s">
        <v>123</v>
      </c>
      <c r="AB240" s="142" t="s">
        <v>123</v>
      </c>
      <c r="AC240" s="142" t="s">
        <v>1776</v>
      </c>
      <c r="AD240" s="161" t="s">
        <v>1205</v>
      </c>
      <c r="AE240" s="160">
        <v>42382</v>
      </c>
      <c r="AF240" s="142" t="s">
        <v>1777</v>
      </c>
      <c r="AG240" s="142" t="s">
        <v>1778</v>
      </c>
      <c r="AH240" s="142" t="s">
        <v>248</v>
      </c>
      <c r="AI240" s="142" t="s">
        <v>139</v>
      </c>
      <c r="AJ240" s="142">
        <v>93291</v>
      </c>
      <c r="AK240" s="142" t="s">
        <v>118</v>
      </c>
      <c r="AL240" s="142" t="s">
        <v>123</v>
      </c>
      <c r="AM240" s="142" t="str">
        <f>INDEX(CarrierDriverTBL!$B:$B,MATCH(Table1[[#This Row],[DriverID]],CarrierDriverTBL!$A:$A,0))</f>
        <v>UBTrucking</v>
      </c>
      <c r="AN240" s="10" t="s">
        <v>1409</v>
      </c>
      <c r="AO240" s="142" t="str">
        <f>INDEX(CarrierDriverTBL!$C:$C,MATCH(Table1[[#This Row],[DriverID]],CarrierDriverTBL!$A:$A,0))</f>
        <v>Miguel Jaime</v>
      </c>
      <c r="AP240" s="142" t="str">
        <f>INDEX(CarrierDriverTBL!$D:$D,MATCH(Table1[[#This Row],[DriverID]],CarrierDriverTBL!$A:$A,0))</f>
        <v>Martin Del Campo Velarca</v>
      </c>
      <c r="AQ240" s="142" t="str">
        <f>INDEX(CarrierDriverTBL!$X:$X,MATCH(Table1[[#This Row],[DriverID]],CarrierDriverTBL!$A:$A,0))</f>
        <v>D5179619</v>
      </c>
      <c r="AR240" s="160">
        <f>INDEX(CarrierDriverTBL!$Y:$Y,MATCH(Table1[[#This Row],[DriverID]],CarrierDriverTBL!$A:$A,0))</f>
        <v>43843</v>
      </c>
      <c r="AS240" s="142" t="str">
        <f t="shared" si="97"/>
        <v>GOOD</v>
      </c>
      <c r="AT240" s="160">
        <f>INDEX(CarrierDriverTBL!$E:$E,MATCH(Table1[[#This Row],[DriverID]],CarrierDriverTBL!$A:$A,0))</f>
        <v>21198</v>
      </c>
      <c r="AU240" s="163">
        <f ca="1">INDEX(CarrierDriverTBL!$F:$F,MATCH(Table1[[#This Row],[DriverID]],CarrierDriverTBL!$A:$A,0))</f>
        <v>58.56986301369863</v>
      </c>
      <c r="AV240" s="142" t="str">
        <f>INDEX(CarrierDriverTBL!$K:$K,MATCH(Table1[[#This Row],[DriverID]],CarrierDriverTBL!$A:$A,0))</f>
        <v>209-322-5231</v>
      </c>
      <c r="AW240" s="142" t="str">
        <f>INDEX(CarrierDriverTBL!$M:$M,MATCH(Table1[[#This Row],[DriverID]],CarrierDriverTBL!$A:$A,0))</f>
        <v>572 Predersen RD</v>
      </c>
      <c r="AX240" s="142" t="str">
        <f>INDEX(CarrierDriverTBL!$N:$N,MATCH(Table1[[#This Row],[DriverID]],CarrierDriverTBL!$A:$A,0))</f>
        <v>Oakdale</v>
      </c>
      <c r="AY240" s="142" t="str">
        <f>INDEX(CarrierDriverTBL!$O:$O,MATCH(Table1[[#This Row],[DriverID]],CarrierDriverTBL!$A:$A,0))</f>
        <v>CA</v>
      </c>
      <c r="AZ240" s="142">
        <f>INDEX(CarrierDriverTBL!$P:$P,MATCH(Table1[[#This Row],[DriverID]],CarrierDriverTBL!$A:$A,0))</f>
        <v>95361</v>
      </c>
      <c r="BA240" s="142" t="str">
        <f>INDEX(CarrierDriverTBL!$Q:$Q,MATCH(Table1[[#This Row],[DriverID]],CarrierDriverTBL!$A:$A,0))</f>
        <v>US</v>
      </c>
      <c r="BB240" s="176" t="str">
        <f>INDEX(CarrierDriverTBL!$R:$R,MATCH(Table1[[#This Row],[DriverID]],CarrierDriverTBL!$A:$A,0))</f>
        <v>Miguelmartin52@yahoo.com</v>
      </c>
      <c r="BC240" s="160">
        <f>INDEX(CarrierDriverTBL!$AB:$AB,MATCH(Table1[[#This Row],[DriverID]],CarrierDriverTBL!$A:$A,0))</f>
        <v>42334</v>
      </c>
      <c r="BD240" s="142" t="str">
        <f ca="1">INDEX(CarrierDriverTBL!$AD:$AD,MATCH(LoadMaster!$AN:$AN,CarrierDriverTBL!$A:$A,0))</f>
        <v>MISSING</v>
      </c>
      <c r="BE240" s="142">
        <f>INDEX(CarrierDriverTBL!$AE:$AE,MATCH(Table1[DriverID],CarrierDriverTBL!$A:$A,0))</f>
        <v>913971</v>
      </c>
      <c r="BF240" s="142">
        <f>INDEX(CarrierDriverTBL!$AF:$AF,MATCH(Table1[DriverID],CarrierDriverTBL!$A:$A,0))</f>
        <v>2627544</v>
      </c>
      <c r="BG240" s="142">
        <f>INDEX(CarrierDriverTBL!$AG:$AG,MATCH(Table1[DriverID],CarrierDriverTBL!$A:$A,0))</f>
        <v>466133</v>
      </c>
      <c r="BH240" s="142" t="str">
        <f>INDEX(CarrierDriverTBL!$AH:$AH,MATCH(Table1[DriverID],CarrierDriverTBL!$A:$A,0))</f>
        <v>GM Lawrence Ins</v>
      </c>
      <c r="BI240" s="142" t="str">
        <f>INDEX(CarrierDriverTBL!$AI:$AI,MATCH(Table1[DriverID],CarrierDriverTBL!$A:$A,0))</f>
        <v>DSK2842P160210</v>
      </c>
      <c r="BJ240" s="160">
        <f>INDEX(CarrierDriverTBL!$AJ:$AJ,MATCH(Table1[[#This Row],[DriverID]],CarrierDriverTBL!$A:$A,0))</f>
        <v>42778</v>
      </c>
      <c r="BK240" s="10">
        <f t="shared" si="98"/>
        <v>397</v>
      </c>
      <c r="BL240" s="167">
        <v>651.20000000000005</v>
      </c>
      <c r="BM240" s="162">
        <v>412</v>
      </c>
      <c r="BN240" s="159">
        <f t="shared" si="115"/>
        <v>1.5805825242718448</v>
      </c>
      <c r="BO240" s="167">
        <f>0.93*BL240</f>
        <v>605.6160000000001</v>
      </c>
      <c r="BP240" s="159">
        <f t="shared" si="116"/>
        <v>1.4699417475728158</v>
      </c>
      <c r="BQ240" s="134">
        <v>2.6</v>
      </c>
      <c r="BR240" s="166">
        <f t="shared" si="117"/>
        <v>0.1166666666666667</v>
      </c>
      <c r="BS240" s="167">
        <f t="shared" si="99"/>
        <v>1.3532750809061491</v>
      </c>
      <c r="BT240" s="159">
        <f t="shared" si="100"/>
        <v>48.066666666666677</v>
      </c>
      <c r="BU240" s="10" t="str">
        <f t="shared" si="101"/>
        <v>Tql</v>
      </c>
      <c r="BV240" s="4"/>
      <c r="BW240" s="4" t="str">
        <f>Table1[[#This Row],[BrokerAddress]]</f>
        <v>P.O. Box 799</v>
      </c>
      <c r="BX240" s="4" t="str">
        <f t="shared" si="102"/>
        <v>Milford</v>
      </c>
      <c r="BY240" s="4" t="str">
        <f t="shared" si="103"/>
        <v>Ohio</v>
      </c>
      <c r="BZ240" s="4">
        <f t="shared" si="104"/>
        <v>45150</v>
      </c>
      <c r="CA240" s="10" t="str">
        <f t="shared" si="105"/>
        <v>US</v>
      </c>
      <c r="CB240" s="15" t="s">
        <v>131</v>
      </c>
      <c r="CC240" s="61"/>
      <c r="CD240" s="4" t="s">
        <v>132</v>
      </c>
      <c r="CE240" s="5">
        <v>0</v>
      </c>
      <c r="CF240" s="4">
        <v>0</v>
      </c>
      <c r="CG240" s="132">
        <f t="shared" si="106"/>
        <v>0</v>
      </c>
      <c r="CH240" s="4" t="s">
        <v>132</v>
      </c>
      <c r="CI240" s="5">
        <v>0</v>
      </c>
      <c r="CJ240" s="4">
        <v>0</v>
      </c>
      <c r="CK240" s="132">
        <f t="shared" si="107"/>
        <v>0</v>
      </c>
      <c r="CL240" s="4" t="s">
        <v>132</v>
      </c>
      <c r="CM240" s="5">
        <v>0</v>
      </c>
      <c r="CN240" s="4">
        <v>0</v>
      </c>
      <c r="CO240" s="132">
        <f t="shared" si="108"/>
        <v>0</v>
      </c>
      <c r="CP240" s="4" t="s">
        <v>132</v>
      </c>
      <c r="CQ240" s="5">
        <v>0</v>
      </c>
      <c r="CR240" s="4">
        <v>0</v>
      </c>
      <c r="CS240" s="132">
        <f t="shared" si="109"/>
        <v>0</v>
      </c>
      <c r="CT240" s="159">
        <f t="shared" si="110"/>
        <v>0</v>
      </c>
      <c r="CU240" s="168">
        <f t="shared" si="111"/>
        <v>651.20000000000005</v>
      </c>
      <c r="CV240" s="167">
        <f t="shared" si="94"/>
        <v>0</v>
      </c>
      <c r="CW240" s="82">
        <f t="shared" si="95"/>
        <v>605.6160000000001</v>
      </c>
      <c r="CX240" s="79">
        <f>IF(ISBLANK(E240),"AddQuickPay",IF(E240=2,CU240*0.98,IF(E240=2.4,CU240*0.976,IF(E240=3,CU240*0.97,IF(E240=5,CU240*0.95,IF(E240=1.5,CU240*0.985,IF(E240=2.5,CU240*0.975,IF(E240=1.3,CU240*0.987,IF(E240=1,CU240*0.99,IF(E240=4,CU240*0.96,CU240*1))))))))))-Table1[[#This Row],[ComCheck+QuickPayFee]]</f>
        <v>631.66399999999999</v>
      </c>
      <c r="CY240" s="5">
        <f t="shared" si="112"/>
        <v>45.583999999999946</v>
      </c>
      <c r="CZ240" s="5">
        <f t="shared" si="113"/>
        <v>19.536000000000001</v>
      </c>
      <c r="DA240" s="258">
        <f>Table1[[#This Row],[OriginalDispatch]]-Table1[[#This Row],[QuickPayCharge]]</f>
        <v>26.047999999999945</v>
      </c>
      <c r="DB240" s="5">
        <v>0</v>
      </c>
      <c r="DC240" s="5" t="s">
        <v>133</v>
      </c>
      <c r="DD240" s="20">
        <f t="shared" si="114"/>
        <v>42384</v>
      </c>
      <c r="DE240" s="4">
        <f>MONTH(Table1[[#This Row],[Weekending]])</f>
        <v>1</v>
      </c>
      <c r="DF240" s="4">
        <f>YEAR(Table1[[#This Row],[Weekending]])</f>
        <v>2016</v>
      </c>
      <c r="DG240" s="56"/>
    </row>
    <row r="241" spans="1:111">
      <c r="A241" s="20" t="str">
        <f t="shared" si="96"/>
        <v>10wn1749</v>
      </c>
      <c r="B241" s="146">
        <v>42383</v>
      </c>
      <c r="C241" s="144">
        <v>190637710</v>
      </c>
      <c r="D241" s="298" t="s">
        <v>111</v>
      </c>
      <c r="E241" s="298">
        <v>2</v>
      </c>
      <c r="F241" s="142" t="str">
        <f>INDEX(BrokerTBL!$B:$B,MATCH(D241,BrokerTBL!$A:$A,0))</f>
        <v>P.O. Box 3474</v>
      </c>
      <c r="G241" s="142" t="str">
        <f>INDEX(BrokerTBL!$C:$C,MATCH(D241,BrokerTBL!$A:$A,0))</f>
        <v>Chicago</v>
      </c>
      <c r="H241" s="142" t="str">
        <f>INDEX(BrokerTBL!$D:$D,MATCH(D241,BrokerTBL!$A:$A,0))</f>
        <v>Il</v>
      </c>
      <c r="I241" s="142" t="str">
        <f>INDEX(BrokerTBL!$E:$E,MATCH(D241,BrokerTBL!$A:$A,0))</f>
        <v>US</v>
      </c>
      <c r="J241" s="142">
        <f>INDEX(BrokerTBL!$F:$F,MATCH(D241,BrokerTBL!$A:$A,0))</f>
        <v>60654</v>
      </c>
      <c r="K241" s="298" t="s">
        <v>1282</v>
      </c>
      <c r="L241" s="145" t="s">
        <v>1205</v>
      </c>
      <c r="M241" s="146">
        <v>42382</v>
      </c>
      <c r="N241" s="144" t="s">
        <v>1055</v>
      </c>
      <c r="O241" s="298" t="s">
        <v>943</v>
      </c>
      <c r="P241" s="298" t="s">
        <v>366</v>
      </c>
      <c r="Q241" s="298" t="s">
        <v>139</v>
      </c>
      <c r="R241" s="298" t="s">
        <v>1779</v>
      </c>
      <c r="S241" s="298" t="s">
        <v>118</v>
      </c>
      <c r="T241" s="298" t="s">
        <v>136</v>
      </c>
      <c r="U241" s="298" t="s">
        <v>120</v>
      </c>
      <c r="V241" s="298">
        <v>53</v>
      </c>
      <c r="W241" s="298" t="s">
        <v>944</v>
      </c>
      <c r="X241" s="144">
        <v>3000</v>
      </c>
      <c r="Y241" s="298" t="s">
        <v>1537</v>
      </c>
      <c r="Z241" s="298" t="s">
        <v>123</v>
      </c>
      <c r="AA241" s="298" t="s">
        <v>123</v>
      </c>
      <c r="AB241" s="298" t="s">
        <v>123</v>
      </c>
      <c r="AC241" s="298" t="s">
        <v>1780</v>
      </c>
      <c r="AD241" s="145" t="s">
        <v>1781</v>
      </c>
      <c r="AE241" s="146" t="s">
        <v>1782</v>
      </c>
      <c r="AF241" s="298" t="s">
        <v>1783</v>
      </c>
      <c r="AG241" s="298" t="s">
        <v>1784</v>
      </c>
      <c r="AH241" s="298" t="s">
        <v>1785</v>
      </c>
      <c r="AI241" s="298" t="s">
        <v>139</v>
      </c>
      <c r="AJ241" s="298" t="s">
        <v>1786</v>
      </c>
      <c r="AK241" s="298" t="s">
        <v>118</v>
      </c>
      <c r="AL241" s="298" t="s">
        <v>123</v>
      </c>
      <c r="AM241" s="142" t="str">
        <f>INDEX(CarrierDriverTBL!$B:$B,MATCH(Table1[[#This Row],[DriverID]],CarrierDriverTBL!$A:$A,0))</f>
        <v>UBTrucking</v>
      </c>
      <c r="AN241" s="10" t="s">
        <v>192</v>
      </c>
      <c r="AO241" s="10" t="str">
        <f>INDEX(CarrierDriverTBL!$C:$C,MATCH(Table1[[#This Row],[DriverID]],CarrierDriverTBL!$A:$A,0))</f>
        <v>Albel</v>
      </c>
      <c r="AP241" s="142" t="str">
        <f>INDEX(CarrierDriverTBL!$D:$D,MATCH(Table1[[#This Row],[DriverID]],CarrierDriverTBL!$A:$A,0))</f>
        <v>Chahil</v>
      </c>
      <c r="AQ241" s="142" t="str">
        <f>INDEX(CarrierDriverTBL!$X:$X,MATCH(Table1[[#This Row],[DriverID]],CarrierDriverTBL!$A:$A,0))</f>
        <v>A8390649</v>
      </c>
      <c r="AR241" s="160">
        <f>INDEX(CarrierDriverTBL!$Y:$Y,MATCH(Table1[[#This Row],[DriverID]],CarrierDriverTBL!$A:$A,0))</f>
        <v>42402</v>
      </c>
      <c r="AS241" s="142" t="str">
        <f t="shared" si="97"/>
        <v>GOOD</v>
      </c>
      <c r="AT241" s="160">
        <f>INDEX(CarrierDriverTBL!$E:$E,MATCH(Table1[[#This Row],[DriverID]],CarrierDriverTBL!$A:$A,0))</f>
        <v>22314</v>
      </c>
      <c r="AU241" s="163">
        <f ca="1">INDEX(CarrierDriverTBL!$F:$F,MATCH(Table1[[#This Row],[DriverID]],CarrierDriverTBL!$A:$A,0))</f>
        <v>55.512328767123286</v>
      </c>
      <c r="AV241" s="142" t="str">
        <f>INDEX(CarrierDriverTBL!$K:$K,MATCH(Table1[[#This Row],[DriverID]],CarrierDriverTBL!$A:$A,0))</f>
        <v>510-773-9450</v>
      </c>
      <c r="AW241" s="142" t="str">
        <f>INDEX(CarrierDriverTBL!$M:$M,MATCH(Table1[[#This Row],[DriverID]],CarrierDriverTBL!$A:$A,0))</f>
        <v>3124 Cynthia CT</v>
      </c>
      <c r="AX241" s="142" t="str">
        <f>INDEX(CarrierDriverTBL!$N:$N,MATCH(Table1[[#This Row],[DriverID]],CarrierDriverTBL!$A:$A,0))</f>
        <v>Tracy</v>
      </c>
      <c r="AY241" s="142" t="str">
        <f>INDEX(CarrierDriverTBL!$O:$O,MATCH(Table1[[#This Row],[DriverID]],CarrierDriverTBL!$A:$A,0))</f>
        <v>CA</v>
      </c>
      <c r="AZ241" s="142">
        <f>INDEX(CarrierDriverTBL!$P:$P,MATCH(Table1[[#This Row],[DriverID]],CarrierDriverTBL!$A:$A,0))</f>
        <v>95377</v>
      </c>
      <c r="BA241" s="142" t="str">
        <f>INDEX(CarrierDriverTBL!$Q:$Q,MATCH(Table1[[#This Row],[DriverID]],CarrierDriverTBL!$A:$A,0))</f>
        <v>US</v>
      </c>
      <c r="BB241" s="176" t="str">
        <f>INDEX(CarrierDriverTBL!$R:$R,MATCH(Table1[[#This Row],[DriverID]],CarrierDriverTBL!$A:$A,0))</f>
        <v>ubgollc@gmail.com</v>
      </c>
      <c r="BC241" s="160">
        <f>INDEX(CarrierDriverTBL!$AB:$AB,MATCH(Table1[[#This Row],[DriverID]],CarrierDriverTBL!$A:$A,0))</f>
        <v>42167</v>
      </c>
      <c r="BD241" s="142" t="str">
        <f ca="1">INDEX(CarrierDriverTBL!$AD:$AD,MATCH(LoadMaster!$AN:$AN,CarrierDriverTBL!$A:$A,0))</f>
        <v>MISSING</v>
      </c>
      <c r="BE241" s="142">
        <f>INDEX(CarrierDriverTBL!$AE:$AE,MATCH(Table1[DriverID],CarrierDriverTBL!$A:$A,0))</f>
        <v>913971</v>
      </c>
      <c r="BF241" s="142">
        <f>INDEX(CarrierDriverTBL!$AF:$AF,MATCH(Table1[DriverID],CarrierDriverTBL!$A:$A,0))</f>
        <v>2627544</v>
      </c>
      <c r="BG241" s="142">
        <f>INDEX(CarrierDriverTBL!$AG:$AG,MATCH(Table1[DriverID],CarrierDriverTBL!$A:$A,0))</f>
        <v>466133</v>
      </c>
      <c r="BH241" s="142" t="str">
        <f>INDEX(CarrierDriverTBL!$AH:$AH,MATCH(Table1[DriverID],CarrierDriverTBL!$A:$A,0))</f>
        <v>GM Lawrence Ins</v>
      </c>
      <c r="BI241" s="142" t="str">
        <f>INDEX(CarrierDriverTBL!$AI:$AI,MATCH(Table1[DriverID],CarrierDriverTBL!$A:$A,0))</f>
        <v>DSK2842P160210</v>
      </c>
      <c r="BJ241" s="160">
        <f>INDEX(CarrierDriverTBL!$AJ:$AJ,MATCH(Table1[[#This Row],[DriverID]],CarrierDriverTBL!$A:$A,0))</f>
        <v>42778</v>
      </c>
      <c r="BK241" s="10">
        <f t="shared" si="98"/>
        <v>396</v>
      </c>
      <c r="BL241" s="174">
        <v>550</v>
      </c>
      <c r="BM241" s="144">
        <v>360</v>
      </c>
      <c r="BN241" s="159">
        <f t="shared" si="115"/>
        <v>1.5277777777777777</v>
      </c>
      <c r="BO241" s="167">
        <f>0.93*BL241</f>
        <v>511.5</v>
      </c>
      <c r="BP241" s="159">
        <f t="shared" si="116"/>
        <v>1.4208333333333334</v>
      </c>
      <c r="BQ241" s="133">
        <v>2.6</v>
      </c>
      <c r="BR241" s="166">
        <f t="shared" si="117"/>
        <v>0.1166666666666667</v>
      </c>
      <c r="BS241" s="167">
        <f t="shared" si="99"/>
        <v>1.3041666666666667</v>
      </c>
      <c r="BT241" s="159">
        <f t="shared" si="100"/>
        <v>42.000000000000014</v>
      </c>
      <c r="BU241" s="10" t="str">
        <f t="shared" si="101"/>
        <v>Ch Robinson</v>
      </c>
      <c r="BV241" s="4"/>
      <c r="BW241" s="4" t="str">
        <f>Table1[[#This Row],[BrokerAddress]]</f>
        <v>P.O. Box 3474</v>
      </c>
      <c r="BX241" s="4" t="str">
        <f t="shared" si="102"/>
        <v>Chicago</v>
      </c>
      <c r="BY241" s="4" t="str">
        <f t="shared" si="103"/>
        <v>Il</v>
      </c>
      <c r="BZ241" s="4">
        <f t="shared" si="104"/>
        <v>60654</v>
      </c>
      <c r="CA241" s="10" t="str">
        <f t="shared" si="105"/>
        <v>US</v>
      </c>
      <c r="CB241" s="15" t="s">
        <v>131</v>
      </c>
      <c r="CC241" s="62"/>
      <c r="CD241" s="15" t="s">
        <v>1314</v>
      </c>
      <c r="CE241" s="64">
        <v>25</v>
      </c>
      <c r="CF241" s="4">
        <v>2</v>
      </c>
      <c r="CG241" s="132">
        <f t="shared" si="106"/>
        <v>50</v>
      </c>
      <c r="CH241" s="4" t="s">
        <v>132</v>
      </c>
      <c r="CI241" s="5">
        <v>0</v>
      </c>
      <c r="CJ241" s="4">
        <v>0</v>
      </c>
      <c r="CK241" s="132">
        <f t="shared" si="107"/>
        <v>0</v>
      </c>
      <c r="CL241" s="4" t="s">
        <v>132</v>
      </c>
      <c r="CM241" s="5">
        <v>0</v>
      </c>
      <c r="CN241" s="4">
        <v>0</v>
      </c>
      <c r="CO241" s="132">
        <f t="shared" si="108"/>
        <v>0</v>
      </c>
      <c r="CP241" s="4" t="s">
        <v>132</v>
      </c>
      <c r="CQ241" s="5">
        <v>0</v>
      </c>
      <c r="CR241" s="4">
        <v>0</v>
      </c>
      <c r="CS241" s="132">
        <f t="shared" si="109"/>
        <v>0</v>
      </c>
      <c r="CT241" s="159">
        <f t="shared" si="110"/>
        <v>50</v>
      </c>
      <c r="CU241" s="168">
        <f t="shared" si="111"/>
        <v>600</v>
      </c>
      <c r="CV241" s="169">
        <f t="shared" si="94"/>
        <v>50</v>
      </c>
      <c r="CW241" s="82">
        <f t="shared" si="95"/>
        <v>561.5</v>
      </c>
      <c r="CX241" s="79">
        <f>IF(ISBLANK(E241),"AddQuickPay",IF(E241=2,CU241*0.98,IF(E241=2.4,CU241*0.976,IF(E241=3,CU241*0.97,IF(E241=5,CU241*0.95,IF(E241=1.5,CU241*0.985,IF(E241=2.5,CU241*0.975,IF(E241=1.3,CU241*0.987,IF(E241=1,CU241*0.99,IF(E241=4,CU241*0.96,CU241*1))))))))))-Table1[[#This Row],[ComCheck+QuickPayFee]]</f>
        <v>588</v>
      </c>
      <c r="CY241" s="5">
        <f t="shared" si="112"/>
        <v>38.5</v>
      </c>
      <c r="CZ241" s="5">
        <f t="shared" si="113"/>
        <v>12</v>
      </c>
      <c r="DA241" s="258">
        <f>Table1[[#This Row],[OriginalDispatch]]-Table1[[#This Row],[QuickPayCharge]]</f>
        <v>26.5</v>
      </c>
      <c r="DB241" s="5">
        <v>0</v>
      </c>
      <c r="DC241" s="5" t="s">
        <v>133</v>
      </c>
      <c r="DD241" s="104">
        <f t="shared" si="114"/>
        <v>42384</v>
      </c>
      <c r="DE241" s="15">
        <f>MONTH(Table1[[#This Row],[Weekending]])</f>
        <v>1</v>
      </c>
      <c r="DF241" s="15">
        <f>YEAR(Table1[[#This Row],[Weekending]])</f>
        <v>2016</v>
      </c>
      <c r="DG241" s="4"/>
    </row>
    <row r="242" spans="1:111">
      <c r="A242" s="20" t="str">
        <f t="shared" si="96"/>
        <v>53860249</v>
      </c>
      <c r="B242" s="160">
        <v>42382</v>
      </c>
      <c r="C242" s="162">
        <v>190521653</v>
      </c>
      <c r="D242" s="142" t="s">
        <v>111</v>
      </c>
      <c r="E242" s="142">
        <v>2</v>
      </c>
      <c r="F242" s="142" t="str">
        <f>INDEX(BrokerTBL!$B:$B,MATCH(D242,BrokerTBL!$A:$A,0))</f>
        <v>P.O. Box 3474</v>
      </c>
      <c r="G242" s="142" t="str">
        <f>INDEX(BrokerTBL!$C:$C,MATCH(D242,BrokerTBL!$A:$A,0))</f>
        <v>Chicago</v>
      </c>
      <c r="H242" s="142" t="str">
        <f>INDEX(BrokerTBL!$D:$D,MATCH(D242,BrokerTBL!$A:$A,0))</f>
        <v>Il</v>
      </c>
      <c r="I242" s="142" t="str">
        <f>INDEX(BrokerTBL!$E:$E,MATCH(D242,BrokerTBL!$A:$A,0))</f>
        <v>US</v>
      </c>
      <c r="J242" s="142">
        <f>INDEX(BrokerTBL!$F:$F,MATCH(D242,BrokerTBL!$A:$A,0))</f>
        <v>60654</v>
      </c>
      <c r="K242" s="142" t="s">
        <v>1787</v>
      </c>
      <c r="L242" s="161">
        <v>324086</v>
      </c>
      <c r="M242" s="160">
        <v>42382</v>
      </c>
      <c r="N242" s="162" t="s">
        <v>136</v>
      </c>
      <c r="O242" s="142" t="s">
        <v>1788</v>
      </c>
      <c r="P242" s="142" t="s">
        <v>228</v>
      </c>
      <c r="Q242" s="142" t="s">
        <v>139</v>
      </c>
      <c r="R242" s="142">
        <v>94545</v>
      </c>
      <c r="S242" s="142" t="s">
        <v>118</v>
      </c>
      <c r="T242" s="142" t="s">
        <v>1789</v>
      </c>
      <c r="U242" s="142" t="s">
        <v>120</v>
      </c>
      <c r="V242" s="142">
        <v>53</v>
      </c>
      <c r="W242" s="142" t="s">
        <v>601</v>
      </c>
      <c r="X242" s="186">
        <v>37224</v>
      </c>
      <c r="Y242" s="142" t="s">
        <v>1537</v>
      </c>
      <c r="Z242" s="142" t="s">
        <v>123</v>
      </c>
      <c r="AA242" s="142">
        <v>2</v>
      </c>
      <c r="AB242" s="142" t="s">
        <v>123</v>
      </c>
      <c r="AC242" s="142" t="s">
        <v>1790</v>
      </c>
      <c r="AD242" s="161">
        <v>102190160112002</v>
      </c>
      <c r="AE242" s="160">
        <v>42382</v>
      </c>
      <c r="AF242" s="142" t="s">
        <v>1550</v>
      </c>
      <c r="AG242" s="142" t="s">
        <v>1791</v>
      </c>
      <c r="AH242" s="142" t="s">
        <v>605</v>
      </c>
      <c r="AI242" s="142" t="s">
        <v>139</v>
      </c>
      <c r="AJ242" s="142">
        <v>95330</v>
      </c>
      <c r="AK242" s="142" t="s">
        <v>118</v>
      </c>
      <c r="AL242" s="142" t="s">
        <v>1792</v>
      </c>
      <c r="AM242" s="142" t="str">
        <f>INDEX(CarrierDriverTBL!$B:$B,MATCH(Table1[[#This Row],[DriverID]],CarrierDriverTBL!$A:$A,0))</f>
        <v>UBTrucking</v>
      </c>
      <c r="AN242" s="10" t="s">
        <v>192</v>
      </c>
      <c r="AO242" s="10" t="str">
        <f>INDEX(CarrierDriverTBL!$C:$C,MATCH(Table1[[#This Row],[DriverID]],CarrierDriverTBL!$A:$A,0))</f>
        <v>Albel</v>
      </c>
      <c r="AP242" s="142" t="str">
        <f>INDEX(CarrierDriverTBL!$D:$D,MATCH(Table1[[#This Row],[DriverID]],CarrierDriverTBL!$A:$A,0))</f>
        <v>Chahil</v>
      </c>
      <c r="AQ242" s="142" t="str">
        <f>INDEX(CarrierDriverTBL!$X:$X,MATCH(Table1[[#This Row],[DriverID]],CarrierDriverTBL!$A:$A,0))</f>
        <v>A8390649</v>
      </c>
      <c r="AR242" s="160">
        <f>INDEX(CarrierDriverTBL!$Y:$Y,MATCH(Table1[[#This Row],[DriverID]],CarrierDriverTBL!$A:$A,0))</f>
        <v>42402</v>
      </c>
      <c r="AS242" s="142" t="str">
        <f t="shared" si="97"/>
        <v>GOOD</v>
      </c>
      <c r="AT242" s="160">
        <f>INDEX(CarrierDriverTBL!$E:$E,MATCH(Table1[[#This Row],[DriverID]],CarrierDriverTBL!$A:$A,0))</f>
        <v>22314</v>
      </c>
      <c r="AU242" s="163">
        <f ca="1">INDEX(CarrierDriverTBL!$F:$F,MATCH(Table1[[#This Row],[DriverID]],CarrierDriverTBL!$A:$A,0))</f>
        <v>55.512328767123286</v>
      </c>
      <c r="AV242" s="142" t="str">
        <f>INDEX(CarrierDriverTBL!$K:$K,MATCH(Table1[[#This Row],[DriverID]],CarrierDriverTBL!$A:$A,0))</f>
        <v>510-773-9450</v>
      </c>
      <c r="AW242" s="142" t="str">
        <f>INDEX(CarrierDriverTBL!$M:$M,MATCH(Table1[[#This Row],[DriverID]],CarrierDriverTBL!$A:$A,0))</f>
        <v>3124 Cynthia CT</v>
      </c>
      <c r="AX242" s="142" t="str">
        <f>INDEX(CarrierDriverTBL!$N:$N,MATCH(Table1[[#This Row],[DriverID]],CarrierDriverTBL!$A:$A,0))</f>
        <v>Tracy</v>
      </c>
      <c r="AY242" s="142" t="str">
        <f>INDEX(CarrierDriverTBL!$O:$O,MATCH(Table1[[#This Row],[DriverID]],CarrierDriverTBL!$A:$A,0))</f>
        <v>CA</v>
      </c>
      <c r="AZ242" s="142">
        <f>INDEX(CarrierDriverTBL!$P:$P,MATCH(Table1[[#This Row],[DriverID]],CarrierDriverTBL!$A:$A,0))</f>
        <v>95377</v>
      </c>
      <c r="BA242" s="142" t="str">
        <f>INDEX(CarrierDriverTBL!$Q:$Q,MATCH(Table1[[#This Row],[DriverID]],CarrierDriverTBL!$A:$A,0))</f>
        <v>US</v>
      </c>
      <c r="BB242" s="176" t="str">
        <f>INDEX(CarrierDriverTBL!$R:$R,MATCH(Table1[[#This Row],[DriverID]],CarrierDriverTBL!$A:$A,0))</f>
        <v>ubgollc@gmail.com</v>
      </c>
      <c r="BC242" s="160">
        <f>INDEX(CarrierDriverTBL!$AB:$AB,MATCH(Table1[[#This Row],[DriverID]],CarrierDriverTBL!$A:$A,0))</f>
        <v>42167</v>
      </c>
      <c r="BD242" s="142" t="str">
        <f ca="1">INDEX(CarrierDriverTBL!$AD:$AD,MATCH(LoadMaster!$AN:$AN,CarrierDriverTBL!$A:$A,0))</f>
        <v>MISSING</v>
      </c>
      <c r="BE242" s="142">
        <f>INDEX(CarrierDriverTBL!$AE:$AE,MATCH(Table1[DriverID],CarrierDriverTBL!$A:$A,0))</f>
        <v>913971</v>
      </c>
      <c r="BF242" s="142">
        <f>INDEX(CarrierDriverTBL!$AF:$AF,MATCH(Table1[DriverID],CarrierDriverTBL!$A:$A,0))</f>
        <v>2627544</v>
      </c>
      <c r="BG242" s="142">
        <f>INDEX(CarrierDriverTBL!$AG:$AG,MATCH(Table1[DriverID],CarrierDriverTBL!$A:$A,0))</f>
        <v>466133</v>
      </c>
      <c r="BH242" s="142" t="str">
        <f>INDEX(CarrierDriverTBL!$AH:$AH,MATCH(Table1[DriverID],CarrierDriverTBL!$A:$A,0))</f>
        <v>GM Lawrence Ins</v>
      </c>
      <c r="BI242" s="142" t="str">
        <f>INDEX(CarrierDriverTBL!$AI:$AI,MATCH(Table1[DriverID],CarrierDriverTBL!$A:$A,0))</f>
        <v>DSK2842P160210</v>
      </c>
      <c r="BJ242" s="160">
        <f>INDEX(CarrierDriverTBL!$AJ:$AJ,MATCH(Table1[[#This Row],[DriverID]],CarrierDriverTBL!$A:$A,0))</f>
        <v>42778</v>
      </c>
      <c r="BK242" s="10">
        <f t="shared" si="98"/>
        <v>396</v>
      </c>
      <c r="BL242" s="167">
        <v>375</v>
      </c>
      <c r="BM242" s="162">
        <v>51</v>
      </c>
      <c r="BN242" s="159">
        <f t="shared" si="115"/>
        <v>7.3529411764705879</v>
      </c>
      <c r="BO242" s="167">
        <v>325</v>
      </c>
      <c r="BP242" s="159">
        <f t="shared" si="116"/>
        <v>6.3725490196078427</v>
      </c>
      <c r="BQ242" s="134">
        <v>2.6</v>
      </c>
      <c r="BR242" s="166">
        <f t="shared" si="117"/>
        <v>0.1166666666666667</v>
      </c>
      <c r="BS242" s="167">
        <f t="shared" si="99"/>
        <v>6.2558823529411764</v>
      </c>
      <c r="BT242" s="159">
        <f t="shared" si="100"/>
        <v>5.9500000000000011</v>
      </c>
      <c r="BU242" s="10" t="str">
        <f t="shared" si="101"/>
        <v>Ch Robinson</v>
      </c>
      <c r="BV242" s="4"/>
      <c r="BW242" s="4" t="str">
        <f>Table1[[#This Row],[BrokerAddress]]</f>
        <v>P.O. Box 3474</v>
      </c>
      <c r="BX242" s="4" t="str">
        <f t="shared" si="102"/>
        <v>Chicago</v>
      </c>
      <c r="BY242" s="4" t="str">
        <f t="shared" si="103"/>
        <v>Il</v>
      </c>
      <c r="BZ242" s="4">
        <f t="shared" si="104"/>
        <v>60654</v>
      </c>
      <c r="CA242" s="10" t="str">
        <f t="shared" si="105"/>
        <v>US</v>
      </c>
      <c r="CB242" s="15" t="s">
        <v>131</v>
      </c>
      <c r="CC242" s="61"/>
      <c r="CD242" s="4" t="s">
        <v>132</v>
      </c>
      <c r="CE242" s="5">
        <v>0</v>
      </c>
      <c r="CF242" s="4">
        <v>0</v>
      </c>
      <c r="CG242" s="132">
        <f t="shared" si="106"/>
        <v>0</v>
      </c>
      <c r="CH242" s="4" t="s">
        <v>132</v>
      </c>
      <c r="CI242" s="5">
        <v>0</v>
      </c>
      <c r="CJ242" s="4">
        <v>0</v>
      </c>
      <c r="CK242" s="132">
        <f t="shared" si="107"/>
        <v>0</v>
      </c>
      <c r="CL242" s="4" t="s">
        <v>132</v>
      </c>
      <c r="CM242" s="5">
        <v>0</v>
      </c>
      <c r="CN242" s="4">
        <v>0</v>
      </c>
      <c r="CO242" s="132">
        <f t="shared" si="108"/>
        <v>0</v>
      </c>
      <c r="CP242" s="4" t="s">
        <v>132</v>
      </c>
      <c r="CQ242" s="5">
        <v>0</v>
      </c>
      <c r="CR242" s="4">
        <v>0</v>
      </c>
      <c r="CS242" s="132">
        <f t="shared" si="109"/>
        <v>0</v>
      </c>
      <c r="CT242" s="159">
        <f t="shared" si="110"/>
        <v>0</v>
      </c>
      <c r="CU242" s="168">
        <f t="shared" si="111"/>
        <v>375</v>
      </c>
      <c r="CV242" s="167">
        <f t="shared" si="94"/>
        <v>0</v>
      </c>
      <c r="CW242" s="82">
        <f t="shared" si="95"/>
        <v>325</v>
      </c>
      <c r="CX242" s="79">
        <f>IF(ISBLANK(E242),"AddQuickPay",IF(E242=2,CU242*0.98,IF(E242=2.4,CU242*0.976,IF(E242=3,CU242*0.97,IF(E242=5,CU242*0.95,IF(E242=1.5,CU242*0.985,IF(E242=2.5,CU242*0.975,IF(E242=1.3,CU242*0.987,IF(E242=1,CU242*0.99,IF(E242=4,CU242*0.96,CU242*1))))))))))-Table1[[#This Row],[ComCheck+QuickPayFee]]</f>
        <v>367.5</v>
      </c>
      <c r="CY242" s="5">
        <f t="shared" si="112"/>
        <v>50</v>
      </c>
      <c r="CZ242" s="5">
        <f t="shared" si="113"/>
        <v>7.5</v>
      </c>
      <c r="DA242" s="258">
        <f>Table1[[#This Row],[OriginalDispatch]]-Table1[[#This Row],[QuickPayCharge]]</f>
        <v>42.5</v>
      </c>
      <c r="DB242" s="5">
        <v>0</v>
      </c>
      <c r="DC242" s="5" t="s">
        <v>133</v>
      </c>
      <c r="DD242" s="20">
        <f t="shared" si="114"/>
        <v>42384</v>
      </c>
      <c r="DE242" s="4">
        <f>MONTH(Table1[[#This Row],[Weekending]])</f>
        <v>1</v>
      </c>
      <c r="DF242" s="4">
        <f>YEAR(Table1[[#This Row],[Weekending]])</f>
        <v>2016</v>
      </c>
      <c r="DG242" s="4"/>
    </row>
    <row r="243" spans="1:111">
      <c r="A243" s="20" t="str">
        <f t="shared" si="96"/>
        <v>33579788</v>
      </c>
      <c r="B243" s="146">
        <v>42382</v>
      </c>
      <c r="C243" s="144">
        <v>190527533</v>
      </c>
      <c r="D243" s="298" t="s">
        <v>111</v>
      </c>
      <c r="E243" s="298">
        <v>2</v>
      </c>
      <c r="F243" s="142" t="str">
        <f>INDEX(BrokerTBL!$B:$B,MATCH(D243,BrokerTBL!$A:$A,0))</f>
        <v>P.O. Box 3474</v>
      </c>
      <c r="G243" s="142" t="str">
        <f>INDEX(BrokerTBL!$C:$C,MATCH(D243,BrokerTBL!$A:$A,0))</f>
        <v>Chicago</v>
      </c>
      <c r="H243" s="142" t="str">
        <f>INDEX(BrokerTBL!$D:$D,MATCH(D243,BrokerTBL!$A:$A,0))</f>
        <v>Il</v>
      </c>
      <c r="I243" s="142" t="str">
        <f>INDEX(BrokerTBL!$E:$E,MATCH(D243,BrokerTBL!$A:$A,0))</f>
        <v>US</v>
      </c>
      <c r="J243" s="142">
        <f>INDEX(BrokerTBL!$F:$F,MATCH(D243,BrokerTBL!$A:$A,0))</f>
        <v>60654</v>
      </c>
      <c r="K243" s="298" t="s">
        <v>1793</v>
      </c>
      <c r="L243" s="145" t="s">
        <v>1794</v>
      </c>
      <c r="M243" s="146">
        <v>42382</v>
      </c>
      <c r="N243" s="162" t="s">
        <v>136</v>
      </c>
      <c r="O243" s="298" t="s">
        <v>1795</v>
      </c>
      <c r="P243" s="298" t="s">
        <v>449</v>
      </c>
      <c r="Q243" s="298" t="s">
        <v>139</v>
      </c>
      <c r="R243" s="298">
        <v>95050</v>
      </c>
      <c r="S243" s="298" t="s">
        <v>118</v>
      </c>
      <c r="T243" s="298" t="s">
        <v>136</v>
      </c>
      <c r="U243" s="298" t="s">
        <v>120</v>
      </c>
      <c r="V243" s="298">
        <v>53</v>
      </c>
      <c r="W243" s="298" t="s">
        <v>1796</v>
      </c>
      <c r="X243" s="185">
        <v>45000</v>
      </c>
      <c r="Y243" s="298" t="s">
        <v>123</v>
      </c>
      <c r="Z243" s="298">
        <v>13</v>
      </c>
      <c r="AA243" s="298">
        <v>13</v>
      </c>
      <c r="AB243" s="298" t="s">
        <v>123</v>
      </c>
      <c r="AC243" s="298" t="s">
        <v>1797</v>
      </c>
      <c r="AD243" s="145">
        <v>11997</v>
      </c>
      <c r="AE243" s="146">
        <v>42382</v>
      </c>
      <c r="AF243" s="298" t="s">
        <v>1418</v>
      </c>
      <c r="AG243" s="298" t="s">
        <v>1798</v>
      </c>
      <c r="AH243" s="298" t="s">
        <v>1799</v>
      </c>
      <c r="AI243" s="298" t="s">
        <v>139</v>
      </c>
      <c r="AJ243" s="298" t="s">
        <v>1800</v>
      </c>
      <c r="AK243" s="298" t="s">
        <v>118</v>
      </c>
      <c r="AL243" s="298" t="s">
        <v>1801</v>
      </c>
      <c r="AM243" s="142" t="str">
        <f>INDEX(CarrierDriverTBL!$B:$B,MATCH(Table1[[#This Row],[DriverID]],CarrierDriverTBL!$A:$A,0))</f>
        <v>UBTrucking</v>
      </c>
      <c r="AN243" s="10" t="s">
        <v>948</v>
      </c>
      <c r="AO243" s="10" t="str">
        <f>INDEX(CarrierDriverTBL!$C:$C,MATCH(Table1[[#This Row],[DriverID]],CarrierDriverTBL!$A:$A,0))</f>
        <v>Wesley</v>
      </c>
      <c r="AP243" s="10" t="str">
        <f>INDEX(CarrierDriverTBL!$D:$D,MATCH(Table1[[#This Row],[DriverID]],CarrierDriverTBL!$A:$A,0))</f>
        <v>Cousain</v>
      </c>
      <c r="AQ243" s="10" t="str">
        <f>INDEX(CarrierDriverTBL!$X:$X,MATCH(Table1[[#This Row],[DriverID]],CarrierDriverTBL!$A:$A,0))</f>
        <v>D4903588</v>
      </c>
      <c r="AR243" s="11">
        <f>INDEX(CarrierDriverTBL!$Y:$Y,MATCH(Table1[[#This Row],[DriverID]],CarrierDriverTBL!$A:$A,0))</f>
        <v>43458</v>
      </c>
      <c r="AS243" s="142" t="str">
        <f t="shared" si="97"/>
        <v>GOOD</v>
      </c>
      <c r="AT243" s="11">
        <f>INDEX(CarrierDriverTBL!$E:$E,MATCH(Table1[[#This Row],[DriverID]],CarrierDriverTBL!$A:$A,0))</f>
        <v>31405</v>
      </c>
      <c r="AU243" s="163">
        <f ca="1">INDEX(CarrierDriverTBL!$F:$F,MATCH(Table1[[#This Row],[DriverID]],CarrierDriverTBL!$A:$A,0))</f>
        <v>30.605479452054794</v>
      </c>
      <c r="AV243" s="10" t="str">
        <f>INDEX(CarrierDriverTBL!$K:$K,MATCH(Table1[[#This Row],[DriverID]],CarrierDriverTBL!$A:$A,0))</f>
        <v>925-383-5364</v>
      </c>
      <c r="AW243" s="10" t="str">
        <f>INDEX(CarrierDriverTBL!$M:$M,MATCH(Table1[[#This Row],[DriverID]],CarrierDriverTBL!$A:$A,0))</f>
        <v>110 Cordova Ln</v>
      </c>
      <c r="AX243" s="10" t="str">
        <f>INDEX(CarrierDriverTBL!$N:$N,MATCH(Table1[[#This Row],[DriverID]],CarrierDriverTBL!$A:$A,0))</f>
        <v>Stockton</v>
      </c>
      <c r="AY243" s="10" t="str">
        <f>INDEX(CarrierDriverTBL!$O:$O,MATCH(Table1[[#This Row],[DriverID]],CarrierDriverTBL!$A:$A,0))</f>
        <v>CA</v>
      </c>
      <c r="AZ243" s="10">
        <f>INDEX(CarrierDriverTBL!$P:$P,MATCH(Table1[[#This Row],[DriverID]],CarrierDriverTBL!$A:$A,0))</f>
        <v>95207</v>
      </c>
      <c r="BA243" s="10" t="str">
        <f>INDEX(CarrierDriverTBL!$Q:$Q,MATCH(Table1[[#This Row],[DriverID]],CarrierDriverTBL!$A:$A,0))</f>
        <v>US</v>
      </c>
      <c r="BB243" s="173" t="str">
        <f>INDEX(CarrierDriverTBL!$R:$R,MATCH(Table1[[#This Row],[DriverID]],CarrierDriverTBL!$A:$A,0))</f>
        <v>wesleycousain1@gmail.com</v>
      </c>
      <c r="BC243" s="160">
        <f>INDEX(CarrierDriverTBL!$AB:$AB,MATCH(Table1[[#This Row],[DriverID]],CarrierDriverTBL!$A:$A,0))</f>
        <v>42271</v>
      </c>
      <c r="BD243" s="142" t="str">
        <f ca="1">INDEX(CarrierDriverTBL!$AD:$AD,MATCH(LoadMaster!$AN:$AN,CarrierDriverTBL!$A:$A,0))</f>
        <v>MISSING</v>
      </c>
      <c r="BE243" s="142">
        <f>INDEX(CarrierDriverTBL!$AE:$AE,MATCH(Table1[DriverID],CarrierDriverTBL!$A:$A,0))</f>
        <v>913971</v>
      </c>
      <c r="BF243" s="142">
        <f>INDEX(CarrierDriverTBL!$AF:$AF,MATCH(Table1[DriverID],CarrierDriverTBL!$A:$A,0))</f>
        <v>2627544</v>
      </c>
      <c r="BG243" s="142">
        <f>INDEX(CarrierDriverTBL!$AG:$AG,MATCH(Table1[DriverID],CarrierDriverTBL!$A:$A,0))</f>
        <v>466133</v>
      </c>
      <c r="BH243" s="142" t="str">
        <f>INDEX(CarrierDriverTBL!$AH:$AH,MATCH(Table1[DriverID],CarrierDriverTBL!$A:$A,0))</f>
        <v>GM Lawrence Ins</v>
      </c>
      <c r="BI243" s="142" t="str">
        <f>INDEX(CarrierDriverTBL!$AI:$AI,MATCH(Table1[DriverID],CarrierDriverTBL!$A:$A,0))</f>
        <v>DSK2842P160210</v>
      </c>
      <c r="BJ243" s="160">
        <f>INDEX(CarrierDriverTBL!$AJ:$AJ,MATCH(Table1[[#This Row],[DriverID]],CarrierDriverTBL!$A:$A,0))</f>
        <v>42778</v>
      </c>
      <c r="BK243" s="10">
        <f t="shared" si="98"/>
        <v>396</v>
      </c>
      <c r="BL243" s="174">
        <v>500</v>
      </c>
      <c r="BM243" s="144">
        <v>205</v>
      </c>
      <c r="BN243" s="159">
        <f t="shared" si="115"/>
        <v>2.4390243902439024</v>
      </c>
      <c r="BO243" s="167">
        <f>0.93*500</f>
        <v>465</v>
      </c>
      <c r="BP243" s="159">
        <f t="shared" si="116"/>
        <v>2.2682926829268291</v>
      </c>
      <c r="BQ243" s="133">
        <v>2.6</v>
      </c>
      <c r="BR243" s="166">
        <f t="shared" si="117"/>
        <v>0.1166666666666667</v>
      </c>
      <c r="BS243" s="167">
        <f t="shared" si="99"/>
        <v>2.1516260162601624</v>
      </c>
      <c r="BT243" s="159">
        <f t="shared" si="100"/>
        <v>23.916666666666671</v>
      </c>
      <c r="BU243" s="10" t="str">
        <f t="shared" si="101"/>
        <v>Ch Robinson</v>
      </c>
      <c r="BV243" s="4"/>
      <c r="BW243" s="4" t="str">
        <f>Table1[[#This Row],[BrokerAddress]]</f>
        <v>P.O. Box 3474</v>
      </c>
      <c r="BX243" s="4" t="str">
        <f t="shared" si="102"/>
        <v>Chicago</v>
      </c>
      <c r="BY243" s="4" t="str">
        <f t="shared" si="103"/>
        <v>Il</v>
      </c>
      <c r="BZ243" s="4">
        <f t="shared" si="104"/>
        <v>60654</v>
      </c>
      <c r="CA243" s="10" t="str">
        <f t="shared" si="105"/>
        <v>US</v>
      </c>
      <c r="CB243" s="15" t="s">
        <v>131</v>
      </c>
      <c r="CC243" s="62"/>
      <c r="CD243" s="15" t="s">
        <v>132</v>
      </c>
      <c r="CE243" s="64">
        <v>0</v>
      </c>
      <c r="CF243" s="4">
        <v>0</v>
      </c>
      <c r="CG243" s="132">
        <f t="shared" si="106"/>
        <v>0</v>
      </c>
      <c r="CH243" s="4" t="s">
        <v>132</v>
      </c>
      <c r="CI243" s="5">
        <v>0</v>
      </c>
      <c r="CJ243" s="4">
        <v>0</v>
      </c>
      <c r="CK243" s="132">
        <f t="shared" si="107"/>
        <v>0</v>
      </c>
      <c r="CL243" s="4" t="s">
        <v>132</v>
      </c>
      <c r="CM243" s="5">
        <v>0</v>
      </c>
      <c r="CN243" s="4">
        <v>0</v>
      </c>
      <c r="CO243" s="132">
        <f t="shared" si="108"/>
        <v>0</v>
      </c>
      <c r="CP243" s="4" t="s">
        <v>132</v>
      </c>
      <c r="CQ243" s="5">
        <v>0</v>
      </c>
      <c r="CR243" s="4">
        <v>0</v>
      </c>
      <c r="CS243" s="132">
        <f t="shared" si="109"/>
        <v>0</v>
      </c>
      <c r="CT243" s="159">
        <f t="shared" si="110"/>
        <v>0</v>
      </c>
      <c r="CU243" s="168">
        <f t="shared" si="111"/>
        <v>500</v>
      </c>
      <c r="CV243" s="169">
        <f t="shared" si="94"/>
        <v>0</v>
      </c>
      <c r="CW243" s="82">
        <f t="shared" si="95"/>
        <v>465</v>
      </c>
      <c r="CX243" s="79">
        <f>IF(ISBLANK(E243),"AddQuickPay",IF(E243=2,CU243*0.98,IF(E243=2.4,CU243*0.976,IF(E243=3,CU243*0.97,IF(E243=5,CU243*0.95,IF(E243=1.5,CU243*0.985,IF(E243=2.5,CU243*0.975,IF(E243=1.3,CU243*0.987,IF(E243=1,CU243*0.99,IF(E243=4,CU243*0.96,CU243*1))))))))))-Table1[[#This Row],[ComCheck+QuickPayFee]]</f>
        <v>490</v>
      </c>
      <c r="CY243" s="5">
        <f t="shared" si="112"/>
        <v>35</v>
      </c>
      <c r="CZ243" s="5">
        <f t="shared" si="113"/>
        <v>10</v>
      </c>
      <c r="DA243" s="258">
        <f>Table1[[#This Row],[OriginalDispatch]]-Table1[[#This Row],[QuickPayCharge]]</f>
        <v>25</v>
      </c>
      <c r="DB243" s="5">
        <v>0</v>
      </c>
      <c r="DC243" s="5" t="s">
        <v>1287</v>
      </c>
      <c r="DD243" s="104">
        <f t="shared" si="114"/>
        <v>42384</v>
      </c>
      <c r="DE243" s="15">
        <f>MONTH(Table1[[#This Row],[Weekending]])</f>
        <v>1</v>
      </c>
      <c r="DF243" s="15">
        <f>YEAR(Table1[[#This Row],[Weekending]])</f>
        <v>2016</v>
      </c>
      <c r="DG243" s="4"/>
    </row>
    <row r="244" spans="1:111">
      <c r="A244" s="20" t="str">
        <f t="shared" si="96"/>
        <v>34849519</v>
      </c>
      <c r="B244" s="160">
        <v>42382</v>
      </c>
      <c r="C244" s="162">
        <v>189684534</v>
      </c>
      <c r="D244" s="142" t="s">
        <v>111</v>
      </c>
      <c r="E244" s="142">
        <v>2</v>
      </c>
      <c r="F244" s="142" t="str">
        <f>INDEX(BrokerTBL!$B:$B,MATCH(D244,BrokerTBL!$A:$A,0))</f>
        <v>P.O. Box 3474</v>
      </c>
      <c r="G244" s="142" t="str">
        <f>INDEX(BrokerTBL!$C:$C,MATCH(D244,BrokerTBL!$A:$A,0))</f>
        <v>Chicago</v>
      </c>
      <c r="H244" s="142" t="str">
        <f>INDEX(BrokerTBL!$D:$D,MATCH(D244,BrokerTBL!$A:$A,0))</f>
        <v>Il</v>
      </c>
      <c r="I244" s="142" t="str">
        <f>INDEX(BrokerTBL!$E:$E,MATCH(D244,BrokerTBL!$A:$A,0))</f>
        <v>US</v>
      </c>
      <c r="J244" s="142">
        <f>INDEX(BrokerTBL!$F:$F,MATCH(D244,BrokerTBL!$A:$A,0))</f>
        <v>60654</v>
      </c>
      <c r="K244" s="142" t="s">
        <v>1802</v>
      </c>
      <c r="L244" s="161">
        <v>4197884</v>
      </c>
      <c r="M244" s="160">
        <v>42382</v>
      </c>
      <c r="N244" s="162" t="s">
        <v>1453</v>
      </c>
      <c r="O244" s="142" t="s">
        <v>1803</v>
      </c>
      <c r="P244" s="142" t="s">
        <v>839</v>
      </c>
      <c r="Q244" s="142" t="s">
        <v>139</v>
      </c>
      <c r="R244" s="142">
        <v>93274</v>
      </c>
      <c r="S244" s="142" t="s">
        <v>118</v>
      </c>
      <c r="T244" s="142" t="s">
        <v>1804</v>
      </c>
      <c r="U244" s="142" t="s">
        <v>120</v>
      </c>
      <c r="V244" s="142">
        <v>53</v>
      </c>
      <c r="W244" s="142" t="s">
        <v>1805</v>
      </c>
      <c r="X244" s="186">
        <v>40320</v>
      </c>
      <c r="Y244" s="142" t="s">
        <v>1537</v>
      </c>
      <c r="Z244" s="186">
        <v>2016</v>
      </c>
      <c r="AA244" s="142">
        <v>48</v>
      </c>
      <c r="AB244" s="142" t="s">
        <v>123</v>
      </c>
      <c r="AC244" s="142" t="s">
        <v>1806</v>
      </c>
      <c r="AD244" s="161">
        <v>359895</v>
      </c>
      <c r="AE244" s="160">
        <v>42383</v>
      </c>
      <c r="AF244" s="142" t="s">
        <v>1032</v>
      </c>
      <c r="AG244" s="142" t="s">
        <v>1807</v>
      </c>
      <c r="AH244" s="142" t="s">
        <v>184</v>
      </c>
      <c r="AI244" s="142" t="s">
        <v>139</v>
      </c>
      <c r="AJ244" s="142">
        <v>95215</v>
      </c>
      <c r="AK244" s="142" t="s">
        <v>118</v>
      </c>
      <c r="AL244" s="142" t="s">
        <v>1808</v>
      </c>
      <c r="AM244" s="142" t="str">
        <f>INDEX(CarrierDriverTBL!$B:$B,MATCH(Table1[[#This Row],[DriverID]],CarrierDriverTBL!$A:$A,0))</f>
        <v>UBTrucking</v>
      </c>
      <c r="AN244" s="10" t="s">
        <v>1409</v>
      </c>
      <c r="AO244" s="142" t="str">
        <f>INDEX(CarrierDriverTBL!$C:$C,MATCH(Table1[[#This Row],[DriverID]],CarrierDriverTBL!$A:$A,0))</f>
        <v>Miguel Jaime</v>
      </c>
      <c r="AP244" s="142" t="str">
        <f>INDEX(CarrierDriverTBL!$D:$D,MATCH(Table1[[#This Row],[DriverID]],CarrierDriverTBL!$A:$A,0))</f>
        <v>Martin Del Campo Velarca</v>
      </c>
      <c r="AQ244" s="142" t="str">
        <f>INDEX(CarrierDriverTBL!$X:$X,MATCH(Table1[[#This Row],[DriverID]],CarrierDriverTBL!$A:$A,0))</f>
        <v>D5179619</v>
      </c>
      <c r="AR244" s="160">
        <f>INDEX(CarrierDriverTBL!$Y:$Y,MATCH(Table1[[#This Row],[DriverID]],CarrierDriverTBL!$A:$A,0))</f>
        <v>43843</v>
      </c>
      <c r="AS244" s="142" t="str">
        <f t="shared" si="97"/>
        <v>GOOD</v>
      </c>
      <c r="AT244" s="160">
        <f>INDEX(CarrierDriverTBL!$E:$E,MATCH(Table1[[#This Row],[DriverID]],CarrierDriverTBL!$A:$A,0))</f>
        <v>21198</v>
      </c>
      <c r="AU244" s="163">
        <f ca="1">INDEX(CarrierDriverTBL!$F:$F,MATCH(Table1[[#This Row],[DriverID]],CarrierDriverTBL!$A:$A,0))</f>
        <v>58.56986301369863</v>
      </c>
      <c r="AV244" s="142" t="str">
        <f>INDEX(CarrierDriverTBL!$K:$K,MATCH(Table1[[#This Row],[DriverID]],CarrierDriverTBL!$A:$A,0))</f>
        <v>209-322-5231</v>
      </c>
      <c r="AW244" s="142" t="str">
        <f>INDEX(CarrierDriverTBL!$M:$M,MATCH(Table1[[#This Row],[DriverID]],CarrierDriverTBL!$A:$A,0))</f>
        <v>572 Predersen RD</v>
      </c>
      <c r="AX244" s="142" t="str">
        <f>INDEX(CarrierDriverTBL!$N:$N,MATCH(Table1[[#This Row],[DriverID]],CarrierDriverTBL!$A:$A,0))</f>
        <v>Oakdale</v>
      </c>
      <c r="AY244" s="142" t="str">
        <f>INDEX(CarrierDriverTBL!$O:$O,MATCH(Table1[[#This Row],[DriverID]],CarrierDriverTBL!$A:$A,0))</f>
        <v>CA</v>
      </c>
      <c r="AZ244" s="142">
        <f>INDEX(CarrierDriverTBL!$P:$P,MATCH(Table1[[#This Row],[DriverID]],CarrierDriverTBL!$A:$A,0))</f>
        <v>95361</v>
      </c>
      <c r="BA244" s="142" t="str">
        <f>INDEX(CarrierDriverTBL!$Q:$Q,MATCH(Table1[[#This Row],[DriverID]],CarrierDriverTBL!$A:$A,0))</f>
        <v>US</v>
      </c>
      <c r="BB244" s="176" t="str">
        <f>INDEX(CarrierDriverTBL!$R:$R,MATCH(Table1[[#This Row],[DriverID]],CarrierDriverTBL!$A:$A,0))</f>
        <v>Miguelmartin52@yahoo.com</v>
      </c>
      <c r="BC244" s="160">
        <f>INDEX(CarrierDriverTBL!$AB:$AB,MATCH(Table1[[#This Row],[DriverID]],CarrierDriverTBL!$A:$A,0))</f>
        <v>42334</v>
      </c>
      <c r="BD244" s="142" t="str">
        <f ca="1">INDEX(CarrierDriverTBL!$AD:$AD,MATCH(LoadMaster!$AN:$AN,CarrierDriverTBL!$A:$A,0))</f>
        <v>MISSING</v>
      </c>
      <c r="BE244" s="142">
        <f>INDEX(CarrierDriverTBL!$AE:$AE,MATCH(Table1[DriverID],CarrierDriverTBL!$A:$A,0))</f>
        <v>913971</v>
      </c>
      <c r="BF244" s="142">
        <f>INDEX(CarrierDriverTBL!$AF:$AF,MATCH(Table1[DriverID],CarrierDriverTBL!$A:$A,0))</f>
        <v>2627544</v>
      </c>
      <c r="BG244" s="142">
        <f>INDEX(CarrierDriverTBL!$AG:$AG,MATCH(Table1[DriverID],CarrierDriverTBL!$A:$A,0))</f>
        <v>466133</v>
      </c>
      <c r="BH244" s="142" t="str">
        <f>INDEX(CarrierDriverTBL!$AH:$AH,MATCH(Table1[DriverID],CarrierDriverTBL!$A:$A,0))</f>
        <v>GM Lawrence Ins</v>
      </c>
      <c r="BI244" s="142" t="str">
        <f>INDEX(CarrierDriverTBL!$AI:$AI,MATCH(Table1[DriverID],CarrierDriverTBL!$A:$A,0))</f>
        <v>DSK2842P160210</v>
      </c>
      <c r="BJ244" s="160">
        <f>INDEX(CarrierDriverTBL!$AJ:$AJ,MATCH(Table1[[#This Row],[DriverID]],CarrierDriverTBL!$A:$A,0))</f>
        <v>42778</v>
      </c>
      <c r="BK244" s="10">
        <f t="shared" si="98"/>
        <v>396</v>
      </c>
      <c r="BL244" s="167">
        <v>375</v>
      </c>
      <c r="BM244" s="162">
        <v>170</v>
      </c>
      <c r="BN244" s="159">
        <f t="shared" si="115"/>
        <v>2.2058823529411766</v>
      </c>
      <c r="BO244" s="167">
        <f>0.93*BL244</f>
        <v>348.75</v>
      </c>
      <c r="BP244" s="159">
        <f t="shared" si="116"/>
        <v>2.0514705882352939</v>
      </c>
      <c r="BQ244" s="134">
        <v>2.6</v>
      </c>
      <c r="BR244" s="166">
        <f t="shared" si="117"/>
        <v>0.1166666666666667</v>
      </c>
      <c r="BS244" s="167">
        <f t="shared" si="99"/>
        <v>1.9348039215686272</v>
      </c>
      <c r="BT244" s="159">
        <f t="shared" si="100"/>
        <v>19.833333333333339</v>
      </c>
      <c r="BU244" s="10" t="str">
        <f t="shared" si="101"/>
        <v>Ch Robinson</v>
      </c>
      <c r="BV244" s="4"/>
      <c r="BW244" s="4" t="str">
        <f>Table1[[#This Row],[BrokerAddress]]</f>
        <v>P.O. Box 3474</v>
      </c>
      <c r="BX244" s="4" t="str">
        <f t="shared" si="102"/>
        <v>Chicago</v>
      </c>
      <c r="BY244" s="4" t="str">
        <f t="shared" si="103"/>
        <v>Il</v>
      </c>
      <c r="BZ244" s="4">
        <f t="shared" si="104"/>
        <v>60654</v>
      </c>
      <c r="CA244" s="10" t="str">
        <f t="shared" si="105"/>
        <v>US</v>
      </c>
      <c r="CB244" s="15" t="s">
        <v>131</v>
      </c>
      <c r="CC244" s="61"/>
      <c r="CD244" s="212" t="s">
        <v>149</v>
      </c>
      <c r="CE244" s="213">
        <v>0</v>
      </c>
      <c r="CF244" s="212">
        <v>1.5</v>
      </c>
      <c r="CG244" s="132">
        <f t="shared" si="106"/>
        <v>0</v>
      </c>
      <c r="CH244" s="4" t="s">
        <v>132</v>
      </c>
      <c r="CI244" s="5">
        <v>0</v>
      </c>
      <c r="CJ244" s="4">
        <v>0</v>
      </c>
      <c r="CK244" s="132">
        <f t="shared" si="107"/>
        <v>0</v>
      </c>
      <c r="CL244" s="4" t="s">
        <v>132</v>
      </c>
      <c r="CM244" s="5">
        <v>0</v>
      </c>
      <c r="CN244" s="4">
        <v>0</v>
      </c>
      <c r="CO244" s="132">
        <f t="shared" si="108"/>
        <v>0</v>
      </c>
      <c r="CP244" s="4" t="s">
        <v>132</v>
      </c>
      <c r="CQ244" s="5">
        <v>0</v>
      </c>
      <c r="CR244" s="4">
        <v>0</v>
      </c>
      <c r="CS244" s="132">
        <f t="shared" si="109"/>
        <v>0</v>
      </c>
      <c r="CT244" s="159">
        <f t="shared" si="110"/>
        <v>0</v>
      </c>
      <c r="CU244" s="168">
        <f t="shared" si="111"/>
        <v>375</v>
      </c>
      <c r="CV244" s="167">
        <f t="shared" si="94"/>
        <v>0</v>
      </c>
      <c r="CW244" s="82">
        <f t="shared" si="95"/>
        <v>348.75</v>
      </c>
      <c r="CX244" s="79">
        <f>IF(ISBLANK(E244),"AddQuickPay",IF(E244=2,CU244*0.98,IF(E244=2.4,CU244*0.976,IF(E244=3,CU244*0.97,IF(E244=5,CU244*0.95,IF(E244=1.5,CU244*0.985,IF(E244=2.5,CU244*0.975,IF(E244=1.3,CU244*0.987,IF(E244=1,CU244*0.99,IF(E244=4,CU244*0.96,CU244*1))))))))))-Table1[[#This Row],[ComCheck+QuickPayFee]]</f>
        <v>367.5</v>
      </c>
      <c r="CY244" s="5">
        <f t="shared" si="112"/>
        <v>26.25</v>
      </c>
      <c r="CZ244" s="5">
        <f t="shared" si="113"/>
        <v>7.5</v>
      </c>
      <c r="DA244" s="258">
        <f>Table1[[#This Row],[OriginalDispatch]]-Table1[[#This Row],[QuickPayCharge]]</f>
        <v>18.75</v>
      </c>
      <c r="DB244" s="5">
        <v>0</v>
      </c>
      <c r="DC244" s="5" t="s">
        <v>133</v>
      </c>
      <c r="DD244" s="20">
        <f t="shared" si="114"/>
        <v>42384</v>
      </c>
      <c r="DE244" s="4">
        <f>MONTH(Table1[[#This Row],[Weekending]])</f>
        <v>1</v>
      </c>
      <c r="DF244" s="4">
        <f>YEAR(Table1[[#This Row],[Weekending]])</f>
        <v>2016</v>
      </c>
      <c r="DG244" s="29" t="s">
        <v>1752</v>
      </c>
    </row>
    <row r="245" spans="1:111">
      <c r="A245" s="20" t="str">
        <f t="shared" si="96"/>
        <v>7102ne88</v>
      </c>
      <c r="B245" s="146">
        <v>42383</v>
      </c>
      <c r="C245" s="144">
        <v>190629371</v>
      </c>
      <c r="D245" s="298" t="s">
        <v>111</v>
      </c>
      <c r="E245" s="298">
        <v>2</v>
      </c>
      <c r="F245" s="142" t="str">
        <f>INDEX(BrokerTBL!$B:$B,MATCH(D245,BrokerTBL!$A:$A,0))</f>
        <v>P.O. Box 3474</v>
      </c>
      <c r="G245" s="142" t="str">
        <f>INDEX(BrokerTBL!$C:$C,MATCH(D245,BrokerTBL!$A:$A,0))</f>
        <v>Chicago</v>
      </c>
      <c r="H245" s="142" t="str">
        <f>INDEX(BrokerTBL!$D:$D,MATCH(D245,BrokerTBL!$A:$A,0))</f>
        <v>Il</v>
      </c>
      <c r="I245" s="142" t="str">
        <f>INDEX(BrokerTBL!$E:$E,MATCH(D245,BrokerTBL!$A:$A,0))</f>
        <v>US</v>
      </c>
      <c r="J245" s="142">
        <f>INDEX(BrokerTBL!$F:$F,MATCH(D245,BrokerTBL!$A:$A,0))</f>
        <v>60654</v>
      </c>
      <c r="K245" s="298" t="s">
        <v>1797</v>
      </c>
      <c r="L245" s="145" t="s">
        <v>1809</v>
      </c>
      <c r="M245" s="146">
        <v>42383</v>
      </c>
      <c r="N245" s="144" t="s">
        <v>1150</v>
      </c>
      <c r="O245" s="298" t="s">
        <v>1798</v>
      </c>
      <c r="P245" s="298" t="s">
        <v>1799</v>
      </c>
      <c r="Q245" s="298" t="s">
        <v>139</v>
      </c>
      <c r="R245" s="298" t="s">
        <v>1800</v>
      </c>
      <c r="S245" s="298" t="s">
        <v>118</v>
      </c>
      <c r="T245" s="298" t="s">
        <v>136</v>
      </c>
      <c r="U245" s="298" t="s">
        <v>120</v>
      </c>
      <c r="V245" s="298">
        <v>53</v>
      </c>
      <c r="W245" s="298" t="s">
        <v>1796</v>
      </c>
      <c r="X245" s="185">
        <v>42000</v>
      </c>
      <c r="Y245" s="298" t="s">
        <v>1537</v>
      </c>
      <c r="Z245" s="298">
        <v>40</v>
      </c>
      <c r="AA245" s="298">
        <v>40</v>
      </c>
      <c r="AB245" s="298" t="s">
        <v>123</v>
      </c>
      <c r="AC245" s="298" t="s">
        <v>1810</v>
      </c>
      <c r="AD245" s="145" t="s">
        <v>132</v>
      </c>
      <c r="AE245" s="146">
        <v>42383</v>
      </c>
      <c r="AF245" s="182">
        <v>0.54166666666666696</v>
      </c>
      <c r="AG245" s="298" t="s">
        <v>1811</v>
      </c>
      <c r="AH245" s="298" t="s">
        <v>1812</v>
      </c>
      <c r="AI245" s="298" t="s">
        <v>139</v>
      </c>
      <c r="AJ245" s="298" t="s">
        <v>1813</v>
      </c>
      <c r="AK245" s="298" t="s">
        <v>118</v>
      </c>
      <c r="AL245" s="298" t="s">
        <v>123</v>
      </c>
      <c r="AM245" s="142" t="str">
        <f>INDEX(CarrierDriverTBL!$B:$B,MATCH(Table1[[#This Row],[DriverID]],CarrierDriverTBL!$A:$A,0))</f>
        <v>UBTrucking</v>
      </c>
      <c r="AN245" s="10" t="s">
        <v>948</v>
      </c>
      <c r="AO245" s="10" t="str">
        <f>INDEX(CarrierDriverTBL!$C:$C,MATCH(Table1[[#This Row],[DriverID]],CarrierDriverTBL!$A:$A,0))</f>
        <v>Wesley</v>
      </c>
      <c r="AP245" s="10" t="str">
        <f>INDEX(CarrierDriverTBL!$D:$D,MATCH(Table1[[#This Row],[DriverID]],CarrierDriverTBL!$A:$A,0))</f>
        <v>Cousain</v>
      </c>
      <c r="AQ245" s="10" t="str">
        <f>INDEX(CarrierDriverTBL!$X:$X,MATCH(Table1[[#This Row],[DriverID]],CarrierDriverTBL!$A:$A,0))</f>
        <v>D4903588</v>
      </c>
      <c r="AR245" s="11">
        <f>INDEX(CarrierDriverTBL!$Y:$Y,MATCH(Table1[[#This Row],[DriverID]],CarrierDriverTBL!$A:$A,0))</f>
        <v>43458</v>
      </c>
      <c r="AS245" s="142" t="str">
        <f t="shared" si="97"/>
        <v>GOOD</v>
      </c>
      <c r="AT245" s="11">
        <f>INDEX(CarrierDriverTBL!$E:$E,MATCH(Table1[[#This Row],[DriverID]],CarrierDriverTBL!$A:$A,0))</f>
        <v>31405</v>
      </c>
      <c r="AU245" s="163">
        <f ca="1">INDEX(CarrierDriverTBL!$F:$F,MATCH(Table1[[#This Row],[DriverID]],CarrierDriverTBL!$A:$A,0))</f>
        <v>30.605479452054794</v>
      </c>
      <c r="AV245" s="10" t="str">
        <f>INDEX(CarrierDriverTBL!$K:$K,MATCH(Table1[[#This Row],[DriverID]],CarrierDriverTBL!$A:$A,0))</f>
        <v>925-383-5364</v>
      </c>
      <c r="AW245" s="10" t="str">
        <f>INDEX(CarrierDriverTBL!$M:$M,MATCH(Table1[[#This Row],[DriverID]],CarrierDriverTBL!$A:$A,0))</f>
        <v>110 Cordova Ln</v>
      </c>
      <c r="AX245" s="10" t="str">
        <f>INDEX(CarrierDriverTBL!$N:$N,MATCH(Table1[[#This Row],[DriverID]],CarrierDriverTBL!$A:$A,0))</f>
        <v>Stockton</v>
      </c>
      <c r="AY245" s="10" t="str">
        <f>INDEX(CarrierDriverTBL!$O:$O,MATCH(Table1[[#This Row],[DriverID]],CarrierDriverTBL!$A:$A,0))</f>
        <v>CA</v>
      </c>
      <c r="AZ245" s="10">
        <f>INDEX(CarrierDriverTBL!$P:$P,MATCH(Table1[[#This Row],[DriverID]],CarrierDriverTBL!$A:$A,0))</f>
        <v>95207</v>
      </c>
      <c r="BA245" s="10" t="str">
        <f>INDEX(CarrierDriverTBL!$Q:$Q,MATCH(Table1[[#This Row],[DriverID]],CarrierDriverTBL!$A:$A,0))</f>
        <v>US</v>
      </c>
      <c r="BB245" s="173" t="str">
        <f>INDEX(CarrierDriverTBL!$R:$R,MATCH(Table1[[#This Row],[DriverID]],CarrierDriverTBL!$A:$A,0))</f>
        <v>wesleycousain1@gmail.com</v>
      </c>
      <c r="BC245" s="160">
        <f>INDEX(CarrierDriverTBL!$AB:$AB,MATCH(Table1[[#This Row],[DriverID]],CarrierDriverTBL!$A:$A,0))</f>
        <v>42271</v>
      </c>
      <c r="BD245" s="142" t="str">
        <f ca="1">INDEX(CarrierDriverTBL!$AD:$AD,MATCH(LoadMaster!$AN:$AN,CarrierDriverTBL!$A:$A,0))</f>
        <v>MISSING</v>
      </c>
      <c r="BE245" s="142">
        <f>INDEX(CarrierDriverTBL!$AE:$AE,MATCH(Table1[DriverID],CarrierDriverTBL!$A:$A,0))</f>
        <v>913971</v>
      </c>
      <c r="BF245" s="142">
        <f>INDEX(CarrierDriverTBL!$AF:$AF,MATCH(Table1[DriverID],CarrierDriverTBL!$A:$A,0))</f>
        <v>2627544</v>
      </c>
      <c r="BG245" s="142">
        <f>INDEX(CarrierDriverTBL!$AG:$AG,MATCH(Table1[DriverID],CarrierDriverTBL!$A:$A,0))</f>
        <v>466133</v>
      </c>
      <c r="BH245" s="142" t="str">
        <f>INDEX(CarrierDriverTBL!$AH:$AH,MATCH(Table1[DriverID],CarrierDriverTBL!$A:$A,0))</f>
        <v>GM Lawrence Ins</v>
      </c>
      <c r="BI245" s="142" t="str">
        <f>INDEX(CarrierDriverTBL!$AI:$AI,MATCH(Table1[DriverID],CarrierDriverTBL!$A:$A,0))</f>
        <v>DSK2842P160210</v>
      </c>
      <c r="BJ245" s="160">
        <f>INDEX(CarrierDriverTBL!$AJ:$AJ,MATCH(Table1[[#This Row],[DriverID]],CarrierDriverTBL!$A:$A,0))</f>
        <v>42778</v>
      </c>
      <c r="BK245" s="10">
        <f t="shared" si="98"/>
        <v>395</v>
      </c>
      <c r="BL245" s="174">
        <v>450</v>
      </c>
      <c r="BM245" s="144">
        <v>150</v>
      </c>
      <c r="BN245" s="159">
        <f t="shared" si="115"/>
        <v>3</v>
      </c>
      <c r="BO245" s="167">
        <f>0.93*BL245</f>
        <v>418.5</v>
      </c>
      <c r="BP245" s="159">
        <f t="shared" si="116"/>
        <v>2.79</v>
      </c>
      <c r="BQ245" s="133">
        <v>2.6</v>
      </c>
      <c r="BR245" s="166">
        <f t="shared" si="117"/>
        <v>0.1166666666666667</v>
      </c>
      <c r="BS245" s="167">
        <f t="shared" si="99"/>
        <v>2.6733333333333333</v>
      </c>
      <c r="BT245" s="159">
        <f t="shared" si="100"/>
        <v>17.500000000000004</v>
      </c>
      <c r="BU245" s="10" t="str">
        <f t="shared" si="101"/>
        <v>Ch Robinson</v>
      </c>
      <c r="BV245" s="4"/>
      <c r="BW245" s="4" t="str">
        <f>Table1[[#This Row],[BrokerAddress]]</f>
        <v>P.O. Box 3474</v>
      </c>
      <c r="BX245" s="4" t="str">
        <f t="shared" si="102"/>
        <v>Chicago</v>
      </c>
      <c r="BY245" s="4" t="str">
        <f t="shared" si="103"/>
        <v>Il</v>
      </c>
      <c r="BZ245" s="4">
        <f t="shared" si="104"/>
        <v>60654</v>
      </c>
      <c r="CA245" s="10" t="str">
        <f t="shared" si="105"/>
        <v>US</v>
      </c>
      <c r="CB245" s="15" t="s">
        <v>131</v>
      </c>
      <c r="CC245" s="62"/>
      <c r="CD245" s="15" t="s">
        <v>1814</v>
      </c>
      <c r="CE245" s="64">
        <v>30</v>
      </c>
      <c r="CF245" s="4">
        <v>1</v>
      </c>
      <c r="CG245" s="132">
        <f t="shared" si="106"/>
        <v>30</v>
      </c>
      <c r="CH245" s="4" t="s">
        <v>132</v>
      </c>
      <c r="CI245" s="5">
        <v>0</v>
      </c>
      <c r="CJ245" s="4">
        <v>0</v>
      </c>
      <c r="CK245" s="132">
        <f t="shared" si="107"/>
        <v>0</v>
      </c>
      <c r="CL245" s="4" t="s">
        <v>132</v>
      </c>
      <c r="CM245" s="5">
        <v>0</v>
      </c>
      <c r="CN245" s="4">
        <v>0</v>
      </c>
      <c r="CO245" s="132">
        <f t="shared" si="108"/>
        <v>0</v>
      </c>
      <c r="CP245" s="4" t="s">
        <v>132</v>
      </c>
      <c r="CQ245" s="5">
        <v>0</v>
      </c>
      <c r="CR245" s="4">
        <v>0</v>
      </c>
      <c r="CS245" s="132">
        <f t="shared" si="109"/>
        <v>0</v>
      </c>
      <c r="CT245" s="159">
        <f t="shared" si="110"/>
        <v>30</v>
      </c>
      <c r="CU245" s="168">
        <f t="shared" si="111"/>
        <v>480</v>
      </c>
      <c r="CV245" s="169">
        <f t="shared" si="94"/>
        <v>27.900000000000002</v>
      </c>
      <c r="CW245" s="82">
        <f t="shared" si="95"/>
        <v>446.4</v>
      </c>
      <c r="CX245" s="79">
        <f>IF(ISBLANK(E245),"AddQuickPay",IF(E245=2,CU245*0.98,IF(E245=2.4,CU245*0.976,IF(E245=3,CU245*0.97,IF(E245=5,CU245*0.95,IF(E245=1.5,CU245*0.985,IF(E245=2.5,CU245*0.975,IF(E245=1.3,CU245*0.987,IF(E245=1,CU245*0.99,IF(E245=4,CU245*0.96,CU245*1))))))))))-Table1[[#This Row],[ComCheck+QuickPayFee]]</f>
        <v>470.4</v>
      </c>
      <c r="CY245" s="5">
        <f t="shared" si="112"/>
        <v>33.600000000000023</v>
      </c>
      <c r="CZ245" s="5">
        <f t="shared" si="113"/>
        <v>9.6</v>
      </c>
      <c r="DA245" s="258">
        <f>Table1[[#This Row],[OriginalDispatch]]-Table1[[#This Row],[QuickPayCharge]]</f>
        <v>24.000000000000021</v>
      </c>
      <c r="DB245" s="5">
        <v>0</v>
      </c>
      <c r="DC245" s="5" t="s">
        <v>1287</v>
      </c>
      <c r="DD245" s="104">
        <f t="shared" si="114"/>
        <v>42384</v>
      </c>
      <c r="DE245" s="15">
        <f>MONTH(Table1[[#This Row],[Weekending]])</f>
        <v>1</v>
      </c>
      <c r="DF245" s="15">
        <f>YEAR(Table1[[#This Row],[Weekending]])</f>
        <v>2016</v>
      </c>
      <c r="DG245" s="4" t="s">
        <v>1815</v>
      </c>
    </row>
    <row r="246" spans="1:111">
      <c r="A246" s="20" t="str">
        <f t="shared" si="96"/>
        <v>34wnne19</v>
      </c>
      <c r="B246" s="146">
        <v>42383</v>
      </c>
      <c r="C246" s="144">
        <v>190673234</v>
      </c>
      <c r="D246" s="298" t="s">
        <v>111</v>
      </c>
      <c r="E246" s="298">
        <v>2</v>
      </c>
      <c r="F246" s="142" t="str">
        <f>INDEX(BrokerTBL!$B:$B,MATCH(D246,BrokerTBL!$A:$A,0))</f>
        <v>P.O. Box 3474</v>
      </c>
      <c r="G246" s="142" t="str">
        <f>INDEX(BrokerTBL!$C:$C,MATCH(D246,BrokerTBL!$A:$A,0))</f>
        <v>Chicago</v>
      </c>
      <c r="H246" s="142" t="str">
        <f>INDEX(BrokerTBL!$D:$D,MATCH(D246,BrokerTBL!$A:$A,0))</f>
        <v>Il</v>
      </c>
      <c r="I246" s="142" t="str">
        <f>INDEX(BrokerTBL!$E:$E,MATCH(D246,BrokerTBL!$A:$A,0))</f>
        <v>US</v>
      </c>
      <c r="J246" s="142">
        <f>INDEX(BrokerTBL!$F:$F,MATCH(D246,BrokerTBL!$A:$A,0))</f>
        <v>60654</v>
      </c>
      <c r="K246" s="298" t="s">
        <v>1609</v>
      </c>
      <c r="L246" s="145" t="s">
        <v>1205</v>
      </c>
      <c r="M246" s="146">
        <v>42383</v>
      </c>
      <c r="N246" s="162" t="s">
        <v>136</v>
      </c>
      <c r="O246" s="298" t="s">
        <v>943</v>
      </c>
      <c r="P246" s="298" t="s">
        <v>366</v>
      </c>
      <c r="Q246" s="298" t="s">
        <v>139</v>
      </c>
      <c r="R246" s="298" t="s">
        <v>1779</v>
      </c>
      <c r="S246" s="298" t="s">
        <v>118</v>
      </c>
      <c r="T246" s="298" t="s">
        <v>136</v>
      </c>
      <c r="U246" s="298" t="s">
        <v>120</v>
      </c>
      <c r="V246" s="298">
        <v>53</v>
      </c>
      <c r="W246" s="298" t="s">
        <v>944</v>
      </c>
      <c r="X246" s="144">
        <v>30000</v>
      </c>
      <c r="Y246" s="298" t="s">
        <v>1537</v>
      </c>
      <c r="Z246" s="298" t="s">
        <v>123</v>
      </c>
      <c r="AA246" s="298" t="s">
        <v>123</v>
      </c>
      <c r="AB246" s="298" t="s">
        <v>123</v>
      </c>
      <c r="AC246" s="298" t="s">
        <v>1572</v>
      </c>
      <c r="AD246" s="145" t="s">
        <v>132</v>
      </c>
      <c r="AE246" s="146">
        <v>42383</v>
      </c>
      <c r="AF246" s="416" t="s">
        <v>123</v>
      </c>
      <c r="AG246" s="298" t="s">
        <v>1573</v>
      </c>
      <c r="AH246" s="298" t="s">
        <v>595</v>
      </c>
      <c r="AI246" s="298" t="s">
        <v>139</v>
      </c>
      <c r="AJ246" s="298">
        <v>95126</v>
      </c>
      <c r="AK246" s="298" t="s">
        <v>118</v>
      </c>
      <c r="AL246" s="298" t="s">
        <v>123</v>
      </c>
      <c r="AM246" s="142" t="str">
        <f>INDEX(CarrierDriverTBL!$B:$B,MATCH(Table1[[#This Row],[DriverID]],CarrierDriverTBL!$A:$A,0))</f>
        <v>UBTrucking</v>
      </c>
      <c r="AN246" s="10" t="s">
        <v>1409</v>
      </c>
      <c r="AO246" s="298" t="str">
        <f>INDEX(CarrierDriverTBL!$C:$C,MATCH(Table1[[#This Row],[DriverID]],CarrierDriverTBL!$A:$A,0))</f>
        <v>Miguel Jaime</v>
      </c>
      <c r="AP246" s="298" t="str">
        <f>INDEX(CarrierDriverTBL!$D:$D,MATCH(Table1[[#This Row],[DriverID]],CarrierDriverTBL!$A:$A,0))</f>
        <v>Martin Del Campo Velarca</v>
      </c>
      <c r="AQ246" s="142" t="str">
        <f>INDEX(CarrierDriverTBL!$X:$X,MATCH(Table1[[#This Row],[DriverID]],CarrierDriverTBL!$A:$A,0))</f>
        <v>D5179619</v>
      </c>
      <c r="AR246" s="160">
        <f>INDEX(CarrierDriverTBL!$Y:$Y,MATCH(Table1[[#This Row],[DriverID]],CarrierDriverTBL!$A:$A,0))</f>
        <v>43843</v>
      </c>
      <c r="AS246" s="142" t="str">
        <f t="shared" si="97"/>
        <v>GOOD</v>
      </c>
      <c r="AT246" s="146">
        <f>INDEX(CarrierDriverTBL!$E:$E,MATCH(Table1[[#This Row],[DriverID]],CarrierDriverTBL!$A:$A,0))</f>
        <v>21198</v>
      </c>
      <c r="AU246" s="163">
        <f ca="1">INDEX(CarrierDriverTBL!$F:$F,MATCH(Table1[[#This Row],[DriverID]],CarrierDriverTBL!$A:$A,0))</f>
        <v>58.56986301369863</v>
      </c>
      <c r="AV246" s="298" t="str">
        <f>INDEX(CarrierDriverTBL!$K:$K,MATCH(Table1[[#This Row],[DriverID]],CarrierDriverTBL!$A:$A,0))</f>
        <v>209-322-5231</v>
      </c>
      <c r="AW246" s="298" t="str">
        <f>INDEX(CarrierDriverTBL!$M:$M,MATCH(Table1[[#This Row],[DriverID]],CarrierDriverTBL!$A:$A,0))</f>
        <v>572 Predersen RD</v>
      </c>
      <c r="AX246" s="298" t="str">
        <f>INDEX(CarrierDriverTBL!$N:$N,MATCH(Table1[[#This Row],[DriverID]],CarrierDriverTBL!$A:$A,0))</f>
        <v>Oakdale</v>
      </c>
      <c r="AY246" s="142" t="str">
        <f>INDEX(CarrierDriverTBL!$O:$O,MATCH(Table1[[#This Row],[DriverID]],CarrierDriverTBL!$A:$A,0))</f>
        <v>CA</v>
      </c>
      <c r="AZ246" s="298">
        <f>INDEX(CarrierDriverTBL!$P:$P,MATCH(Table1[[#This Row],[DriverID]],CarrierDriverTBL!$A:$A,0))</f>
        <v>95361</v>
      </c>
      <c r="BA246" s="298" t="str">
        <f>INDEX(CarrierDriverTBL!$Q:$Q,MATCH(Table1[[#This Row],[DriverID]],CarrierDriverTBL!$A:$A,0))</f>
        <v>US</v>
      </c>
      <c r="BB246" s="176" t="str">
        <f>INDEX(CarrierDriverTBL!$R:$R,MATCH(Table1[[#This Row],[DriverID]],CarrierDriverTBL!$A:$A,0))</f>
        <v>Miguelmartin52@yahoo.com</v>
      </c>
      <c r="BC246" s="160">
        <f>INDEX(CarrierDriverTBL!$AB:$AB,MATCH(Table1[[#This Row],[DriverID]],CarrierDriverTBL!$A:$A,0))</f>
        <v>42334</v>
      </c>
      <c r="BD246" s="142" t="str">
        <f ca="1">INDEX(CarrierDriverTBL!$AD:$AD,MATCH(LoadMaster!$AN:$AN,CarrierDriverTBL!$A:$A,0))</f>
        <v>MISSING</v>
      </c>
      <c r="BE246" s="142">
        <f>INDEX(CarrierDriverTBL!$AE:$AE,MATCH(Table1[DriverID],CarrierDriverTBL!$A:$A,0))</f>
        <v>913971</v>
      </c>
      <c r="BF246" s="142">
        <f>INDEX(CarrierDriverTBL!$AF:$AF,MATCH(Table1[DriverID],CarrierDriverTBL!$A:$A,0))</f>
        <v>2627544</v>
      </c>
      <c r="BG246" s="142">
        <f>INDEX(CarrierDriverTBL!$AG:$AG,MATCH(Table1[DriverID],CarrierDriverTBL!$A:$A,0))</f>
        <v>466133</v>
      </c>
      <c r="BH246" s="142" t="str">
        <f>INDEX(CarrierDriverTBL!$AH:$AH,MATCH(Table1[DriverID],CarrierDriverTBL!$A:$A,0))</f>
        <v>GM Lawrence Ins</v>
      </c>
      <c r="BI246" s="142" t="str">
        <f>INDEX(CarrierDriverTBL!$AI:$AI,MATCH(Table1[DriverID],CarrierDriverTBL!$A:$A,0))</f>
        <v>DSK2842P160210</v>
      </c>
      <c r="BJ246" s="160">
        <f>INDEX(CarrierDriverTBL!$AJ:$AJ,MATCH(Table1[[#This Row],[DriverID]],CarrierDriverTBL!$A:$A,0))</f>
        <v>42778</v>
      </c>
      <c r="BK246" s="10">
        <f t="shared" si="98"/>
        <v>395</v>
      </c>
      <c r="BL246" s="174">
        <v>350</v>
      </c>
      <c r="BM246" s="144">
        <v>115</v>
      </c>
      <c r="BN246" s="159">
        <f t="shared" si="115"/>
        <v>3.0434782608695654</v>
      </c>
      <c r="BO246" s="167">
        <f>0.93*350</f>
        <v>325.5</v>
      </c>
      <c r="BP246" s="159">
        <f t="shared" si="116"/>
        <v>2.8304347826086955</v>
      </c>
      <c r="BQ246" s="133">
        <v>2.6</v>
      </c>
      <c r="BR246" s="166">
        <f t="shared" si="117"/>
        <v>0.1166666666666667</v>
      </c>
      <c r="BS246" s="167">
        <f t="shared" si="99"/>
        <v>2.7137681159420288</v>
      </c>
      <c r="BT246" s="159">
        <f t="shared" si="100"/>
        <v>13.41666666666667</v>
      </c>
      <c r="BU246" s="10" t="str">
        <f t="shared" si="101"/>
        <v>Ch Robinson</v>
      </c>
      <c r="BV246" s="4"/>
      <c r="BW246" s="4" t="str">
        <f>Table1[[#This Row],[BrokerAddress]]</f>
        <v>P.O. Box 3474</v>
      </c>
      <c r="BX246" s="4" t="str">
        <f t="shared" si="102"/>
        <v>Chicago</v>
      </c>
      <c r="BY246" s="4" t="str">
        <f t="shared" si="103"/>
        <v>Il</v>
      </c>
      <c r="BZ246" s="4">
        <f t="shared" si="104"/>
        <v>60654</v>
      </c>
      <c r="CA246" s="10" t="str">
        <f t="shared" si="105"/>
        <v>US</v>
      </c>
      <c r="CB246" s="15" t="s">
        <v>131</v>
      </c>
      <c r="CC246" s="62"/>
      <c r="CD246" s="4" t="s">
        <v>194</v>
      </c>
      <c r="CE246" s="5">
        <v>25</v>
      </c>
      <c r="CF246" s="4">
        <v>1</v>
      </c>
      <c r="CG246" s="132">
        <f t="shared" si="106"/>
        <v>25</v>
      </c>
      <c r="CH246" s="4" t="s">
        <v>132</v>
      </c>
      <c r="CI246" s="5">
        <v>0</v>
      </c>
      <c r="CJ246" s="4">
        <v>0</v>
      </c>
      <c r="CK246" s="132">
        <f t="shared" si="107"/>
        <v>0</v>
      </c>
      <c r="CL246" s="4" t="s">
        <v>132</v>
      </c>
      <c r="CM246" s="5">
        <v>0</v>
      </c>
      <c r="CN246" s="4">
        <v>0</v>
      </c>
      <c r="CO246" s="132">
        <f t="shared" si="108"/>
        <v>0</v>
      </c>
      <c r="CP246" s="4" t="s">
        <v>132</v>
      </c>
      <c r="CQ246" s="5">
        <v>0</v>
      </c>
      <c r="CR246" s="4">
        <v>0</v>
      </c>
      <c r="CS246" s="132">
        <f t="shared" si="109"/>
        <v>0</v>
      </c>
      <c r="CT246" s="159">
        <f t="shared" si="110"/>
        <v>25</v>
      </c>
      <c r="CU246" s="168">
        <f t="shared" si="111"/>
        <v>375</v>
      </c>
      <c r="CV246" s="169">
        <f t="shared" si="94"/>
        <v>23.25</v>
      </c>
      <c r="CW246" s="82">
        <f t="shared" si="95"/>
        <v>348.75</v>
      </c>
      <c r="CX246" s="79">
        <f>IF(ISBLANK(E246),"AddQuickPay",IF(E246=2,CU246*0.98,IF(E246=2.4,CU246*0.976,IF(E246=3,CU246*0.97,IF(E246=5,CU246*0.95,IF(E246=1.5,CU246*0.985,IF(E246=2.5,CU246*0.975,IF(E246=1.3,CU246*0.987,IF(E246=1,CU246*0.99,IF(E246=4,CU246*0.96,CU246*1))))))))))-Table1[[#This Row],[ComCheck+QuickPayFee]]</f>
        <v>367.5</v>
      </c>
      <c r="CY246" s="5">
        <f t="shared" si="112"/>
        <v>26.25</v>
      </c>
      <c r="CZ246" s="5">
        <f t="shared" si="113"/>
        <v>7.5</v>
      </c>
      <c r="DA246" s="258">
        <f>Table1[[#This Row],[OriginalDispatch]]-Table1[[#This Row],[QuickPayCharge]]</f>
        <v>18.75</v>
      </c>
      <c r="DB246" s="5">
        <v>0</v>
      </c>
      <c r="DC246" s="5" t="s">
        <v>133</v>
      </c>
      <c r="DD246" s="104">
        <f t="shared" si="114"/>
        <v>42384</v>
      </c>
      <c r="DE246" s="15">
        <f>MONTH(Table1[[#This Row],[Weekending]])</f>
        <v>1</v>
      </c>
      <c r="DF246" s="15">
        <f>YEAR(Table1[[#This Row],[Weekending]])</f>
        <v>2016</v>
      </c>
      <c r="DG246" s="4"/>
    </row>
    <row r="247" spans="1:111">
      <c r="A247" s="20" t="str">
        <f t="shared" si="96"/>
        <v>68171719</v>
      </c>
      <c r="B247" s="146">
        <v>42383</v>
      </c>
      <c r="C247" s="144">
        <v>190812368</v>
      </c>
      <c r="D247" s="298" t="s">
        <v>111</v>
      </c>
      <c r="E247" s="298">
        <v>2</v>
      </c>
      <c r="F247" s="142" t="str">
        <f>INDEX(BrokerTBL!$B:$B,MATCH(D247,BrokerTBL!$A:$A,0))</f>
        <v>P.O. Box 3474</v>
      </c>
      <c r="G247" s="142" t="str">
        <f>INDEX(BrokerTBL!$C:$C,MATCH(D247,BrokerTBL!$A:$A,0))</f>
        <v>Chicago</v>
      </c>
      <c r="H247" s="142" t="str">
        <f>INDEX(BrokerTBL!$D:$D,MATCH(D247,BrokerTBL!$A:$A,0))</f>
        <v>Il</v>
      </c>
      <c r="I247" s="142" t="str">
        <f>INDEX(BrokerTBL!$E:$E,MATCH(D247,BrokerTBL!$A:$A,0))</f>
        <v>US</v>
      </c>
      <c r="J247" s="142">
        <f>INDEX(BrokerTBL!$F:$F,MATCH(D247,BrokerTBL!$A:$A,0))</f>
        <v>60654</v>
      </c>
      <c r="K247" s="298" t="s">
        <v>1816</v>
      </c>
      <c r="L247" s="145">
        <v>3678822917</v>
      </c>
      <c r="M247" s="146">
        <v>42383</v>
      </c>
      <c r="N247" s="162" t="s">
        <v>136</v>
      </c>
      <c r="O247" s="298" t="s">
        <v>1817</v>
      </c>
      <c r="P247" s="298" t="s">
        <v>380</v>
      </c>
      <c r="Q247" s="298" t="s">
        <v>139</v>
      </c>
      <c r="R247" s="298">
        <v>95377</v>
      </c>
      <c r="S247" s="298" t="s">
        <v>118</v>
      </c>
      <c r="T247" s="298" t="s">
        <v>1818</v>
      </c>
      <c r="U247" s="298" t="s">
        <v>120</v>
      </c>
      <c r="V247" s="298">
        <v>53</v>
      </c>
      <c r="W247" s="298" t="s">
        <v>136</v>
      </c>
      <c r="X247" s="144">
        <v>39848</v>
      </c>
      <c r="Y247" s="298" t="s">
        <v>566</v>
      </c>
      <c r="Z247" s="298">
        <v>570</v>
      </c>
      <c r="AA247" s="298" t="s">
        <v>123</v>
      </c>
      <c r="AB247" s="298" t="s">
        <v>123</v>
      </c>
      <c r="AC247" s="298" t="s">
        <v>1711</v>
      </c>
      <c r="AD247" s="145">
        <v>3678822917</v>
      </c>
      <c r="AE247" s="146">
        <v>42384</v>
      </c>
      <c r="AF247" s="298" t="s">
        <v>1150</v>
      </c>
      <c r="AG247" s="298" t="s">
        <v>1712</v>
      </c>
      <c r="AH247" s="298" t="s">
        <v>1713</v>
      </c>
      <c r="AI247" s="298" t="s">
        <v>139</v>
      </c>
      <c r="AJ247" s="298" t="s">
        <v>1714</v>
      </c>
      <c r="AK247" s="298" t="s">
        <v>118</v>
      </c>
      <c r="AL247" s="298" t="s">
        <v>1819</v>
      </c>
      <c r="AM247" s="142" t="str">
        <f>INDEX(CarrierDriverTBL!$B:$B,MATCH(Table1[[#This Row],[DriverID]],CarrierDriverTBL!$A:$A,0))</f>
        <v>UBTrucking</v>
      </c>
      <c r="AN247" s="10" t="s">
        <v>1409</v>
      </c>
      <c r="AO247" s="298" t="str">
        <f>INDEX(CarrierDriverTBL!$C:$C,MATCH(Table1[[#This Row],[DriverID]],CarrierDriverTBL!$A:$A,0))</f>
        <v>Miguel Jaime</v>
      </c>
      <c r="AP247" s="298" t="str">
        <f>INDEX(CarrierDriverTBL!$D:$D,MATCH(Table1[[#This Row],[DriverID]],CarrierDriverTBL!$A:$A,0))</f>
        <v>Martin Del Campo Velarca</v>
      </c>
      <c r="AQ247" s="142" t="str">
        <f>INDEX(CarrierDriverTBL!$X:$X,MATCH(Table1[[#This Row],[DriverID]],CarrierDriverTBL!$A:$A,0))</f>
        <v>D5179619</v>
      </c>
      <c r="AR247" s="160">
        <f>INDEX(CarrierDriverTBL!$Y:$Y,MATCH(Table1[[#This Row],[DriverID]],CarrierDriverTBL!$A:$A,0))</f>
        <v>43843</v>
      </c>
      <c r="AS247" s="142" t="str">
        <f t="shared" si="97"/>
        <v>GOOD</v>
      </c>
      <c r="AT247" s="146">
        <f>INDEX(CarrierDriverTBL!$E:$E,MATCH(Table1[[#This Row],[DriverID]],CarrierDriverTBL!$A:$A,0))</f>
        <v>21198</v>
      </c>
      <c r="AU247" s="163">
        <f ca="1">INDEX(CarrierDriverTBL!$F:$F,MATCH(Table1[[#This Row],[DriverID]],CarrierDriverTBL!$A:$A,0))</f>
        <v>58.56986301369863</v>
      </c>
      <c r="AV247" s="298" t="str">
        <f>INDEX(CarrierDriverTBL!$K:$K,MATCH(Table1[[#This Row],[DriverID]],CarrierDriverTBL!$A:$A,0))</f>
        <v>209-322-5231</v>
      </c>
      <c r="AW247" s="298" t="str">
        <f>INDEX(CarrierDriverTBL!$M:$M,MATCH(Table1[[#This Row],[DriverID]],CarrierDriverTBL!$A:$A,0))</f>
        <v>572 Predersen RD</v>
      </c>
      <c r="AX247" s="298" t="str">
        <f>INDEX(CarrierDriverTBL!$N:$N,MATCH(Table1[[#This Row],[DriverID]],CarrierDriverTBL!$A:$A,0))</f>
        <v>Oakdale</v>
      </c>
      <c r="AY247" s="142" t="str">
        <f>INDEX(CarrierDriverTBL!$O:$O,MATCH(Table1[[#This Row],[DriverID]],CarrierDriverTBL!$A:$A,0))</f>
        <v>CA</v>
      </c>
      <c r="AZ247" s="298">
        <f>INDEX(CarrierDriverTBL!$P:$P,MATCH(Table1[[#This Row],[DriverID]],CarrierDriverTBL!$A:$A,0))</f>
        <v>95361</v>
      </c>
      <c r="BA247" s="298" t="str">
        <f>INDEX(CarrierDriverTBL!$Q:$Q,MATCH(Table1[[#This Row],[DriverID]],CarrierDriverTBL!$A:$A,0))</f>
        <v>US</v>
      </c>
      <c r="BB247" s="176" t="str">
        <f>INDEX(CarrierDriverTBL!$R:$R,MATCH(Table1[[#This Row],[DriverID]],CarrierDriverTBL!$A:$A,0))</f>
        <v>Miguelmartin52@yahoo.com</v>
      </c>
      <c r="BC247" s="160">
        <f>INDEX(CarrierDriverTBL!$AB:$AB,MATCH(Table1[[#This Row],[DriverID]],CarrierDriverTBL!$A:$A,0))</f>
        <v>42334</v>
      </c>
      <c r="BD247" s="142" t="str">
        <f ca="1">INDEX(CarrierDriverTBL!$AD:$AD,MATCH(LoadMaster!$AN:$AN,CarrierDriverTBL!$A:$A,0))</f>
        <v>MISSING</v>
      </c>
      <c r="BE247" s="142">
        <f>INDEX(CarrierDriverTBL!$AE:$AE,MATCH(Table1[DriverID],CarrierDriverTBL!$A:$A,0))</f>
        <v>913971</v>
      </c>
      <c r="BF247" s="142">
        <f>INDEX(CarrierDriverTBL!$AF:$AF,MATCH(Table1[DriverID],CarrierDriverTBL!$A:$A,0))</f>
        <v>2627544</v>
      </c>
      <c r="BG247" s="142">
        <f>INDEX(CarrierDriverTBL!$AG:$AG,MATCH(Table1[DriverID],CarrierDriverTBL!$A:$A,0))</f>
        <v>466133</v>
      </c>
      <c r="BH247" s="142" t="str">
        <f>INDEX(CarrierDriverTBL!$AH:$AH,MATCH(Table1[DriverID],CarrierDriverTBL!$A:$A,0))</f>
        <v>GM Lawrence Ins</v>
      </c>
      <c r="BI247" s="142" t="str">
        <f>INDEX(CarrierDriverTBL!$AI:$AI,MATCH(Table1[DriverID],CarrierDriverTBL!$A:$A,0))</f>
        <v>DSK2842P160210</v>
      </c>
      <c r="BJ247" s="160">
        <f>INDEX(CarrierDriverTBL!$AJ:$AJ,MATCH(Table1[[#This Row],[DriverID]],CarrierDriverTBL!$A:$A,0))</f>
        <v>42778</v>
      </c>
      <c r="BK247" s="10">
        <f t="shared" si="98"/>
        <v>395</v>
      </c>
      <c r="BL247" s="174">
        <v>225</v>
      </c>
      <c r="BM247" s="144">
        <v>17</v>
      </c>
      <c r="BN247" s="159">
        <f t="shared" si="115"/>
        <v>13.235294117647058</v>
      </c>
      <c r="BO247" s="167">
        <f>0.93*BL247</f>
        <v>209.25</v>
      </c>
      <c r="BP247" s="159">
        <f t="shared" si="116"/>
        <v>12.308823529411764</v>
      </c>
      <c r="BQ247" s="133">
        <v>2.6</v>
      </c>
      <c r="BR247" s="166">
        <f t="shared" si="117"/>
        <v>0.1166666666666667</v>
      </c>
      <c r="BS247" s="167">
        <f t="shared" si="99"/>
        <v>12.192156862745097</v>
      </c>
      <c r="BT247" s="159">
        <f t="shared" si="100"/>
        <v>1.9833333333333338</v>
      </c>
      <c r="BU247" s="10" t="str">
        <f t="shared" si="101"/>
        <v>Ch Robinson</v>
      </c>
      <c r="BV247" s="4"/>
      <c r="BW247" s="4" t="str">
        <f>Table1[[#This Row],[BrokerAddress]]</f>
        <v>P.O. Box 3474</v>
      </c>
      <c r="BX247" s="4" t="str">
        <f t="shared" si="102"/>
        <v>Chicago</v>
      </c>
      <c r="BY247" s="4" t="str">
        <f t="shared" si="103"/>
        <v>Il</v>
      </c>
      <c r="BZ247" s="4">
        <f t="shared" si="104"/>
        <v>60654</v>
      </c>
      <c r="CA247" s="10" t="str">
        <f t="shared" si="105"/>
        <v>US</v>
      </c>
      <c r="CB247" s="15" t="s">
        <v>131</v>
      </c>
      <c r="CC247" s="62"/>
      <c r="CD247" s="15" t="s">
        <v>132</v>
      </c>
      <c r="CE247" s="64">
        <v>0</v>
      </c>
      <c r="CF247" s="4">
        <v>0</v>
      </c>
      <c r="CG247" s="132">
        <f t="shared" si="106"/>
        <v>0</v>
      </c>
      <c r="CH247" s="4" t="s">
        <v>132</v>
      </c>
      <c r="CI247" s="5">
        <v>0</v>
      </c>
      <c r="CJ247" s="4">
        <v>0</v>
      </c>
      <c r="CK247" s="132">
        <f t="shared" si="107"/>
        <v>0</v>
      </c>
      <c r="CL247" s="4" t="s">
        <v>132</v>
      </c>
      <c r="CM247" s="5">
        <v>0</v>
      </c>
      <c r="CN247" s="4">
        <v>0</v>
      </c>
      <c r="CO247" s="132">
        <f t="shared" si="108"/>
        <v>0</v>
      </c>
      <c r="CP247" s="4" t="s">
        <v>132</v>
      </c>
      <c r="CQ247" s="5">
        <v>0</v>
      </c>
      <c r="CR247" s="4">
        <v>0</v>
      </c>
      <c r="CS247" s="132">
        <f t="shared" si="109"/>
        <v>0</v>
      </c>
      <c r="CT247" s="159">
        <f t="shared" si="110"/>
        <v>0</v>
      </c>
      <c r="CU247" s="168">
        <f t="shared" si="111"/>
        <v>225</v>
      </c>
      <c r="CV247" s="169">
        <f t="shared" si="94"/>
        <v>0</v>
      </c>
      <c r="CW247" s="82">
        <f t="shared" si="95"/>
        <v>209.25</v>
      </c>
      <c r="CX247" s="79">
        <f>IF(ISBLANK(E247),"AddQuickPay",IF(E247=2,CU247*0.98,IF(E247=2.4,CU247*0.976,IF(E247=3,CU247*0.97,IF(E247=5,CU247*0.95,IF(E247=1.5,CU247*0.985,IF(E247=2.5,CU247*0.975,IF(E247=1.3,CU247*0.987,IF(E247=1,CU247*0.99,IF(E247=4,CU247*0.96,CU247*1))))))))))-Table1[[#This Row],[ComCheck+QuickPayFee]]</f>
        <v>220.5</v>
      </c>
      <c r="CY247" s="5">
        <f t="shared" si="112"/>
        <v>15.75</v>
      </c>
      <c r="CZ247" s="5">
        <f t="shared" si="113"/>
        <v>4.5</v>
      </c>
      <c r="DA247" s="258">
        <f>Table1[[#This Row],[OriginalDispatch]]-Table1[[#This Row],[QuickPayCharge]]</f>
        <v>11.25</v>
      </c>
      <c r="DB247" s="5">
        <v>0</v>
      </c>
      <c r="DC247" s="5" t="s">
        <v>133</v>
      </c>
      <c r="DD247" s="104">
        <f t="shared" si="114"/>
        <v>42384</v>
      </c>
      <c r="DE247" s="15">
        <f>MONTH(Table1[[#This Row],[Weekending]])</f>
        <v>1</v>
      </c>
      <c r="DF247" s="15">
        <f>YEAR(Table1[[#This Row],[Weekending]])</f>
        <v>2016</v>
      </c>
      <c r="DG247" s="4"/>
    </row>
    <row r="248" spans="1:111">
      <c r="A248" s="20" t="str">
        <f t="shared" si="96"/>
        <v>36828249</v>
      </c>
      <c r="B248" s="146">
        <v>42383</v>
      </c>
      <c r="C248" s="144">
        <v>190118136</v>
      </c>
      <c r="D248" s="298" t="s">
        <v>111</v>
      </c>
      <c r="E248" s="298">
        <v>2</v>
      </c>
      <c r="F248" s="142" t="str">
        <f>INDEX(BrokerTBL!$B:$B,MATCH(D248,BrokerTBL!$A:$A,0))</f>
        <v>P.O. Box 3474</v>
      </c>
      <c r="G248" s="142" t="str">
        <f>INDEX(BrokerTBL!$C:$C,MATCH(D248,BrokerTBL!$A:$A,0))</f>
        <v>Chicago</v>
      </c>
      <c r="H248" s="142" t="str">
        <f>INDEX(BrokerTBL!$D:$D,MATCH(D248,BrokerTBL!$A:$A,0))</f>
        <v>Il</v>
      </c>
      <c r="I248" s="142" t="str">
        <f>INDEX(BrokerTBL!$E:$E,MATCH(D248,BrokerTBL!$A:$A,0))</f>
        <v>US</v>
      </c>
      <c r="J248" s="142">
        <f>INDEX(BrokerTBL!$F:$F,MATCH(D248,BrokerTBL!$A:$A,0))</f>
        <v>60654</v>
      </c>
      <c r="K248" s="298" t="s">
        <v>1497</v>
      </c>
      <c r="L248" s="145">
        <v>21073482</v>
      </c>
      <c r="M248" s="146">
        <v>42383</v>
      </c>
      <c r="N248" s="144" t="s">
        <v>1820</v>
      </c>
      <c r="O248" s="298" t="s">
        <v>1498</v>
      </c>
      <c r="P248" s="298" t="s">
        <v>1304</v>
      </c>
      <c r="Q248" s="298" t="s">
        <v>139</v>
      </c>
      <c r="R248" s="298">
        <v>91406</v>
      </c>
      <c r="S248" s="298" t="s">
        <v>118</v>
      </c>
      <c r="T248" s="298" t="s">
        <v>136</v>
      </c>
      <c r="U248" s="298" t="s">
        <v>120</v>
      </c>
      <c r="V248" s="298">
        <v>53</v>
      </c>
      <c r="W248" s="298" t="s">
        <v>483</v>
      </c>
      <c r="X248" s="185">
        <v>45200</v>
      </c>
      <c r="Y248" s="298" t="s">
        <v>1537</v>
      </c>
      <c r="Z248" s="298" t="s">
        <v>123</v>
      </c>
      <c r="AA248" s="298" t="s">
        <v>123</v>
      </c>
      <c r="AB248" s="298" t="s">
        <v>123</v>
      </c>
      <c r="AC248" s="298" t="s">
        <v>1821</v>
      </c>
      <c r="AD248" s="145">
        <v>21073482</v>
      </c>
      <c r="AE248" s="146">
        <v>42384</v>
      </c>
      <c r="AF248" s="298" t="s">
        <v>1398</v>
      </c>
      <c r="AG248" s="298" t="s">
        <v>1822</v>
      </c>
      <c r="AH248" s="298" t="s">
        <v>1823</v>
      </c>
      <c r="AI248" s="298" t="s">
        <v>139</v>
      </c>
      <c r="AJ248" s="298">
        <v>94080</v>
      </c>
      <c r="AK248" s="298" t="s">
        <v>118</v>
      </c>
      <c r="AL248" s="298" t="s">
        <v>123</v>
      </c>
      <c r="AM248" s="142" t="str">
        <f>INDEX(CarrierDriverTBL!$B:$B,MATCH(Table1[[#This Row],[DriverID]],CarrierDriverTBL!$A:$A,0))</f>
        <v>UBTrucking</v>
      </c>
      <c r="AN248" s="10" t="s">
        <v>192</v>
      </c>
      <c r="AO248" s="10" t="str">
        <f>INDEX(CarrierDriverTBL!$C:$C,MATCH(Table1[[#This Row],[DriverID]],CarrierDriverTBL!$A:$A,0))</f>
        <v>Albel</v>
      </c>
      <c r="AP248" s="142" t="str">
        <f>INDEX(CarrierDriverTBL!$D:$D,MATCH(Table1[[#This Row],[DriverID]],CarrierDriverTBL!$A:$A,0))</f>
        <v>Chahil</v>
      </c>
      <c r="AQ248" s="142" t="str">
        <f>INDEX(CarrierDriverTBL!$X:$X,MATCH(Table1[[#This Row],[DriverID]],CarrierDriverTBL!$A:$A,0))</f>
        <v>A8390649</v>
      </c>
      <c r="AR248" s="160">
        <f>INDEX(CarrierDriverTBL!$Y:$Y,MATCH(Table1[[#This Row],[DriverID]],CarrierDriverTBL!$A:$A,0))</f>
        <v>42402</v>
      </c>
      <c r="AS248" s="142" t="str">
        <f t="shared" si="97"/>
        <v>GOOD</v>
      </c>
      <c r="AT248" s="160">
        <f>INDEX(CarrierDriverTBL!$E:$E,MATCH(Table1[[#This Row],[DriverID]],CarrierDriverTBL!$A:$A,0))</f>
        <v>22314</v>
      </c>
      <c r="AU248" s="163">
        <f ca="1">INDEX(CarrierDriverTBL!$F:$F,MATCH(Table1[[#This Row],[DriverID]],CarrierDriverTBL!$A:$A,0))</f>
        <v>55.512328767123286</v>
      </c>
      <c r="AV248" s="142" t="str">
        <f>INDEX(CarrierDriverTBL!$K:$K,MATCH(Table1[[#This Row],[DriverID]],CarrierDriverTBL!$A:$A,0))</f>
        <v>510-773-9450</v>
      </c>
      <c r="AW248" s="142" t="str">
        <f>INDEX(CarrierDriverTBL!$M:$M,MATCH(Table1[[#This Row],[DriverID]],CarrierDriverTBL!$A:$A,0))</f>
        <v>3124 Cynthia CT</v>
      </c>
      <c r="AX248" s="142" t="str">
        <f>INDEX(CarrierDriverTBL!$N:$N,MATCH(Table1[[#This Row],[DriverID]],CarrierDriverTBL!$A:$A,0))</f>
        <v>Tracy</v>
      </c>
      <c r="AY248" s="142" t="str">
        <f>INDEX(CarrierDriverTBL!$O:$O,MATCH(Table1[[#This Row],[DriverID]],CarrierDriverTBL!$A:$A,0))</f>
        <v>CA</v>
      </c>
      <c r="AZ248" s="142">
        <f>INDEX(CarrierDriverTBL!$P:$P,MATCH(Table1[[#This Row],[DriverID]],CarrierDriverTBL!$A:$A,0))</f>
        <v>95377</v>
      </c>
      <c r="BA248" s="142" t="str">
        <f>INDEX(CarrierDriverTBL!$Q:$Q,MATCH(Table1[[#This Row],[DriverID]],CarrierDriverTBL!$A:$A,0))</f>
        <v>US</v>
      </c>
      <c r="BB248" s="176" t="str">
        <f>INDEX(CarrierDriverTBL!$R:$R,MATCH(Table1[[#This Row],[DriverID]],CarrierDriverTBL!$A:$A,0))</f>
        <v>ubgollc@gmail.com</v>
      </c>
      <c r="BC248" s="160">
        <f>INDEX(CarrierDriverTBL!$AB:$AB,MATCH(Table1[[#This Row],[DriverID]],CarrierDriverTBL!$A:$A,0))</f>
        <v>42167</v>
      </c>
      <c r="BD248" s="142" t="str">
        <f ca="1">INDEX(CarrierDriverTBL!$AD:$AD,MATCH(LoadMaster!$AN:$AN,CarrierDriverTBL!$A:$A,0))</f>
        <v>MISSING</v>
      </c>
      <c r="BE248" s="142">
        <f>INDEX(CarrierDriverTBL!$AE:$AE,MATCH(Table1[DriverID],CarrierDriverTBL!$A:$A,0))</f>
        <v>913971</v>
      </c>
      <c r="BF248" s="142">
        <f>INDEX(CarrierDriverTBL!$AF:$AF,MATCH(Table1[DriverID],CarrierDriverTBL!$A:$A,0))</f>
        <v>2627544</v>
      </c>
      <c r="BG248" s="142">
        <f>INDEX(CarrierDriverTBL!$AG:$AG,MATCH(Table1[DriverID],CarrierDriverTBL!$A:$A,0))</f>
        <v>466133</v>
      </c>
      <c r="BH248" s="142" t="str">
        <f>INDEX(CarrierDriverTBL!$AH:$AH,MATCH(Table1[DriverID],CarrierDriverTBL!$A:$A,0))</f>
        <v>GM Lawrence Ins</v>
      </c>
      <c r="BI248" s="142" t="str">
        <f>INDEX(CarrierDriverTBL!$AI:$AI,MATCH(Table1[DriverID],CarrierDriverTBL!$A:$A,0))</f>
        <v>DSK2842P160210</v>
      </c>
      <c r="BJ248" s="160">
        <f>INDEX(CarrierDriverTBL!$AJ:$AJ,MATCH(Table1[[#This Row],[DriverID]],CarrierDriverTBL!$A:$A,0))</f>
        <v>42778</v>
      </c>
      <c r="BK248" s="10">
        <f t="shared" si="98"/>
        <v>395</v>
      </c>
      <c r="BL248" s="59">
        <v>775</v>
      </c>
      <c r="BM248" s="144">
        <v>370</v>
      </c>
      <c r="BN248" s="159">
        <f t="shared" si="115"/>
        <v>2.0945945945945947</v>
      </c>
      <c r="BO248" s="167">
        <v>705</v>
      </c>
      <c r="BP248" s="159">
        <f t="shared" si="116"/>
        <v>1.9054054054054055</v>
      </c>
      <c r="BQ248" s="133">
        <v>2.6</v>
      </c>
      <c r="BR248" s="166">
        <f t="shared" si="117"/>
        <v>0.1166666666666667</v>
      </c>
      <c r="BS248" s="167">
        <f t="shared" si="99"/>
        <v>1.7887387387387388</v>
      </c>
      <c r="BT248" s="159">
        <f t="shared" si="100"/>
        <v>43.166666666666679</v>
      </c>
      <c r="BU248" s="10" t="str">
        <f t="shared" si="101"/>
        <v>Ch Robinson</v>
      </c>
      <c r="BV248" s="4"/>
      <c r="BW248" s="4" t="str">
        <f>Table1[[#This Row],[BrokerAddress]]</f>
        <v>P.O. Box 3474</v>
      </c>
      <c r="BX248" s="4" t="str">
        <f t="shared" si="102"/>
        <v>Chicago</v>
      </c>
      <c r="BY248" s="4" t="str">
        <f t="shared" si="103"/>
        <v>Il</v>
      </c>
      <c r="BZ248" s="4">
        <f t="shared" si="104"/>
        <v>60654</v>
      </c>
      <c r="CA248" s="10" t="str">
        <f t="shared" si="105"/>
        <v>US</v>
      </c>
      <c r="CB248" s="15" t="s">
        <v>131</v>
      </c>
      <c r="CC248" s="62"/>
      <c r="CD248" s="15" t="s">
        <v>132</v>
      </c>
      <c r="CE248" s="64">
        <v>0</v>
      </c>
      <c r="CF248" s="4">
        <v>0</v>
      </c>
      <c r="CG248" s="132">
        <f t="shared" si="106"/>
        <v>0</v>
      </c>
      <c r="CH248" s="4" t="s">
        <v>132</v>
      </c>
      <c r="CI248" s="5">
        <v>0</v>
      </c>
      <c r="CJ248" s="4">
        <v>0</v>
      </c>
      <c r="CK248" s="132">
        <f t="shared" si="107"/>
        <v>0</v>
      </c>
      <c r="CL248" s="4" t="s">
        <v>132</v>
      </c>
      <c r="CM248" s="5">
        <v>0</v>
      </c>
      <c r="CN248" s="4">
        <v>0</v>
      </c>
      <c r="CO248" s="132">
        <f t="shared" si="108"/>
        <v>0</v>
      </c>
      <c r="CP248" s="4" t="s">
        <v>132</v>
      </c>
      <c r="CQ248" s="5">
        <v>0</v>
      </c>
      <c r="CR248" s="4">
        <v>0</v>
      </c>
      <c r="CS248" s="132">
        <f t="shared" si="109"/>
        <v>0</v>
      </c>
      <c r="CT248" s="159">
        <f t="shared" si="110"/>
        <v>0</v>
      </c>
      <c r="CU248" s="168">
        <f t="shared" si="111"/>
        <v>775</v>
      </c>
      <c r="CV248" s="169">
        <f t="shared" si="94"/>
        <v>0</v>
      </c>
      <c r="CW248" s="82">
        <f t="shared" si="95"/>
        <v>705</v>
      </c>
      <c r="CX248" s="79">
        <f>IF(ISBLANK(E248),"AddQuickPay",IF(E248=2,CU248*0.98,IF(E248=2.4,CU248*0.976,IF(E248=3,CU248*0.97,IF(E248=5,CU248*0.95,IF(E248=1.5,CU248*0.985,IF(E248=2.5,CU248*0.975,IF(E248=1.3,CU248*0.987,IF(E248=1,CU248*0.99,IF(E248=4,CU248*0.96,CU248*1))))))))))-Table1[[#This Row],[ComCheck+QuickPayFee]]</f>
        <v>759.5</v>
      </c>
      <c r="CY248" s="5">
        <f t="shared" si="112"/>
        <v>70</v>
      </c>
      <c r="CZ248" s="5">
        <f t="shared" si="113"/>
        <v>15.5</v>
      </c>
      <c r="DA248" s="258">
        <f>Table1[[#This Row],[OriginalDispatch]]-Table1[[#This Row],[QuickPayCharge]]</f>
        <v>54.5</v>
      </c>
      <c r="DB248" s="5">
        <v>0</v>
      </c>
      <c r="DC248" s="5" t="s">
        <v>133</v>
      </c>
      <c r="DD248" s="104">
        <f t="shared" si="114"/>
        <v>42384</v>
      </c>
      <c r="DE248" s="15">
        <f>MONTH(Table1[[#This Row],[Weekending]])</f>
        <v>1</v>
      </c>
      <c r="DF248" s="15">
        <f>YEAR(Table1[[#This Row],[Weekending]])</f>
        <v>2016</v>
      </c>
      <c r="DG248" s="4"/>
    </row>
    <row r="249" spans="1:111">
      <c r="A249" s="20" t="str">
        <f t="shared" si="96"/>
        <v>42979719</v>
      </c>
      <c r="B249" s="146">
        <v>42384</v>
      </c>
      <c r="C249" s="144">
        <v>46542</v>
      </c>
      <c r="D249" s="298" t="s">
        <v>1824</v>
      </c>
      <c r="E249" s="298">
        <v>3</v>
      </c>
      <c r="F249" s="298" t="str">
        <f>INDEX(BrokerTBL!$B:$B,MATCH(D249,BrokerTBL!$A:$A,0))</f>
        <v>2109 W Bullard Ave # 101</v>
      </c>
      <c r="G249" s="298" t="str">
        <f>INDEX(BrokerTBL!$C:$C,MATCH(D249,BrokerTBL!$A:$A,0))</f>
        <v>Fresno</v>
      </c>
      <c r="H249" s="298" t="str">
        <f>INDEX(BrokerTBL!$D:$D,MATCH(D249,BrokerTBL!$A:$A,0))</f>
        <v>Ca</v>
      </c>
      <c r="I249" s="142" t="str">
        <f>INDEX(BrokerTBL!$E:$E,MATCH(D249,BrokerTBL!$A:$A,0))</f>
        <v>US</v>
      </c>
      <c r="J249" s="298">
        <f>INDEX(BrokerTBL!$F:$F,MATCH(D249,BrokerTBL!$A:$A,0))</f>
        <v>93711</v>
      </c>
      <c r="K249" s="298" t="s">
        <v>1825</v>
      </c>
      <c r="L249" s="145">
        <v>350997</v>
      </c>
      <c r="M249" s="146">
        <v>42384</v>
      </c>
      <c r="N249" s="162" t="s">
        <v>136</v>
      </c>
      <c r="O249" s="298" t="s">
        <v>1826</v>
      </c>
      <c r="P249" s="298" t="s">
        <v>184</v>
      </c>
      <c r="Q249" s="298" t="s">
        <v>139</v>
      </c>
      <c r="R249" s="298">
        <v>95203</v>
      </c>
      <c r="S249" s="298" t="s">
        <v>118</v>
      </c>
      <c r="T249" s="298" t="s">
        <v>136</v>
      </c>
      <c r="U249" s="298" t="s">
        <v>120</v>
      </c>
      <c r="V249" s="298">
        <v>53</v>
      </c>
      <c r="W249" s="298" t="s">
        <v>1827</v>
      </c>
      <c r="X249" s="144">
        <v>42000</v>
      </c>
      <c r="Y249" s="298" t="s">
        <v>123</v>
      </c>
      <c r="Z249" s="298" t="s">
        <v>123</v>
      </c>
      <c r="AA249" s="298" t="s">
        <v>123</v>
      </c>
      <c r="AB249" s="298" t="s">
        <v>123</v>
      </c>
      <c r="AC249" s="298" t="s">
        <v>1828</v>
      </c>
      <c r="AD249" s="145">
        <v>350997</v>
      </c>
      <c r="AE249" s="146">
        <v>42384</v>
      </c>
      <c r="AF249" s="416" t="s">
        <v>123</v>
      </c>
      <c r="AG249" s="298" t="s">
        <v>1829</v>
      </c>
      <c r="AH249" s="298" t="s">
        <v>787</v>
      </c>
      <c r="AI249" s="298" t="s">
        <v>139</v>
      </c>
      <c r="AJ249" s="298">
        <v>94801</v>
      </c>
      <c r="AK249" s="298" t="s">
        <v>118</v>
      </c>
      <c r="AL249" s="298" t="s">
        <v>123</v>
      </c>
      <c r="AM249" s="142" t="str">
        <f>INDEX(CarrierDriverTBL!$B:$B,MATCH(Table1[[#This Row],[DriverID]],CarrierDriverTBL!$A:$A,0))</f>
        <v>UBTrucking</v>
      </c>
      <c r="AN249" s="10" t="s">
        <v>1409</v>
      </c>
      <c r="AO249" s="298" t="str">
        <f>INDEX(CarrierDriverTBL!$C:$C,MATCH(Table1[[#This Row],[DriverID]],CarrierDriverTBL!$A:$A,0))</f>
        <v>Miguel Jaime</v>
      </c>
      <c r="AP249" s="298" t="str">
        <f>INDEX(CarrierDriverTBL!$D:$D,MATCH(Table1[[#This Row],[DriverID]],CarrierDriverTBL!$A:$A,0))</f>
        <v>Martin Del Campo Velarca</v>
      </c>
      <c r="AQ249" s="142" t="str">
        <f>INDEX(CarrierDriverTBL!$X:$X,MATCH(Table1[[#This Row],[DriverID]],CarrierDriverTBL!$A:$A,0))</f>
        <v>D5179619</v>
      </c>
      <c r="AR249" s="160">
        <f>INDEX(CarrierDriverTBL!$Y:$Y,MATCH(Table1[[#This Row],[DriverID]],CarrierDriverTBL!$A:$A,0))</f>
        <v>43843</v>
      </c>
      <c r="AS249" s="142" t="str">
        <f t="shared" si="97"/>
        <v>GOOD</v>
      </c>
      <c r="AT249" s="146">
        <f>INDEX(CarrierDriverTBL!$E:$E,MATCH(Table1[[#This Row],[DriverID]],CarrierDriverTBL!$A:$A,0))</f>
        <v>21198</v>
      </c>
      <c r="AU249" s="163">
        <f ca="1">INDEX(CarrierDriverTBL!$F:$F,MATCH(Table1[[#This Row],[DriverID]],CarrierDriverTBL!$A:$A,0))</f>
        <v>58.56986301369863</v>
      </c>
      <c r="AV249" s="298" t="str">
        <f>INDEX(CarrierDriverTBL!$K:$K,MATCH(Table1[[#This Row],[DriverID]],CarrierDriverTBL!$A:$A,0))</f>
        <v>209-322-5231</v>
      </c>
      <c r="AW249" s="298" t="str">
        <f>INDEX(CarrierDriverTBL!$M:$M,MATCH(Table1[[#This Row],[DriverID]],CarrierDriverTBL!$A:$A,0))</f>
        <v>572 Predersen RD</v>
      </c>
      <c r="AX249" s="298" t="str">
        <f>INDEX(CarrierDriverTBL!$N:$N,MATCH(Table1[[#This Row],[DriverID]],CarrierDriverTBL!$A:$A,0))</f>
        <v>Oakdale</v>
      </c>
      <c r="AY249" s="142" t="str">
        <f>INDEX(CarrierDriverTBL!$O:$O,MATCH(Table1[[#This Row],[DriverID]],CarrierDriverTBL!$A:$A,0))</f>
        <v>CA</v>
      </c>
      <c r="AZ249" s="298">
        <f>INDEX(CarrierDriverTBL!$P:$P,MATCH(Table1[[#This Row],[DriverID]],CarrierDriverTBL!$A:$A,0))</f>
        <v>95361</v>
      </c>
      <c r="BA249" s="298" t="str">
        <f>INDEX(CarrierDriverTBL!$Q:$Q,MATCH(Table1[[#This Row],[DriverID]],CarrierDriverTBL!$A:$A,0))</f>
        <v>US</v>
      </c>
      <c r="BB249" s="176" t="str">
        <f>INDEX(CarrierDriverTBL!$R:$R,MATCH(Table1[[#This Row],[DriverID]],CarrierDriverTBL!$A:$A,0))</f>
        <v>Miguelmartin52@yahoo.com</v>
      </c>
      <c r="BC249" s="160">
        <f>INDEX(CarrierDriverTBL!$AB:$AB,MATCH(Table1[[#This Row],[DriverID]],CarrierDriverTBL!$A:$A,0))</f>
        <v>42334</v>
      </c>
      <c r="BD249" s="142" t="str">
        <f ca="1">INDEX(CarrierDriverTBL!$AD:$AD,MATCH(LoadMaster!$AN:$AN,CarrierDriverTBL!$A:$A,0))</f>
        <v>MISSING</v>
      </c>
      <c r="BE249" s="142">
        <f>INDEX(CarrierDriverTBL!$AE:$AE,MATCH(Table1[DriverID],CarrierDriverTBL!$A:$A,0))</f>
        <v>913971</v>
      </c>
      <c r="BF249" s="142">
        <f>INDEX(CarrierDriverTBL!$AF:$AF,MATCH(Table1[DriverID],CarrierDriverTBL!$A:$A,0))</f>
        <v>2627544</v>
      </c>
      <c r="BG249" s="142">
        <f>INDEX(CarrierDriverTBL!$AG:$AG,MATCH(Table1[DriverID],CarrierDriverTBL!$A:$A,0))</f>
        <v>466133</v>
      </c>
      <c r="BH249" s="142" t="str">
        <f>INDEX(CarrierDriverTBL!$AH:$AH,MATCH(Table1[DriverID],CarrierDriverTBL!$A:$A,0))</f>
        <v>GM Lawrence Ins</v>
      </c>
      <c r="BI249" s="142" t="str">
        <f>INDEX(CarrierDriverTBL!$AI:$AI,MATCH(Table1[DriverID],CarrierDriverTBL!$A:$A,0))</f>
        <v>DSK2842P160210</v>
      </c>
      <c r="BJ249" s="160">
        <f>INDEX(CarrierDriverTBL!$AJ:$AJ,MATCH(Table1[[#This Row],[DriverID]],CarrierDriverTBL!$A:$A,0))</f>
        <v>42778</v>
      </c>
      <c r="BK249" s="10">
        <f t="shared" si="98"/>
        <v>394</v>
      </c>
      <c r="BL249" s="174">
        <v>300</v>
      </c>
      <c r="BM249" s="144">
        <v>84</v>
      </c>
      <c r="BN249" s="159">
        <f t="shared" si="115"/>
        <v>3.5714285714285716</v>
      </c>
      <c r="BO249" s="167">
        <v>275</v>
      </c>
      <c r="BP249" s="159">
        <f t="shared" si="116"/>
        <v>3.2738095238095237</v>
      </c>
      <c r="BQ249" s="133">
        <v>2.6</v>
      </c>
      <c r="BR249" s="166">
        <f t="shared" si="117"/>
        <v>0.1166666666666667</v>
      </c>
      <c r="BS249" s="167">
        <f t="shared" si="99"/>
        <v>3.157142857142857</v>
      </c>
      <c r="BT249" s="159">
        <f t="shared" si="100"/>
        <v>9.8000000000000025</v>
      </c>
      <c r="BU249" s="10" t="str">
        <f t="shared" si="101"/>
        <v>Cargobarn Inc.</v>
      </c>
      <c r="BV249" s="4"/>
      <c r="BW249" s="4" t="str">
        <f>Table1[[#This Row],[BrokerAddress]]</f>
        <v>2109 W Bullard Ave # 101</v>
      </c>
      <c r="BX249" s="4" t="str">
        <f t="shared" si="102"/>
        <v>Fresno</v>
      </c>
      <c r="BY249" s="4" t="str">
        <f t="shared" si="103"/>
        <v>Ca</v>
      </c>
      <c r="BZ249" s="4">
        <f t="shared" si="104"/>
        <v>93711</v>
      </c>
      <c r="CA249" s="10" t="str">
        <f t="shared" si="105"/>
        <v>US</v>
      </c>
      <c r="CB249" s="15" t="s">
        <v>131</v>
      </c>
      <c r="CC249" s="62"/>
      <c r="CD249" s="15" t="s">
        <v>132</v>
      </c>
      <c r="CE249" s="64">
        <v>0</v>
      </c>
      <c r="CF249" s="4">
        <v>0</v>
      </c>
      <c r="CG249" s="132">
        <f t="shared" si="106"/>
        <v>0</v>
      </c>
      <c r="CH249" s="4" t="s">
        <v>132</v>
      </c>
      <c r="CI249" s="5">
        <v>0</v>
      </c>
      <c r="CJ249" s="4">
        <v>0</v>
      </c>
      <c r="CK249" s="132">
        <f t="shared" si="107"/>
        <v>0</v>
      </c>
      <c r="CL249" s="4" t="s">
        <v>132</v>
      </c>
      <c r="CM249" s="5">
        <v>0</v>
      </c>
      <c r="CN249" s="4">
        <v>0</v>
      </c>
      <c r="CO249" s="132">
        <f t="shared" si="108"/>
        <v>0</v>
      </c>
      <c r="CP249" s="4" t="s">
        <v>132</v>
      </c>
      <c r="CQ249" s="5">
        <v>0</v>
      </c>
      <c r="CR249" s="4">
        <v>0</v>
      </c>
      <c r="CS249" s="132">
        <f t="shared" si="109"/>
        <v>0</v>
      </c>
      <c r="CT249" s="159">
        <f t="shared" si="110"/>
        <v>0</v>
      </c>
      <c r="CU249" s="168">
        <f t="shared" si="111"/>
        <v>300</v>
      </c>
      <c r="CV249" s="169">
        <f t="shared" si="94"/>
        <v>0</v>
      </c>
      <c r="CW249" s="82">
        <f t="shared" si="95"/>
        <v>275</v>
      </c>
      <c r="CX249" s="79">
        <f>IF(ISBLANK(E249),"AddQuickPay",IF(E249=2,CU249*0.98,IF(E249=2.4,CU249*0.976,IF(E249=3,CU249*0.97,IF(E249=5,CU249*0.95,IF(E249=1.5,CU249*0.985,IF(E249=2.5,CU249*0.975,IF(E249=1.3,CU249*0.987,IF(E249=1,CU249*0.99,IF(E249=4,CU249*0.96,CU249*1))))))))))-Table1[[#This Row],[ComCheck+QuickPayFee]]</f>
        <v>291</v>
      </c>
      <c r="CY249" s="5">
        <f t="shared" si="112"/>
        <v>25</v>
      </c>
      <c r="CZ249" s="5">
        <f t="shared" si="113"/>
        <v>9</v>
      </c>
      <c r="DA249" s="258">
        <f>Table1[[#This Row],[OriginalDispatch]]-Table1[[#This Row],[QuickPayCharge]]</f>
        <v>16</v>
      </c>
      <c r="DB249" s="5">
        <v>0</v>
      </c>
      <c r="DC249" s="5" t="s">
        <v>133</v>
      </c>
      <c r="DD249" s="104">
        <f t="shared" si="114"/>
        <v>42384</v>
      </c>
      <c r="DE249" s="15">
        <f>MONTH(Table1[[#This Row],[Weekending]])</f>
        <v>1</v>
      </c>
      <c r="DF249" s="15">
        <f>YEAR(Table1[[#This Row],[Weekending]])</f>
        <v>2016</v>
      </c>
      <c r="DG249" s="4"/>
    </row>
    <row r="250" spans="1:111">
      <c r="A250" s="20" t="str">
        <f t="shared" si="96"/>
        <v>76763149</v>
      </c>
      <c r="B250" s="146">
        <v>42384</v>
      </c>
      <c r="C250" s="144">
        <v>190735076</v>
      </c>
      <c r="D250" s="298" t="s">
        <v>111</v>
      </c>
      <c r="E250" s="298">
        <v>2</v>
      </c>
      <c r="F250" s="142" t="str">
        <f>INDEX(BrokerTBL!$B:$B,MATCH(D250,BrokerTBL!$A:$A,0))</f>
        <v>P.O. Box 3474</v>
      </c>
      <c r="G250" s="142" t="str">
        <f>INDEX(BrokerTBL!$C:$C,MATCH(D250,BrokerTBL!$A:$A,0))</f>
        <v>Chicago</v>
      </c>
      <c r="H250" s="142" t="str">
        <f>INDEX(BrokerTBL!$D:$D,MATCH(D250,BrokerTBL!$A:$A,0))</f>
        <v>Il</v>
      </c>
      <c r="I250" s="142" t="str">
        <f>INDEX(BrokerTBL!$E:$E,MATCH(D250,BrokerTBL!$A:$A,0))</f>
        <v>US</v>
      </c>
      <c r="J250" s="142">
        <f>INDEX(BrokerTBL!$F:$F,MATCH(D250,BrokerTBL!$A:$A,0))</f>
        <v>60654</v>
      </c>
      <c r="K250" s="298" t="s">
        <v>1830</v>
      </c>
      <c r="L250" s="145">
        <v>190735076</v>
      </c>
      <c r="M250" s="146">
        <v>42384</v>
      </c>
      <c r="N250" s="144" t="s">
        <v>1469</v>
      </c>
      <c r="O250" s="298" t="s">
        <v>1470</v>
      </c>
      <c r="P250" s="298" t="s">
        <v>380</v>
      </c>
      <c r="Q250" s="298" t="s">
        <v>139</v>
      </c>
      <c r="R250" s="298" t="s">
        <v>1608</v>
      </c>
      <c r="S250" s="298" t="s">
        <v>118</v>
      </c>
      <c r="T250" s="298" t="s">
        <v>136</v>
      </c>
      <c r="U250" s="298" t="s">
        <v>120</v>
      </c>
      <c r="V250" s="298">
        <v>53</v>
      </c>
      <c r="W250" s="298" t="s">
        <v>1831</v>
      </c>
      <c r="X250" s="144">
        <v>43892</v>
      </c>
      <c r="Y250" s="298" t="s">
        <v>1537</v>
      </c>
      <c r="Z250" s="298">
        <v>1207</v>
      </c>
      <c r="AA250" s="298">
        <v>19</v>
      </c>
      <c r="AB250" s="298" t="s">
        <v>123</v>
      </c>
      <c r="AC250" s="298" t="s">
        <v>1832</v>
      </c>
      <c r="AD250" s="145">
        <v>7034431</v>
      </c>
      <c r="AE250" s="146">
        <v>42387</v>
      </c>
      <c r="AF250" s="298" t="s">
        <v>1150</v>
      </c>
      <c r="AG250" s="298" t="s">
        <v>1833</v>
      </c>
      <c r="AH250" s="298" t="s">
        <v>570</v>
      </c>
      <c r="AI250" s="298" t="s">
        <v>139</v>
      </c>
      <c r="AJ250" s="298">
        <v>94952</v>
      </c>
      <c r="AK250" s="298" t="s">
        <v>118</v>
      </c>
      <c r="AL250" s="298" t="s">
        <v>1834</v>
      </c>
      <c r="AM250" s="142" t="str">
        <f>INDEX(CarrierDriverTBL!$B:$B,MATCH(Table1[[#This Row],[DriverID]],CarrierDriverTBL!$A:$A,0))</f>
        <v>UBTrucking</v>
      </c>
      <c r="AN250" s="10" t="s">
        <v>192</v>
      </c>
      <c r="AO250" s="10" t="str">
        <f>INDEX(CarrierDriverTBL!$C:$C,MATCH(Table1[[#This Row],[DriverID]],CarrierDriverTBL!$A:$A,0))</f>
        <v>Albel</v>
      </c>
      <c r="AP250" s="142" t="str">
        <f>INDEX(CarrierDriverTBL!$D:$D,MATCH(Table1[[#This Row],[DriverID]],CarrierDriverTBL!$A:$A,0))</f>
        <v>Chahil</v>
      </c>
      <c r="AQ250" s="142" t="str">
        <f>INDEX(CarrierDriverTBL!$X:$X,MATCH(Table1[[#This Row],[DriverID]],CarrierDriverTBL!$A:$A,0))</f>
        <v>A8390649</v>
      </c>
      <c r="AR250" s="160">
        <f>INDEX(CarrierDriverTBL!$Y:$Y,MATCH(Table1[[#This Row],[DriverID]],CarrierDriverTBL!$A:$A,0))</f>
        <v>42402</v>
      </c>
      <c r="AS250" s="142" t="str">
        <f t="shared" si="97"/>
        <v>GOOD</v>
      </c>
      <c r="AT250" s="160">
        <f>INDEX(CarrierDriverTBL!$E:$E,MATCH(Table1[[#This Row],[DriverID]],CarrierDriverTBL!$A:$A,0))</f>
        <v>22314</v>
      </c>
      <c r="AU250" s="163">
        <f ca="1">INDEX(CarrierDriverTBL!$F:$F,MATCH(Table1[[#This Row],[DriverID]],CarrierDriverTBL!$A:$A,0))</f>
        <v>55.512328767123286</v>
      </c>
      <c r="AV250" s="142" t="str">
        <f>INDEX(CarrierDriverTBL!$K:$K,MATCH(Table1[[#This Row],[DriverID]],CarrierDriverTBL!$A:$A,0))</f>
        <v>510-773-9450</v>
      </c>
      <c r="AW250" s="142" t="str">
        <f>INDEX(CarrierDriverTBL!$M:$M,MATCH(Table1[[#This Row],[DriverID]],CarrierDriverTBL!$A:$A,0))</f>
        <v>3124 Cynthia CT</v>
      </c>
      <c r="AX250" s="142" t="str">
        <f>INDEX(CarrierDriverTBL!$N:$N,MATCH(Table1[[#This Row],[DriverID]],CarrierDriverTBL!$A:$A,0))</f>
        <v>Tracy</v>
      </c>
      <c r="AY250" s="142" t="str">
        <f>INDEX(CarrierDriverTBL!$O:$O,MATCH(Table1[[#This Row],[DriverID]],CarrierDriverTBL!$A:$A,0))</f>
        <v>CA</v>
      </c>
      <c r="AZ250" s="142">
        <f>INDEX(CarrierDriverTBL!$P:$P,MATCH(Table1[[#This Row],[DriverID]],CarrierDriverTBL!$A:$A,0))</f>
        <v>95377</v>
      </c>
      <c r="BA250" s="142" t="str">
        <f>INDEX(CarrierDriverTBL!$Q:$Q,MATCH(Table1[[#This Row],[DriverID]],CarrierDriverTBL!$A:$A,0))</f>
        <v>US</v>
      </c>
      <c r="BB250" s="176" t="str">
        <f>INDEX(CarrierDriverTBL!$R:$R,MATCH(Table1[[#This Row],[DriverID]],CarrierDriverTBL!$A:$A,0))</f>
        <v>ubgollc@gmail.com</v>
      </c>
      <c r="BC250" s="160">
        <f>INDEX(CarrierDriverTBL!$AB:$AB,MATCH(Table1[[#This Row],[DriverID]],CarrierDriverTBL!$A:$A,0))</f>
        <v>42167</v>
      </c>
      <c r="BD250" s="142" t="str">
        <f ca="1">INDEX(CarrierDriverTBL!$AD:$AD,MATCH(LoadMaster!$AN:$AN,CarrierDriverTBL!$A:$A,0))</f>
        <v>MISSING</v>
      </c>
      <c r="BE250" s="142">
        <f>INDEX(CarrierDriverTBL!$AE:$AE,MATCH(Table1[DriverID],CarrierDriverTBL!$A:$A,0))</f>
        <v>913971</v>
      </c>
      <c r="BF250" s="142">
        <f>INDEX(CarrierDriverTBL!$AF:$AF,MATCH(Table1[DriverID],CarrierDriverTBL!$A:$A,0))</f>
        <v>2627544</v>
      </c>
      <c r="BG250" s="142">
        <f>INDEX(CarrierDriverTBL!$AG:$AG,MATCH(Table1[DriverID],CarrierDriverTBL!$A:$A,0))</f>
        <v>466133</v>
      </c>
      <c r="BH250" s="142" t="str">
        <f>INDEX(CarrierDriverTBL!$AH:$AH,MATCH(Table1[DriverID],CarrierDriverTBL!$A:$A,0))</f>
        <v>GM Lawrence Ins</v>
      </c>
      <c r="BI250" s="142" t="str">
        <f>INDEX(CarrierDriverTBL!$AI:$AI,MATCH(Table1[DriverID],CarrierDriverTBL!$A:$A,0))</f>
        <v>DSK2842P160210</v>
      </c>
      <c r="BJ250" s="160">
        <f>INDEX(CarrierDriverTBL!$AJ:$AJ,MATCH(Table1[[#This Row],[DriverID]],CarrierDriverTBL!$A:$A,0))</f>
        <v>42778</v>
      </c>
      <c r="BK250" s="10">
        <f t="shared" si="98"/>
        <v>394</v>
      </c>
      <c r="BL250" s="59">
        <v>350</v>
      </c>
      <c r="BM250" s="144">
        <v>93.2</v>
      </c>
      <c r="BN250" s="159">
        <f t="shared" si="115"/>
        <v>3.7553648068669525</v>
      </c>
      <c r="BO250" s="167">
        <v>300</v>
      </c>
      <c r="BP250" s="159">
        <f t="shared" si="116"/>
        <v>3.2188841201716736</v>
      </c>
      <c r="BQ250" s="133">
        <v>2.6</v>
      </c>
      <c r="BR250" s="166">
        <f t="shared" si="117"/>
        <v>0.1166666666666667</v>
      </c>
      <c r="BS250" s="167">
        <f t="shared" si="99"/>
        <v>3.1022174535050069</v>
      </c>
      <c r="BT250" s="159">
        <f t="shared" si="100"/>
        <v>10.873333333333337</v>
      </c>
      <c r="BU250" s="10" t="str">
        <f t="shared" si="101"/>
        <v>Ch Robinson</v>
      </c>
      <c r="BV250" s="15"/>
      <c r="BW250" s="4" t="str">
        <f>Table1[[#This Row],[BrokerAddress]]</f>
        <v>P.O. Box 3474</v>
      </c>
      <c r="BX250" s="4" t="str">
        <f t="shared" si="102"/>
        <v>Chicago</v>
      </c>
      <c r="BY250" s="4" t="str">
        <f t="shared" si="103"/>
        <v>Il</v>
      </c>
      <c r="BZ250" s="4">
        <f t="shared" si="104"/>
        <v>60654</v>
      </c>
      <c r="CA250" s="10" t="str">
        <f t="shared" si="105"/>
        <v>US</v>
      </c>
      <c r="CB250" s="15" t="s">
        <v>131</v>
      </c>
      <c r="CC250" s="62"/>
      <c r="CD250" s="15" t="s">
        <v>1814</v>
      </c>
      <c r="CE250" s="64">
        <v>25</v>
      </c>
      <c r="CF250" s="4">
        <v>1</v>
      </c>
      <c r="CG250" s="132">
        <f t="shared" si="106"/>
        <v>25</v>
      </c>
      <c r="CH250" s="4" t="s">
        <v>132</v>
      </c>
      <c r="CI250" s="5">
        <v>0</v>
      </c>
      <c r="CJ250" s="4">
        <v>0</v>
      </c>
      <c r="CK250" s="132">
        <f t="shared" si="107"/>
        <v>0</v>
      </c>
      <c r="CL250" s="4" t="s">
        <v>132</v>
      </c>
      <c r="CM250" s="5">
        <v>0</v>
      </c>
      <c r="CN250" s="4">
        <v>0</v>
      </c>
      <c r="CO250" s="132">
        <f t="shared" si="108"/>
        <v>0</v>
      </c>
      <c r="CP250" s="4" t="s">
        <v>132</v>
      </c>
      <c r="CQ250" s="5">
        <v>0</v>
      </c>
      <c r="CR250" s="4">
        <v>0</v>
      </c>
      <c r="CS250" s="132">
        <f t="shared" si="109"/>
        <v>0</v>
      </c>
      <c r="CT250" s="159">
        <f t="shared" si="110"/>
        <v>25</v>
      </c>
      <c r="CU250" s="168">
        <f t="shared" si="111"/>
        <v>375</v>
      </c>
      <c r="CV250" s="169">
        <f t="shared" si="94"/>
        <v>25</v>
      </c>
      <c r="CW250" s="82">
        <f t="shared" si="95"/>
        <v>325</v>
      </c>
      <c r="CX250" s="79">
        <f>IF(ISBLANK(E250),"AddQuickPay",IF(E250=2,CU250*0.98,IF(E250=2.4,CU250*0.976,IF(E250=3,CU250*0.97,IF(E250=5,CU250*0.95,IF(E250=1.5,CU250*0.985,IF(E250=2.5,CU250*0.975,IF(E250=1.3,CU250*0.987,IF(E250=1,CU250*0.99,IF(E250=4,CU250*0.96,CU250*1))))))))))-Table1[[#This Row],[ComCheck+QuickPayFee]]</f>
        <v>367.5</v>
      </c>
      <c r="CY250" s="5">
        <f t="shared" si="112"/>
        <v>50</v>
      </c>
      <c r="CZ250" s="5">
        <f t="shared" si="113"/>
        <v>7.5</v>
      </c>
      <c r="DA250" s="258">
        <f>Table1[[#This Row],[OriginalDispatch]]-Table1[[#This Row],[QuickPayCharge]]</f>
        <v>42.5</v>
      </c>
      <c r="DB250" s="5">
        <v>0</v>
      </c>
      <c r="DC250" s="5" t="s">
        <v>133</v>
      </c>
      <c r="DD250" s="104">
        <f t="shared" si="114"/>
        <v>42384</v>
      </c>
      <c r="DE250" s="15">
        <f>MONTH(Table1[[#This Row],[Weekending]])</f>
        <v>1</v>
      </c>
      <c r="DF250" s="15">
        <f>YEAR(Table1[[#This Row],[Weekending]])</f>
        <v>2016</v>
      </c>
      <c r="DG250" s="4" t="s">
        <v>1835</v>
      </c>
    </row>
    <row r="251" spans="1:111">
      <c r="A251" s="20" t="str">
        <f t="shared" si="96"/>
        <v>68tl7119</v>
      </c>
      <c r="B251" s="146">
        <v>42384</v>
      </c>
      <c r="C251" s="144">
        <v>9468</v>
      </c>
      <c r="D251" s="298" t="s">
        <v>1836</v>
      </c>
      <c r="E251" s="144">
        <v>4</v>
      </c>
      <c r="F251" s="298" t="str">
        <f>INDEX(BrokerTBL!$B:$B,MATCH(D251,BrokerTBL!$A:$A,0))</f>
        <v>9933 Dove Shellway</v>
      </c>
      <c r="G251" s="298" t="str">
        <f>INDEX(BrokerTBL!$C:$C,MATCH(D251,BrokerTBL!$A:$A,0))</f>
        <v>Elk Grove</v>
      </c>
      <c r="H251" s="298" t="str">
        <f>INDEX(BrokerTBL!$D:$D,MATCH(D251,BrokerTBL!$A:$A,0))</f>
        <v>Ca</v>
      </c>
      <c r="I251" s="142" t="str">
        <f>INDEX(BrokerTBL!$E:$E,MATCH(D251,BrokerTBL!$A:$A,0))</f>
        <v>US</v>
      </c>
      <c r="J251" s="298">
        <f>INDEX(BrokerTBL!$F:$F,MATCH(D251,BrokerTBL!$A:$A,0))</f>
        <v>95757</v>
      </c>
      <c r="K251" s="298" t="s">
        <v>1837</v>
      </c>
      <c r="L251" s="145" t="s">
        <v>1838</v>
      </c>
      <c r="M251" s="146">
        <v>42384</v>
      </c>
      <c r="N251" s="182">
        <v>0.1875</v>
      </c>
      <c r="O251" s="298" t="s">
        <v>1839</v>
      </c>
      <c r="P251" s="298" t="s">
        <v>1840</v>
      </c>
      <c r="Q251" s="298" t="s">
        <v>139</v>
      </c>
      <c r="R251" s="298">
        <v>94404</v>
      </c>
      <c r="S251" s="298" t="s">
        <v>118</v>
      </c>
      <c r="T251" s="298" t="s">
        <v>1841</v>
      </c>
      <c r="U251" s="298" t="s">
        <v>120</v>
      </c>
      <c r="V251" s="298">
        <v>53</v>
      </c>
      <c r="W251" s="298" t="s">
        <v>136</v>
      </c>
      <c r="X251" s="144" t="s">
        <v>136</v>
      </c>
      <c r="Y251" s="298" t="s">
        <v>123</v>
      </c>
      <c r="Z251" s="298" t="s">
        <v>123</v>
      </c>
      <c r="AA251" s="298" t="s">
        <v>123</v>
      </c>
      <c r="AB251" s="298" t="s">
        <v>123</v>
      </c>
      <c r="AC251" s="298" t="s">
        <v>1842</v>
      </c>
      <c r="AD251" s="145">
        <v>36942771</v>
      </c>
      <c r="AE251" s="146">
        <v>42387</v>
      </c>
      <c r="AF251" s="178">
        <v>0.29166666666666702</v>
      </c>
      <c r="AG251" s="298" t="s">
        <v>1843</v>
      </c>
      <c r="AH251" s="298" t="s">
        <v>961</v>
      </c>
      <c r="AI251" s="298" t="s">
        <v>139</v>
      </c>
      <c r="AJ251" s="298">
        <v>95652</v>
      </c>
      <c r="AK251" s="298" t="s">
        <v>118</v>
      </c>
      <c r="AL251" s="298" t="s">
        <v>1844</v>
      </c>
      <c r="AM251" s="142" t="str">
        <f>INDEX(CarrierDriverTBL!$B:$B,MATCH(Table1[[#This Row],[DriverID]],CarrierDriverTBL!$A:$A,0))</f>
        <v>UBTrucking</v>
      </c>
      <c r="AN251" s="10" t="s">
        <v>1409</v>
      </c>
      <c r="AO251" s="298" t="str">
        <f>INDEX(CarrierDriverTBL!$C:$C,MATCH(Table1[[#This Row],[DriverID]],CarrierDriverTBL!$A:$A,0))</f>
        <v>Miguel Jaime</v>
      </c>
      <c r="AP251" s="298" t="str">
        <f>INDEX(CarrierDriverTBL!$D:$D,MATCH(Table1[[#This Row],[DriverID]],CarrierDriverTBL!$A:$A,0))</f>
        <v>Martin Del Campo Velarca</v>
      </c>
      <c r="AQ251" s="142" t="str">
        <f>INDEX(CarrierDriverTBL!$X:$X,MATCH(Table1[[#This Row],[DriverID]],CarrierDriverTBL!$A:$A,0))</f>
        <v>D5179619</v>
      </c>
      <c r="AR251" s="160">
        <f>INDEX(CarrierDriverTBL!$Y:$Y,MATCH(Table1[[#This Row],[DriverID]],CarrierDriverTBL!$A:$A,0))</f>
        <v>43843</v>
      </c>
      <c r="AS251" s="142" t="str">
        <f t="shared" si="97"/>
        <v>GOOD</v>
      </c>
      <c r="AT251" s="146">
        <f>INDEX(CarrierDriverTBL!$E:$E,MATCH(Table1[[#This Row],[DriverID]],CarrierDriverTBL!$A:$A,0))</f>
        <v>21198</v>
      </c>
      <c r="AU251" s="163">
        <f ca="1">INDEX(CarrierDriverTBL!$F:$F,MATCH(Table1[[#This Row],[DriverID]],CarrierDriverTBL!$A:$A,0))</f>
        <v>58.56986301369863</v>
      </c>
      <c r="AV251" s="298" t="str">
        <f>INDEX(CarrierDriverTBL!$K:$K,MATCH(Table1[[#This Row],[DriverID]],CarrierDriverTBL!$A:$A,0))</f>
        <v>209-322-5231</v>
      </c>
      <c r="AW251" s="298" t="str">
        <f>INDEX(CarrierDriverTBL!$M:$M,MATCH(Table1[[#This Row],[DriverID]],CarrierDriverTBL!$A:$A,0))</f>
        <v>572 Predersen RD</v>
      </c>
      <c r="AX251" s="298" t="str">
        <f>INDEX(CarrierDriverTBL!$N:$N,MATCH(Table1[[#This Row],[DriverID]],CarrierDriverTBL!$A:$A,0))</f>
        <v>Oakdale</v>
      </c>
      <c r="AY251" s="142" t="str">
        <f>INDEX(CarrierDriverTBL!$O:$O,MATCH(Table1[[#This Row],[DriverID]],CarrierDriverTBL!$A:$A,0))</f>
        <v>CA</v>
      </c>
      <c r="AZ251" s="298">
        <f>INDEX(CarrierDriverTBL!$P:$P,MATCH(Table1[[#This Row],[DriverID]],CarrierDriverTBL!$A:$A,0))</f>
        <v>95361</v>
      </c>
      <c r="BA251" s="298" t="str">
        <f>INDEX(CarrierDriverTBL!$Q:$Q,MATCH(Table1[[#This Row],[DriverID]],CarrierDriverTBL!$A:$A,0))</f>
        <v>US</v>
      </c>
      <c r="BB251" s="176" t="str">
        <f>INDEX(CarrierDriverTBL!$R:$R,MATCH(Table1[[#This Row],[DriverID]],CarrierDriverTBL!$A:$A,0))</f>
        <v>Miguelmartin52@yahoo.com</v>
      </c>
      <c r="BC251" s="160">
        <f>INDEX(CarrierDriverTBL!$AB:$AB,MATCH(Table1[[#This Row],[DriverID]],CarrierDriverTBL!$A:$A,0))</f>
        <v>42334</v>
      </c>
      <c r="BD251" s="142" t="str">
        <f ca="1">INDEX(CarrierDriverTBL!$AD:$AD,MATCH(LoadMaster!$AN:$AN,CarrierDriverTBL!$A:$A,0))</f>
        <v>MISSING</v>
      </c>
      <c r="BE251" s="142">
        <f>INDEX(CarrierDriverTBL!$AE:$AE,MATCH(Table1[DriverID],CarrierDriverTBL!$A:$A,0))</f>
        <v>913971</v>
      </c>
      <c r="BF251" s="142">
        <f>INDEX(CarrierDriverTBL!$AF:$AF,MATCH(Table1[DriverID],CarrierDriverTBL!$A:$A,0))</f>
        <v>2627544</v>
      </c>
      <c r="BG251" s="142">
        <f>INDEX(CarrierDriverTBL!$AG:$AG,MATCH(Table1[DriverID],CarrierDriverTBL!$A:$A,0))</f>
        <v>466133</v>
      </c>
      <c r="BH251" s="142" t="str">
        <f>INDEX(CarrierDriverTBL!$AH:$AH,MATCH(Table1[DriverID],CarrierDriverTBL!$A:$A,0))</f>
        <v>GM Lawrence Ins</v>
      </c>
      <c r="BI251" s="142" t="str">
        <f>INDEX(CarrierDriverTBL!$AI:$AI,MATCH(Table1[DriverID],CarrierDriverTBL!$A:$A,0))</f>
        <v>DSK2842P160210</v>
      </c>
      <c r="BJ251" s="160">
        <f>INDEX(CarrierDriverTBL!$AJ:$AJ,MATCH(Table1[[#This Row],[DriverID]],CarrierDriverTBL!$A:$A,0))</f>
        <v>42778</v>
      </c>
      <c r="BK251" s="10">
        <f t="shared" si="98"/>
        <v>394</v>
      </c>
      <c r="BL251" s="59">
        <v>375</v>
      </c>
      <c r="BM251" s="144">
        <v>125</v>
      </c>
      <c r="BN251" s="159">
        <f t="shared" si="115"/>
        <v>3</v>
      </c>
      <c r="BO251" s="167">
        <f>0.93*375</f>
        <v>348.75</v>
      </c>
      <c r="BP251" s="159">
        <f t="shared" si="116"/>
        <v>2.79</v>
      </c>
      <c r="BQ251" s="133">
        <v>2.6</v>
      </c>
      <c r="BR251" s="166">
        <f t="shared" si="117"/>
        <v>0.1166666666666667</v>
      </c>
      <c r="BS251" s="167">
        <f t="shared" si="99"/>
        <v>2.6733333333333333</v>
      </c>
      <c r="BT251" s="159">
        <f t="shared" si="100"/>
        <v>14.583333333333337</v>
      </c>
      <c r="BU251" s="10" t="str">
        <f t="shared" si="101"/>
        <v>Ntl Logistics</v>
      </c>
      <c r="BV251" s="15"/>
      <c r="BW251" s="4" t="str">
        <f>Table1[[#This Row],[BrokerAddress]]</f>
        <v>9933 Dove Shellway</v>
      </c>
      <c r="BX251" s="4" t="str">
        <f t="shared" si="102"/>
        <v>Elk Grove</v>
      </c>
      <c r="BY251" s="4" t="str">
        <f t="shared" si="103"/>
        <v>Ca</v>
      </c>
      <c r="BZ251" s="4">
        <f t="shared" si="104"/>
        <v>95757</v>
      </c>
      <c r="CA251" s="10" t="str">
        <f t="shared" si="105"/>
        <v>US</v>
      </c>
      <c r="CB251" s="15" t="s">
        <v>131</v>
      </c>
      <c r="CC251" s="62"/>
      <c r="CD251" s="15" t="s">
        <v>132</v>
      </c>
      <c r="CE251" s="64">
        <v>0</v>
      </c>
      <c r="CF251" s="4">
        <v>0</v>
      </c>
      <c r="CG251" s="132">
        <f t="shared" si="106"/>
        <v>0</v>
      </c>
      <c r="CH251" s="4" t="s">
        <v>132</v>
      </c>
      <c r="CI251" s="5">
        <v>0</v>
      </c>
      <c r="CJ251" s="4">
        <v>0</v>
      </c>
      <c r="CK251" s="132">
        <f t="shared" si="107"/>
        <v>0</v>
      </c>
      <c r="CL251" s="4" t="s">
        <v>132</v>
      </c>
      <c r="CM251" s="5">
        <v>0</v>
      </c>
      <c r="CN251" s="4">
        <v>0</v>
      </c>
      <c r="CO251" s="132">
        <f t="shared" si="108"/>
        <v>0</v>
      </c>
      <c r="CP251" s="4" t="s">
        <v>132</v>
      </c>
      <c r="CQ251" s="5">
        <v>0</v>
      </c>
      <c r="CR251" s="4">
        <v>0</v>
      </c>
      <c r="CS251" s="132">
        <f t="shared" si="109"/>
        <v>0</v>
      </c>
      <c r="CT251" s="159">
        <f t="shared" si="110"/>
        <v>0</v>
      </c>
      <c r="CU251" s="168">
        <f t="shared" si="111"/>
        <v>375</v>
      </c>
      <c r="CV251" s="169">
        <f t="shared" si="94"/>
        <v>0</v>
      </c>
      <c r="CW251" s="82">
        <f t="shared" si="95"/>
        <v>348.75</v>
      </c>
      <c r="CX251" s="79">
        <f>IF(ISBLANK(E251),"AddQuickPay",IF(E251=2,CU251*0.98,IF(E251=2.4,CU251*0.976,IF(E251=3,CU251*0.97,IF(E251=5,CU251*0.95,IF(E251=1.5,CU251*0.985,IF(E251=2.5,CU251*0.975,IF(E251=1.3,CU251*0.987,IF(E251=1,CU251*0.99,IF(E251=4,CU251*0.96,CU251*1))))))))))-Table1[[#This Row],[ComCheck+QuickPayFee]]</f>
        <v>360</v>
      </c>
      <c r="CY251" s="5">
        <f t="shared" si="112"/>
        <v>26.25</v>
      </c>
      <c r="CZ251" s="5">
        <f t="shared" si="113"/>
        <v>15</v>
      </c>
      <c r="DA251" s="258">
        <f>Table1[[#This Row],[OriginalDispatch]]-Table1[[#This Row],[QuickPayCharge]]</f>
        <v>11.25</v>
      </c>
      <c r="DB251" s="5">
        <v>0</v>
      </c>
      <c r="DC251" s="5" t="s">
        <v>133</v>
      </c>
      <c r="DD251" s="104">
        <f t="shared" si="114"/>
        <v>42384</v>
      </c>
      <c r="DE251" s="15">
        <f>MONTH(Table1[[#This Row],[Weekending]])</f>
        <v>1</v>
      </c>
      <c r="DF251" s="15">
        <f>YEAR(Table1[[#This Row],[Weekending]])</f>
        <v>2016</v>
      </c>
      <c r="DG251" s="4"/>
    </row>
    <row r="252" spans="1:111">
      <c r="A252" s="20" t="str">
        <f t="shared" si="96"/>
        <v>07727249</v>
      </c>
      <c r="B252" s="146">
        <v>42384</v>
      </c>
      <c r="C252" s="144">
        <v>190409007</v>
      </c>
      <c r="D252" s="298" t="s">
        <v>111</v>
      </c>
      <c r="E252" s="298">
        <v>2</v>
      </c>
      <c r="F252" s="142" t="str">
        <f>INDEX(BrokerTBL!$B:$B,MATCH(D252,BrokerTBL!$A:$A,0))</f>
        <v>P.O. Box 3474</v>
      </c>
      <c r="G252" s="142" t="str">
        <f>INDEX(BrokerTBL!$C:$C,MATCH(D252,BrokerTBL!$A:$A,0))</f>
        <v>Chicago</v>
      </c>
      <c r="H252" s="142" t="str">
        <f>INDEX(BrokerTBL!$D:$D,MATCH(D252,BrokerTBL!$A:$A,0))</f>
        <v>Il</v>
      </c>
      <c r="I252" s="142" t="str">
        <f>INDEX(BrokerTBL!$E:$E,MATCH(D252,BrokerTBL!$A:$A,0))</f>
        <v>US</v>
      </c>
      <c r="J252" s="142">
        <f>INDEX(BrokerTBL!$F:$F,MATCH(D252,BrokerTBL!$A:$A,0))</f>
        <v>60654</v>
      </c>
      <c r="K252" s="298" t="s">
        <v>1845</v>
      </c>
      <c r="L252" s="145">
        <v>424672</v>
      </c>
      <c r="M252" s="146">
        <v>42384</v>
      </c>
      <c r="N252" s="162" t="s">
        <v>136</v>
      </c>
      <c r="O252" s="298" t="s">
        <v>1846</v>
      </c>
      <c r="P252" s="298" t="s">
        <v>1159</v>
      </c>
      <c r="Q252" s="298" t="s">
        <v>139</v>
      </c>
      <c r="R252" s="298"/>
      <c r="S252" s="298" t="s">
        <v>118</v>
      </c>
      <c r="T252" s="298" t="s">
        <v>136</v>
      </c>
      <c r="U252" s="298" t="s">
        <v>120</v>
      </c>
      <c r="V252" s="298">
        <v>53</v>
      </c>
      <c r="W252" s="298" t="s">
        <v>1847</v>
      </c>
      <c r="X252" s="185">
        <v>45000</v>
      </c>
      <c r="Y252" s="298" t="s">
        <v>1848</v>
      </c>
      <c r="Z252" s="298" t="s">
        <v>123</v>
      </c>
      <c r="AA252" s="298" t="s">
        <v>123</v>
      </c>
      <c r="AB252" s="298" t="s">
        <v>123</v>
      </c>
      <c r="AC252" s="298" t="s">
        <v>1849</v>
      </c>
      <c r="AD252" s="145">
        <v>424672</v>
      </c>
      <c r="AE252" s="146">
        <v>42387</v>
      </c>
      <c r="AF252" s="416" t="s">
        <v>123</v>
      </c>
      <c r="AG252" s="298" t="s">
        <v>1850</v>
      </c>
      <c r="AH252" s="298" t="s">
        <v>1851</v>
      </c>
      <c r="AI252" s="298" t="s">
        <v>139</v>
      </c>
      <c r="AJ252" s="298" t="s">
        <v>1852</v>
      </c>
      <c r="AK252" s="298" t="s">
        <v>118</v>
      </c>
      <c r="AL252" s="298" t="s">
        <v>123</v>
      </c>
      <c r="AM252" s="142" t="str">
        <f>INDEX(CarrierDriverTBL!$B:$B,MATCH(Table1[[#This Row],[DriverID]],CarrierDriverTBL!$A:$A,0))</f>
        <v>UBTrucking</v>
      </c>
      <c r="AN252" s="10" t="s">
        <v>192</v>
      </c>
      <c r="AO252" s="10" t="str">
        <f>INDEX(CarrierDriverTBL!$C:$C,MATCH(Table1[[#This Row],[DriverID]],CarrierDriverTBL!$A:$A,0))</f>
        <v>Albel</v>
      </c>
      <c r="AP252" s="142" t="str">
        <f>INDEX(CarrierDriverTBL!$D:$D,MATCH(Table1[[#This Row],[DriverID]],CarrierDriverTBL!$A:$A,0))</f>
        <v>Chahil</v>
      </c>
      <c r="AQ252" s="142" t="str">
        <f>INDEX(CarrierDriverTBL!$X:$X,MATCH(Table1[[#This Row],[DriverID]],CarrierDriverTBL!$A:$A,0))</f>
        <v>A8390649</v>
      </c>
      <c r="AR252" s="160">
        <f>INDEX(CarrierDriverTBL!$Y:$Y,MATCH(Table1[[#This Row],[DriverID]],CarrierDriverTBL!$A:$A,0))</f>
        <v>42402</v>
      </c>
      <c r="AS252" s="142" t="str">
        <f t="shared" si="97"/>
        <v>GOOD</v>
      </c>
      <c r="AT252" s="160">
        <f>INDEX(CarrierDriverTBL!$E:$E,MATCH(Table1[[#This Row],[DriverID]],CarrierDriverTBL!$A:$A,0))</f>
        <v>22314</v>
      </c>
      <c r="AU252" s="163">
        <f ca="1">INDEX(CarrierDriverTBL!$F:$F,MATCH(Table1[[#This Row],[DriverID]],CarrierDriverTBL!$A:$A,0))</f>
        <v>55.512328767123286</v>
      </c>
      <c r="AV252" s="142" t="str">
        <f>INDEX(CarrierDriverTBL!$K:$K,MATCH(Table1[[#This Row],[DriverID]],CarrierDriverTBL!$A:$A,0))</f>
        <v>510-773-9450</v>
      </c>
      <c r="AW252" s="142" t="str">
        <f>INDEX(CarrierDriverTBL!$M:$M,MATCH(Table1[[#This Row],[DriverID]],CarrierDriverTBL!$A:$A,0))</f>
        <v>3124 Cynthia CT</v>
      </c>
      <c r="AX252" s="142" t="str">
        <f>INDEX(CarrierDriverTBL!$N:$N,MATCH(Table1[[#This Row],[DriverID]],CarrierDriverTBL!$A:$A,0))</f>
        <v>Tracy</v>
      </c>
      <c r="AY252" s="142" t="str">
        <f>INDEX(CarrierDriverTBL!$O:$O,MATCH(Table1[[#This Row],[DriverID]],CarrierDriverTBL!$A:$A,0))</f>
        <v>CA</v>
      </c>
      <c r="AZ252" s="142">
        <f>INDEX(CarrierDriverTBL!$P:$P,MATCH(Table1[[#This Row],[DriverID]],CarrierDriverTBL!$A:$A,0))</f>
        <v>95377</v>
      </c>
      <c r="BA252" s="142" t="str">
        <f>INDEX(CarrierDriverTBL!$Q:$Q,MATCH(Table1[[#This Row],[DriverID]],CarrierDriverTBL!$A:$A,0))</f>
        <v>US</v>
      </c>
      <c r="BB252" s="176" t="str">
        <f>INDEX(CarrierDriverTBL!$R:$R,MATCH(Table1[[#This Row],[DriverID]],CarrierDriverTBL!$A:$A,0))</f>
        <v>ubgollc@gmail.com</v>
      </c>
      <c r="BC252" s="160">
        <f>INDEX(CarrierDriverTBL!$AB:$AB,MATCH(Table1[[#This Row],[DriverID]],CarrierDriverTBL!$A:$A,0))</f>
        <v>42167</v>
      </c>
      <c r="BD252" s="142" t="str">
        <f ca="1">INDEX(CarrierDriverTBL!$AD:$AD,MATCH(LoadMaster!$AN:$AN,CarrierDriverTBL!$A:$A,0))</f>
        <v>MISSING</v>
      </c>
      <c r="BE252" s="142">
        <f>INDEX(CarrierDriverTBL!$AE:$AE,MATCH(Table1[DriverID],CarrierDriverTBL!$A:$A,0))</f>
        <v>913971</v>
      </c>
      <c r="BF252" s="142">
        <f>INDEX(CarrierDriverTBL!$AF:$AF,MATCH(Table1[DriverID],CarrierDriverTBL!$A:$A,0))</f>
        <v>2627544</v>
      </c>
      <c r="BG252" s="142">
        <f>INDEX(CarrierDriverTBL!$AG:$AG,MATCH(Table1[DriverID],CarrierDriverTBL!$A:$A,0))</f>
        <v>466133</v>
      </c>
      <c r="BH252" s="142" t="str">
        <f>INDEX(CarrierDriverTBL!$AH:$AH,MATCH(Table1[DriverID],CarrierDriverTBL!$A:$A,0))</f>
        <v>GM Lawrence Ins</v>
      </c>
      <c r="BI252" s="142" t="str">
        <f>INDEX(CarrierDriverTBL!$AI:$AI,MATCH(Table1[DriverID],CarrierDriverTBL!$A:$A,0))</f>
        <v>DSK2842P160210</v>
      </c>
      <c r="BJ252" s="160">
        <f>INDEX(CarrierDriverTBL!$AJ:$AJ,MATCH(Table1[[#This Row],[DriverID]],CarrierDriverTBL!$A:$A,0))</f>
        <v>42778</v>
      </c>
      <c r="BK252" s="10">
        <f t="shared" si="98"/>
        <v>394</v>
      </c>
      <c r="BL252" s="174">
        <v>350</v>
      </c>
      <c r="BM252" s="144">
        <v>164</v>
      </c>
      <c r="BN252" s="159">
        <f t="shared" si="115"/>
        <v>2.1341463414634148</v>
      </c>
      <c r="BO252" s="167">
        <v>300</v>
      </c>
      <c r="BP252" s="159">
        <f t="shared" si="116"/>
        <v>1.8292682926829269</v>
      </c>
      <c r="BQ252" s="133">
        <v>2.6</v>
      </c>
      <c r="BR252" s="166">
        <f t="shared" si="117"/>
        <v>0.1166666666666667</v>
      </c>
      <c r="BS252" s="167">
        <f t="shared" si="99"/>
        <v>1.7126016260162602</v>
      </c>
      <c r="BT252" s="159">
        <f t="shared" si="100"/>
        <v>19.13333333333334</v>
      </c>
      <c r="BU252" s="10" t="str">
        <f t="shared" si="101"/>
        <v>Ch Robinson</v>
      </c>
      <c r="BV252" s="4"/>
      <c r="BW252" s="4" t="str">
        <f>Table1[[#This Row],[BrokerAddress]]</f>
        <v>P.O. Box 3474</v>
      </c>
      <c r="BX252" s="4" t="str">
        <f t="shared" si="102"/>
        <v>Chicago</v>
      </c>
      <c r="BY252" s="4" t="str">
        <f t="shared" si="103"/>
        <v>Il</v>
      </c>
      <c r="BZ252" s="4">
        <f t="shared" si="104"/>
        <v>60654</v>
      </c>
      <c r="CA252" s="10" t="str">
        <f t="shared" si="105"/>
        <v>US</v>
      </c>
      <c r="CB252" s="15" t="s">
        <v>131</v>
      </c>
      <c r="CC252" s="62"/>
      <c r="CD252" s="15" t="s">
        <v>132</v>
      </c>
      <c r="CE252" s="64">
        <v>0</v>
      </c>
      <c r="CF252" s="4">
        <v>0</v>
      </c>
      <c r="CG252" s="132">
        <f t="shared" si="106"/>
        <v>0</v>
      </c>
      <c r="CH252" s="4" t="s">
        <v>132</v>
      </c>
      <c r="CI252" s="5">
        <v>0</v>
      </c>
      <c r="CJ252" s="4">
        <v>0</v>
      </c>
      <c r="CK252" s="132">
        <f t="shared" si="107"/>
        <v>0</v>
      </c>
      <c r="CL252" s="4" t="s">
        <v>132</v>
      </c>
      <c r="CM252" s="5">
        <v>0</v>
      </c>
      <c r="CN252" s="4">
        <v>0</v>
      </c>
      <c r="CO252" s="132">
        <f t="shared" si="108"/>
        <v>0</v>
      </c>
      <c r="CP252" s="4" t="s">
        <v>132</v>
      </c>
      <c r="CQ252" s="5">
        <v>0</v>
      </c>
      <c r="CR252" s="4">
        <v>0</v>
      </c>
      <c r="CS252" s="132">
        <f t="shared" si="109"/>
        <v>0</v>
      </c>
      <c r="CT252" s="159">
        <f t="shared" si="110"/>
        <v>0</v>
      </c>
      <c r="CU252" s="168">
        <f t="shared" si="111"/>
        <v>350</v>
      </c>
      <c r="CV252" s="169">
        <f t="shared" si="94"/>
        <v>0</v>
      </c>
      <c r="CW252" s="82">
        <f t="shared" si="95"/>
        <v>300</v>
      </c>
      <c r="CX252" s="79">
        <f>IF(ISBLANK(E252),"AddQuickPay",IF(E252=2,CU252*0.98,IF(E252=2.4,CU252*0.976,IF(E252=3,CU252*0.97,IF(E252=5,CU252*0.95,IF(E252=1.5,CU252*0.985,IF(E252=2.5,CU252*0.975,IF(E252=1.3,CU252*0.987,IF(E252=1,CU252*0.99,IF(E252=4,CU252*0.96,CU252*1))))))))))-Table1[[#This Row],[ComCheck+QuickPayFee]]</f>
        <v>343</v>
      </c>
      <c r="CY252" s="5">
        <f t="shared" si="112"/>
        <v>50</v>
      </c>
      <c r="CZ252" s="5">
        <f t="shared" si="113"/>
        <v>7</v>
      </c>
      <c r="DA252" s="258">
        <f>Table1[[#This Row],[OriginalDispatch]]-Table1[[#This Row],[QuickPayCharge]]</f>
        <v>43</v>
      </c>
      <c r="DB252" s="5">
        <v>0</v>
      </c>
      <c r="DC252" s="5" t="s">
        <v>133</v>
      </c>
      <c r="DD252" s="104">
        <f t="shared" si="114"/>
        <v>42384</v>
      </c>
      <c r="DE252" s="15">
        <f>MONTH(Table1[[#This Row],[Weekending]])</f>
        <v>1</v>
      </c>
      <c r="DF252" s="15">
        <f>YEAR(Table1[[#This Row],[Weekending]])</f>
        <v>2016</v>
      </c>
      <c r="DG252" s="4"/>
    </row>
    <row r="253" spans="1:111">
      <c r="A253" s="20" t="str">
        <f t="shared" si="96"/>
        <v>56000019</v>
      </c>
      <c r="B253" s="146">
        <v>42387</v>
      </c>
      <c r="C253" s="144">
        <v>6510156</v>
      </c>
      <c r="D253" s="298" t="s">
        <v>555</v>
      </c>
      <c r="E253" s="298">
        <v>3</v>
      </c>
      <c r="F253" s="298" t="str">
        <f>INDEX(BrokerTBL!$B:$B,MATCH(D253,BrokerTBL!$A:$A,0))</f>
        <v>P.O. Box 799</v>
      </c>
      <c r="G253" s="298" t="str">
        <f>INDEX(BrokerTBL!$C:$C,MATCH(D253,BrokerTBL!$A:$A,0))</f>
        <v>Milford</v>
      </c>
      <c r="H253" s="298" t="str">
        <f>INDEX(BrokerTBL!$D:$D,MATCH(D253,BrokerTBL!$A:$A,0))</f>
        <v>Ohio</v>
      </c>
      <c r="I253" s="298" t="str">
        <f>INDEX(BrokerTBL!$E:$E,MATCH(D253,BrokerTBL!$A:$A,0))</f>
        <v>US</v>
      </c>
      <c r="J253" s="298">
        <f>INDEX(BrokerTBL!$F:$F,MATCH(D253,BrokerTBL!$A:$A,0))</f>
        <v>45150</v>
      </c>
      <c r="K253" s="298" t="s">
        <v>1853</v>
      </c>
      <c r="L253" s="145" t="s">
        <v>1854</v>
      </c>
      <c r="M253" s="146">
        <v>42387</v>
      </c>
      <c r="N253" s="144" t="s">
        <v>1855</v>
      </c>
      <c r="O253" s="298" t="s">
        <v>1856</v>
      </c>
      <c r="P253" s="298" t="s">
        <v>1857</v>
      </c>
      <c r="Q253" s="298" t="s">
        <v>139</v>
      </c>
      <c r="R253" s="298">
        <v>95948</v>
      </c>
      <c r="S253" s="298" t="s">
        <v>118</v>
      </c>
      <c r="T253" s="298" t="s">
        <v>136</v>
      </c>
      <c r="U253" s="298" t="s">
        <v>120</v>
      </c>
      <c r="V253" s="298">
        <v>53</v>
      </c>
      <c r="W253" s="298" t="s">
        <v>1858</v>
      </c>
      <c r="X253" s="144" t="s">
        <v>136</v>
      </c>
      <c r="Y253" s="298" t="s">
        <v>1859</v>
      </c>
      <c r="Z253" s="298" t="s">
        <v>123</v>
      </c>
      <c r="AA253" s="298" t="s">
        <v>123</v>
      </c>
      <c r="AB253" s="298" t="s">
        <v>123</v>
      </c>
      <c r="AC253" s="298" t="s">
        <v>1860</v>
      </c>
      <c r="AD253" s="145">
        <v>70649700</v>
      </c>
      <c r="AE253" s="146">
        <v>42387</v>
      </c>
      <c r="AF253" s="298" t="s">
        <v>1861</v>
      </c>
      <c r="AG253" s="298" t="s">
        <v>1862</v>
      </c>
      <c r="AH253" s="298" t="s">
        <v>395</v>
      </c>
      <c r="AI253" s="298" t="s">
        <v>139</v>
      </c>
      <c r="AJ253" s="298">
        <v>95358</v>
      </c>
      <c r="AK253" s="298" t="s">
        <v>118</v>
      </c>
      <c r="AL253" s="298" t="s">
        <v>1863</v>
      </c>
      <c r="AM253" s="142" t="str">
        <f>INDEX(CarrierDriverTBL!$B:$B,MATCH(Table1[[#This Row],[DriverID]],CarrierDriverTBL!$A:$A,0))</f>
        <v>UBTrucking</v>
      </c>
      <c r="AN253" s="10" t="s">
        <v>1409</v>
      </c>
      <c r="AO253" s="298" t="str">
        <f>INDEX(CarrierDriverTBL!$C:$C,MATCH(Table1[[#This Row],[DriverID]],CarrierDriverTBL!$A:$A,0))</f>
        <v>Miguel Jaime</v>
      </c>
      <c r="AP253" s="298" t="str">
        <f>INDEX(CarrierDriverTBL!$D:$D,MATCH(Table1[[#This Row],[DriverID]],CarrierDriverTBL!$A:$A,0))</f>
        <v>Martin Del Campo Velarca</v>
      </c>
      <c r="AQ253" s="142" t="str">
        <f>INDEX(CarrierDriverTBL!$X:$X,MATCH(Table1[[#This Row],[DriverID]],CarrierDriverTBL!$A:$A,0))</f>
        <v>D5179619</v>
      </c>
      <c r="AR253" s="160">
        <f>INDEX(CarrierDriverTBL!$Y:$Y,MATCH(Table1[[#This Row],[DriverID]],CarrierDriverTBL!$A:$A,0))</f>
        <v>43843</v>
      </c>
      <c r="AS253" s="142" t="str">
        <f t="shared" si="97"/>
        <v>GOOD</v>
      </c>
      <c r="AT253" s="146">
        <f>INDEX(CarrierDriverTBL!$E:$E,MATCH(Table1[[#This Row],[DriverID]],CarrierDriverTBL!$A:$A,0))</f>
        <v>21198</v>
      </c>
      <c r="AU253" s="163">
        <f ca="1">INDEX(CarrierDriverTBL!$F:$F,MATCH(Table1[[#This Row],[DriverID]],CarrierDriverTBL!$A:$A,0))</f>
        <v>58.56986301369863</v>
      </c>
      <c r="AV253" s="298" t="str">
        <f>INDEX(CarrierDriverTBL!$K:$K,MATCH(Table1[[#This Row],[DriverID]],CarrierDriverTBL!$A:$A,0))</f>
        <v>209-322-5231</v>
      </c>
      <c r="AW253" s="298" t="str">
        <f>INDEX(CarrierDriverTBL!$M:$M,MATCH(Table1[[#This Row],[DriverID]],CarrierDriverTBL!$A:$A,0))</f>
        <v>572 Predersen RD</v>
      </c>
      <c r="AX253" s="298" t="str">
        <f>INDEX(CarrierDriverTBL!$N:$N,MATCH(Table1[[#This Row],[DriverID]],CarrierDriverTBL!$A:$A,0))</f>
        <v>Oakdale</v>
      </c>
      <c r="AY253" s="142" t="str">
        <f>INDEX(CarrierDriverTBL!$O:$O,MATCH(Table1[[#This Row],[DriverID]],CarrierDriverTBL!$A:$A,0))</f>
        <v>CA</v>
      </c>
      <c r="AZ253" s="298">
        <f>INDEX(CarrierDriverTBL!$P:$P,MATCH(Table1[[#This Row],[DriverID]],CarrierDriverTBL!$A:$A,0))</f>
        <v>95361</v>
      </c>
      <c r="BA253" s="298" t="str">
        <f>INDEX(CarrierDriverTBL!$Q:$Q,MATCH(Table1[[#This Row],[DriverID]],CarrierDriverTBL!$A:$A,0))</f>
        <v>US</v>
      </c>
      <c r="BB253" s="176" t="str">
        <f>INDEX(CarrierDriverTBL!$R:$R,MATCH(Table1[[#This Row],[DriverID]],CarrierDriverTBL!$A:$A,0))</f>
        <v>Miguelmartin52@yahoo.com</v>
      </c>
      <c r="BC253" s="160">
        <f>INDEX(CarrierDriverTBL!$AB:$AB,MATCH(Table1[[#This Row],[DriverID]],CarrierDriverTBL!$A:$A,0))</f>
        <v>42334</v>
      </c>
      <c r="BD253" s="142" t="str">
        <f ca="1">INDEX(CarrierDriverTBL!$AD:$AD,MATCH(LoadMaster!$AN:$AN,CarrierDriverTBL!$A:$A,0))</f>
        <v>MISSING</v>
      </c>
      <c r="BE253" s="142">
        <f>INDEX(CarrierDriverTBL!$AE:$AE,MATCH(Table1[DriverID],CarrierDriverTBL!$A:$A,0))</f>
        <v>913971</v>
      </c>
      <c r="BF253" s="142">
        <f>INDEX(CarrierDriverTBL!$AF:$AF,MATCH(Table1[DriverID],CarrierDriverTBL!$A:$A,0))</f>
        <v>2627544</v>
      </c>
      <c r="BG253" s="142">
        <f>INDEX(CarrierDriverTBL!$AG:$AG,MATCH(Table1[DriverID],CarrierDriverTBL!$A:$A,0))</f>
        <v>466133</v>
      </c>
      <c r="BH253" s="142" t="str">
        <f>INDEX(CarrierDriverTBL!$AH:$AH,MATCH(Table1[DriverID],CarrierDriverTBL!$A:$A,0))</f>
        <v>GM Lawrence Ins</v>
      </c>
      <c r="BI253" s="142" t="str">
        <f>INDEX(CarrierDriverTBL!$AI:$AI,MATCH(Table1[DriverID],CarrierDriverTBL!$A:$A,0))</f>
        <v>DSK2842P160210</v>
      </c>
      <c r="BJ253" s="160">
        <f>INDEX(CarrierDriverTBL!$AJ:$AJ,MATCH(Table1[[#This Row],[DriverID]],CarrierDriverTBL!$A:$A,0))</f>
        <v>42778</v>
      </c>
      <c r="BK253" s="10">
        <f t="shared" si="98"/>
        <v>391</v>
      </c>
      <c r="BL253" s="59">
        <v>425</v>
      </c>
      <c r="BM253" s="144">
        <v>135</v>
      </c>
      <c r="BN253" s="159">
        <f t="shared" si="115"/>
        <v>3.1481481481481484</v>
      </c>
      <c r="BO253" s="167">
        <f>0.93*425</f>
        <v>395.25</v>
      </c>
      <c r="BP253" s="159">
        <f t="shared" si="116"/>
        <v>2.9277777777777776</v>
      </c>
      <c r="BQ253" s="133">
        <v>2.6</v>
      </c>
      <c r="BR253" s="166">
        <f t="shared" si="117"/>
        <v>0.1166666666666667</v>
      </c>
      <c r="BS253" s="167">
        <f t="shared" si="99"/>
        <v>2.8111111111111109</v>
      </c>
      <c r="BT253" s="159">
        <f t="shared" si="100"/>
        <v>15.750000000000004</v>
      </c>
      <c r="BU253" s="10" t="str">
        <f t="shared" si="101"/>
        <v>Tql</v>
      </c>
      <c r="BV253" s="15"/>
      <c r="BW253" s="4" t="str">
        <f>Table1[[#This Row],[BrokerAddress]]</f>
        <v>P.O. Box 799</v>
      </c>
      <c r="BX253" s="4" t="str">
        <f t="shared" si="102"/>
        <v>Milford</v>
      </c>
      <c r="BY253" s="4" t="str">
        <f t="shared" si="103"/>
        <v>Ohio</v>
      </c>
      <c r="BZ253" s="4">
        <f t="shared" si="104"/>
        <v>45150</v>
      </c>
      <c r="CA253" s="10" t="str">
        <f t="shared" si="105"/>
        <v>US</v>
      </c>
      <c r="CB253" s="15" t="s">
        <v>131</v>
      </c>
      <c r="CC253" s="62"/>
      <c r="CD253" s="15" t="s">
        <v>132</v>
      </c>
      <c r="CE253" s="64">
        <v>0</v>
      </c>
      <c r="CF253" s="4">
        <v>0</v>
      </c>
      <c r="CG253" s="132">
        <f t="shared" si="106"/>
        <v>0</v>
      </c>
      <c r="CH253" s="4" t="s">
        <v>132</v>
      </c>
      <c r="CI253" s="5">
        <v>0</v>
      </c>
      <c r="CJ253" s="4">
        <v>0</v>
      </c>
      <c r="CK253" s="132">
        <f t="shared" si="107"/>
        <v>0</v>
      </c>
      <c r="CL253" s="4" t="s">
        <v>132</v>
      </c>
      <c r="CM253" s="5">
        <v>0</v>
      </c>
      <c r="CN253" s="4">
        <v>0</v>
      </c>
      <c r="CO253" s="132">
        <f t="shared" si="108"/>
        <v>0</v>
      </c>
      <c r="CP253" s="4" t="s">
        <v>132</v>
      </c>
      <c r="CQ253" s="5">
        <v>0</v>
      </c>
      <c r="CR253" s="4">
        <v>0</v>
      </c>
      <c r="CS253" s="132">
        <f t="shared" si="109"/>
        <v>0</v>
      </c>
      <c r="CT253" s="159">
        <f t="shared" si="110"/>
        <v>0</v>
      </c>
      <c r="CU253" s="168">
        <f t="shared" si="111"/>
        <v>425</v>
      </c>
      <c r="CV253" s="169">
        <f t="shared" ref="CV253:CV316" si="119">IF(AO253="Albel",(CT253*1),(CT253*0.93))</f>
        <v>0</v>
      </c>
      <c r="CW253" s="82">
        <f t="shared" si="95"/>
        <v>395.25</v>
      </c>
      <c r="CX253" s="79">
        <f>IF(ISBLANK(E253),"AddQuickPay",IF(E253=2,CU253*0.98,IF(E253=2.4,CU253*0.976,IF(E253=3,CU253*0.97,IF(E253=5,CU253*0.95,IF(E253=1.5,CU253*0.985,IF(E253=2.5,CU253*0.975,IF(E253=1.3,CU253*0.987,IF(E253=1,CU253*0.99,IF(E253=4,CU253*0.96,CU253*1))))))))))-Table1[[#This Row],[ComCheck+QuickPayFee]]</f>
        <v>412.25</v>
      </c>
      <c r="CY253" s="5">
        <f t="shared" si="112"/>
        <v>29.75</v>
      </c>
      <c r="CZ253" s="5">
        <f t="shared" si="113"/>
        <v>12.75</v>
      </c>
      <c r="DA253" s="258">
        <f>Table1[[#This Row],[OriginalDispatch]]-Table1[[#This Row],[QuickPayCharge]]</f>
        <v>17</v>
      </c>
      <c r="DB253" s="5">
        <v>0</v>
      </c>
      <c r="DC253" s="5" t="s">
        <v>1287</v>
      </c>
      <c r="DD253" s="104">
        <f t="shared" si="114"/>
        <v>42391</v>
      </c>
      <c r="DE253" s="15">
        <f>MONTH(Table1[[#This Row],[Weekending]])</f>
        <v>1</v>
      </c>
      <c r="DF253" s="15">
        <f>YEAR(Table1[[#This Row],[Weekending]])</f>
        <v>2016</v>
      </c>
      <c r="DG253" s="4"/>
    </row>
    <row r="254" spans="1:111">
      <c r="A254" s="20" t="str">
        <f t="shared" si="96"/>
        <v>44620049</v>
      </c>
      <c r="B254" s="146">
        <v>42387</v>
      </c>
      <c r="C254" s="144">
        <v>117544</v>
      </c>
      <c r="D254" s="298" t="s">
        <v>455</v>
      </c>
      <c r="E254" s="298">
        <v>2.5</v>
      </c>
      <c r="F254" s="15" t="str">
        <f>INDEX(BrokerTBL!$B:$B,MATCH(D254,BrokerTBL!$A:$A,0))</f>
        <v>5600 Headquarters Drive C2D11</v>
      </c>
      <c r="G254" s="298" t="str">
        <f>INDEX(BrokerTBL!$C:$C,MATCH(D254,BrokerTBL!$A:$A,0))</f>
        <v>Plano</v>
      </c>
      <c r="H254" s="298" t="str">
        <f>INDEX(BrokerTBL!$D:$D,MATCH(D254,BrokerTBL!$A:$A,0))</f>
        <v>Tx</v>
      </c>
      <c r="I254" s="298" t="str">
        <f>INDEX(BrokerTBL!$E:$E,MATCH(D254,BrokerTBL!$A:$A,0))</f>
        <v>US</v>
      </c>
      <c r="J254" s="298">
        <f>INDEX(BrokerTBL!$F:$F,MATCH(D254,BrokerTBL!$A:$A,0))</f>
        <v>75024</v>
      </c>
      <c r="K254" s="298" t="s">
        <v>992</v>
      </c>
      <c r="L254" s="145">
        <v>2024562</v>
      </c>
      <c r="M254" s="146">
        <v>42387</v>
      </c>
      <c r="N254" s="182">
        <v>0.625</v>
      </c>
      <c r="O254" s="298" t="s">
        <v>993</v>
      </c>
      <c r="P254" s="298" t="s">
        <v>160</v>
      </c>
      <c r="Q254" s="298" t="s">
        <v>139</v>
      </c>
      <c r="R254" s="298">
        <v>94533</v>
      </c>
      <c r="S254" s="298" t="s">
        <v>118</v>
      </c>
      <c r="T254" s="298" t="s">
        <v>1864</v>
      </c>
      <c r="U254" s="298" t="s">
        <v>120</v>
      </c>
      <c r="V254" s="298">
        <v>53</v>
      </c>
      <c r="W254" s="298" t="s">
        <v>995</v>
      </c>
      <c r="X254" s="144">
        <v>10569</v>
      </c>
      <c r="Y254" s="298" t="s">
        <v>566</v>
      </c>
      <c r="Z254" s="298">
        <v>21</v>
      </c>
      <c r="AA254" s="298" t="s">
        <v>123</v>
      </c>
      <c r="AB254" s="298" t="s">
        <v>123</v>
      </c>
      <c r="AC254" s="298" t="s">
        <v>1865</v>
      </c>
      <c r="AD254" s="145">
        <v>3588100</v>
      </c>
      <c r="AE254" s="146">
        <v>42388</v>
      </c>
      <c r="AF254" s="182">
        <v>0.47916666666666702</v>
      </c>
      <c r="AG254" s="298" t="s">
        <v>1866</v>
      </c>
      <c r="AH254" s="298" t="s">
        <v>479</v>
      </c>
      <c r="AI254" s="298" t="s">
        <v>139</v>
      </c>
      <c r="AJ254" s="298">
        <v>95363</v>
      </c>
      <c r="AK254" s="298" t="s">
        <v>118</v>
      </c>
      <c r="AL254" s="298" t="s">
        <v>1867</v>
      </c>
      <c r="AM254" s="142" t="str">
        <f>INDEX(CarrierDriverTBL!$B:$B,MATCH(Table1[[#This Row],[DriverID]],CarrierDriverTBL!$A:$A,0))</f>
        <v>UBTrucking</v>
      </c>
      <c r="AN254" s="10" t="s">
        <v>192</v>
      </c>
      <c r="AO254" s="10" t="str">
        <f>INDEX(CarrierDriverTBL!$C:$C,MATCH(Table1[[#This Row],[DriverID]],CarrierDriverTBL!$A:$A,0))</f>
        <v>Albel</v>
      </c>
      <c r="AP254" s="142" t="str">
        <f>INDEX(CarrierDriverTBL!$D:$D,MATCH(Table1[[#This Row],[DriverID]],CarrierDriverTBL!$A:$A,0))</f>
        <v>Chahil</v>
      </c>
      <c r="AQ254" s="142" t="str">
        <f>INDEX(CarrierDriverTBL!$X:$X,MATCH(Table1[[#This Row],[DriverID]],CarrierDriverTBL!$A:$A,0))</f>
        <v>A8390649</v>
      </c>
      <c r="AR254" s="160">
        <f>INDEX(CarrierDriverTBL!$Y:$Y,MATCH(Table1[[#This Row],[DriverID]],CarrierDriverTBL!$A:$A,0))</f>
        <v>42402</v>
      </c>
      <c r="AS254" s="142" t="str">
        <f t="shared" si="97"/>
        <v>GOOD</v>
      </c>
      <c r="AT254" s="160">
        <f>INDEX(CarrierDriverTBL!$E:$E,MATCH(Table1[[#This Row],[DriverID]],CarrierDriverTBL!$A:$A,0))</f>
        <v>22314</v>
      </c>
      <c r="AU254" s="163">
        <f ca="1">INDEX(CarrierDriverTBL!$F:$F,MATCH(Table1[[#This Row],[DriverID]],CarrierDriverTBL!$A:$A,0))</f>
        <v>55.512328767123286</v>
      </c>
      <c r="AV254" s="142" t="str">
        <f>INDEX(CarrierDriverTBL!$K:$K,MATCH(Table1[[#This Row],[DriverID]],CarrierDriverTBL!$A:$A,0))</f>
        <v>510-773-9450</v>
      </c>
      <c r="AW254" s="142" t="str">
        <f>INDEX(CarrierDriverTBL!$M:$M,MATCH(Table1[[#This Row],[DriverID]],CarrierDriverTBL!$A:$A,0))</f>
        <v>3124 Cynthia CT</v>
      </c>
      <c r="AX254" s="142" t="str">
        <f>INDEX(CarrierDriverTBL!$N:$N,MATCH(Table1[[#This Row],[DriverID]],CarrierDriverTBL!$A:$A,0))</f>
        <v>Tracy</v>
      </c>
      <c r="AY254" s="142" t="str">
        <f>INDEX(CarrierDriverTBL!$O:$O,MATCH(Table1[[#This Row],[DriverID]],CarrierDriverTBL!$A:$A,0))</f>
        <v>CA</v>
      </c>
      <c r="AZ254" s="142">
        <f>INDEX(CarrierDriverTBL!$P:$P,MATCH(Table1[[#This Row],[DriverID]],CarrierDriverTBL!$A:$A,0))</f>
        <v>95377</v>
      </c>
      <c r="BA254" s="142" t="str">
        <f>INDEX(CarrierDriverTBL!$Q:$Q,MATCH(Table1[[#This Row],[DriverID]],CarrierDriverTBL!$A:$A,0))</f>
        <v>US</v>
      </c>
      <c r="BB254" s="176" t="str">
        <f>INDEX(CarrierDriverTBL!$R:$R,MATCH(Table1[[#This Row],[DriverID]],CarrierDriverTBL!$A:$A,0))</f>
        <v>ubgollc@gmail.com</v>
      </c>
      <c r="BC254" s="160">
        <f>INDEX(CarrierDriverTBL!$AB:$AB,MATCH(Table1[[#This Row],[DriverID]],CarrierDriverTBL!$A:$A,0))</f>
        <v>42167</v>
      </c>
      <c r="BD254" s="142" t="str">
        <f ca="1">INDEX(CarrierDriverTBL!$AD:$AD,MATCH(LoadMaster!$AN:$AN,CarrierDriverTBL!$A:$A,0))</f>
        <v>MISSING</v>
      </c>
      <c r="BE254" s="142">
        <f>INDEX(CarrierDriverTBL!$AE:$AE,MATCH(Table1[DriverID],CarrierDriverTBL!$A:$A,0))</f>
        <v>913971</v>
      </c>
      <c r="BF254" s="142">
        <f>INDEX(CarrierDriverTBL!$AF:$AF,MATCH(Table1[DriverID],CarrierDriverTBL!$A:$A,0))</f>
        <v>2627544</v>
      </c>
      <c r="BG254" s="142">
        <f>INDEX(CarrierDriverTBL!$AG:$AG,MATCH(Table1[DriverID],CarrierDriverTBL!$A:$A,0))</f>
        <v>466133</v>
      </c>
      <c r="BH254" s="142" t="str">
        <f>INDEX(CarrierDriverTBL!$AH:$AH,MATCH(Table1[DriverID],CarrierDriverTBL!$A:$A,0))</f>
        <v>GM Lawrence Ins</v>
      </c>
      <c r="BI254" s="142" t="str">
        <f>INDEX(CarrierDriverTBL!$AI:$AI,MATCH(Table1[DriverID],CarrierDriverTBL!$A:$A,0))</f>
        <v>DSK2842P160210</v>
      </c>
      <c r="BJ254" s="160">
        <f>INDEX(CarrierDriverTBL!$AJ:$AJ,MATCH(Table1[[#This Row],[DriverID]],CarrierDriverTBL!$A:$A,0))</f>
        <v>42778</v>
      </c>
      <c r="BK254" s="10">
        <f t="shared" si="98"/>
        <v>391</v>
      </c>
      <c r="BL254" s="59">
        <v>350</v>
      </c>
      <c r="BM254" s="144">
        <v>90</v>
      </c>
      <c r="BN254" s="159">
        <f t="shared" si="115"/>
        <v>3.8888888888888888</v>
      </c>
      <c r="BO254" s="167">
        <v>300</v>
      </c>
      <c r="BP254" s="159">
        <f t="shared" si="116"/>
        <v>3.3333333333333335</v>
      </c>
      <c r="BQ254" s="133">
        <v>2.6</v>
      </c>
      <c r="BR254" s="166">
        <f t="shared" si="117"/>
        <v>0.1166666666666667</v>
      </c>
      <c r="BS254" s="167">
        <f t="shared" si="99"/>
        <v>3.2166666666666668</v>
      </c>
      <c r="BT254" s="159">
        <f t="shared" si="100"/>
        <v>10.500000000000004</v>
      </c>
      <c r="BU254" s="10" t="str">
        <f t="shared" si="101"/>
        <v>Pepsi Logistics Company Inc</v>
      </c>
      <c r="BV254" s="15"/>
      <c r="BW254" s="4" t="str">
        <f>Table1[[#This Row],[BrokerAddress]]</f>
        <v>5600 Headquarters Drive C2D11</v>
      </c>
      <c r="BX254" s="4" t="str">
        <f t="shared" si="102"/>
        <v>Plano</v>
      </c>
      <c r="BY254" s="4" t="str">
        <f t="shared" si="103"/>
        <v>Tx</v>
      </c>
      <c r="BZ254" s="4">
        <f t="shared" si="104"/>
        <v>75024</v>
      </c>
      <c r="CA254" s="10" t="str">
        <f t="shared" si="105"/>
        <v>US</v>
      </c>
      <c r="CB254" s="15" t="s">
        <v>131</v>
      </c>
      <c r="CC254" s="62"/>
      <c r="CD254" s="15" t="s">
        <v>132</v>
      </c>
      <c r="CE254" s="64">
        <v>0</v>
      </c>
      <c r="CF254" s="4">
        <v>0</v>
      </c>
      <c r="CG254" s="132">
        <f t="shared" si="106"/>
        <v>0</v>
      </c>
      <c r="CH254" s="4" t="s">
        <v>132</v>
      </c>
      <c r="CI254" s="5">
        <v>0</v>
      </c>
      <c r="CJ254" s="4">
        <v>0</v>
      </c>
      <c r="CK254" s="132">
        <f t="shared" si="107"/>
        <v>0</v>
      </c>
      <c r="CL254" s="4" t="s">
        <v>132</v>
      </c>
      <c r="CM254" s="5">
        <v>0</v>
      </c>
      <c r="CN254" s="4">
        <v>0</v>
      </c>
      <c r="CO254" s="132">
        <f t="shared" si="108"/>
        <v>0</v>
      </c>
      <c r="CP254" s="4" t="s">
        <v>132</v>
      </c>
      <c r="CQ254" s="5">
        <v>0</v>
      </c>
      <c r="CR254" s="4">
        <v>0</v>
      </c>
      <c r="CS254" s="132">
        <f t="shared" si="109"/>
        <v>0</v>
      </c>
      <c r="CT254" s="159">
        <f t="shared" si="110"/>
        <v>0</v>
      </c>
      <c r="CU254" s="168">
        <f t="shared" si="111"/>
        <v>350</v>
      </c>
      <c r="CV254" s="169">
        <f t="shared" si="119"/>
        <v>0</v>
      </c>
      <c r="CW254" s="82">
        <f t="shared" si="95"/>
        <v>300</v>
      </c>
      <c r="CX254" s="79">
        <f>IF(ISBLANK(E254),"AddQuickPay",IF(E254=2,CU254*0.98,IF(E254=2.4,CU254*0.976,IF(E254=3,CU254*0.97,IF(E254=5,CU254*0.95,IF(E254=1.5,CU254*0.985,IF(E254=2.5,CU254*0.975,IF(E254=1.3,CU254*0.987,IF(E254=1,CU254*0.99,IF(E254=4,CU254*0.96,CU254*1))))))))))-Table1[[#This Row],[ComCheck+QuickPayFee]]</f>
        <v>341.25</v>
      </c>
      <c r="CY254" s="5">
        <f t="shared" si="112"/>
        <v>50</v>
      </c>
      <c r="CZ254" s="5">
        <f t="shared" si="113"/>
        <v>8.75</v>
      </c>
      <c r="DA254" s="258">
        <f>Table1[[#This Row],[OriginalDispatch]]-Table1[[#This Row],[QuickPayCharge]]</f>
        <v>41.25</v>
      </c>
      <c r="DB254" s="5">
        <v>0</v>
      </c>
      <c r="DC254" s="5" t="s">
        <v>133</v>
      </c>
      <c r="DD254" s="104">
        <f t="shared" si="114"/>
        <v>42391</v>
      </c>
      <c r="DE254" s="15">
        <f>MONTH(Table1[[#This Row],[Weekending]])</f>
        <v>1</v>
      </c>
      <c r="DF254" s="15">
        <f>YEAR(Table1[[#This Row],[Weekending]])</f>
        <v>2016</v>
      </c>
      <c r="DG254" s="4"/>
    </row>
    <row r="255" spans="1:111">
      <c r="A255" s="20" t="str">
        <f t="shared" si="96"/>
        <v>37565688</v>
      </c>
      <c r="B255" s="146">
        <v>42387</v>
      </c>
      <c r="C255" s="144">
        <v>190869437</v>
      </c>
      <c r="D255" s="298" t="s">
        <v>111</v>
      </c>
      <c r="E255" s="298">
        <v>2</v>
      </c>
      <c r="F255" s="142" t="str">
        <f>INDEX(BrokerTBL!$B:$B,MATCH(D255,BrokerTBL!$A:$A,0))</f>
        <v>P.O. Box 3474</v>
      </c>
      <c r="G255" s="142" t="str">
        <f>INDEX(BrokerTBL!$C:$C,MATCH(D255,BrokerTBL!$A:$A,0))</f>
        <v>Chicago</v>
      </c>
      <c r="H255" s="142" t="str">
        <f>INDEX(BrokerTBL!$D:$D,MATCH(D255,BrokerTBL!$A:$A,0))</f>
        <v>Il</v>
      </c>
      <c r="I255" s="142" t="str">
        <f>INDEX(BrokerTBL!$E:$E,MATCH(D255,BrokerTBL!$A:$A,0))</f>
        <v>US</v>
      </c>
      <c r="J255" s="142">
        <f>INDEX(BrokerTBL!$F:$F,MATCH(D255,BrokerTBL!$A:$A,0))</f>
        <v>60654</v>
      </c>
      <c r="K255" s="298" t="s">
        <v>1868</v>
      </c>
      <c r="L255" s="145">
        <v>36813556</v>
      </c>
      <c r="M255" s="146">
        <v>42387</v>
      </c>
      <c r="N255" s="144" t="s">
        <v>1398</v>
      </c>
      <c r="O255" s="298" t="s">
        <v>1869</v>
      </c>
      <c r="P255" s="298" t="s">
        <v>299</v>
      </c>
      <c r="Q255" s="298" t="s">
        <v>139</v>
      </c>
      <c r="R255" s="298">
        <v>94621</v>
      </c>
      <c r="S255" s="298" t="s">
        <v>118</v>
      </c>
      <c r="T255" s="298" t="s">
        <v>1870</v>
      </c>
      <c r="U255" s="298" t="s">
        <v>120</v>
      </c>
      <c r="V255" s="298">
        <v>53</v>
      </c>
      <c r="W255" s="298" t="s">
        <v>141</v>
      </c>
      <c r="X255" s="185">
        <v>44635</v>
      </c>
      <c r="Y255" s="185" t="s">
        <v>337</v>
      </c>
      <c r="Z255" s="185">
        <v>1404</v>
      </c>
      <c r="AA255" s="298">
        <v>26</v>
      </c>
      <c r="AB255" s="298" t="s">
        <v>123</v>
      </c>
      <c r="AC255" s="298" t="s">
        <v>1871</v>
      </c>
      <c r="AD255" s="145" t="s">
        <v>1872</v>
      </c>
      <c r="AE255" s="146">
        <v>42389</v>
      </c>
      <c r="AF255" s="298" t="s">
        <v>1873</v>
      </c>
      <c r="AG255" s="298" t="s">
        <v>1874</v>
      </c>
      <c r="AH255" s="298" t="s">
        <v>1875</v>
      </c>
      <c r="AI255" s="298" t="s">
        <v>1876</v>
      </c>
      <c r="AJ255" s="298">
        <v>85353</v>
      </c>
      <c r="AK255" s="298" t="s">
        <v>118</v>
      </c>
      <c r="AL255" s="298" t="s">
        <v>1877</v>
      </c>
      <c r="AM255" s="142" t="str">
        <f>INDEX(CarrierDriverTBL!$B:$B,MATCH(Table1[[#This Row],[DriverID]],CarrierDriverTBL!$A:$A,0))</f>
        <v>UBTrucking</v>
      </c>
      <c r="AN255" s="10" t="s">
        <v>948</v>
      </c>
      <c r="AO255" s="10" t="str">
        <f>INDEX(CarrierDriverTBL!$C:$C,MATCH(Table1[[#This Row],[DriverID]],CarrierDriverTBL!$A:$A,0))</f>
        <v>Wesley</v>
      </c>
      <c r="AP255" s="10" t="str">
        <f>INDEX(CarrierDriverTBL!$D:$D,MATCH(Table1[[#This Row],[DriverID]],CarrierDriverTBL!$A:$A,0))</f>
        <v>Cousain</v>
      </c>
      <c r="AQ255" s="10" t="str">
        <f>INDEX(CarrierDriverTBL!$X:$X,MATCH(Table1[[#This Row],[DriverID]],CarrierDriverTBL!$A:$A,0))</f>
        <v>D4903588</v>
      </c>
      <c r="AR255" s="11">
        <f>INDEX(CarrierDriverTBL!$Y:$Y,MATCH(Table1[[#This Row],[DriverID]],CarrierDriverTBL!$A:$A,0))</f>
        <v>43458</v>
      </c>
      <c r="AS255" s="142" t="str">
        <f t="shared" si="97"/>
        <v>GOOD</v>
      </c>
      <c r="AT255" s="11">
        <f>INDEX(CarrierDriverTBL!$E:$E,MATCH(Table1[[#This Row],[DriverID]],CarrierDriverTBL!$A:$A,0))</f>
        <v>31405</v>
      </c>
      <c r="AU255" s="163">
        <f ca="1">INDEX(CarrierDriverTBL!$F:$F,MATCH(Table1[[#This Row],[DriverID]],CarrierDriverTBL!$A:$A,0))</f>
        <v>30.605479452054794</v>
      </c>
      <c r="AV255" s="10" t="str">
        <f>INDEX(CarrierDriverTBL!$K:$K,MATCH(Table1[[#This Row],[DriverID]],CarrierDriverTBL!$A:$A,0))</f>
        <v>925-383-5364</v>
      </c>
      <c r="AW255" s="10" t="str">
        <f>INDEX(CarrierDriverTBL!$M:$M,MATCH(Table1[[#This Row],[DriverID]],CarrierDriverTBL!$A:$A,0))</f>
        <v>110 Cordova Ln</v>
      </c>
      <c r="AX255" s="10" t="str">
        <f>INDEX(CarrierDriverTBL!$N:$N,MATCH(Table1[[#This Row],[DriverID]],CarrierDriverTBL!$A:$A,0))</f>
        <v>Stockton</v>
      </c>
      <c r="AY255" s="10" t="str">
        <f>INDEX(CarrierDriverTBL!$O:$O,MATCH(Table1[[#This Row],[DriverID]],CarrierDriverTBL!$A:$A,0))</f>
        <v>CA</v>
      </c>
      <c r="AZ255" s="10">
        <f>INDEX(CarrierDriverTBL!$P:$P,MATCH(Table1[[#This Row],[DriverID]],CarrierDriverTBL!$A:$A,0))</f>
        <v>95207</v>
      </c>
      <c r="BA255" s="10" t="str">
        <f>INDEX(CarrierDriverTBL!$Q:$Q,MATCH(Table1[[#This Row],[DriverID]],CarrierDriverTBL!$A:$A,0))</f>
        <v>US</v>
      </c>
      <c r="BB255" s="173" t="str">
        <f>INDEX(CarrierDriverTBL!$R:$R,MATCH(Table1[[#This Row],[DriverID]],CarrierDriverTBL!$A:$A,0))</f>
        <v>wesleycousain1@gmail.com</v>
      </c>
      <c r="BC255" s="160">
        <f>INDEX(CarrierDriverTBL!$AB:$AB,MATCH(Table1[[#This Row],[DriverID]],CarrierDriverTBL!$A:$A,0))</f>
        <v>42271</v>
      </c>
      <c r="BD255" s="142" t="str">
        <f ca="1">INDEX(CarrierDriverTBL!$AD:$AD,MATCH(LoadMaster!$AN:$AN,CarrierDriverTBL!$A:$A,0))</f>
        <v>MISSING</v>
      </c>
      <c r="BE255" s="142">
        <f>INDEX(CarrierDriverTBL!$AE:$AE,MATCH(Table1[DriverID],CarrierDriverTBL!$A:$A,0))</f>
        <v>913971</v>
      </c>
      <c r="BF255" s="142">
        <f>INDEX(CarrierDriverTBL!$AF:$AF,MATCH(Table1[DriverID],CarrierDriverTBL!$A:$A,0))</f>
        <v>2627544</v>
      </c>
      <c r="BG255" s="142">
        <f>INDEX(CarrierDriverTBL!$AG:$AG,MATCH(Table1[DriverID],CarrierDriverTBL!$A:$A,0))</f>
        <v>466133</v>
      </c>
      <c r="BH255" s="142" t="str">
        <f>INDEX(CarrierDriverTBL!$AH:$AH,MATCH(Table1[DriverID],CarrierDriverTBL!$A:$A,0))</f>
        <v>GM Lawrence Ins</v>
      </c>
      <c r="BI255" s="142" t="str">
        <f>INDEX(CarrierDriverTBL!$AI:$AI,MATCH(Table1[DriverID],CarrierDriverTBL!$A:$A,0))</f>
        <v>DSK2842P160210</v>
      </c>
      <c r="BJ255" s="160">
        <f>INDEX(CarrierDriverTBL!$AJ:$AJ,MATCH(Table1[[#This Row],[DriverID]],CarrierDriverTBL!$A:$A,0))</f>
        <v>42778</v>
      </c>
      <c r="BK255" s="10">
        <f t="shared" si="98"/>
        <v>391</v>
      </c>
      <c r="BL255" s="59">
        <v>1300</v>
      </c>
      <c r="BM255" s="144">
        <v>755</v>
      </c>
      <c r="BN255" s="159">
        <f t="shared" si="115"/>
        <v>1.7218543046357615</v>
      </c>
      <c r="BO255" s="167">
        <f>0.93*1300</f>
        <v>1209</v>
      </c>
      <c r="BP255" s="159">
        <f t="shared" si="116"/>
        <v>1.6013245033112582</v>
      </c>
      <c r="BQ255" s="133">
        <v>2.6</v>
      </c>
      <c r="BR255" s="166">
        <f t="shared" si="117"/>
        <v>0.1166666666666667</v>
      </c>
      <c r="BS255" s="167">
        <f t="shared" si="99"/>
        <v>1.4846578366445915</v>
      </c>
      <c r="BT255" s="159">
        <f t="shared" si="100"/>
        <v>88.083333333333357</v>
      </c>
      <c r="BU255" s="10" t="str">
        <f t="shared" si="101"/>
        <v>Ch Robinson</v>
      </c>
      <c r="BV255" s="4"/>
      <c r="BW255" s="4" t="str">
        <f>Table1[[#This Row],[BrokerAddress]]</f>
        <v>P.O. Box 3474</v>
      </c>
      <c r="BX255" s="4" t="str">
        <f t="shared" si="102"/>
        <v>Chicago</v>
      </c>
      <c r="BY255" s="4" t="str">
        <f t="shared" si="103"/>
        <v>Il</v>
      </c>
      <c r="BZ255" s="4">
        <f t="shared" si="104"/>
        <v>60654</v>
      </c>
      <c r="CA255" s="10" t="str">
        <f t="shared" si="105"/>
        <v>US</v>
      </c>
      <c r="CB255" s="15" t="s">
        <v>131</v>
      </c>
      <c r="CC255" s="62"/>
      <c r="CD255" s="15" t="s">
        <v>132</v>
      </c>
      <c r="CE255" s="64">
        <v>0</v>
      </c>
      <c r="CF255" s="4">
        <v>0</v>
      </c>
      <c r="CG255" s="132">
        <f t="shared" si="106"/>
        <v>0</v>
      </c>
      <c r="CH255" s="4" t="s">
        <v>132</v>
      </c>
      <c r="CI255" s="5">
        <v>0</v>
      </c>
      <c r="CJ255" s="4">
        <v>0</v>
      </c>
      <c r="CK255" s="132">
        <f t="shared" si="107"/>
        <v>0</v>
      </c>
      <c r="CL255" s="4" t="s">
        <v>132</v>
      </c>
      <c r="CM255" s="5">
        <v>0</v>
      </c>
      <c r="CN255" s="4">
        <v>0</v>
      </c>
      <c r="CO255" s="132">
        <f t="shared" si="108"/>
        <v>0</v>
      </c>
      <c r="CP255" s="4" t="s">
        <v>132</v>
      </c>
      <c r="CQ255" s="5">
        <v>0</v>
      </c>
      <c r="CR255" s="4">
        <v>0</v>
      </c>
      <c r="CS255" s="132">
        <f t="shared" si="109"/>
        <v>0</v>
      </c>
      <c r="CT255" s="159">
        <f t="shared" si="110"/>
        <v>0</v>
      </c>
      <c r="CU255" s="168">
        <f t="shared" si="111"/>
        <v>1300</v>
      </c>
      <c r="CV255" s="169">
        <f t="shared" si="119"/>
        <v>0</v>
      </c>
      <c r="CW255" s="82">
        <f t="shared" si="95"/>
        <v>1209</v>
      </c>
      <c r="CX255" s="79">
        <f>IF(ISBLANK(E255),"AddQuickPay",IF(E255=2,CU255*0.98,IF(E255=2.4,CU255*0.976,IF(E255=3,CU255*0.97,IF(E255=5,CU255*0.95,IF(E255=1.5,CU255*0.985,IF(E255=2.5,CU255*0.975,IF(E255=1.3,CU255*0.987,IF(E255=1,CU255*0.99,IF(E255=4,CU255*0.96,CU255*1))))))))))-Table1[[#This Row],[ComCheck+QuickPayFee]]</f>
        <v>1274</v>
      </c>
      <c r="CY255" s="5">
        <f t="shared" si="112"/>
        <v>91</v>
      </c>
      <c r="CZ255" s="5">
        <f t="shared" si="113"/>
        <v>26</v>
      </c>
      <c r="DA255" s="258">
        <f>Table1[[#This Row],[OriginalDispatch]]-Table1[[#This Row],[QuickPayCharge]]</f>
        <v>65</v>
      </c>
      <c r="DB255" s="5">
        <v>0</v>
      </c>
      <c r="DC255" s="5" t="s">
        <v>1287</v>
      </c>
      <c r="DD255" s="104">
        <f t="shared" si="114"/>
        <v>42391</v>
      </c>
      <c r="DE255" s="15">
        <f>MONTH(Table1[[#This Row],[Weekending]])</f>
        <v>1</v>
      </c>
      <c r="DF255" s="15">
        <f>YEAR(Table1[[#This Row],[Weekending]])</f>
        <v>2016</v>
      </c>
      <c r="DG255" s="4"/>
    </row>
    <row r="256" spans="1:111">
      <c r="A256" s="20" t="str">
        <f t="shared" si="96"/>
        <v>9738ne19</v>
      </c>
      <c r="B256" s="160">
        <v>42388</v>
      </c>
      <c r="C256" s="162">
        <v>190660297</v>
      </c>
      <c r="D256" s="142" t="s">
        <v>111</v>
      </c>
      <c r="E256" s="142">
        <v>2</v>
      </c>
      <c r="F256" s="142" t="str">
        <f>INDEX(BrokerTBL!$B:$B,MATCH(D256,BrokerTBL!$A:$A,0))</f>
        <v>P.O. Box 3474</v>
      </c>
      <c r="G256" s="142" t="str">
        <f>INDEX(BrokerTBL!$C:$C,MATCH(D256,BrokerTBL!$A:$A,0))</f>
        <v>Chicago</v>
      </c>
      <c r="H256" s="142" t="str">
        <f>INDEX(BrokerTBL!$D:$D,MATCH(D256,BrokerTBL!$A:$A,0))</f>
        <v>Il</v>
      </c>
      <c r="I256" s="142" t="str">
        <f>INDEX(BrokerTBL!$E:$E,MATCH(D256,BrokerTBL!$A:$A,0))</f>
        <v>US</v>
      </c>
      <c r="J256" s="142">
        <f>INDEX(BrokerTBL!$F:$F,MATCH(D256,BrokerTBL!$A:$A,0))</f>
        <v>60654</v>
      </c>
      <c r="K256" s="142" t="s">
        <v>1437</v>
      </c>
      <c r="L256" s="161" t="s">
        <v>1878</v>
      </c>
      <c r="M256" s="160">
        <v>42388</v>
      </c>
      <c r="N256" s="162" t="s">
        <v>629</v>
      </c>
      <c r="O256" s="142" t="s">
        <v>1439</v>
      </c>
      <c r="P256" s="142" t="s">
        <v>1440</v>
      </c>
      <c r="Q256" s="142" t="s">
        <v>139</v>
      </c>
      <c r="R256" s="142" t="s">
        <v>1879</v>
      </c>
      <c r="S256" s="142" t="s">
        <v>118</v>
      </c>
      <c r="T256" s="142" t="s">
        <v>1880</v>
      </c>
      <c r="U256" s="142" t="s">
        <v>120</v>
      </c>
      <c r="V256" s="142">
        <v>53</v>
      </c>
      <c r="W256" s="142" t="s">
        <v>141</v>
      </c>
      <c r="X256" s="186">
        <v>32160</v>
      </c>
      <c r="Y256" s="142" t="s">
        <v>123</v>
      </c>
      <c r="Z256" s="142">
        <v>3</v>
      </c>
      <c r="AA256" s="142" t="s">
        <v>123</v>
      </c>
      <c r="AB256" s="142" t="s">
        <v>123</v>
      </c>
      <c r="AC256" s="142" t="s">
        <v>1881</v>
      </c>
      <c r="AD256" s="161" t="s">
        <v>132</v>
      </c>
      <c r="AE256" s="160" t="s">
        <v>1882</v>
      </c>
      <c r="AF256" s="142" t="s">
        <v>218</v>
      </c>
      <c r="AG256" s="142" t="s">
        <v>1883</v>
      </c>
      <c r="AH256" s="142" t="s">
        <v>1884</v>
      </c>
      <c r="AI256" s="142" t="s">
        <v>1885</v>
      </c>
      <c r="AJ256" s="142" t="s">
        <v>1886</v>
      </c>
      <c r="AK256" s="142" t="s">
        <v>118</v>
      </c>
      <c r="AL256" s="142" t="s">
        <v>1887</v>
      </c>
      <c r="AM256" s="142" t="str">
        <f>INDEX(CarrierDriverTBL!$B:$B,MATCH(Table1[[#This Row],[DriverID]],CarrierDriverTBL!$A:$A,0))</f>
        <v>UBTrucking</v>
      </c>
      <c r="AN256" s="10" t="s">
        <v>1409</v>
      </c>
      <c r="AO256" s="142" t="str">
        <f>INDEX(CarrierDriverTBL!$C:$C,MATCH(Table1[[#This Row],[DriverID]],CarrierDriverTBL!$A:$A,0))</f>
        <v>Miguel Jaime</v>
      </c>
      <c r="AP256" s="142" t="str">
        <f>INDEX(CarrierDriverTBL!$D:$D,MATCH(Table1[[#This Row],[DriverID]],CarrierDriverTBL!$A:$A,0))</f>
        <v>Martin Del Campo Velarca</v>
      </c>
      <c r="AQ256" s="142" t="str">
        <f>INDEX(CarrierDriverTBL!$X:$X,MATCH(Table1[[#This Row],[DriverID]],CarrierDriverTBL!$A:$A,0))</f>
        <v>D5179619</v>
      </c>
      <c r="AR256" s="160">
        <f>INDEX(CarrierDriverTBL!$Y:$Y,MATCH(Table1[[#This Row],[DriverID]],CarrierDriverTBL!$A:$A,0))</f>
        <v>43843</v>
      </c>
      <c r="AS256" s="142" t="str">
        <f t="shared" si="97"/>
        <v>GOOD</v>
      </c>
      <c r="AT256" s="160">
        <f>INDEX(CarrierDriverTBL!$E:$E,MATCH(Table1[[#This Row],[DriverID]],CarrierDriverTBL!$A:$A,0))</f>
        <v>21198</v>
      </c>
      <c r="AU256" s="163">
        <f ca="1">INDEX(CarrierDriverTBL!$F:$F,MATCH(Table1[[#This Row],[DriverID]],CarrierDriverTBL!$A:$A,0))</f>
        <v>58.56986301369863</v>
      </c>
      <c r="AV256" s="142" t="str">
        <f>INDEX(CarrierDriverTBL!$K:$K,MATCH(Table1[[#This Row],[DriverID]],CarrierDriverTBL!$A:$A,0))</f>
        <v>209-322-5231</v>
      </c>
      <c r="AW256" s="142" t="str">
        <f>INDEX(CarrierDriverTBL!$M:$M,MATCH(Table1[[#This Row],[DriverID]],CarrierDriverTBL!$A:$A,0))</f>
        <v>572 Predersen RD</v>
      </c>
      <c r="AX256" s="142" t="str">
        <f>INDEX(CarrierDriverTBL!$N:$N,MATCH(Table1[[#This Row],[DriverID]],CarrierDriverTBL!$A:$A,0))</f>
        <v>Oakdale</v>
      </c>
      <c r="AY256" s="142" t="str">
        <f>INDEX(CarrierDriverTBL!$O:$O,MATCH(Table1[[#This Row],[DriverID]],CarrierDriverTBL!$A:$A,0))</f>
        <v>CA</v>
      </c>
      <c r="AZ256" s="142">
        <f>INDEX(CarrierDriverTBL!$P:$P,MATCH(Table1[[#This Row],[DriverID]],CarrierDriverTBL!$A:$A,0))</f>
        <v>95361</v>
      </c>
      <c r="BA256" s="142" t="str">
        <f>INDEX(CarrierDriverTBL!$Q:$Q,MATCH(Table1[[#This Row],[DriverID]],CarrierDriverTBL!$A:$A,0))</f>
        <v>US</v>
      </c>
      <c r="BB256" s="164" t="str">
        <f>INDEX(CarrierDriverTBL!$R:$R,MATCH(Table1[[#This Row],[DriverID]],CarrierDriverTBL!$A:$A,0))</f>
        <v>Miguelmartin52@yahoo.com</v>
      </c>
      <c r="BC256" s="160">
        <f>INDEX(CarrierDriverTBL!$AB:$AB,MATCH(Table1[[#This Row],[DriverID]],CarrierDriverTBL!$A:$A,0))</f>
        <v>42334</v>
      </c>
      <c r="BD256" s="142" t="str">
        <f ca="1">INDEX(CarrierDriverTBL!$AD:$AD,MATCH(LoadMaster!$AN:$AN,CarrierDriverTBL!$A:$A,0))</f>
        <v>MISSING</v>
      </c>
      <c r="BE256" s="142">
        <f>INDEX(CarrierDriverTBL!$AE:$AE,MATCH(Table1[DriverID],CarrierDriverTBL!$A:$A,0))</f>
        <v>913971</v>
      </c>
      <c r="BF256" s="142">
        <f>INDEX(CarrierDriverTBL!$AF:$AF,MATCH(Table1[DriverID],CarrierDriverTBL!$A:$A,0))</f>
        <v>2627544</v>
      </c>
      <c r="BG256" s="142">
        <f>INDEX(CarrierDriverTBL!$AG:$AG,MATCH(Table1[DriverID],CarrierDriverTBL!$A:$A,0))</f>
        <v>466133</v>
      </c>
      <c r="BH256" s="142" t="str">
        <f>INDEX(CarrierDriverTBL!$AH:$AH,MATCH(Table1[DriverID],CarrierDriverTBL!$A:$A,0))</f>
        <v>GM Lawrence Ins</v>
      </c>
      <c r="BI256" s="142" t="str">
        <f>INDEX(CarrierDriverTBL!$AI:$AI,MATCH(Table1[DriverID],CarrierDriverTBL!$A:$A,0))</f>
        <v>DSK2842P160210</v>
      </c>
      <c r="BJ256" s="160">
        <f>INDEX(CarrierDriverTBL!$AJ:$AJ,MATCH(Table1[[#This Row],[DriverID]],CarrierDriverTBL!$A:$A,0))</f>
        <v>42778</v>
      </c>
      <c r="BK256" s="10">
        <f t="shared" si="98"/>
        <v>390</v>
      </c>
      <c r="BL256" s="159">
        <v>700</v>
      </c>
      <c r="BM256" s="162">
        <v>206.9</v>
      </c>
      <c r="BN256" s="159">
        <f t="shared" si="115"/>
        <v>3.3832769453842433</v>
      </c>
      <c r="BO256" s="167">
        <f>0.93*700</f>
        <v>651</v>
      </c>
      <c r="BP256" s="159">
        <f t="shared" si="116"/>
        <v>3.1464475592073464</v>
      </c>
      <c r="BQ256" s="134">
        <v>2.6</v>
      </c>
      <c r="BR256" s="166">
        <f t="shared" si="117"/>
        <v>0.1166666666666667</v>
      </c>
      <c r="BS256" s="167">
        <f t="shared" si="99"/>
        <v>3.0297808925406797</v>
      </c>
      <c r="BT256" s="159">
        <f t="shared" si="100"/>
        <v>24.138333333333339</v>
      </c>
      <c r="BU256" s="10" t="str">
        <f t="shared" si="101"/>
        <v>Ch Robinson</v>
      </c>
      <c r="BV256" s="4"/>
      <c r="BW256" s="4" t="str">
        <f>Table1[[#This Row],[BrokerAddress]]</f>
        <v>P.O. Box 3474</v>
      </c>
      <c r="BX256" s="4" t="str">
        <f t="shared" si="102"/>
        <v>Chicago</v>
      </c>
      <c r="BY256" s="4" t="str">
        <f t="shared" si="103"/>
        <v>Il</v>
      </c>
      <c r="BZ256" s="4">
        <f t="shared" si="104"/>
        <v>60654</v>
      </c>
      <c r="CA256" s="10" t="str">
        <f t="shared" si="105"/>
        <v>US</v>
      </c>
      <c r="CB256" s="15" t="s">
        <v>131</v>
      </c>
      <c r="CC256" s="61"/>
      <c r="CD256" s="4" t="s">
        <v>132</v>
      </c>
      <c r="CE256" s="5">
        <v>0</v>
      </c>
      <c r="CF256" s="4">
        <v>0</v>
      </c>
      <c r="CG256" s="132">
        <f t="shared" si="106"/>
        <v>0</v>
      </c>
      <c r="CH256" s="4" t="s">
        <v>132</v>
      </c>
      <c r="CI256" s="5">
        <v>0</v>
      </c>
      <c r="CJ256" s="4">
        <v>0</v>
      </c>
      <c r="CK256" s="132">
        <f t="shared" si="107"/>
        <v>0</v>
      </c>
      <c r="CL256" s="4" t="s">
        <v>132</v>
      </c>
      <c r="CM256" s="5">
        <v>0</v>
      </c>
      <c r="CN256" s="4">
        <v>0</v>
      </c>
      <c r="CO256" s="132">
        <f t="shared" si="108"/>
        <v>0</v>
      </c>
      <c r="CP256" s="4" t="s">
        <v>132</v>
      </c>
      <c r="CQ256" s="5">
        <v>0</v>
      </c>
      <c r="CR256" s="4">
        <v>0</v>
      </c>
      <c r="CS256" s="132">
        <f t="shared" si="109"/>
        <v>0</v>
      </c>
      <c r="CT256" s="159">
        <f t="shared" si="110"/>
        <v>0</v>
      </c>
      <c r="CU256" s="168">
        <f t="shared" si="111"/>
        <v>700</v>
      </c>
      <c r="CV256" s="167">
        <f t="shared" si="119"/>
        <v>0</v>
      </c>
      <c r="CW256" s="82">
        <f t="shared" ref="CW256:CW319" si="120">BO256+CV256</f>
        <v>651</v>
      </c>
      <c r="CX256" s="79">
        <f>IF(ISBLANK(E256),"AddQuickPay",IF(E256=2,CU256*0.98,IF(E256=2.4,CU256*0.976,IF(E256=3,CU256*0.97,IF(E256=5,CU256*0.95,IF(E256=1.5,CU256*0.985,IF(E256=2.5,CU256*0.975,IF(E256=1.3,CU256*0.987,IF(E256=1,CU256*0.99,IF(E256=4,CU256*0.96,CU256*1))))))))))-Table1[[#This Row],[ComCheck+QuickPayFee]]</f>
        <v>686</v>
      </c>
      <c r="CY256" s="5">
        <f t="shared" si="112"/>
        <v>49</v>
      </c>
      <c r="CZ256" s="5">
        <f t="shared" si="113"/>
        <v>14</v>
      </c>
      <c r="DA256" s="258">
        <f>Table1[[#This Row],[OriginalDispatch]]-Table1[[#This Row],[QuickPayCharge]]</f>
        <v>35</v>
      </c>
      <c r="DB256" s="5">
        <v>0</v>
      </c>
      <c r="DC256" s="5" t="s">
        <v>1287</v>
      </c>
      <c r="DD256" s="20">
        <f t="shared" si="114"/>
        <v>42391</v>
      </c>
      <c r="DE256" s="4">
        <f>MONTH(Table1[[#This Row],[Weekending]])</f>
        <v>1</v>
      </c>
      <c r="DF256" s="4">
        <f>YEAR(Table1[[#This Row],[Weekending]])</f>
        <v>2016</v>
      </c>
      <c r="DG256" s="4"/>
    </row>
    <row r="257" spans="1:111">
      <c r="A257" s="20" t="str">
        <f t="shared" si="96"/>
        <v>5406ne19</v>
      </c>
      <c r="B257" s="146">
        <v>42389</v>
      </c>
      <c r="C257" s="144">
        <v>190782054</v>
      </c>
      <c r="D257" s="298" t="s">
        <v>111</v>
      </c>
      <c r="E257" s="298">
        <v>2</v>
      </c>
      <c r="F257" s="142" t="str">
        <f>INDEX(BrokerTBL!$B:$B,MATCH(D257,BrokerTBL!$A:$A,0))</f>
        <v>P.O. Box 3474</v>
      </c>
      <c r="G257" s="142" t="str">
        <f>INDEX(BrokerTBL!$C:$C,MATCH(D257,BrokerTBL!$A:$A,0))</f>
        <v>Chicago</v>
      </c>
      <c r="H257" s="142" t="str">
        <f>INDEX(BrokerTBL!$D:$D,MATCH(D257,BrokerTBL!$A:$A,0))</f>
        <v>Il</v>
      </c>
      <c r="I257" s="142" t="str">
        <f>INDEX(BrokerTBL!$E:$E,MATCH(D257,BrokerTBL!$A:$A,0))</f>
        <v>US</v>
      </c>
      <c r="J257" s="142">
        <f>INDEX(BrokerTBL!$F:$F,MATCH(D257,BrokerTBL!$A:$A,0))</f>
        <v>60654</v>
      </c>
      <c r="K257" s="298" t="s">
        <v>1888</v>
      </c>
      <c r="L257" s="145" t="s">
        <v>1889</v>
      </c>
      <c r="M257" s="146">
        <v>42389</v>
      </c>
      <c r="N257" s="144" t="s">
        <v>629</v>
      </c>
      <c r="O257" s="298" t="s">
        <v>1641</v>
      </c>
      <c r="P257" s="298" t="s">
        <v>1890</v>
      </c>
      <c r="Q257" s="298" t="s">
        <v>264</v>
      </c>
      <c r="R257" s="298">
        <v>89706</v>
      </c>
      <c r="S257" s="298" t="s">
        <v>118</v>
      </c>
      <c r="T257" s="298" t="s">
        <v>136</v>
      </c>
      <c r="U257" s="298" t="s">
        <v>120</v>
      </c>
      <c r="V257" s="298">
        <v>53</v>
      </c>
      <c r="W257" s="298" t="s">
        <v>1891</v>
      </c>
      <c r="X257" s="144">
        <v>43000</v>
      </c>
      <c r="Y257" s="298" t="s">
        <v>1892</v>
      </c>
      <c r="Z257" s="298" t="s">
        <v>123</v>
      </c>
      <c r="AA257" s="298">
        <v>20</v>
      </c>
      <c r="AB257" s="298" t="s">
        <v>123</v>
      </c>
      <c r="AC257" s="298" t="s">
        <v>1893</v>
      </c>
      <c r="AD257" s="145" t="s">
        <v>132</v>
      </c>
      <c r="AE257" s="146">
        <v>42390</v>
      </c>
      <c r="AF257" s="298" t="s">
        <v>1055</v>
      </c>
      <c r="AG257" s="298" t="s">
        <v>1894</v>
      </c>
      <c r="AH257" s="298" t="s">
        <v>1895</v>
      </c>
      <c r="AI257" s="298" t="s">
        <v>139</v>
      </c>
      <c r="AJ257" s="298">
        <v>95008</v>
      </c>
      <c r="AK257" s="298" t="s">
        <v>118</v>
      </c>
      <c r="AL257" s="298" t="s">
        <v>123</v>
      </c>
      <c r="AM257" s="142" t="str">
        <f>INDEX(CarrierDriverTBL!$B:$B,MATCH(Table1[[#This Row],[DriverID]],CarrierDriverTBL!$A:$A,0))</f>
        <v>UBTrucking</v>
      </c>
      <c r="AN257" s="10" t="s">
        <v>1409</v>
      </c>
      <c r="AO257" s="298" t="str">
        <f>INDEX(CarrierDriverTBL!$C:$C,MATCH(Table1[[#This Row],[DriverID]],CarrierDriverTBL!$A:$A,0))</f>
        <v>Miguel Jaime</v>
      </c>
      <c r="AP257" s="298" t="str">
        <f>INDEX(CarrierDriverTBL!$D:$D,MATCH(Table1[[#This Row],[DriverID]],CarrierDriverTBL!$A:$A,0))</f>
        <v>Martin Del Campo Velarca</v>
      </c>
      <c r="AQ257" s="142" t="str">
        <f>INDEX(CarrierDriverTBL!$X:$X,MATCH(Table1[[#This Row],[DriverID]],CarrierDriverTBL!$A:$A,0))</f>
        <v>D5179619</v>
      </c>
      <c r="AR257" s="160">
        <f>INDEX(CarrierDriverTBL!$Y:$Y,MATCH(Table1[[#This Row],[DriverID]],CarrierDriverTBL!$A:$A,0))</f>
        <v>43843</v>
      </c>
      <c r="AS257" s="142" t="str">
        <f t="shared" si="97"/>
        <v>GOOD</v>
      </c>
      <c r="AT257" s="146">
        <f>INDEX(CarrierDriverTBL!$E:$E,MATCH(Table1[[#This Row],[DriverID]],CarrierDriverTBL!$A:$A,0))</f>
        <v>21198</v>
      </c>
      <c r="AU257" s="163">
        <f ca="1">INDEX(CarrierDriverTBL!$F:$F,MATCH(Table1[[#This Row],[DriverID]],CarrierDriverTBL!$A:$A,0))</f>
        <v>58.56986301369863</v>
      </c>
      <c r="AV257" s="298" t="str">
        <f>INDEX(CarrierDriverTBL!$K:$K,MATCH(Table1[[#This Row],[DriverID]],CarrierDriverTBL!$A:$A,0))</f>
        <v>209-322-5231</v>
      </c>
      <c r="AW257" s="298" t="str">
        <f>INDEX(CarrierDriverTBL!$M:$M,MATCH(Table1[[#This Row],[DriverID]],CarrierDriverTBL!$A:$A,0))</f>
        <v>572 Predersen RD</v>
      </c>
      <c r="AX257" s="298" t="str">
        <f>INDEX(CarrierDriverTBL!$N:$N,MATCH(Table1[[#This Row],[DriverID]],CarrierDriverTBL!$A:$A,0))</f>
        <v>Oakdale</v>
      </c>
      <c r="AY257" s="142" t="str">
        <f>INDEX(CarrierDriverTBL!$O:$O,MATCH(Table1[[#This Row],[DriverID]],CarrierDriverTBL!$A:$A,0))</f>
        <v>CA</v>
      </c>
      <c r="AZ257" s="298">
        <f>INDEX(CarrierDriverTBL!$P:$P,MATCH(Table1[[#This Row],[DriverID]],CarrierDriverTBL!$A:$A,0))</f>
        <v>95361</v>
      </c>
      <c r="BA257" s="298" t="str">
        <f>INDEX(CarrierDriverTBL!$Q:$Q,MATCH(Table1[[#This Row],[DriverID]],CarrierDriverTBL!$A:$A,0))</f>
        <v>US</v>
      </c>
      <c r="BB257" s="176" t="str">
        <f>INDEX(CarrierDriverTBL!$R:$R,MATCH(Table1[[#This Row],[DriverID]],CarrierDriverTBL!$A:$A,0))</f>
        <v>Miguelmartin52@yahoo.com</v>
      </c>
      <c r="BC257" s="160">
        <f>INDEX(CarrierDriverTBL!$AB:$AB,MATCH(Table1[[#This Row],[DriverID]],CarrierDriverTBL!$A:$A,0))</f>
        <v>42334</v>
      </c>
      <c r="BD257" s="142" t="str">
        <f ca="1">INDEX(CarrierDriverTBL!$AD:$AD,MATCH(LoadMaster!$AN:$AN,CarrierDriverTBL!$A:$A,0))</f>
        <v>MISSING</v>
      </c>
      <c r="BE257" s="142">
        <f>INDEX(CarrierDriverTBL!$AE:$AE,MATCH(Table1[DriverID],CarrierDriverTBL!$A:$A,0))</f>
        <v>913971</v>
      </c>
      <c r="BF257" s="142">
        <f>INDEX(CarrierDriverTBL!$AF:$AF,MATCH(Table1[DriverID],CarrierDriverTBL!$A:$A,0))</f>
        <v>2627544</v>
      </c>
      <c r="BG257" s="142">
        <f>INDEX(CarrierDriverTBL!$AG:$AG,MATCH(Table1[DriverID],CarrierDriverTBL!$A:$A,0))</f>
        <v>466133</v>
      </c>
      <c r="BH257" s="142" t="str">
        <f>INDEX(CarrierDriverTBL!$AH:$AH,MATCH(Table1[DriverID],CarrierDriverTBL!$A:$A,0))</f>
        <v>GM Lawrence Ins</v>
      </c>
      <c r="BI257" s="142" t="str">
        <f>INDEX(CarrierDriverTBL!$AI:$AI,MATCH(Table1[DriverID],CarrierDriverTBL!$A:$A,0))</f>
        <v>DSK2842P160210</v>
      </c>
      <c r="BJ257" s="160">
        <f>INDEX(CarrierDriverTBL!$AJ:$AJ,MATCH(Table1[[#This Row],[DriverID]],CarrierDriverTBL!$A:$A,0))</f>
        <v>42778</v>
      </c>
      <c r="BK257" s="10">
        <f t="shared" si="98"/>
        <v>389</v>
      </c>
      <c r="BL257" s="59">
        <v>600</v>
      </c>
      <c r="BM257" s="144">
        <v>288</v>
      </c>
      <c r="BN257" s="159">
        <f t="shared" si="115"/>
        <v>2.0833333333333335</v>
      </c>
      <c r="BO257" s="167">
        <f>0.93*600</f>
        <v>558</v>
      </c>
      <c r="BP257" s="159">
        <f t="shared" si="116"/>
        <v>1.9375</v>
      </c>
      <c r="BQ257" s="133">
        <v>2.6</v>
      </c>
      <c r="BR257" s="166">
        <f t="shared" si="117"/>
        <v>0.1166666666666667</v>
      </c>
      <c r="BS257" s="167">
        <f t="shared" si="99"/>
        <v>1.8208333333333333</v>
      </c>
      <c r="BT257" s="159">
        <f t="shared" si="100"/>
        <v>33.600000000000009</v>
      </c>
      <c r="BU257" s="10" t="str">
        <f t="shared" si="101"/>
        <v>Ch Robinson</v>
      </c>
      <c r="BV257" s="15"/>
      <c r="BW257" s="4" t="str">
        <f>Table1[[#This Row],[BrokerAddress]]</f>
        <v>P.O. Box 3474</v>
      </c>
      <c r="BX257" s="4" t="str">
        <f t="shared" si="102"/>
        <v>Chicago</v>
      </c>
      <c r="BY257" s="4" t="str">
        <f t="shared" si="103"/>
        <v>Il</v>
      </c>
      <c r="BZ257" s="4">
        <f t="shared" si="104"/>
        <v>60654</v>
      </c>
      <c r="CA257" s="10" t="str">
        <f t="shared" si="105"/>
        <v>US</v>
      </c>
      <c r="CB257" s="15" t="s">
        <v>131</v>
      </c>
      <c r="CC257" s="62"/>
      <c r="CD257" s="15" t="s">
        <v>132</v>
      </c>
      <c r="CE257" s="64">
        <v>0</v>
      </c>
      <c r="CF257" s="4">
        <v>0</v>
      </c>
      <c r="CG257" s="132">
        <f t="shared" si="106"/>
        <v>0</v>
      </c>
      <c r="CH257" s="4" t="s">
        <v>132</v>
      </c>
      <c r="CI257" s="5">
        <v>0</v>
      </c>
      <c r="CJ257" s="4">
        <v>0</v>
      </c>
      <c r="CK257" s="132">
        <f t="shared" si="107"/>
        <v>0</v>
      </c>
      <c r="CL257" s="4" t="s">
        <v>132</v>
      </c>
      <c r="CM257" s="5">
        <v>0</v>
      </c>
      <c r="CN257" s="4">
        <v>0</v>
      </c>
      <c r="CO257" s="132">
        <f t="shared" si="108"/>
        <v>0</v>
      </c>
      <c r="CP257" s="4" t="s">
        <v>132</v>
      </c>
      <c r="CQ257" s="5">
        <v>0</v>
      </c>
      <c r="CR257" s="4">
        <v>0</v>
      </c>
      <c r="CS257" s="132">
        <f t="shared" si="109"/>
        <v>0</v>
      </c>
      <c r="CT257" s="159">
        <f t="shared" si="110"/>
        <v>0</v>
      </c>
      <c r="CU257" s="168">
        <f t="shared" si="111"/>
        <v>600</v>
      </c>
      <c r="CV257" s="169">
        <f t="shared" si="119"/>
        <v>0</v>
      </c>
      <c r="CW257" s="82">
        <f t="shared" si="120"/>
        <v>558</v>
      </c>
      <c r="CX257" s="79">
        <f>IF(ISBLANK(E257),"AddQuickPay",IF(E257=2,CU257*0.98,IF(E257=2.4,CU257*0.976,IF(E257=3,CU257*0.97,IF(E257=5,CU257*0.95,IF(E257=1.5,CU257*0.985,IF(E257=2.5,CU257*0.975,IF(E257=1.3,CU257*0.987,IF(E257=1,CU257*0.99,IF(E257=4,CU257*0.96,CU257*1))))))))))-Table1[[#This Row],[ComCheck+QuickPayFee]]</f>
        <v>588</v>
      </c>
      <c r="CY257" s="5">
        <f t="shared" si="112"/>
        <v>42</v>
      </c>
      <c r="CZ257" s="5">
        <f t="shared" si="113"/>
        <v>12</v>
      </c>
      <c r="DA257" s="258">
        <f>Table1[[#This Row],[OriginalDispatch]]-Table1[[#This Row],[QuickPayCharge]]</f>
        <v>30</v>
      </c>
      <c r="DB257" s="5">
        <v>0</v>
      </c>
      <c r="DC257" s="5" t="s">
        <v>1287</v>
      </c>
      <c r="DD257" s="104">
        <f t="shared" si="114"/>
        <v>42391</v>
      </c>
      <c r="DE257" s="15">
        <f>MONTH(Table1[[#This Row],[Weekending]])</f>
        <v>1</v>
      </c>
      <c r="DF257" s="15">
        <f>YEAR(Table1[[#This Row],[Weekending]])</f>
        <v>2016</v>
      </c>
      <c r="DG257" s="4"/>
    </row>
    <row r="258" spans="1:111">
      <c r="A258" s="20" t="str">
        <f t="shared" ref="A258:A321" si="121">RIGHT(C258,2)&amp;RIGHT(L258,2)&amp;RIGHT(AD258,2)&amp;RIGHT(AQ258,2)</f>
        <v>07-27288</v>
      </c>
      <c r="B258" s="146">
        <v>42389</v>
      </c>
      <c r="C258" s="144">
        <v>190223607</v>
      </c>
      <c r="D258" s="298" t="s">
        <v>111</v>
      </c>
      <c r="E258" s="298">
        <v>2</v>
      </c>
      <c r="F258" s="142" t="str">
        <f>INDEX(BrokerTBL!$B:$B,MATCH(D258,BrokerTBL!$A:$A,0))</f>
        <v>P.O. Box 3474</v>
      </c>
      <c r="G258" s="142" t="str">
        <f>INDEX(BrokerTBL!$C:$C,MATCH(D258,BrokerTBL!$A:$A,0))</f>
        <v>Chicago</v>
      </c>
      <c r="H258" s="142" t="str">
        <f>INDEX(BrokerTBL!$D:$D,MATCH(D258,BrokerTBL!$A:$A,0))</f>
        <v>Il</v>
      </c>
      <c r="I258" s="142" t="str">
        <f>INDEX(BrokerTBL!$E:$E,MATCH(D258,BrokerTBL!$A:$A,0))</f>
        <v>US</v>
      </c>
      <c r="J258" s="142">
        <f>INDEX(BrokerTBL!$F:$F,MATCH(D258,BrokerTBL!$A:$A,0))</f>
        <v>60654</v>
      </c>
      <c r="K258" s="298" t="s">
        <v>1896</v>
      </c>
      <c r="L258" s="145" t="s">
        <v>1897</v>
      </c>
      <c r="M258" s="146">
        <v>42389</v>
      </c>
      <c r="N258" s="144" t="s">
        <v>427</v>
      </c>
      <c r="O258" s="298" t="s">
        <v>1898</v>
      </c>
      <c r="P258" s="298" t="s">
        <v>1899</v>
      </c>
      <c r="Q258" s="298" t="s">
        <v>1876</v>
      </c>
      <c r="R258" s="298">
        <v>85119</v>
      </c>
      <c r="S258" s="298" t="s">
        <v>118</v>
      </c>
      <c r="T258" s="298" t="s">
        <v>136</v>
      </c>
      <c r="U258" s="298" t="s">
        <v>120</v>
      </c>
      <c r="V258" s="298">
        <v>53</v>
      </c>
      <c r="W258" s="298" t="s">
        <v>1900</v>
      </c>
      <c r="X258" s="144">
        <v>45000</v>
      </c>
      <c r="Y258" s="298" t="s">
        <v>1848</v>
      </c>
      <c r="Z258" s="298" t="s">
        <v>123</v>
      </c>
      <c r="AA258" s="298" t="s">
        <v>123</v>
      </c>
      <c r="AB258" s="298" t="s">
        <v>123</v>
      </c>
      <c r="AC258" s="298" t="s">
        <v>1901</v>
      </c>
      <c r="AD258" s="145">
        <v>261572</v>
      </c>
      <c r="AE258" s="146">
        <v>42390</v>
      </c>
      <c r="AF258" s="298" t="s">
        <v>1150</v>
      </c>
      <c r="AG258" s="298" t="s">
        <v>1902</v>
      </c>
      <c r="AH258" s="298" t="s">
        <v>1142</v>
      </c>
      <c r="AI258" s="298" t="s">
        <v>139</v>
      </c>
      <c r="AJ258" s="298" t="s">
        <v>1903</v>
      </c>
      <c r="AK258" s="298" t="s">
        <v>118</v>
      </c>
      <c r="AL258" s="298" t="s">
        <v>123</v>
      </c>
      <c r="AM258" s="142" t="str">
        <f>INDEX(CarrierDriverTBL!$B:$B,MATCH(Table1[[#This Row],[DriverID]],CarrierDriverTBL!$A:$A,0))</f>
        <v>UBTrucking</v>
      </c>
      <c r="AN258" s="10" t="s">
        <v>948</v>
      </c>
      <c r="AO258" s="10" t="str">
        <f>INDEX(CarrierDriverTBL!$C:$C,MATCH(Table1[[#This Row],[DriverID]],CarrierDriverTBL!$A:$A,0))</f>
        <v>Wesley</v>
      </c>
      <c r="AP258" s="10" t="str">
        <f>INDEX(CarrierDriverTBL!$D:$D,MATCH(Table1[[#This Row],[DriverID]],CarrierDriverTBL!$A:$A,0))</f>
        <v>Cousain</v>
      </c>
      <c r="AQ258" s="10" t="str">
        <f>INDEX(CarrierDriverTBL!$X:$X,MATCH(Table1[[#This Row],[DriverID]],CarrierDriverTBL!$A:$A,0))</f>
        <v>D4903588</v>
      </c>
      <c r="AR258" s="11">
        <f>INDEX(CarrierDriverTBL!$Y:$Y,MATCH(Table1[[#This Row],[DriverID]],CarrierDriverTBL!$A:$A,0))</f>
        <v>43458</v>
      </c>
      <c r="AS258" s="142" t="str">
        <f t="shared" ref="AS258:AS321" si="122">IF(AR258&gt;M258,"GOOD","EXPIRED")</f>
        <v>GOOD</v>
      </c>
      <c r="AT258" s="11">
        <f>INDEX(CarrierDriverTBL!$E:$E,MATCH(Table1[[#This Row],[DriverID]],CarrierDriverTBL!$A:$A,0))</f>
        <v>31405</v>
      </c>
      <c r="AU258" s="163">
        <f ca="1">INDEX(CarrierDriverTBL!$F:$F,MATCH(Table1[[#This Row],[DriverID]],CarrierDriverTBL!$A:$A,0))</f>
        <v>30.605479452054794</v>
      </c>
      <c r="AV258" s="10" t="str">
        <f>INDEX(CarrierDriverTBL!$K:$K,MATCH(Table1[[#This Row],[DriverID]],CarrierDriverTBL!$A:$A,0))</f>
        <v>925-383-5364</v>
      </c>
      <c r="AW258" s="10" t="str">
        <f>INDEX(CarrierDriverTBL!$M:$M,MATCH(Table1[[#This Row],[DriverID]],CarrierDriverTBL!$A:$A,0))</f>
        <v>110 Cordova Ln</v>
      </c>
      <c r="AX258" s="10" t="str">
        <f>INDEX(CarrierDriverTBL!$N:$N,MATCH(Table1[[#This Row],[DriverID]],CarrierDriverTBL!$A:$A,0))</f>
        <v>Stockton</v>
      </c>
      <c r="AY258" s="10" t="str">
        <f>INDEX(CarrierDriverTBL!$O:$O,MATCH(Table1[[#This Row],[DriverID]],CarrierDriverTBL!$A:$A,0))</f>
        <v>CA</v>
      </c>
      <c r="AZ258" s="10">
        <f>INDEX(CarrierDriverTBL!$P:$P,MATCH(Table1[[#This Row],[DriverID]],CarrierDriverTBL!$A:$A,0))</f>
        <v>95207</v>
      </c>
      <c r="BA258" s="10" t="str">
        <f>INDEX(CarrierDriverTBL!$Q:$Q,MATCH(Table1[[#This Row],[DriverID]],CarrierDriverTBL!$A:$A,0))</f>
        <v>US</v>
      </c>
      <c r="BB258" s="173" t="str">
        <f>INDEX(CarrierDriverTBL!$R:$R,MATCH(Table1[[#This Row],[DriverID]],CarrierDriverTBL!$A:$A,0))</f>
        <v>wesleycousain1@gmail.com</v>
      </c>
      <c r="BC258" s="160">
        <f>INDEX(CarrierDriverTBL!$AB:$AB,MATCH(Table1[[#This Row],[DriverID]],CarrierDriverTBL!$A:$A,0))</f>
        <v>42271</v>
      </c>
      <c r="BD258" s="142" t="str">
        <f ca="1">INDEX(CarrierDriverTBL!$AD:$AD,MATCH(LoadMaster!$AN:$AN,CarrierDriverTBL!$A:$A,0))</f>
        <v>MISSING</v>
      </c>
      <c r="BE258" s="142">
        <f>INDEX(CarrierDriverTBL!$AE:$AE,MATCH(Table1[DriverID],CarrierDriverTBL!$A:$A,0))</f>
        <v>913971</v>
      </c>
      <c r="BF258" s="142">
        <f>INDEX(CarrierDriverTBL!$AF:$AF,MATCH(Table1[DriverID],CarrierDriverTBL!$A:$A,0))</f>
        <v>2627544</v>
      </c>
      <c r="BG258" s="142">
        <f>INDEX(CarrierDriverTBL!$AG:$AG,MATCH(Table1[DriverID],CarrierDriverTBL!$A:$A,0))</f>
        <v>466133</v>
      </c>
      <c r="BH258" s="142" t="str">
        <f>INDEX(CarrierDriverTBL!$AH:$AH,MATCH(Table1[DriverID],CarrierDriverTBL!$A:$A,0))</f>
        <v>GM Lawrence Ins</v>
      </c>
      <c r="BI258" s="142" t="str">
        <f>INDEX(CarrierDriverTBL!$AI:$AI,MATCH(Table1[DriverID],CarrierDriverTBL!$A:$A,0))</f>
        <v>DSK2842P160210</v>
      </c>
      <c r="BJ258" s="160">
        <f>INDEX(CarrierDriverTBL!$AJ:$AJ,MATCH(Table1[[#This Row],[DriverID]],CarrierDriverTBL!$A:$A,0))</f>
        <v>42778</v>
      </c>
      <c r="BK258" s="10">
        <f t="shared" ref="BK258:BK321" si="123">IFERROR(BJ258-M258,"MISSING")</f>
        <v>389</v>
      </c>
      <c r="BL258" s="59">
        <v>400</v>
      </c>
      <c r="BM258" s="144">
        <v>409</v>
      </c>
      <c r="BN258" s="159">
        <f t="shared" si="115"/>
        <v>0.97799511002444983</v>
      </c>
      <c r="BO258" s="167">
        <f>0.93*400</f>
        <v>372</v>
      </c>
      <c r="BP258" s="159">
        <f t="shared" si="116"/>
        <v>0.90953545232273836</v>
      </c>
      <c r="BQ258" s="133">
        <v>2.6</v>
      </c>
      <c r="BR258" s="166">
        <f t="shared" si="117"/>
        <v>0.1166666666666667</v>
      </c>
      <c r="BS258" s="167">
        <f t="shared" ref="BS258:BS321" si="124">BP258-BR258</f>
        <v>0.79286878565607166</v>
      </c>
      <c r="BT258" s="159">
        <f t="shared" ref="BT258:BT321" si="125">BM258*BR258</f>
        <v>47.716666666666676</v>
      </c>
      <c r="BU258" s="10" t="str">
        <f t="shared" ref="BU258:BU321" si="126">D258</f>
        <v>Ch Robinson</v>
      </c>
      <c r="BV258" s="15"/>
      <c r="BW258" s="4" t="str">
        <f>Table1[[#This Row],[BrokerAddress]]</f>
        <v>P.O. Box 3474</v>
      </c>
      <c r="BX258" s="4" t="str">
        <f t="shared" ref="BX258:BX321" si="127">G258</f>
        <v>Chicago</v>
      </c>
      <c r="BY258" s="4" t="str">
        <f t="shared" ref="BY258:BY321" si="128">H258</f>
        <v>Il</v>
      </c>
      <c r="BZ258" s="4">
        <f t="shared" ref="BZ258:BZ321" si="129">J258</f>
        <v>60654</v>
      </c>
      <c r="CA258" s="10" t="str">
        <f t="shared" ref="CA258:CA321" si="130">I258</f>
        <v>US</v>
      </c>
      <c r="CB258" s="15" t="s">
        <v>131</v>
      </c>
      <c r="CC258" s="62"/>
      <c r="CD258" s="15" t="s">
        <v>132</v>
      </c>
      <c r="CE258" s="64">
        <v>0</v>
      </c>
      <c r="CF258" s="4">
        <v>0</v>
      </c>
      <c r="CG258" s="132">
        <f t="shared" ref="CG258:CG321" si="131">CE258*CF258</f>
        <v>0</v>
      </c>
      <c r="CH258" s="4" t="s">
        <v>132</v>
      </c>
      <c r="CI258" s="5">
        <v>0</v>
      </c>
      <c r="CJ258" s="4">
        <v>0</v>
      </c>
      <c r="CK258" s="132">
        <f t="shared" ref="CK258:CK321" si="132">CI258*CJ258</f>
        <v>0</v>
      </c>
      <c r="CL258" s="4" t="s">
        <v>132</v>
      </c>
      <c r="CM258" s="5">
        <v>0</v>
      </c>
      <c r="CN258" s="4">
        <v>0</v>
      </c>
      <c r="CO258" s="132">
        <f t="shared" ref="CO258:CO321" si="133">CM258*CN258</f>
        <v>0</v>
      </c>
      <c r="CP258" s="4" t="s">
        <v>132</v>
      </c>
      <c r="CQ258" s="5">
        <v>0</v>
      </c>
      <c r="CR258" s="4">
        <v>0</v>
      </c>
      <c r="CS258" s="132">
        <f t="shared" ref="CS258:CS321" si="134">CQ258*CR258</f>
        <v>0</v>
      </c>
      <c r="CT258" s="159">
        <f t="shared" ref="CT258:CT321" si="135">CG258+CK258+CO258+CS258</f>
        <v>0</v>
      </c>
      <c r="CU258" s="168">
        <f t="shared" ref="CU258:CU321" si="136">(CT258+BL258)-CC258</f>
        <v>400</v>
      </c>
      <c r="CV258" s="169">
        <f t="shared" si="119"/>
        <v>0</v>
      </c>
      <c r="CW258" s="82">
        <f t="shared" si="120"/>
        <v>372</v>
      </c>
      <c r="CX258" s="79">
        <f>IF(ISBLANK(E258),"AddQuickPay",IF(E258=2,CU258*0.98,IF(E258=2.4,CU258*0.976,IF(E258=3,CU258*0.97,IF(E258=5,CU258*0.95,IF(E258=1.5,CU258*0.985,IF(E258=2.5,CU258*0.975,IF(E258=1.3,CU258*0.987,IF(E258=1,CU258*0.99,IF(E258=4,CU258*0.96,CU258*1))))))))))-Table1[[#This Row],[ComCheck+QuickPayFee]]</f>
        <v>392</v>
      </c>
      <c r="CY258" s="5">
        <f t="shared" ref="CY258:CY321" si="137">CU258-CW258</f>
        <v>28</v>
      </c>
      <c r="CZ258" s="5">
        <f t="shared" ref="CZ258:CZ321" si="138">IF(ISBLANK(E258),"AddQuickPay",IF(E258=2,CU258*0.02,IF(E258=2.4,CU258*0.024,IF(E258=3,CU258*0.03,IF(E258=5,CU258*0.05,IF(E258=1.5,CU258*0.015,IF(E258=2.5,CU258*0.025,IF(E258=4,CU258*0.04,IF(E258=1.3,CU258*0.013,IF(E258=1,CU258*0.01,CU258*0))))))))))</f>
        <v>8</v>
      </c>
      <c r="DA258" s="258">
        <f>Table1[[#This Row],[OriginalDispatch]]-Table1[[#This Row],[QuickPayCharge]]</f>
        <v>20</v>
      </c>
      <c r="DB258" s="5">
        <v>0</v>
      </c>
      <c r="DC258" s="5" t="s">
        <v>1287</v>
      </c>
      <c r="DD258" s="104">
        <f t="shared" ref="DD258:DD321" si="139">(5-WEEKDAY(M258,2))+M258</f>
        <v>42391</v>
      </c>
      <c r="DE258" s="15">
        <f>MONTH(Table1[[#This Row],[Weekending]])</f>
        <v>1</v>
      </c>
      <c r="DF258" s="15">
        <f>YEAR(Table1[[#This Row],[Weekending]])</f>
        <v>2016</v>
      </c>
      <c r="DG258" s="4"/>
    </row>
    <row r="259" spans="1:111">
      <c r="A259" s="20" t="str">
        <f t="shared" si="121"/>
        <v>63wn0688</v>
      </c>
      <c r="B259" s="146">
        <v>42390</v>
      </c>
      <c r="C259" s="144">
        <v>191099463</v>
      </c>
      <c r="D259" s="298" t="s">
        <v>111</v>
      </c>
      <c r="E259" s="298">
        <v>2</v>
      </c>
      <c r="F259" s="142" t="str">
        <f>INDEX(BrokerTBL!$B:$B,MATCH(D259,BrokerTBL!$A:$A,0))</f>
        <v>P.O. Box 3474</v>
      </c>
      <c r="G259" s="142" t="str">
        <f>INDEX(BrokerTBL!$C:$C,MATCH(D259,BrokerTBL!$A:$A,0))</f>
        <v>Chicago</v>
      </c>
      <c r="H259" s="142" t="str">
        <f>INDEX(BrokerTBL!$D:$D,MATCH(D259,BrokerTBL!$A:$A,0))</f>
        <v>Il</v>
      </c>
      <c r="I259" s="142" t="str">
        <f>INDEX(BrokerTBL!$E:$E,MATCH(D259,BrokerTBL!$A:$A,0))</f>
        <v>US</v>
      </c>
      <c r="J259" s="142">
        <f>INDEX(BrokerTBL!$F:$F,MATCH(D259,BrokerTBL!$A:$A,0))</f>
        <v>60654</v>
      </c>
      <c r="K259" s="298" t="s">
        <v>1904</v>
      </c>
      <c r="L259" s="145" t="s">
        <v>1205</v>
      </c>
      <c r="M259" s="146">
        <v>42390</v>
      </c>
      <c r="N259" s="182">
        <v>0.58333333333333304</v>
      </c>
      <c r="O259" s="298" t="s">
        <v>1905</v>
      </c>
      <c r="P259" s="298" t="s">
        <v>1906</v>
      </c>
      <c r="Q259" s="298" t="s">
        <v>139</v>
      </c>
      <c r="R259" s="298">
        <v>90745</v>
      </c>
      <c r="S259" s="298" t="s">
        <v>118</v>
      </c>
      <c r="T259" s="298" t="s">
        <v>136</v>
      </c>
      <c r="U259" s="298" t="s">
        <v>120</v>
      </c>
      <c r="V259" s="298">
        <v>53</v>
      </c>
      <c r="W259" s="298" t="s">
        <v>1907</v>
      </c>
      <c r="X259" s="144">
        <v>44000</v>
      </c>
      <c r="Y259" s="298" t="s">
        <v>1537</v>
      </c>
      <c r="Z259" s="298" t="s">
        <v>123</v>
      </c>
      <c r="AA259" s="298" t="s">
        <v>123</v>
      </c>
      <c r="AB259" s="298" t="s">
        <v>123</v>
      </c>
      <c r="AC259" s="298" t="s">
        <v>1908</v>
      </c>
      <c r="AD259" s="145">
        <v>302834106</v>
      </c>
      <c r="AE259" s="146">
        <v>42391</v>
      </c>
      <c r="AF259" s="298" t="s">
        <v>353</v>
      </c>
      <c r="AG259" s="298" t="s">
        <v>1909</v>
      </c>
      <c r="AH259" s="298" t="s">
        <v>366</v>
      </c>
      <c r="AI259" s="298" t="s">
        <v>139</v>
      </c>
      <c r="AJ259" s="298" t="s">
        <v>1910</v>
      </c>
      <c r="AK259" s="298" t="s">
        <v>118</v>
      </c>
      <c r="AL259" s="298" t="s">
        <v>123</v>
      </c>
      <c r="AM259" s="142" t="str">
        <f>INDEX(CarrierDriverTBL!$B:$B,MATCH(Table1[[#This Row],[DriverID]],CarrierDriverTBL!$A:$A,0))</f>
        <v>UBTrucking</v>
      </c>
      <c r="AN259" s="10" t="s">
        <v>948</v>
      </c>
      <c r="AO259" s="10" t="str">
        <f>INDEX(CarrierDriverTBL!$C:$C,MATCH(Table1[[#This Row],[DriverID]],CarrierDriverTBL!$A:$A,0))</f>
        <v>Wesley</v>
      </c>
      <c r="AP259" s="10" t="str">
        <f>INDEX(CarrierDriverTBL!$D:$D,MATCH(Table1[[#This Row],[DriverID]],CarrierDriverTBL!$A:$A,0))</f>
        <v>Cousain</v>
      </c>
      <c r="AQ259" s="10" t="str">
        <f>INDEX(CarrierDriverTBL!$X:$X,MATCH(Table1[[#This Row],[DriverID]],CarrierDriverTBL!$A:$A,0))</f>
        <v>D4903588</v>
      </c>
      <c r="AR259" s="11">
        <f>INDEX(CarrierDriverTBL!$Y:$Y,MATCH(Table1[[#This Row],[DriverID]],CarrierDriverTBL!$A:$A,0))</f>
        <v>43458</v>
      </c>
      <c r="AS259" s="142" t="str">
        <f t="shared" si="122"/>
        <v>GOOD</v>
      </c>
      <c r="AT259" s="11">
        <f>INDEX(CarrierDriverTBL!$E:$E,MATCH(Table1[[#This Row],[DriverID]],CarrierDriverTBL!$A:$A,0))</f>
        <v>31405</v>
      </c>
      <c r="AU259" s="163">
        <f ca="1">INDEX(CarrierDriverTBL!$F:$F,MATCH(Table1[[#This Row],[DriverID]],CarrierDriverTBL!$A:$A,0))</f>
        <v>30.605479452054794</v>
      </c>
      <c r="AV259" s="10" t="str">
        <f>INDEX(CarrierDriverTBL!$K:$K,MATCH(Table1[[#This Row],[DriverID]],CarrierDriverTBL!$A:$A,0))</f>
        <v>925-383-5364</v>
      </c>
      <c r="AW259" s="10" t="str">
        <f>INDEX(CarrierDriverTBL!$M:$M,MATCH(Table1[[#This Row],[DriverID]],CarrierDriverTBL!$A:$A,0))</f>
        <v>110 Cordova Ln</v>
      </c>
      <c r="AX259" s="10" t="str">
        <f>INDEX(CarrierDriverTBL!$N:$N,MATCH(Table1[[#This Row],[DriverID]],CarrierDriverTBL!$A:$A,0))</f>
        <v>Stockton</v>
      </c>
      <c r="AY259" s="10" t="str">
        <f>INDEX(CarrierDriverTBL!$O:$O,MATCH(Table1[[#This Row],[DriverID]],CarrierDriverTBL!$A:$A,0))</f>
        <v>CA</v>
      </c>
      <c r="AZ259" s="10">
        <f>INDEX(CarrierDriverTBL!$P:$P,MATCH(Table1[[#This Row],[DriverID]],CarrierDriverTBL!$A:$A,0))</f>
        <v>95207</v>
      </c>
      <c r="BA259" s="10" t="str">
        <f>INDEX(CarrierDriverTBL!$Q:$Q,MATCH(Table1[[#This Row],[DriverID]],CarrierDriverTBL!$A:$A,0))</f>
        <v>US</v>
      </c>
      <c r="BB259" s="173" t="str">
        <f>INDEX(CarrierDriverTBL!$R:$R,MATCH(Table1[[#This Row],[DriverID]],CarrierDriverTBL!$A:$A,0))</f>
        <v>wesleycousain1@gmail.com</v>
      </c>
      <c r="BC259" s="160">
        <f>INDEX(CarrierDriverTBL!$AB:$AB,MATCH(Table1[[#This Row],[DriverID]],CarrierDriverTBL!$A:$A,0))</f>
        <v>42271</v>
      </c>
      <c r="BD259" s="142" t="str">
        <f ca="1">INDEX(CarrierDriverTBL!$AD:$AD,MATCH(LoadMaster!$AN:$AN,CarrierDriverTBL!$A:$A,0))</f>
        <v>MISSING</v>
      </c>
      <c r="BE259" s="142">
        <f>INDEX(CarrierDriverTBL!$AE:$AE,MATCH(Table1[DriverID],CarrierDriverTBL!$A:$A,0))</f>
        <v>913971</v>
      </c>
      <c r="BF259" s="142">
        <f>INDEX(CarrierDriverTBL!$AF:$AF,MATCH(Table1[DriverID],CarrierDriverTBL!$A:$A,0))</f>
        <v>2627544</v>
      </c>
      <c r="BG259" s="142">
        <f>INDEX(CarrierDriverTBL!$AG:$AG,MATCH(Table1[DriverID],CarrierDriverTBL!$A:$A,0))</f>
        <v>466133</v>
      </c>
      <c r="BH259" s="142" t="str">
        <f>INDEX(CarrierDriverTBL!$AH:$AH,MATCH(Table1[DriverID],CarrierDriverTBL!$A:$A,0))</f>
        <v>GM Lawrence Ins</v>
      </c>
      <c r="BI259" s="142" t="str">
        <f>INDEX(CarrierDriverTBL!$AI:$AI,MATCH(Table1[DriverID],CarrierDriverTBL!$A:$A,0))</f>
        <v>DSK2842P160210</v>
      </c>
      <c r="BJ259" s="160">
        <f>INDEX(CarrierDriverTBL!$AJ:$AJ,MATCH(Table1[[#This Row],[DriverID]],CarrierDriverTBL!$A:$A,0))</f>
        <v>42778</v>
      </c>
      <c r="BK259" s="10">
        <f t="shared" si="123"/>
        <v>388</v>
      </c>
      <c r="BL259" s="59">
        <v>800</v>
      </c>
      <c r="BM259" s="144">
        <v>424</v>
      </c>
      <c r="BN259" s="159">
        <f t="shared" si="115"/>
        <v>1.8867924528301887</v>
      </c>
      <c r="BO259" s="167">
        <f>0.93*800</f>
        <v>744</v>
      </c>
      <c r="BP259" s="159">
        <f t="shared" si="116"/>
        <v>1.7547169811320755</v>
      </c>
      <c r="BQ259" s="133">
        <v>2.6</v>
      </c>
      <c r="BR259" s="166">
        <f t="shared" si="117"/>
        <v>0.1166666666666667</v>
      </c>
      <c r="BS259" s="167">
        <f t="shared" si="124"/>
        <v>1.6380503144654088</v>
      </c>
      <c r="BT259" s="159">
        <f t="shared" si="125"/>
        <v>49.466666666666683</v>
      </c>
      <c r="BU259" s="10" t="str">
        <f t="shared" si="126"/>
        <v>Ch Robinson</v>
      </c>
      <c r="BV259" s="15"/>
      <c r="BW259" s="4" t="str">
        <f>Table1[[#This Row],[BrokerAddress]]</f>
        <v>P.O. Box 3474</v>
      </c>
      <c r="BX259" s="4" t="str">
        <f t="shared" si="127"/>
        <v>Chicago</v>
      </c>
      <c r="BY259" s="4" t="str">
        <f t="shared" si="128"/>
        <v>Il</v>
      </c>
      <c r="BZ259" s="4">
        <f t="shared" si="129"/>
        <v>60654</v>
      </c>
      <c r="CA259" s="10" t="str">
        <f t="shared" si="130"/>
        <v>US</v>
      </c>
      <c r="CB259" s="15" t="s">
        <v>131</v>
      </c>
      <c r="CC259" s="62"/>
      <c r="CD259" s="15" t="s">
        <v>132</v>
      </c>
      <c r="CE259" s="64">
        <v>0</v>
      </c>
      <c r="CF259" s="4">
        <v>0</v>
      </c>
      <c r="CG259" s="132">
        <f t="shared" si="131"/>
        <v>0</v>
      </c>
      <c r="CH259" s="4" t="s">
        <v>132</v>
      </c>
      <c r="CI259" s="5">
        <v>0</v>
      </c>
      <c r="CJ259" s="4">
        <v>0</v>
      </c>
      <c r="CK259" s="132">
        <f t="shared" si="132"/>
        <v>0</v>
      </c>
      <c r="CL259" s="4" t="s">
        <v>132</v>
      </c>
      <c r="CM259" s="5">
        <v>0</v>
      </c>
      <c r="CN259" s="4">
        <v>0</v>
      </c>
      <c r="CO259" s="132">
        <f t="shared" si="133"/>
        <v>0</v>
      </c>
      <c r="CP259" s="4" t="s">
        <v>132</v>
      </c>
      <c r="CQ259" s="5">
        <v>0</v>
      </c>
      <c r="CR259" s="4">
        <v>0</v>
      </c>
      <c r="CS259" s="132">
        <f t="shared" si="134"/>
        <v>0</v>
      </c>
      <c r="CT259" s="159">
        <f t="shared" si="135"/>
        <v>0</v>
      </c>
      <c r="CU259" s="168">
        <f t="shared" si="136"/>
        <v>800</v>
      </c>
      <c r="CV259" s="169">
        <f t="shared" si="119"/>
        <v>0</v>
      </c>
      <c r="CW259" s="82">
        <f t="shared" si="120"/>
        <v>744</v>
      </c>
      <c r="CX259" s="79">
        <f>IF(ISBLANK(E259),"AddQuickPay",IF(E259=2,CU259*0.98,IF(E259=2.4,CU259*0.976,IF(E259=3,CU259*0.97,IF(E259=5,CU259*0.95,IF(E259=1.5,CU259*0.985,IF(E259=2.5,CU259*0.975,IF(E259=1.3,CU259*0.987,IF(E259=1,CU259*0.99,IF(E259=4,CU259*0.96,CU259*1))))))))))-Table1[[#This Row],[ComCheck+QuickPayFee]]</f>
        <v>784</v>
      </c>
      <c r="CY259" s="5">
        <f t="shared" si="137"/>
        <v>56</v>
      </c>
      <c r="CZ259" s="5">
        <f t="shared" si="138"/>
        <v>16</v>
      </c>
      <c r="DA259" s="258">
        <f>Table1[[#This Row],[OriginalDispatch]]-Table1[[#This Row],[QuickPayCharge]]</f>
        <v>40</v>
      </c>
      <c r="DB259" s="5">
        <v>0</v>
      </c>
      <c r="DC259" s="5" t="s">
        <v>133</v>
      </c>
      <c r="DD259" s="104">
        <f t="shared" si="139"/>
        <v>42391</v>
      </c>
      <c r="DE259" s="15">
        <f>MONTH(Table1[[#This Row],[Weekending]])</f>
        <v>1</v>
      </c>
      <c r="DF259" s="15">
        <f>YEAR(Table1[[#This Row],[Weekending]])</f>
        <v>2016</v>
      </c>
      <c r="DG259" s="4"/>
    </row>
    <row r="260" spans="1:111">
      <c r="A260" s="20" t="str">
        <f t="shared" si="121"/>
        <v>1171ne49</v>
      </c>
      <c r="B260" s="146">
        <v>42390</v>
      </c>
      <c r="C260" s="144">
        <v>46811</v>
      </c>
      <c r="D260" s="298" t="s">
        <v>1824</v>
      </c>
      <c r="E260" s="298">
        <v>3</v>
      </c>
      <c r="F260" s="298" t="str">
        <f>INDEX(BrokerTBL!$B:$B,MATCH(D260,BrokerTBL!$A:$A,0))</f>
        <v>2109 W Bullard Ave # 101</v>
      </c>
      <c r="G260" s="298" t="str">
        <f>INDEX(BrokerTBL!$C:$C,MATCH(D260,BrokerTBL!$A:$A,0))</f>
        <v>Fresno</v>
      </c>
      <c r="H260" s="142" t="str">
        <f>INDEX(BrokerTBL!$D:$D,MATCH(D260,BrokerTBL!$A:$A,0))</f>
        <v>Ca</v>
      </c>
      <c r="I260" s="142" t="str">
        <f>INDEX(BrokerTBL!$E:$E,MATCH(D260,BrokerTBL!$A:$A,0))</f>
        <v>US</v>
      </c>
      <c r="J260" s="142">
        <f>INDEX(BrokerTBL!$F:$F,MATCH(D260,BrokerTBL!$A:$A,0))</f>
        <v>93711</v>
      </c>
      <c r="K260" s="298" t="s">
        <v>1911</v>
      </c>
      <c r="L260" s="145">
        <v>5671</v>
      </c>
      <c r="M260" s="146">
        <v>42390</v>
      </c>
      <c r="N260" s="144" t="s">
        <v>1723</v>
      </c>
      <c r="O260" s="298" t="s">
        <v>1912</v>
      </c>
      <c r="P260" s="298" t="s">
        <v>1913</v>
      </c>
      <c r="Q260" s="298" t="s">
        <v>139</v>
      </c>
      <c r="R260" s="298">
        <v>95742</v>
      </c>
      <c r="S260" s="298" t="s">
        <v>118</v>
      </c>
      <c r="T260" s="298" t="s">
        <v>136</v>
      </c>
      <c r="U260" s="298" t="s">
        <v>120</v>
      </c>
      <c r="V260" s="298">
        <v>53</v>
      </c>
      <c r="W260" s="298" t="s">
        <v>1521</v>
      </c>
      <c r="X260" s="144">
        <v>35000</v>
      </c>
      <c r="Y260" s="298" t="s">
        <v>123</v>
      </c>
      <c r="Z260" s="298" t="s">
        <v>123</v>
      </c>
      <c r="AA260" s="298" t="s">
        <v>123</v>
      </c>
      <c r="AB260" s="298" t="s">
        <v>123</v>
      </c>
      <c r="AC260" s="298" t="s">
        <v>1914</v>
      </c>
      <c r="AD260" s="145" t="s">
        <v>132</v>
      </c>
      <c r="AE260" s="146">
        <v>42390</v>
      </c>
      <c r="AF260" s="298" t="s">
        <v>427</v>
      </c>
      <c r="AG260" s="298" t="s">
        <v>1915</v>
      </c>
      <c r="AH260" s="298" t="s">
        <v>1916</v>
      </c>
      <c r="AI260" s="298" t="s">
        <v>264</v>
      </c>
      <c r="AJ260" s="298">
        <v>89403</v>
      </c>
      <c r="AK260" s="298" t="s">
        <v>118</v>
      </c>
      <c r="AL260" s="298" t="s">
        <v>123</v>
      </c>
      <c r="AM260" s="142" t="str">
        <f>INDEX(CarrierDriverTBL!$B:$B,MATCH(Table1[[#This Row],[DriverID]],CarrierDriverTBL!$A:$A,0))</f>
        <v>UBTrucking</v>
      </c>
      <c r="AN260" s="10" t="s">
        <v>192</v>
      </c>
      <c r="AO260" s="10" t="str">
        <f>INDEX(CarrierDriverTBL!$C:$C,MATCH(Table1[[#This Row],[DriverID]],CarrierDriverTBL!$A:$A,0))</f>
        <v>Albel</v>
      </c>
      <c r="AP260" s="142" t="str">
        <f>INDEX(CarrierDriverTBL!$D:$D,MATCH(Table1[[#This Row],[DriverID]],CarrierDriverTBL!$A:$A,0))</f>
        <v>Chahil</v>
      </c>
      <c r="AQ260" s="142" t="str">
        <f>INDEX(CarrierDriverTBL!$X:$X,MATCH(Table1[[#This Row],[DriverID]],CarrierDriverTBL!$A:$A,0))</f>
        <v>A8390649</v>
      </c>
      <c r="AR260" s="160">
        <f>INDEX(CarrierDriverTBL!$Y:$Y,MATCH(Table1[[#This Row],[DriverID]],CarrierDriverTBL!$A:$A,0))</f>
        <v>42402</v>
      </c>
      <c r="AS260" s="142" t="str">
        <f t="shared" si="122"/>
        <v>GOOD</v>
      </c>
      <c r="AT260" s="160">
        <f>INDEX(CarrierDriverTBL!$E:$E,MATCH(Table1[[#This Row],[DriverID]],CarrierDriverTBL!$A:$A,0))</f>
        <v>22314</v>
      </c>
      <c r="AU260" s="163">
        <f ca="1">INDEX(CarrierDriverTBL!$F:$F,MATCH(Table1[[#This Row],[DriverID]],CarrierDriverTBL!$A:$A,0))</f>
        <v>55.512328767123286</v>
      </c>
      <c r="AV260" s="142" t="str">
        <f>INDEX(CarrierDriverTBL!$K:$K,MATCH(Table1[[#This Row],[DriverID]],CarrierDriverTBL!$A:$A,0))</f>
        <v>510-773-9450</v>
      </c>
      <c r="AW260" s="142" t="str">
        <f>INDEX(CarrierDriverTBL!$M:$M,MATCH(Table1[[#This Row],[DriverID]],CarrierDriverTBL!$A:$A,0))</f>
        <v>3124 Cynthia CT</v>
      </c>
      <c r="AX260" s="142" t="str">
        <f>INDEX(CarrierDriverTBL!$N:$N,MATCH(Table1[[#This Row],[DriverID]],CarrierDriverTBL!$A:$A,0))</f>
        <v>Tracy</v>
      </c>
      <c r="AY260" s="142" t="str">
        <f>INDEX(CarrierDriverTBL!$O:$O,MATCH(Table1[[#This Row],[DriverID]],CarrierDriverTBL!$A:$A,0))</f>
        <v>CA</v>
      </c>
      <c r="AZ260" s="142">
        <f>INDEX(CarrierDriverTBL!$P:$P,MATCH(Table1[[#This Row],[DriverID]],CarrierDriverTBL!$A:$A,0))</f>
        <v>95377</v>
      </c>
      <c r="BA260" s="142" t="str">
        <f>INDEX(CarrierDriverTBL!$Q:$Q,MATCH(Table1[[#This Row],[DriverID]],CarrierDriverTBL!$A:$A,0))</f>
        <v>US</v>
      </c>
      <c r="BB260" s="176" t="str">
        <f>INDEX(CarrierDriverTBL!$R:$R,MATCH(Table1[[#This Row],[DriverID]],CarrierDriverTBL!$A:$A,0))</f>
        <v>ubgollc@gmail.com</v>
      </c>
      <c r="BC260" s="160">
        <f>INDEX(CarrierDriverTBL!$AB:$AB,MATCH(Table1[[#This Row],[DriverID]],CarrierDriverTBL!$A:$A,0))</f>
        <v>42167</v>
      </c>
      <c r="BD260" s="142" t="str">
        <f ca="1">INDEX(CarrierDriverTBL!$AD:$AD,MATCH(LoadMaster!$AN:$AN,CarrierDriverTBL!$A:$A,0))</f>
        <v>MISSING</v>
      </c>
      <c r="BE260" s="142">
        <f>INDEX(CarrierDriverTBL!$AE:$AE,MATCH(Table1[DriverID],CarrierDriverTBL!$A:$A,0))</f>
        <v>913971</v>
      </c>
      <c r="BF260" s="142">
        <f>INDEX(CarrierDriverTBL!$AF:$AF,MATCH(Table1[DriverID],CarrierDriverTBL!$A:$A,0))</f>
        <v>2627544</v>
      </c>
      <c r="BG260" s="142">
        <f>INDEX(CarrierDriverTBL!$AG:$AG,MATCH(Table1[DriverID],CarrierDriverTBL!$A:$A,0))</f>
        <v>466133</v>
      </c>
      <c r="BH260" s="142" t="str">
        <f>INDEX(CarrierDriverTBL!$AH:$AH,MATCH(Table1[DriverID],CarrierDriverTBL!$A:$A,0))</f>
        <v>GM Lawrence Ins</v>
      </c>
      <c r="BI260" s="142" t="str">
        <f>INDEX(CarrierDriverTBL!$AI:$AI,MATCH(Table1[DriverID],CarrierDriverTBL!$A:$A,0))</f>
        <v>DSK2842P160210</v>
      </c>
      <c r="BJ260" s="160">
        <f>INDEX(CarrierDriverTBL!$AJ:$AJ,MATCH(Table1[[#This Row],[DriverID]],CarrierDriverTBL!$A:$A,0))</f>
        <v>42778</v>
      </c>
      <c r="BK260" s="10">
        <f t="shared" si="123"/>
        <v>388</v>
      </c>
      <c r="BL260" s="59">
        <v>550</v>
      </c>
      <c r="BM260" s="144">
        <v>160</v>
      </c>
      <c r="BN260" s="159">
        <f t="shared" si="115"/>
        <v>3.4375</v>
      </c>
      <c r="BO260" s="167">
        <v>500</v>
      </c>
      <c r="BP260" s="159">
        <f t="shared" si="116"/>
        <v>3.125</v>
      </c>
      <c r="BQ260" s="133">
        <v>2.6</v>
      </c>
      <c r="BR260" s="166">
        <f t="shared" si="117"/>
        <v>0.1166666666666667</v>
      </c>
      <c r="BS260" s="167">
        <f t="shared" si="124"/>
        <v>3.0083333333333333</v>
      </c>
      <c r="BT260" s="159">
        <f t="shared" si="125"/>
        <v>18.666666666666671</v>
      </c>
      <c r="BU260" s="10" t="str">
        <f t="shared" si="126"/>
        <v>Cargobarn Inc.</v>
      </c>
      <c r="BV260" s="4"/>
      <c r="BW260" s="4" t="str">
        <f>Table1[[#This Row],[BrokerAddress]]</f>
        <v>2109 W Bullard Ave # 101</v>
      </c>
      <c r="BX260" s="4" t="str">
        <f t="shared" si="127"/>
        <v>Fresno</v>
      </c>
      <c r="BY260" s="4" t="str">
        <f t="shared" si="128"/>
        <v>Ca</v>
      </c>
      <c r="BZ260" s="4">
        <f t="shared" si="129"/>
        <v>93711</v>
      </c>
      <c r="CA260" s="10" t="str">
        <f t="shared" si="130"/>
        <v>US</v>
      </c>
      <c r="CB260" s="15" t="s">
        <v>131</v>
      </c>
      <c r="CC260" s="62"/>
      <c r="CD260" s="15" t="s">
        <v>132</v>
      </c>
      <c r="CE260" s="64">
        <v>0</v>
      </c>
      <c r="CF260" s="4">
        <v>0</v>
      </c>
      <c r="CG260" s="132">
        <f t="shared" si="131"/>
        <v>0</v>
      </c>
      <c r="CH260" s="4" t="s">
        <v>132</v>
      </c>
      <c r="CI260" s="5">
        <v>0</v>
      </c>
      <c r="CJ260" s="4">
        <v>0</v>
      </c>
      <c r="CK260" s="132">
        <f t="shared" si="132"/>
        <v>0</v>
      </c>
      <c r="CL260" s="4" t="s">
        <v>132</v>
      </c>
      <c r="CM260" s="5">
        <v>0</v>
      </c>
      <c r="CN260" s="4">
        <v>0</v>
      </c>
      <c r="CO260" s="132">
        <f t="shared" si="133"/>
        <v>0</v>
      </c>
      <c r="CP260" s="4" t="s">
        <v>132</v>
      </c>
      <c r="CQ260" s="5">
        <v>0</v>
      </c>
      <c r="CR260" s="4">
        <v>0</v>
      </c>
      <c r="CS260" s="132">
        <f t="shared" si="134"/>
        <v>0</v>
      </c>
      <c r="CT260" s="159">
        <f t="shared" si="135"/>
        <v>0</v>
      </c>
      <c r="CU260" s="168">
        <f t="shared" si="136"/>
        <v>550</v>
      </c>
      <c r="CV260" s="169">
        <f t="shared" si="119"/>
        <v>0</v>
      </c>
      <c r="CW260" s="82">
        <f t="shared" si="120"/>
        <v>500</v>
      </c>
      <c r="CX260" s="79">
        <f>IF(ISBLANK(E260),"AddQuickPay",IF(E260=2,CU260*0.98,IF(E260=2.4,CU260*0.976,IF(E260=3,CU260*0.97,IF(E260=5,CU260*0.95,IF(E260=1.5,CU260*0.985,IF(E260=2.5,CU260*0.975,IF(E260=1.3,CU260*0.987,IF(E260=1,CU260*0.99,IF(E260=4,CU260*0.96,CU260*1))))))))))-Table1[[#This Row],[ComCheck+QuickPayFee]]</f>
        <v>533.5</v>
      </c>
      <c r="CY260" s="5">
        <f t="shared" si="137"/>
        <v>50</v>
      </c>
      <c r="CZ260" s="5">
        <f t="shared" si="138"/>
        <v>16.5</v>
      </c>
      <c r="DA260" s="258">
        <f>Table1[[#This Row],[OriginalDispatch]]-Table1[[#This Row],[QuickPayCharge]]</f>
        <v>33.5</v>
      </c>
      <c r="DB260" s="5">
        <v>0</v>
      </c>
      <c r="DC260" s="5" t="s">
        <v>133</v>
      </c>
      <c r="DD260" s="104">
        <f t="shared" si="139"/>
        <v>42391</v>
      </c>
      <c r="DE260" s="15">
        <f>MONTH(Table1[[#This Row],[Weekending]])</f>
        <v>1</v>
      </c>
      <c r="DF260" s="15">
        <f>YEAR(Table1[[#This Row],[Weekending]])</f>
        <v>2016</v>
      </c>
      <c r="DG260" s="4"/>
    </row>
    <row r="261" spans="1:111">
      <c r="A261" s="20" t="str">
        <f t="shared" si="121"/>
        <v>28771449</v>
      </c>
      <c r="B261" s="146">
        <v>42390</v>
      </c>
      <c r="C261" s="144">
        <v>110828</v>
      </c>
      <c r="D261" s="298" t="s">
        <v>1917</v>
      </c>
      <c r="E261" s="144">
        <v>0</v>
      </c>
      <c r="F261" s="298" t="str">
        <f>INDEX(BrokerTBL!$B:$B,MATCH(D261,BrokerTBL!$A:$A,0))</f>
        <v>20002 N. 19Th Ave.</v>
      </c>
      <c r="G261" s="298" t="str">
        <f>INDEX(BrokerTBL!$C:$C,MATCH(D261,BrokerTBL!$A:$A,0))</f>
        <v>Phoenix</v>
      </c>
      <c r="H261" s="142" t="str">
        <f>INDEX(BrokerTBL!$D:$D,MATCH(D261,BrokerTBL!$A:$A,0))</f>
        <v>Az</v>
      </c>
      <c r="I261" s="298" t="str">
        <f>INDEX(BrokerTBL!$E:$E,MATCH(D261,BrokerTBL!$A:$A,0))</f>
        <v>US</v>
      </c>
      <c r="J261" s="142">
        <f>INDEX(BrokerTBL!$F:$F,MATCH(D261,BrokerTBL!$A:$A,0))</f>
        <v>85027</v>
      </c>
      <c r="K261" s="298" t="s">
        <v>1918</v>
      </c>
      <c r="L261" s="145">
        <v>318377</v>
      </c>
      <c r="M261" s="146">
        <v>42390</v>
      </c>
      <c r="N261" s="182">
        <v>0.33333333333333298</v>
      </c>
      <c r="O261" s="298" t="s">
        <v>1919</v>
      </c>
      <c r="P261" s="298" t="s">
        <v>1920</v>
      </c>
      <c r="Q261" s="298" t="s">
        <v>264</v>
      </c>
      <c r="R261" s="298" t="s">
        <v>1921</v>
      </c>
      <c r="S261" s="298" t="s">
        <v>118</v>
      </c>
      <c r="T261" s="298" t="s">
        <v>1922</v>
      </c>
      <c r="U261" s="298" t="s">
        <v>120</v>
      </c>
      <c r="V261" s="298">
        <v>53</v>
      </c>
      <c r="W261" s="298" t="s">
        <v>1205</v>
      </c>
      <c r="X261" s="185">
        <v>20360</v>
      </c>
      <c r="Y261" s="298" t="s">
        <v>123</v>
      </c>
      <c r="Z261" s="298" t="s">
        <v>123</v>
      </c>
      <c r="AA261" s="298" t="s">
        <v>123</v>
      </c>
      <c r="AB261" s="298" t="s">
        <v>123</v>
      </c>
      <c r="AC261" s="298" t="s">
        <v>1923</v>
      </c>
      <c r="AD261" s="145">
        <v>714</v>
      </c>
      <c r="AE261" s="146">
        <v>42392</v>
      </c>
      <c r="AF261" s="182">
        <v>0.39583333333333298</v>
      </c>
      <c r="AG261" s="298" t="s">
        <v>1924</v>
      </c>
      <c r="AH261" s="298" t="s">
        <v>395</v>
      </c>
      <c r="AI261" s="298" t="s">
        <v>139</v>
      </c>
      <c r="AJ261" s="298">
        <v>95357</v>
      </c>
      <c r="AK261" s="298" t="s">
        <v>118</v>
      </c>
      <c r="AL261" s="298" t="s">
        <v>123</v>
      </c>
      <c r="AM261" s="142" t="str">
        <f>INDEX(CarrierDriverTBL!$B:$B,MATCH(Table1[[#This Row],[DriverID]],CarrierDriverTBL!$A:$A,0))</f>
        <v>UBTrucking</v>
      </c>
      <c r="AN261" s="10" t="s">
        <v>192</v>
      </c>
      <c r="AO261" s="10" t="str">
        <f>INDEX(CarrierDriverTBL!$C:$C,MATCH(Table1[[#This Row],[DriverID]],CarrierDriverTBL!$A:$A,0))</f>
        <v>Albel</v>
      </c>
      <c r="AP261" s="142" t="str">
        <f>INDEX(CarrierDriverTBL!$D:$D,MATCH(Table1[[#This Row],[DriverID]],CarrierDriverTBL!$A:$A,0))</f>
        <v>Chahil</v>
      </c>
      <c r="AQ261" s="142" t="str">
        <f>INDEX(CarrierDriverTBL!$X:$X,MATCH(Table1[[#This Row],[DriverID]],CarrierDriverTBL!$A:$A,0))</f>
        <v>A8390649</v>
      </c>
      <c r="AR261" s="160">
        <f>INDEX(CarrierDriverTBL!$Y:$Y,MATCH(Table1[[#This Row],[DriverID]],CarrierDriverTBL!$A:$A,0))</f>
        <v>42402</v>
      </c>
      <c r="AS261" s="142" t="str">
        <f t="shared" si="122"/>
        <v>GOOD</v>
      </c>
      <c r="AT261" s="160">
        <f>INDEX(CarrierDriverTBL!$E:$E,MATCH(Table1[[#This Row],[DriverID]],CarrierDriverTBL!$A:$A,0))</f>
        <v>22314</v>
      </c>
      <c r="AU261" s="163">
        <f ca="1">INDEX(CarrierDriverTBL!$F:$F,MATCH(Table1[[#This Row],[DriverID]],CarrierDriverTBL!$A:$A,0))</f>
        <v>55.512328767123286</v>
      </c>
      <c r="AV261" s="142" t="str">
        <f>INDEX(CarrierDriverTBL!$K:$K,MATCH(Table1[[#This Row],[DriverID]],CarrierDriverTBL!$A:$A,0))</f>
        <v>510-773-9450</v>
      </c>
      <c r="AW261" s="142" t="str">
        <f>INDEX(CarrierDriverTBL!$M:$M,MATCH(Table1[[#This Row],[DriverID]],CarrierDriverTBL!$A:$A,0))</f>
        <v>3124 Cynthia CT</v>
      </c>
      <c r="AX261" s="142" t="str">
        <f>INDEX(CarrierDriverTBL!$N:$N,MATCH(Table1[[#This Row],[DriverID]],CarrierDriverTBL!$A:$A,0))</f>
        <v>Tracy</v>
      </c>
      <c r="AY261" s="142" t="str">
        <f>INDEX(CarrierDriverTBL!$O:$O,MATCH(Table1[[#This Row],[DriverID]],CarrierDriverTBL!$A:$A,0))</f>
        <v>CA</v>
      </c>
      <c r="AZ261" s="142">
        <f>INDEX(CarrierDriverTBL!$P:$P,MATCH(Table1[[#This Row],[DriverID]],CarrierDriverTBL!$A:$A,0))</f>
        <v>95377</v>
      </c>
      <c r="BA261" s="142" t="str">
        <f>INDEX(CarrierDriverTBL!$Q:$Q,MATCH(Table1[[#This Row],[DriverID]],CarrierDriverTBL!$A:$A,0))</f>
        <v>US</v>
      </c>
      <c r="BB261" s="176" t="str">
        <f>INDEX(CarrierDriverTBL!$R:$R,MATCH(Table1[[#This Row],[DriverID]],CarrierDriverTBL!$A:$A,0))</f>
        <v>ubgollc@gmail.com</v>
      </c>
      <c r="BC261" s="160">
        <f>INDEX(CarrierDriverTBL!$AB:$AB,MATCH(Table1[[#This Row],[DriverID]],CarrierDriverTBL!$A:$A,0))</f>
        <v>42167</v>
      </c>
      <c r="BD261" s="142" t="str">
        <f ca="1">INDEX(CarrierDriverTBL!$AD:$AD,MATCH(LoadMaster!$AN:$AN,CarrierDriverTBL!$A:$A,0))</f>
        <v>MISSING</v>
      </c>
      <c r="BE261" s="142">
        <f>INDEX(CarrierDriverTBL!$AE:$AE,MATCH(Table1[DriverID],CarrierDriverTBL!$A:$A,0))</f>
        <v>913971</v>
      </c>
      <c r="BF261" s="142">
        <f>INDEX(CarrierDriverTBL!$AF:$AF,MATCH(Table1[DriverID],CarrierDriverTBL!$A:$A,0))</f>
        <v>2627544</v>
      </c>
      <c r="BG261" s="142">
        <f>INDEX(CarrierDriverTBL!$AG:$AG,MATCH(Table1[DriverID],CarrierDriverTBL!$A:$A,0))</f>
        <v>466133</v>
      </c>
      <c r="BH261" s="142" t="str">
        <f>INDEX(CarrierDriverTBL!$AH:$AH,MATCH(Table1[DriverID],CarrierDriverTBL!$A:$A,0))</f>
        <v>GM Lawrence Ins</v>
      </c>
      <c r="BI261" s="142" t="str">
        <f>INDEX(CarrierDriverTBL!$AI:$AI,MATCH(Table1[DriverID],CarrierDriverTBL!$A:$A,0))</f>
        <v>DSK2842P160210</v>
      </c>
      <c r="BJ261" s="160">
        <f>INDEX(CarrierDriverTBL!$AJ:$AJ,MATCH(Table1[[#This Row],[DriverID]],CarrierDriverTBL!$A:$A,0))</f>
        <v>42778</v>
      </c>
      <c r="BK261" s="10">
        <f t="shared" si="123"/>
        <v>388</v>
      </c>
      <c r="BL261" s="59">
        <v>500</v>
      </c>
      <c r="BM261" s="144">
        <v>484</v>
      </c>
      <c r="BN261" s="159">
        <f t="shared" si="115"/>
        <v>1.0330578512396693</v>
      </c>
      <c r="BO261" s="167">
        <v>450</v>
      </c>
      <c r="BP261" s="159">
        <f t="shared" si="116"/>
        <v>0.92975206611570249</v>
      </c>
      <c r="BQ261" s="133">
        <v>2.6</v>
      </c>
      <c r="BR261" s="166">
        <f t="shared" si="117"/>
        <v>0.1166666666666667</v>
      </c>
      <c r="BS261" s="167">
        <f t="shared" si="124"/>
        <v>0.81308539944903579</v>
      </c>
      <c r="BT261" s="159">
        <f t="shared" si="125"/>
        <v>56.466666666666683</v>
      </c>
      <c r="BU261" s="10" t="str">
        <f t="shared" si="126"/>
        <v>Knight Logistics Llc</v>
      </c>
      <c r="BV261" s="15" t="s">
        <v>1925</v>
      </c>
      <c r="BW261" s="4" t="str">
        <f>Table1[[#This Row],[BrokerAddress]]</f>
        <v>20002 N. 19Th Ave.</v>
      </c>
      <c r="BX261" s="4" t="str">
        <f t="shared" si="127"/>
        <v>Phoenix</v>
      </c>
      <c r="BY261" s="4" t="str">
        <f t="shared" si="128"/>
        <v>Az</v>
      </c>
      <c r="BZ261" s="4">
        <f t="shared" si="129"/>
        <v>85027</v>
      </c>
      <c r="CA261" s="10" t="str">
        <f t="shared" si="130"/>
        <v>US</v>
      </c>
      <c r="CB261" s="15" t="s">
        <v>131</v>
      </c>
      <c r="CC261" s="62"/>
      <c r="CD261" s="29" t="s">
        <v>149</v>
      </c>
      <c r="CE261" s="189">
        <v>0</v>
      </c>
      <c r="CF261" s="29">
        <v>2</v>
      </c>
      <c r="CG261" s="132">
        <f t="shared" si="131"/>
        <v>0</v>
      </c>
      <c r="CH261" s="4" t="s">
        <v>132</v>
      </c>
      <c r="CI261" s="5">
        <v>0</v>
      </c>
      <c r="CJ261" s="4">
        <v>0</v>
      </c>
      <c r="CK261" s="132">
        <f t="shared" si="132"/>
        <v>0</v>
      </c>
      <c r="CL261" s="4" t="s">
        <v>132</v>
      </c>
      <c r="CM261" s="5">
        <v>0</v>
      </c>
      <c r="CN261" s="4">
        <v>0</v>
      </c>
      <c r="CO261" s="132">
        <f t="shared" si="133"/>
        <v>0</v>
      </c>
      <c r="CP261" s="4" t="s">
        <v>132</v>
      </c>
      <c r="CQ261" s="5">
        <v>0</v>
      </c>
      <c r="CR261" s="4">
        <v>0</v>
      </c>
      <c r="CS261" s="132">
        <f t="shared" si="134"/>
        <v>0</v>
      </c>
      <c r="CT261" s="159">
        <f t="shared" si="135"/>
        <v>0</v>
      </c>
      <c r="CU261" s="168">
        <f t="shared" si="136"/>
        <v>500</v>
      </c>
      <c r="CV261" s="169">
        <f t="shared" si="119"/>
        <v>0</v>
      </c>
      <c r="CW261" s="82">
        <f t="shared" si="120"/>
        <v>450</v>
      </c>
      <c r="CX261" s="79">
        <f>IF(ISBLANK(E261),"AddQuickPay",IF(E261=2,CU261*0.98,IF(E261=2.4,CU261*0.976,IF(E261=3,CU261*0.97,IF(E261=5,CU261*0.95,IF(E261=1.5,CU261*0.985,IF(E261=2.5,CU261*0.975,IF(E261=1.3,CU261*0.987,IF(E261=1,CU261*0.99,IF(E261=4,CU261*0.96,CU261*1))))))))))-Table1[[#This Row],[ComCheck+QuickPayFee]]</f>
        <v>500</v>
      </c>
      <c r="CY261" s="5">
        <f t="shared" si="137"/>
        <v>50</v>
      </c>
      <c r="CZ261" s="5">
        <f t="shared" si="138"/>
        <v>0</v>
      </c>
      <c r="DA261" s="258">
        <f>Table1[[#This Row],[OriginalDispatch]]-Table1[[#This Row],[QuickPayCharge]]</f>
        <v>50</v>
      </c>
      <c r="DB261" s="5">
        <v>0</v>
      </c>
      <c r="DC261" s="5" t="s">
        <v>133</v>
      </c>
      <c r="DD261" s="104">
        <f t="shared" si="139"/>
        <v>42391</v>
      </c>
      <c r="DE261" s="15">
        <f>MONTH(Table1[[#This Row],[Weekending]])</f>
        <v>1</v>
      </c>
      <c r="DF261" s="15">
        <f>YEAR(Table1[[#This Row],[Weekending]])</f>
        <v>2016</v>
      </c>
      <c r="DG261" s="29" t="s">
        <v>1926</v>
      </c>
    </row>
    <row r="262" spans="1:111">
      <c r="A262" s="20" t="str">
        <f t="shared" si="121"/>
        <v>82629419</v>
      </c>
      <c r="B262" s="146">
        <v>42391</v>
      </c>
      <c r="C262" s="144">
        <v>46682</v>
      </c>
      <c r="D262" s="298" t="s">
        <v>1824</v>
      </c>
      <c r="E262" s="298">
        <v>3</v>
      </c>
      <c r="F262" s="298" t="str">
        <f>INDEX(BrokerTBL!$B:$B,MATCH(D262,BrokerTBL!$A:$A,0))</f>
        <v>2109 W Bullard Ave # 101</v>
      </c>
      <c r="G262" s="298" t="str">
        <f>INDEX(BrokerTBL!$C:$C,MATCH(D262,BrokerTBL!$A:$A,0))</f>
        <v>Fresno</v>
      </c>
      <c r="H262" s="142" t="str">
        <f>INDEX(BrokerTBL!$D:$D,MATCH(D262,BrokerTBL!$A:$A,0))</f>
        <v>Ca</v>
      </c>
      <c r="I262" s="142" t="str">
        <f>INDEX(BrokerTBL!$E:$E,MATCH(D262,BrokerTBL!$A:$A,0))</f>
        <v>US</v>
      </c>
      <c r="J262" s="142">
        <f>INDEX(BrokerTBL!$F:$F,MATCH(D262,BrokerTBL!$A:$A,0))</f>
        <v>93711</v>
      </c>
      <c r="K262" s="298" t="s">
        <v>1927</v>
      </c>
      <c r="L262" s="145">
        <v>2194362</v>
      </c>
      <c r="M262" s="146">
        <v>42391</v>
      </c>
      <c r="N262" s="182">
        <v>0.54166666666666696</v>
      </c>
      <c r="O262" s="298" t="s">
        <v>1928</v>
      </c>
      <c r="P262" s="298" t="s">
        <v>184</v>
      </c>
      <c r="Q262" s="298" t="s">
        <v>139</v>
      </c>
      <c r="R262" s="298">
        <v>95205</v>
      </c>
      <c r="S262" s="298" t="s">
        <v>118</v>
      </c>
      <c r="T262" s="298" t="s">
        <v>136</v>
      </c>
      <c r="U262" s="298" t="s">
        <v>120</v>
      </c>
      <c r="V262" s="298">
        <v>53</v>
      </c>
      <c r="W262" s="298" t="s">
        <v>1929</v>
      </c>
      <c r="X262" s="144">
        <v>41500</v>
      </c>
      <c r="Y262" s="298" t="s">
        <v>123</v>
      </c>
      <c r="Z262" s="298" t="s">
        <v>123</v>
      </c>
      <c r="AA262" s="298" t="s">
        <v>123</v>
      </c>
      <c r="AB262" s="298" t="s">
        <v>123</v>
      </c>
      <c r="AC262" s="298" t="s">
        <v>1394</v>
      </c>
      <c r="AD262" s="145" t="s">
        <v>1930</v>
      </c>
      <c r="AE262" s="146">
        <v>42391</v>
      </c>
      <c r="AF262" s="182">
        <v>0.77083333333333304</v>
      </c>
      <c r="AG262" s="298" t="s">
        <v>1931</v>
      </c>
      <c r="AH262" s="298" t="s">
        <v>380</v>
      </c>
      <c r="AI262" s="298" t="s">
        <v>139</v>
      </c>
      <c r="AJ262" s="298">
        <v>95377</v>
      </c>
      <c r="AK262" s="298" t="s">
        <v>118</v>
      </c>
      <c r="AL262" s="298" t="s">
        <v>123</v>
      </c>
      <c r="AM262" s="142" t="str">
        <f>INDEX(CarrierDriverTBL!$B:$B,MATCH(Table1[[#This Row],[DriverID]],CarrierDriverTBL!$A:$A,0))</f>
        <v>UBTrucking</v>
      </c>
      <c r="AN262" s="10" t="s">
        <v>1409</v>
      </c>
      <c r="AO262" s="298" t="str">
        <f>INDEX(CarrierDriverTBL!$C:$C,MATCH(Table1[[#This Row],[DriverID]],CarrierDriverTBL!$A:$A,0))</f>
        <v>Miguel Jaime</v>
      </c>
      <c r="AP262" s="298" t="str">
        <f>INDEX(CarrierDriverTBL!$D:$D,MATCH(Table1[[#This Row],[DriverID]],CarrierDriverTBL!$A:$A,0))</f>
        <v>Martin Del Campo Velarca</v>
      </c>
      <c r="AQ262" s="142" t="str">
        <f>INDEX(CarrierDriverTBL!$X:$X,MATCH(Table1[[#This Row],[DriverID]],CarrierDriverTBL!$A:$A,0))</f>
        <v>D5179619</v>
      </c>
      <c r="AR262" s="160">
        <f>INDEX(CarrierDriverTBL!$Y:$Y,MATCH(Table1[[#This Row],[DriverID]],CarrierDriverTBL!$A:$A,0))</f>
        <v>43843</v>
      </c>
      <c r="AS262" s="142" t="str">
        <f t="shared" si="122"/>
        <v>GOOD</v>
      </c>
      <c r="AT262" s="146">
        <f>INDEX(CarrierDriverTBL!$E:$E,MATCH(Table1[[#This Row],[DriverID]],CarrierDriverTBL!$A:$A,0))</f>
        <v>21198</v>
      </c>
      <c r="AU262" s="163">
        <f ca="1">INDEX(CarrierDriverTBL!$F:$F,MATCH(Table1[[#This Row],[DriverID]],CarrierDriverTBL!$A:$A,0))</f>
        <v>58.56986301369863</v>
      </c>
      <c r="AV262" s="298" t="str">
        <f>INDEX(CarrierDriverTBL!$K:$K,MATCH(Table1[[#This Row],[DriverID]],CarrierDriverTBL!$A:$A,0))</f>
        <v>209-322-5231</v>
      </c>
      <c r="AW262" s="298" t="str">
        <f>INDEX(CarrierDriverTBL!$M:$M,MATCH(Table1[[#This Row],[DriverID]],CarrierDriverTBL!$A:$A,0))</f>
        <v>572 Predersen RD</v>
      </c>
      <c r="AX262" s="298" t="str">
        <f>INDEX(CarrierDriverTBL!$N:$N,MATCH(Table1[[#This Row],[DriverID]],CarrierDriverTBL!$A:$A,0))</f>
        <v>Oakdale</v>
      </c>
      <c r="AY262" s="142" t="str">
        <f>INDEX(CarrierDriverTBL!$O:$O,MATCH(Table1[[#This Row],[DriverID]],CarrierDriverTBL!$A:$A,0))</f>
        <v>CA</v>
      </c>
      <c r="AZ262" s="298">
        <f>INDEX(CarrierDriverTBL!$P:$P,MATCH(Table1[[#This Row],[DriverID]],CarrierDriverTBL!$A:$A,0))</f>
        <v>95361</v>
      </c>
      <c r="BA262" s="298" t="str">
        <f>INDEX(CarrierDriverTBL!$Q:$Q,MATCH(Table1[[#This Row],[DriverID]],CarrierDriverTBL!$A:$A,0))</f>
        <v>US</v>
      </c>
      <c r="BB262" s="176" t="str">
        <f>INDEX(CarrierDriverTBL!$R:$R,MATCH(Table1[[#This Row],[DriverID]],CarrierDriverTBL!$A:$A,0))</f>
        <v>Miguelmartin52@yahoo.com</v>
      </c>
      <c r="BC262" s="160">
        <f>INDEX(CarrierDriverTBL!$AB:$AB,MATCH(Table1[[#This Row],[DriverID]],CarrierDriverTBL!$A:$A,0))</f>
        <v>42334</v>
      </c>
      <c r="BD262" s="142" t="str">
        <f ca="1">INDEX(CarrierDriverTBL!$AD:$AD,MATCH(LoadMaster!$AN:$AN,CarrierDriverTBL!$A:$A,0))</f>
        <v>MISSING</v>
      </c>
      <c r="BE262" s="142">
        <f>INDEX(CarrierDriverTBL!$AE:$AE,MATCH(Table1[DriverID],CarrierDriverTBL!$A:$A,0))</f>
        <v>913971</v>
      </c>
      <c r="BF262" s="142">
        <f>INDEX(CarrierDriverTBL!$AF:$AF,MATCH(Table1[DriverID],CarrierDriverTBL!$A:$A,0))</f>
        <v>2627544</v>
      </c>
      <c r="BG262" s="142">
        <f>INDEX(CarrierDriverTBL!$AG:$AG,MATCH(Table1[DriverID],CarrierDriverTBL!$A:$A,0))</f>
        <v>466133</v>
      </c>
      <c r="BH262" s="142" t="str">
        <f>INDEX(CarrierDriverTBL!$AH:$AH,MATCH(Table1[DriverID],CarrierDriverTBL!$A:$A,0))</f>
        <v>GM Lawrence Ins</v>
      </c>
      <c r="BI262" s="142" t="str">
        <f>INDEX(CarrierDriverTBL!$AI:$AI,MATCH(Table1[DriverID],CarrierDriverTBL!$A:$A,0))</f>
        <v>DSK2842P160210</v>
      </c>
      <c r="BJ262" s="160">
        <f>INDEX(CarrierDriverTBL!$AJ:$AJ,MATCH(Table1[[#This Row],[DriverID]],CarrierDriverTBL!$A:$A,0))</f>
        <v>42778</v>
      </c>
      <c r="BK262" s="10">
        <f t="shared" si="123"/>
        <v>387</v>
      </c>
      <c r="BL262" s="59">
        <v>250</v>
      </c>
      <c r="BM262" s="144">
        <v>21</v>
      </c>
      <c r="BN262" s="159">
        <f t="shared" ref="BN262:BN325" si="140">BL262/BM262</f>
        <v>11.904761904761905</v>
      </c>
      <c r="BO262" s="167">
        <v>225</v>
      </c>
      <c r="BP262" s="159">
        <f t="shared" ref="BP262:BP325" si="141">BO262/BM262</f>
        <v>10.714285714285714</v>
      </c>
      <c r="BQ262" s="133">
        <v>2.6</v>
      </c>
      <c r="BR262" s="166">
        <f t="shared" ref="BR262:BR325" si="142">(BQ262-1.9)/6</f>
        <v>0.1166666666666667</v>
      </c>
      <c r="BS262" s="167">
        <f t="shared" si="124"/>
        <v>10.597619047619046</v>
      </c>
      <c r="BT262" s="159">
        <f t="shared" si="125"/>
        <v>2.4500000000000006</v>
      </c>
      <c r="BU262" s="10" t="str">
        <f t="shared" si="126"/>
        <v>Cargobarn Inc.</v>
      </c>
      <c r="BV262" s="4"/>
      <c r="BW262" s="4" t="str">
        <f>Table1[[#This Row],[BrokerAddress]]</f>
        <v>2109 W Bullard Ave # 101</v>
      </c>
      <c r="BX262" s="4" t="str">
        <f t="shared" si="127"/>
        <v>Fresno</v>
      </c>
      <c r="BY262" s="4" t="str">
        <f t="shared" si="128"/>
        <v>Ca</v>
      </c>
      <c r="BZ262" s="4">
        <f t="shared" si="129"/>
        <v>93711</v>
      </c>
      <c r="CA262" s="10" t="str">
        <f t="shared" si="130"/>
        <v>US</v>
      </c>
      <c r="CB262" s="15" t="s">
        <v>131</v>
      </c>
      <c r="CC262" s="62"/>
      <c r="CD262" s="15" t="s">
        <v>132</v>
      </c>
      <c r="CE262" s="64">
        <v>0</v>
      </c>
      <c r="CF262" s="4">
        <v>0</v>
      </c>
      <c r="CG262" s="132">
        <f t="shared" si="131"/>
        <v>0</v>
      </c>
      <c r="CH262" s="4" t="s">
        <v>132</v>
      </c>
      <c r="CI262" s="5">
        <v>0</v>
      </c>
      <c r="CJ262" s="4">
        <v>0</v>
      </c>
      <c r="CK262" s="132">
        <f t="shared" si="132"/>
        <v>0</v>
      </c>
      <c r="CL262" s="4" t="s">
        <v>132</v>
      </c>
      <c r="CM262" s="5">
        <v>0</v>
      </c>
      <c r="CN262" s="4">
        <v>0</v>
      </c>
      <c r="CO262" s="132">
        <f t="shared" si="133"/>
        <v>0</v>
      </c>
      <c r="CP262" s="4" t="s">
        <v>132</v>
      </c>
      <c r="CQ262" s="5">
        <v>0</v>
      </c>
      <c r="CR262" s="4">
        <v>0</v>
      </c>
      <c r="CS262" s="132">
        <f t="shared" si="134"/>
        <v>0</v>
      </c>
      <c r="CT262" s="159">
        <f t="shared" si="135"/>
        <v>0</v>
      </c>
      <c r="CU262" s="168">
        <f t="shared" si="136"/>
        <v>250</v>
      </c>
      <c r="CV262" s="169">
        <f t="shared" si="119"/>
        <v>0</v>
      </c>
      <c r="CW262" s="82">
        <f t="shared" si="120"/>
        <v>225</v>
      </c>
      <c r="CX262" s="79">
        <f>IF(ISBLANK(E262),"AddQuickPay",IF(E262=2,CU262*0.98,IF(E262=2.4,CU262*0.976,IF(E262=3,CU262*0.97,IF(E262=5,CU262*0.95,IF(E262=1.5,CU262*0.985,IF(E262=2.5,CU262*0.975,IF(E262=1.3,CU262*0.987,IF(E262=1,CU262*0.99,IF(E262=4,CU262*0.96,CU262*1))))))))))-Table1[[#This Row],[ComCheck+QuickPayFee]]</f>
        <v>242.5</v>
      </c>
      <c r="CY262" s="5">
        <f t="shared" si="137"/>
        <v>25</v>
      </c>
      <c r="CZ262" s="5">
        <f t="shared" si="138"/>
        <v>7.5</v>
      </c>
      <c r="DA262" s="258">
        <f>Table1[[#This Row],[OriginalDispatch]]-Table1[[#This Row],[QuickPayCharge]]</f>
        <v>17.5</v>
      </c>
      <c r="DB262" s="5">
        <v>0</v>
      </c>
      <c r="DC262" s="5" t="s">
        <v>133</v>
      </c>
      <c r="DD262" s="104">
        <f t="shared" si="139"/>
        <v>42391</v>
      </c>
      <c r="DE262" s="15">
        <f>MONTH(Table1[[#This Row],[Weekending]])</f>
        <v>1</v>
      </c>
      <c r="DF262" s="15">
        <f>YEAR(Table1[[#This Row],[Weekending]])</f>
        <v>2016</v>
      </c>
      <c r="DG262" s="4"/>
    </row>
    <row r="263" spans="1:111">
      <c r="A263" s="20" t="str">
        <f t="shared" si="121"/>
        <v>77313188</v>
      </c>
      <c r="B263" s="146">
        <v>42394</v>
      </c>
      <c r="C263" s="144">
        <v>191468677</v>
      </c>
      <c r="D263" s="298" t="s">
        <v>111</v>
      </c>
      <c r="E263" s="298">
        <v>2</v>
      </c>
      <c r="F263" s="142" t="str">
        <f>INDEX(BrokerTBL!$B:$B,MATCH(D263,BrokerTBL!$A:$A,0))</f>
        <v>P.O. Box 3474</v>
      </c>
      <c r="G263" s="142" t="str">
        <f>INDEX(BrokerTBL!$C:$C,MATCH(D263,BrokerTBL!$A:$A,0))</f>
        <v>Chicago</v>
      </c>
      <c r="H263" s="142" t="str">
        <f>INDEX(BrokerTBL!$D:$D,MATCH(D263,BrokerTBL!$A:$A,0))</f>
        <v>Il</v>
      </c>
      <c r="I263" s="142" t="str">
        <f>INDEX(BrokerTBL!$E:$E,MATCH(D263,BrokerTBL!$A:$A,0))</f>
        <v>US</v>
      </c>
      <c r="J263" s="142">
        <f>INDEX(BrokerTBL!$F:$F,MATCH(D263,BrokerTBL!$A:$A,0))</f>
        <v>60654</v>
      </c>
      <c r="K263" s="298" t="s">
        <v>1932</v>
      </c>
      <c r="L263" s="145">
        <v>3678833331</v>
      </c>
      <c r="M263" s="146">
        <v>42394</v>
      </c>
      <c r="N263" s="144" t="s">
        <v>1933</v>
      </c>
      <c r="O263" s="298" t="s">
        <v>1934</v>
      </c>
      <c r="P263" s="298" t="s">
        <v>564</v>
      </c>
      <c r="Q263" s="298" t="s">
        <v>139</v>
      </c>
      <c r="R263" s="298">
        <v>94509</v>
      </c>
      <c r="S263" s="298" t="s">
        <v>118</v>
      </c>
      <c r="T263" s="298" t="s">
        <v>565</v>
      </c>
      <c r="U263" s="298" t="s">
        <v>120</v>
      </c>
      <c r="V263" s="298">
        <v>53</v>
      </c>
      <c r="W263" s="298" t="s">
        <v>136</v>
      </c>
      <c r="X263" s="144">
        <v>38424</v>
      </c>
      <c r="Y263" s="298" t="s">
        <v>1566</v>
      </c>
      <c r="Z263" s="298">
        <v>570</v>
      </c>
      <c r="AA263" s="298" t="s">
        <v>123</v>
      </c>
      <c r="AB263" s="298" t="s">
        <v>123</v>
      </c>
      <c r="AC263" s="298" t="s">
        <v>1935</v>
      </c>
      <c r="AD263" s="145">
        <v>3678833331</v>
      </c>
      <c r="AE263" s="146">
        <v>42394</v>
      </c>
      <c r="AF263" s="298" t="s">
        <v>1936</v>
      </c>
      <c r="AG263" s="298" t="s">
        <v>1937</v>
      </c>
      <c r="AH263" s="298" t="s">
        <v>214</v>
      </c>
      <c r="AI263" s="298" t="s">
        <v>139</v>
      </c>
      <c r="AJ263" s="298" t="s">
        <v>1938</v>
      </c>
      <c r="AK263" s="298" t="s">
        <v>118</v>
      </c>
      <c r="AL263" s="298" t="s">
        <v>1939</v>
      </c>
      <c r="AM263" s="142" t="str">
        <f>INDEX(CarrierDriverTBL!$B:$B,MATCH(Table1[[#This Row],[DriverID]],CarrierDriverTBL!$A:$A,0))</f>
        <v>UBTrucking</v>
      </c>
      <c r="AN263" s="10" t="s">
        <v>948</v>
      </c>
      <c r="AO263" s="10" t="str">
        <f>INDEX(CarrierDriverTBL!$C:$C,MATCH(Table1[[#This Row],[DriverID]],CarrierDriverTBL!$A:$A,0))</f>
        <v>Wesley</v>
      </c>
      <c r="AP263" s="10" t="str">
        <f>INDEX(CarrierDriverTBL!$D:$D,MATCH(Table1[[#This Row],[DriverID]],CarrierDriverTBL!$A:$A,0))</f>
        <v>Cousain</v>
      </c>
      <c r="AQ263" s="10" t="str">
        <f>INDEX(CarrierDriverTBL!$X:$X,MATCH(Table1[[#This Row],[DriverID]],CarrierDriverTBL!$A:$A,0))</f>
        <v>D4903588</v>
      </c>
      <c r="AR263" s="11">
        <f>INDEX(CarrierDriverTBL!$Y:$Y,MATCH(Table1[[#This Row],[DriverID]],CarrierDriverTBL!$A:$A,0))</f>
        <v>43458</v>
      </c>
      <c r="AS263" s="142" t="str">
        <f t="shared" si="122"/>
        <v>GOOD</v>
      </c>
      <c r="AT263" s="11">
        <f>INDEX(CarrierDriverTBL!$E:$E,MATCH(Table1[[#This Row],[DriverID]],CarrierDriverTBL!$A:$A,0))</f>
        <v>31405</v>
      </c>
      <c r="AU263" s="163">
        <f ca="1">INDEX(CarrierDriverTBL!$F:$F,MATCH(Table1[[#This Row],[DriverID]],CarrierDriverTBL!$A:$A,0))</f>
        <v>30.605479452054794</v>
      </c>
      <c r="AV263" s="10" t="str">
        <f>INDEX(CarrierDriverTBL!$K:$K,MATCH(Table1[[#This Row],[DriverID]],CarrierDriverTBL!$A:$A,0))</f>
        <v>925-383-5364</v>
      </c>
      <c r="AW263" s="10" t="str">
        <f>INDEX(CarrierDriverTBL!$M:$M,MATCH(Table1[[#This Row],[DriverID]],CarrierDriverTBL!$A:$A,0))</f>
        <v>110 Cordova Ln</v>
      </c>
      <c r="AX263" s="10" t="str">
        <f>INDEX(CarrierDriverTBL!$N:$N,MATCH(Table1[[#This Row],[DriverID]],CarrierDriverTBL!$A:$A,0))</f>
        <v>Stockton</v>
      </c>
      <c r="AY263" s="10" t="str">
        <f>INDEX(CarrierDriverTBL!$O:$O,MATCH(Table1[[#This Row],[DriverID]],CarrierDriverTBL!$A:$A,0))</f>
        <v>CA</v>
      </c>
      <c r="AZ263" s="10">
        <f>INDEX(CarrierDriverTBL!$P:$P,MATCH(Table1[[#This Row],[DriverID]],CarrierDriverTBL!$A:$A,0))</f>
        <v>95207</v>
      </c>
      <c r="BA263" s="10" t="str">
        <f>INDEX(CarrierDriverTBL!$Q:$Q,MATCH(Table1[[#This Row],[DriverID]],CarrierDriverTBL!$A:$A,0))</f>
        <v>US</v>
      </c>
      <c r="BB263" s="173" t="str">
        <f>INDEX(CarrierDriverTBL!$R:$R,MATCH(Table1[[#This Row],[DriverID]],CarrierDriverTBL!$A:$A,0))</f>
        <v>wesleycousain1@gmail.com</v>
      </c>
      <c r="BC263" s="160">
        <f>INDEX(CarrierDriverTBL!$AB:$AB,MATCH(Table1[[#This Row],[DriverID]],CarrierDriverTBL!$A:$A,0))</f>
        <v>42271</v>
      </c>
      <c r="BD263" s="142" t="str">
        <f ca="1">INDEX(CarrierDriverTBL!$AD:$AD,MATCH(LoadMaster!$AN:$AN,CarrierDriverTBL!$A:$A,0))</f>
        <v>MISSING</v>
      </c>
      <c r="BE263" s="142">
        <f>INDEX(CarrierDriverTBL!$AE:$AE,MATCH(Table1[DriverID],CarrierDriverTBL!$A:$A,0))</f>
        <v>913971</v>
      </c>
      <c r="BF263" s="142">
        <f>INDEX(CarrierDriverTBL!$AF:$AF,MATCH(Table1[DriverID],CarrierDriverTBL!$A:$A,0))</f>
        <v>2627544</v>
      </c>
      <c r="BG263" s="142">
        <f>INDEX(CarrierDriverTBL!$AG:$AG,MATCH(Table1[DriverID],CarrierDriverTBL!$A:$A,0))</f>
        <v>466133</v>
      </c>
      <c r="BH263" s="142" t="str">
        <f>INDEX(CarrierDriverTBL!$AH:$AH,MATCH(Table1[DriverID],CarrierDriverTBL!$A:$A,0))</f>
        <v>GM Lawrence Ins</v>
      </c>
      <c r="BI263" s="142" t="str">
        <f>INDEX(CarrierDriverTBL!$AI:$AI,MATCH(Table1[DriverID],CarrierDriverTBL!$A:$A,0))</f>
        <v>DSK2842P160210</v>
      </c>
      <c r="BJ263" s="160">
        <f>INDEX(CarrierDriverTBL!$AJ:$AJ,MATCH(Table1[[#This Row],[DriverID]],CarrierDriverTBL!$A:$A,0))</f>
        <v>42778</v>
      </c>
      <c r="BK263" s="10">
        <f t="shared" si="123"/>
        <v>384</v>
      </c>
      <c r="BL263" s="59">
        <v>350</v>
      </c>
      <c r="BM263" s="144">
        <v>156</v>
      </c>
      <c r="BN263" s="159">
        <f t="shared" si="140"/>
        <v>2.2435897435897436</v>
      </c>
      <c r="BO263" s="167">
        <f>0.93*350</f>
        <v>325.5</v>
      </c>
      <c r="BP263" s="159">
        <f t="shared" si="141"/>
        <v>2.0865384615384617</v>
      </c>
      <c r="BQ263" s="133">
        <v>2.6</v>
      </c>
      <c r="BR263" s="166">
        <f t="shared" si="142"/>
        <v>0.1166666666666667</v>
      </c>
      <c r="BS263" s="167">
        <f t="shared" si="124"/>
        <v>1.969871794871795</v>
      </c>
      <c r="BT263" s="159">
        <f t="shared" si="125"/>
        <v>18.200000000000003</v>
      </c>
      <c r="BU263" s="10" t="str">
        <f t="shared" si="126"/>
        <v>Ch Robinson</v>
      </c>
      <c r="BV263" s="15"/>
      <c r="BW263" s="4" t="str">
        <f>Table1[[#This Row],[BrokerAddress]]</f>
        <v>P.O. Box 3474</v>
      </c>
      <c r="BX263" s="4" t="str">
        <f t="shared" si="127"/>
        <v>Chicago</v>
      </c>
      <c r="BY263" s="4" t="str">
        <f t="shared" si="128"/>
        <v>Il</v>
      </c>
      <c r="BZ263" s="4">
        <f t="shared" si="129"/>
        <v>60654</v>
      </c>
      <c r="CA263" s="10" t="str">
        <f t="shared" si="130"/>
        <v>US</v>
      </c>
      <c r="CB263" s="15" t="s">
        <v>131</v>
      </c>
      <c r="CC263" s="62"/>
      <c r="CD263" s="15" t="s">
        <v>149</v>
      </c>
      <c r="CE263" s="64">
        <v>30</v>
      </c>
      <c r="CF263" s="4">
        <v>1</v>
      </c>
      <c r="CG263" s="132">
        <f t="shared" si="131"/>
        <v>30</v>
      </c>
      <c r="CH263" s="4" t="s">
        <v>132</v>
      </c>
      <c r="CI263" s="5">
        <v>0</v>
      </c>
      <c r="CJ263" s="4">
        <v>0</v>
      </c>
      <c r="CK263" s="132">
        <f t="shared" si="132"/>
        <v>0</v>
      </c>
      <c r="CL263" s="4" t="s">
        <v>132</v>
      </c>
      <c r="CM263" s="5">
        <v>0</v>
      </c>
      <c r="CN263" s="4">
        <v>0</v>
      </c>
      <c r="CO263" s="132">
        <f t="shared" si="133"/>
        <v>0</v>
      </c>
      <c r="CP263" s="4" t="s">
        <v>132</v>
      </c>
      <c r="CQ263" s="5">
        <v>0</v>
      </c>
      <c r="CR263" s="4">
        <v>0</v>
      </c>
      <c r="CS263" s="132">
        <f t="shared" si="134"/>
        <v>0</v>
      </c>
      <c r="CT263" s="159">
        <f t="shared" si="135"/>
        <v>30</v>
      </c>
      <c r="CU263" s="168">
        <f t="shared" si="136"/>
        <v>380</v>
      </c>
      <c r="CV263" s="169">
        <f t="shared" si="119"/>
        <v>27.900000000000002</v>
      </c>
      <c r="CW263" s="82">
        <f t="shared" si="120"/>
        <v>353.4</v>
      </c>
      <c r="CX263" s="79">
        <f>IF(ISBLANK(E263),"AddQuickPay",IF(E263=2,CU263*0.98,IF(E263=2.4,CU263*0.976,IF(E263=3,CU263*0.97,IF(E263=5,CU263*0.95,IF(E263=1.5,CU263*0.985,IF(E263=2.5,CU263*0.975,IF(E263=1.3,CU263*0.987,IF(E263=1,CU263*0.99,IF(E263=4,CU263*0.96,CU263*1))))))))))-Table1[[#This Row],[ComCheck+QuickPayFee]]</f>
        <v>372.4</v>
      </c>
      <c r="CY263" s="5">
        <f t="shared" si="137"/>
        <v>26.600000000000023</v>
      </c>
      <c r="CZ263" s="5">
        <f t="shared" si="138"/>
        <v>7.6000000000000005</v>
      </c>
      <c r="DA263" s="258">
        <f>Table1[[#This Row],[OriginalDispatch]]-Table1[[#This Row],[QuickPayCharge]]</f>
        <v>19.000000000000021</v>
      </c>
      <c r="DB263" s="5">
        <v>0</v>
      </c>
      <c r="DC263" s="5" t="s">
        <v>133</v>
      </c>
      <c r="DD263" s="104">
        <f t="shared" si="139"/>
        <v>42398</v>
      </c>
      <c r="DE263" s="15">
        <f>MONTH(Table1[[#This Row],[Weekending]])</f>
        <v>1</v>
      </c>
      <c r="DF263" s="15">
        <f>YEAR(Table1[[#This Row],[Weekending]])</f>
        <v>2016</v>
      </c>
      <c r="DG263" s="4"/>
    </row>
    <row r="264" spans="1:111">
      <c r="A264" s="20" t="str">
        <f t="shared" si="121"/>
        <v>64151519</v>
      </c>
      <c r="B264" s="146">
        <v>42394</v>
      </c>
      <c r="C264" s="144">
        <v>46864</v>
      </c>
      <c r="D264" s="298" t="s">
        <v>1824</v>
      </c>
      <c r="E264" s="298">
        <v>3</v>
      </c>
      <c r="F264" s="298" t="str">
        <f>INDEX(BrokerTBL!$B:$B,MATCH(D264,BrokerTBL!$A:$A,0))</f>
        <v>2109 W Bullard Ave # 101</v>
      </c>
      <c r="G264" s="298" t="str">
        <f>INDEX(BrokerTBL!$C:$C,MATCH(D264,BrokerTBL!$A:$A,0))</f>
        <v>Fresno</v>
      </c>
      <c r="H264" s="142" t="str">
        <f>INDEX(BrokerTBL!$D:$D,MATCH(D264,BrokerTBL!$A:$A,0))</f>
        <v>Ca</v>
      </c>
      <c r="I264" s="142" t="str">
        <f>INDEX(BrokerTBL!$E:$E,MATCH(D264,BrokerTBL!$A:$A,0))</f>
        <v>US</v>
      </c>
      <c r="J264" s="142">
        <f>INDEX(BrokerTBL!$F:$F,MATCH(D264,BrokerTBL!$A:$A,0))</f>
        <v>93711</v>
      </c>
      <c r="K264" s="298" t="s">
        <v>1940</v>
      </c>
      <c r="L264" s="145">
        <v>351115</v>
      </c>
      <c r="M264" s="146">
        <v>42394</v>
      </c>
      <c r="N264" s="182">
        <v>0.41666666666666702</v>
      </c>
      <c r="O264" s="298" t="s">
        <v>1941</v>
      </c>
      <c r="P264" s="298" t="s">
        <v>184</v>
      </c>
      <c r="Q264" s="298" t="s">
        <v>139</v>
      </c>
      <c r="R264" s="298">
        <v>95203</v>
      </c>
      <c r="S264" s="298" t="s">
        <v>118</v>
      </c>
      <c r="T264" s="298" t="s">
        <v>136</v>
      </c>
      <c r="U264" s="298" t="s">
        <v>120</v>
      </c>
      <c r="V264" s="298">
        <v>53</v>
      </c>
      <c r="W264" s="298" t="s">
        <v>1827</v>
      </c>
      <c r="X264" s="144">
        <v>42000</v>
      </c>
      <c r="Y264" s="298" t="s">
        <v>123</v>
      </c>
      <c r="Z264" s="298" t="s">
        <v>123</v>
      </c>
      <c r="AA264" s="298" t="s">
        <v>123</v>
      </c>
      <c r="AB264" s="298" t="s">
        <v>123</v>
      </c>
      <c r="AC264" s="298" t="s">
        <v>1828</v>
      </c>
      <c r="AD264" s="145">
        <v>351115</v>
      </c>
      <c r="AE264" s="146">
        <v>42394</v>
      </c>
      <c r="AF264" s="298" t="s">
        <v>1942</v>
      </c>
      <c r="AG264" s="298" t="s">
        <v>1829</v>
      </c>
      <c r="AH264" s="298" t="s">
        <v>787</v>
      </c>
      <c r="AI264" s="298" t="s">
        <v>139</v>
      </c>
      <c r="AJ264" s="298">
        <v>94801</v>
      </c>
      <c r="AK264" s="298" t="s">
        <v>118</v>
      </c>
      <c r="AL264" s="298" t="s">
        <v>123</v>
      </c>
      <c r="AM264" s="142" t="str">
        <f>INDEX(CarrierDriverTBL!$B:$B,MATCH(Table1[[#This Row],[DriverID]],CarrierDriverTBL!$A:$A,0))</f>
        <v>UBTrucking</v>
      </c>
      <c r="AN264" s="10" t="s">
        <v>1409</v>
      </c>
      <c r="AO264" s="298" t="str">
        <f>INDEX(CarrierDriverTBL!$C:$C,MATCH(Table1[[#This Row],[DriverID]],CarrierDriverTBL!$A:$A,0))</f>
        <v>Miguel Jaime</v>
      </c>
      <c r="AP264" s="298" t="str">
        <f>INDEX(CarrierDriverTBL!$D:$D,MATCH(Table1[[#This Row],[DriverID]],CarrierDriverTBL!$A:$A,0))</f>
        <v>Martin Del Campo Velarca</v>
      </c>
      <c r="AQ264" s="142" t="str">
        <f>INDEX(CarrierDriverTBL!$X:$X,MATCH(Table1[[#This Row],[DriverID]],CarrierDriverTBL!$A:$A,0))</f>
        <v>D5179619</v>
      </c>
      <c r="AR264" s="160">
        <f>INDEX(CarrierDriverTBL!$Y:$Y,MATCH(Table1[[#This Row],[DriverID]],CarrierDriverTBL!$A:$A,0))</f>
        <v>43843</v>
      </c>
      <c r="AS264" s="142" t="str">
        <f t="shared" si="122"/>
        <v>GOOD</v>
      </c>
      <c r="AT264" s="146">
        <f>INDEX(CarrierDriverTBL!$E:$E,MATCH(Table1[[#This Row],[DriverID]],CarrierDriverTBL!$A:$A,0))</f>
        <v>21198</v>
      </c>
      <c r="AU264" s="163">
        <f ca="1">INDEX(CarrierDriverTBL!$F:$F,MATCH(Table1[[#This Row],[DriverID]],CarrierDriverTBL!$A:$A,0))</f>
        <v>58.56986301369863</v>
      </c>
      <c r="AV264" s="298" t="str">
        <f>INDEX(CarrierDriverTBL!$K:$K,MATCH(Table1[[#This Row],[DriverID]],CarrierDriverTBL!$A:$A,0))</f>
        <v>209-322-5231</v>
      </c>
      <c r="AW264" s="298" t="str">
        <f>INDEX(CarrierDriverTBL!$M:$M,MATCH(Table1[[#This Row],[DriverID]],CarrierDriverTBL!$A:$A,0))</f>
        <v>572 Predersen RD</v>
      </c>
      <c r="AX264" s="298" t="str">
        <f>INDEX(CarrierDriverTBL!$N:$N,MATCH(Table1[[#This Row],[DriverID]],CarrierDriverTBL!$A:$A,0))</f>
        <v>Oakdale</v>
      </c>
      <c r="AY264" s="142" t="str">
        <f>INDEX(CarrierDriverTBL!$O:$O,MATCH(Table1[[#This Row],[DriverID]],CarrierDriverTBL!$A:$A,0))</f>
        <v>CA</v>
      </c>
      <c r="AZ264" s="298">
        <f>INDEX(CarrierDriverTBL!$P:$P,MATCH(Table1[[#This Row],[DriverID]],CarrierDriverTBL!$A:$A,0))</f>
        <v>95361</v>
      </c>
      <c r="BA264" s="298" t="str">
        <f>INDEX(CarrierDriverTBL!$Q:$Q,MATCH(Table1[[#This Row],[DriverID]],CarrierDriverTBL!$A:$A,0))</f>
        <v>US</v>
      </c>
      <c r="BB264" s="176" t="str">
        <f>INDEX(CarrierDriverTBL!$R:$R,MATCH(Table1[[#This Row],[DriverID]],CarrierDriverTBL!$A:$A,0))</f>
        <v>Miguelmartin52@yahoo.com</v>
      </c>
      <c r="BC264" s="160">
        <f>INDEX(CarrierDriverTBL!$AB:$AB,MATCH(Table1[[#This Row],[DriverID]],CarrierDriverTBL!$A:$A,0))</f>
        <v>42334</v>
      </c>
      <c r="BD264" s="142" t="str">
        <f ca="1">INDEX(CarrierDriverTBL!$AD:$AD,MATCH(LoadMaster!$AN:$AN,CarrierDriverTBL!$A:$A,0))</f>
        <v>MISSING</v>
      </c>
      <c r="BE264" s="142">
        <f>INDEX(CarrierDriverTBL!$AE:$AE,MATCH(Table1[DriverID],CarrierDriverTBL!$A:$A,0))</f>
        <v>913971</v>
      </c>
      <c r="BF264" s="142">
        <f>INDEX(CarrierDriverTBL!$AF:$AF,MATCH(Table1[DriverID],CarrierDriverTBL!$A:$A,0))</f>
        <v>2627544</v>
      </c>
      <c r="BG264" s="142">
        <f>INDEX(CarrierDriverTBL!$AG:$AG,MATCH(Table1[DriverID],CarrierDriverTBL!$A:$A,0))</f>
        <v>466133</v>
      </c>
      <c r="BH264" s="142" t="str">
        <f>INDEX(CarrierDriverTBL!$AH:$AH,MATCH(Table1[DriverID],CarrierDriverTBL!$A:$A,0))</f>
        <v>GM Lawrence Ins</v>
      </c>
      <c r="BI264" s="142" t="str">
        <f>INDEX(CarrierDriverTBL!$AI:$AI,MATCH(Table1[DriverID],CarrierDriverTBL!$A:$A,0))</f>
        <v>DSK2842P160210</v>
      </c>
      <c r="BJ264" s="160">
        <f>INDEX(CarrierDriverTBL!$AJ:$AJ,MATCH(Table1[[#This Row],[DriverID]],CarrierDriverTBL!$A:$A,0))</f>
        <v>42778</v>
      </c>
      <c r="BK264" s="10">
        <f t="shared" si="123"/>
        <v>384</v>
      </c>
      <c r="BL264" s="59">
        <v>300</v>
      </c>
      <c r="BM264" s="144">
        <v>84</v>
      </c>
      <c r="BN264" s="159">
        <f t="shared" si="140"/>
        <v>3.5714285714285716</v>
      </c>
      <c r="BO264" s="167">
        <v>275</v>
      </c>
      <c r="BP264" s="159">
        <f t="shared" si="141"/>
        <v>3.2738095238095237</v>
      </c>
      <c r="BQ264" s="133">
        <v>2.6</v>
      </c>
      <c r="BR264" s="166">
        <f t="shared" si="142"/>
        <v>0.1166666666666667</v>
      </c>
      <c r="BS264" s="167">
        <f t="shared" si="124"/>
        <v>3.157142857142857</v>
      </c>
      <c r="BT264" s="159">
        <f t="shared" si="125"/>
        <v>9.8000000000000025</v>
      </c>
      <c r="BU264" s="10" t="str">
        <f t="shared" si="126"/>
        <v>Cargobarn Inc.</v>
      </c>
      <c r="BV264" s="4"/>
      <c r="BW264" s="4" t="str">
        <f>Table1[[#This Row],[BrokerAddress]]</f>
        <v>2109 W Bullard Ave # 101</v>
      </c>
      <c r="BX264" s="4" t="str">
        <f t="shared" si="127"/>
        <v>Fresno</v>
      </c>
      <c r="BY264" s="4" t="str">
        <f t="shared" si="128"/>
        <v>Ca</v>
      </c>
      <c r="BZ264" s="4">
        <f t="shared" si="129"/>
        <v>93711</v>
      </c>
      <c r="CA264" s="10" t="str">
        <f t="shared" si="130"/>
        <v>US</v>
      </c>
      <c r="CB264" s="15" t="s">
        <v>131</v>
      </c>
      <c r="CC264" s="62"/>
      <c r="CD264" s="15" t="s">
        <v>132</v>
      </c>
      <c r="CE264" s="64">
        <v>0</v>
      </c>
      <c r="CF264" s="4">
        <v>0</v>
      </c>
      <c r="CG264" s="132">
        <f t="shared" si="131"/>
        <v>0</v>
      </c>
      <c r="CH264" s="4" t="s">
        <v>132</v>
      </c>
      <c r="CI264" s="5">
        <v>0</v>
      </c>
      <c r="CJ264" s="4">
        <v>0</v>
      </c>
      <c r="CK264" s="132">
        <f t="shared" si="132"/>
        <v>0</v>
      </c>
      <c r="CL264" s="4" t="s">
        <v>132</v>
      </c>
      <c r="CM264" s="5">
        <v>0</v>
      </c>
      <c r="CN264" s="4">
        <v>0</v>
      </c>
      <c r="CO264" s="132">
        <f t="shared" si="133"/>
        <v>0</v>
      </c>
      <c r="CP264" s="4" t="s">
        <v>132</v>
      </c>
      <c r="CQ264" s="5">
        <v>0</v>
      </c>
      <c r="CR264" s="4">
        <v>0</v>
      </c>
      <c r="CS264" s="132">
        <f t="shared" si="134"/>
        <v>0</v>
      </c>
      <c r="CT264" s="159">
        <f t="shared" si="135"/>
        <v>0</v>
      </c>
      <c r="CU264" s="168">
        <f t="shared" si="136"/>
        <v>300</v>
      </c>
      <c r="CV264" s="169">
        <f t="shared" si="119"/>
        <v>0</v>
      </c>
      <c r="CW264" s="82">
        <f t="shared" si="120"/>
        <v>275</v>
      </c>
      <c r="CX264" s="79">
        <f>IF(ISBLANK(E264),"AddQuickPay",IF(E264=2,CU264*0.98,IF(E264=2.4,CU264*0.976,IF(E264=3,CU264*0.97,IF(E264=5,CU264*0.95,IF(E264=1.5,CU264*0.985,IF(E264=2.5,CU264*0.975,IF(E264=1.3,CU264*0.987,IF(E264=1,CU264*0.99,IF(E264=4,CU264*0.96,CU264*1))))))))))-Table1[[#This Row],[ComCheck+QuickPayFee]]</f>
        <v>291</v>
      </c>
      <c r="CY264" s="5">
        <f t="shared" si="137"/>
        <v>25</v>
      </c>
      <c r="CZ264" s="5">
        <f t="shared" si="138"/>
        <v>9</v>
      </c>
      <c r="DA264" s="258">
        <f>Table1[[#This Row],[OriginalDispatch]]-Table1[[#This Row],[QuickPayCharge]]</f>
        <v>16</v>
      </c>
      <c r="DB264" s="5">
        <v>0</v>
      </c>
      <c r="DC264" s="5" t="s">
        <v>133</v>
      </c>
      <c r="DD264" s="104">
        <f t="shared" si="139"/>
        <v>42398</v>
      </c>
      <c r="DE264" s="15">
        <f>MONTH(Table1[[#This Row],[Weekending]])</f>
        <v>1</v>
      </c>
      <c r="DF264" s="15">
        <f>YEAR(Table1[[#This Row],[Weekending]])</f>
        <v>2016</v>
      </c>
      <c r="DG264" s="4"/>
    </row>
    <row r="265" spans="1:111">
      <c r="A265" s="20" t="str">
        <f t="shared" si="121"/>
        <v>00686849</v>
      </c>
      <c r="B265" s="146">
        <v>42394</v>
      </c>
      <c r="C265" s="144">
        <v>46900</v>
      </c>
      <c r="D265" s="298" t="s">
        <v>1824</v>
      </c>
      <c r="E265" s="298">
        <v>3</v>
      </c>
      <c r="F265" s="298" t="str">
        <f>INDEX(BrokerTBL!$B:$B,MATCH(D265,BrokerTBL!$A:$A,0))</f>
        <v>2109 W Bullard Ave # 101</v>
      </c>
      <c r="G265" s="298" t="str">
        <f>INDEX(BrokerTBL!$C:$C,MATCH(D265,BrokerTBL!$A:$A,0))</f>
        <v>Fresno</v>
      </c>
      <c r="H265" s="142" t="str">
        <f>INDEX(BrokerTBL!$D:$D,MATCH(D265,BrokerTBL!$A:$A,0))</f>
        <v>Ca</v>
      </c>
      <c r="I265" s="142" t="str">
        <f>INDEX(BrokerTBL!$E:$E,MATCH(D265,BrokerTBL!$A:$A,0))</f>
        <v>US</v>
      </c>
      <c r="J265" s="142">
        <f>INDEX(BrokerTBL!$F:$F,MATCH(D265,BrokerTBL!$A:$A,0))</f>
        <v>93711</v>
      </c>
      <c r="K265" s="298" t="s">
        <v>1940</v>
      </c>
      <c r="L265" s="145">
        <v>351068</v>
      </c>
      <c r="M265" s="146">
        <v>42394</v>
      </c>
      <c r="N265" s="182">
        <v>0.375</v>
      </c>
      <c r="O265" s="298" t="s">
        <v>1941</v>
      </c>
      <c r="P265" s="298" t="s">
        <v>184</v>
      </c>
      <c r="Q265" s="298" t="s">
        <v>139</v>
      </c>
      <c r="R265" s="298">
        <v>95203</v>
      </c>
      <c r="S265" s="298" t="s">
        <v>118</v>
      </c>
      <c r="T265" s="298" t="s">
        <v>136</v>
      </c>
      <c r="U265" s="298" t="s">
        <v>120</v>
      </c>
      <c r="V265" s="298">
        <v>53</v>
      </c>
      <c r="W265" s="298" t="s">
        <v>1827</v>
      </c>
      <c r="X265" s="144">
        <v>42000</v>
      </c>
      <c r="Y265" s="298" t="s">
        <v>123</v>
      </c>
      <c r="Z265" s="298" t="s">
        <v>123</v>
      </c>
      <c r="AA265" s="298" t="s">
        <v>123</v>
      </c>
      <c r="AB265" s="298" t="s">
        <v>123</v>
      </c>
      <c r="AC265" s="298" t="s">
        <v>1828</v>
      </c>
      <c r="AD265" s="145">
        <v>351068</v>
      </c>
      <c r="AE265" s="146">
        <v>42394</v>
      </c>
      <c r="AF265" s="298" t="s">
        <v>1369</v>
      </c>
      <c r="AG265" s="298" t="s">
        <v>1829</v>
      </c>
      <c r="AH265" s="298" t="s">
        <v>787</v>
      </c>
      <c r="AI265" s="298" t="s">
        <v>139</v>
      </c>
      <c r="AJ265" s="298">
        <v>94801</v>
      </c>
      <c r="AK265" s="298" t="s">
        <v>118</v>
      </c>
      <c r="AL265" s="298" t="s">
        <v>123</v>
      </c>
      <c r="AM265" s="142" t="str">
        <f>INDEX(CarrierDriverTBL!$B:$B,MATCH(Table1[[#This Row],[DriverID]],CarrierDriverTBL!$A:$A,0))</f>
        <v>UBTrucking</v>
      </c>
      <c r="AN265" s="10" t="s">
        <v>192</v>
      </c>
      <c r="AO265" s="10" t="str">
        <f>INDEX(CarrierDriverTBL!$C:$C,MATCH(Table1[[#This Row],[DriverID]],CarrierDriverTBL!$A:$A,0))</f>
        <v>Albel</v>
      </c>
      <c r="AP265" s="142" t="str">
        <f>INDEX(CarrierDriverTBL!$D:$D,MATCH(Table1[[#This Row],[DriverID]],CarrierDriverTBL!$A:$A,0))</f>
        <v>Chahil</v>
      </c>
      <c r="AQ265" s="142" t="str">
        <f>INDEX(CarrierDriverTBL!$X:$X,MATCH(Table1[[#This Row],[DriverID]],CarrierDriverTBL!$A:$A,0))</f>
        <v>A8390649</v>
      </c>
      <c r="AR265" s="160">
        <f>INDEX(CarrierDriverTBL!$Y:$Y,MATCH(Table1[[#This Row],[DriverID]],CarrierDriverTBL!$A:$A,0))</f>
        <v>42402</v>
      </c>
      <c r="AS265" s="142" t="str">
        <f t="shared" si="122"/>
        <v>GOOD</v>
      </c>
      <c r="AT265" s="160">
        <f>INDEX(CarrierDriverTBL!$E:$E,MATCH(Table1[[#This Row],[DriverID]],CarrierDriverTBL!$A:$A,0))</f>
        <v>22314</v>
      </c>
      <c r="AU265" s="163">
        <f ca="1">INDEX(CarrierDriverTBL!$F:$F,MATCH(Table1[[#This Row],[DriverID]],CarrierDriverTBL!$A:$A,0))</f>
        <v>55.512328767123286</v>
      </c>
      <c r="AV265" s="142" t="str">
        <f>INDEX(CarrierDriverTBL!$K:$K,MATCH(Table1[[#This Row],[DriverID]],CarrierDriverTBL!$A:$A,0))</f>
        <v>510-773-9450</v>
      </c>
      <c r="AW265" s="142" t="str">
        <f>INDEX(CarrierDriverTBL!$M:$M,MATCH(Table1[[#This Row],[DriverID]],CarrierDriverTBL!$A:$A,0))</f>
        <v>3124 Cynthia CT</v>
      </c>
      <c r="AX265" s="142" t="str">
        <f>INDEX(CarrierDriverTBL!$N:$N,MATCH(Table1[[#This Row],[DriverID]],CarrierDriverTBL!$A:$A,0))</f>
        <v>Tracy</v>
      </c>
      <c r="AY265" s="142" t="str">
        <f>INDEX(CarrierDriverTBL!$O:$O,MATCH(Table1[[#This Row],[DriverID]],CarrierDriverTBL!$A:$A,0))</f>
        <v>CA</v>
      </c>
      <c r="AZ265" s="142">
        <f>INDEX(CarrierDriverTBL!$P:$P,MATCH(Table1[[#This Row],[DriverID]],CarrierDriverTBL!$A:$A,0))</f>
        <v>95377</v>
      </c>
      <c r="BA265" s="142" t="str">
        <f>INDEX(CarrierDriverTBL!$Q:$Q,MATCH(Table1[[#This Row],[DriverID]],CarrierDriverTBL!$A:$A,0))</f>
        <v>US</v>
      </c>
      <c r="BB265" s="176" t="str">
        <f>INDEX(CarrierDriverTBL!$R:$R,MATCH(Table1[[#This Row],[DriverID]],CarrierDriverTBL!$A:$A,0))</f>
        <v>ubgollc@gmail.com</v>
      </c>
      <c r="BC265" s="160">
        <f>INDEX(CarrierDriverTBL!$AB:$AB,MATCH(Table1[[#This Row],[DriverID]],CarrierDriverTBL!$A:$A,0))</f>
        <v>42167</v>
      </c>
      <c r="BD265" s="142" t="str">
        <f ca="1">INDEX(CarrierDriverTBL!$AD:$AD,MATCH(LoadMaster!$AN:$AN,CarrierDriverTBL!$A:$A,0))</f>
        <v>MISSING</v>
      </c>
      <c r="BE265" s="142">
        <f>INDEX(CarrierDriverTBL!$AE:$AE,MATCH(Table1[DriverID],CarrierDriverTBL!$A:$A,0))</f>
        <v>913971</v>
      </c>
      <c r="BF265" s="142">
        <f>INDEX(CarrierDriverTBL!$AF:$AF,MATCH(Table1[DriverID],CarrierDriverTBL!$A:$A,0))</f>
        <v>2627544</v>
      </c>
      <c r="BG265" s="142">
        <f>INDEX(CarrierDriverTBL!$AG:$AG,MATCH(Table1[DriverID],CarrierDriverTBL!$A:$A,0))</f>
        <v>466133</v>
      </c>
      <c r="BH265" s="142" t="str">
        <f>INDEX(CarrierDriverTBL!$AH:$AH,MATCH(Table1[DriverID],CarrierDriverTBL!$A:$A,0))</f>
        <v>GM Lawrence Ins</v>
      </c>
      <c r="BI265" s="142" t="str">
        <f>INDEX(CarrierDriverTBL!$AI:$AI,MATCH(Table1[DriverID],CarrierDriverTBL!$A:$A,0))</f>
        <v>DSK2842P160210</v>
      </c>
      <c r="BJ265" s="160">
        <f>INDEX(CarrierDriverTBL!$AJ:$AJ,MATCH(Table1[[#This Row],[DriverID]],CarrierDriverTBL!$A:$A,0))</f>
        <v>42778</v>
      </c>
      <c r="BK265" s="10">
        <f t="shared" si="123"/>
        <v>384</v>
      </c>
      <c r="BL265" s="59">
        <v>300</v>
      </c>
      <c r="BM265" s="144">
        <v>84</v>
      </c>
      <c r="BN265" s="159">
        <f t="shared" si="140"/>
        <v>3.5714285714285716</v>
      </c>
      <c r="BO265" s="167">
        <v>275</v>
      </c>
      <c r="BP265" s="159">
        <f t="shared" si="141"/>
        <v>3.2738095238095237</v>
      </c>
      <c r="BQ265" s="133">
        <v>2.6</v>
      </c>
      <c r="BR265" s="166">
        <f t="shared" si="142"/>
        <v>0.1166666666666667</v>
      </c>
      <c r="BS265" s="167">
        <f t="shared" si="124"/>
        <v>3.157142857142857</v>
      </c>
      <c r="BT265" s="159">
        <f t="shared" si="125"/>
        <v>9.8000000000000025</v>
      </c>
      <c r="BU265" s="10" t="str">
        <f t="shared" si="126"/>
        <v>Cargobarn Inc.</v>
      </c>
      <c r="BV265" s="4"/>
      <c r="BW265" s="4" t="str">
        <f>Table1[[#This Row],[BrokerAddress]]</f>
        <v>2109 W Bullard Ave # 101</v>
      </c>
      <c r="BX265" s="4" t="str">
        <f t="shared" si="127"/>
        <v>Fresno</v>
      </c>
      <c r="BY265" s="4" t="str">
        <f t="shared" si="128"/>
        <v>Ca</v>
      </c>
      <c r="BZ265" s="4">
        <f t="shared" si="129"/>
        <v>93711</v>
      </c>
      <c r="CA265" s="10" t="str">
        <f t="shared" si="130"/>
        <v>US</v>
      </c>
      <c r="CB265" s="15" t="s">
        <v>131</v>
      </c>
      <c r="CC265" s="62"/>
      <c r="CD265" s="15" t="s">
        <v>132</v>
      </c>
      <c r="CE265" s="64">
        <v>0</v>
      </c>
      <c r="CF265" s="4">
        <v>0</v>
      </c>
      <c r="CG265" s="132">
        <f t="shared" si="131"/>
        <v>0</v>
      </c>
      <c r="CH265" s="4" t="s">
        <v>132</v>
      </c>
      <c r="CI265" s="5">
        <v>0</v>
      </c>
      <c r="CJ265" s="4">
        <v>0</v>
      </c>
      <c r="CK265" s="132">
        <f t="shared" si="132"/>
        <v>0</v>
      </c>
      <c r="CL265" s="4" t="s">
        <v>132</v>
      </c>
      <c r="CM265" s="5">
        <v>0</v>
      </c>
      <c r="CN265" s="4">
        <v>0</v>
      </c>
      <c r="CO265" s="132">
        <f t="shared" si="133"/>
        <v>0</v>
      </c>
      <c r="CP265" s="4" t="s">
        <v>132</v>
      </c>
      <c r="CQ265" s="5">
        <v>0</v>
      </c>
      <c r="CR265" s="4">
        <v>0</v>
      </c>
      <c r="CS265" s="132">
        <f t="shared" si="134"/>
        <v>0</v>
      </c>
      <c r="CT265" s="159">
        <f t="shared" si="135"/>
        <v>0</v>
      </c>
      <c r="CU265" s="168">
        <f t="shared" si="136"/>
        <v>300</v>
      </c>
      <c r="CV265" s="169">
        <f t="shared" si="119"/>
        <v>0</v>
      </c>
      <c r="CW265" s="82">
        <f t="shared" si="120"/>
        <v>275</v>
      </c>
      <c r="CX265" s="79">
        <f>IF(ISBLANK(E265),"AddQuickPay",IF(E265=2,CU265*0.98,IF(E265=2.4,CU265*0.976,IF(E265=3,CU265*0.97,IF(E265=5,CU265*0.95,IF(E265=1.5,CU265*0.985,IF(E265=2.5,CU265*0.975,IF(E265=1.3,CU265*0.987,IF(E265=1,CU265*0.99,IF(E265=4,CU265*0.96,CU265*1))))))))))-Table1[[#This Row],[ComCheck+QuickPayFee]]</f>
        <v>291</v>
      </c>
      <c r="CY265" s="5">
        <f t="shared" si="137"/>
        <v>25</v>
      </c>
      <c r="CZ265" s="5">
        <f t="shared" si="138"/>
        <v>9</v>
      </c>
      <c r="DA265" s="258">
        <f>Table1[[#This Row],[OriginalDispatch]]-Table1[[#This Row],[QuickPayCharge]]</f>
        <v>16</v>
      </c>
      <c r="DB265" s="5">
        <v>0</v>
      </c>
      <c r="DC265" s="5" t="s">
        <v>133</v>
      </c>
      <c r="DD265" s="104">
        <f t="shared" si="139"/>
        <v>42398</v>
      </c>
      <c r="DE265" s="15">
        <f>MONTH(Table1[[#This Row],[Weekending]])</f>
        <v>1</v>
      </c>
      <c r="DF265" s="15">
        <f>YEAR(Table1[[#This Row],[Weekending]])</f>
        <v>2016</v>
      </c>
      <c r="DG265" s="4"/>
    </row>
    <row r="266" spans="1:111">
      <c r="A266" s="20" t="str">
        <f t="shared" si="121"/>
        <v>65619319</v>
      </c>
      <c r="B266" s="146">
        <v>42395</v>
      </c>
      <c r="C266" s="144">
        <v>191248065</v>
      </c>
      <c r="D266" s="298" t="s">
        <v>111</v>
      </c>
      <c r="E266" s="298">
        <v>2</v>
      </c>
      <c r="F266" s="142" t="str">
        <f>INDEX(BrokerTBL!$B:$B,MATCH(D266,BrokerTBL!$A:$A,0))</f>
        <v>P.O. Box 3474</v>
      </c>
      <c r="G266" s="142" t="str">
        <f>INDEX(BrokerTBL!$C:$C,MATCH(D266,BrokerTBL!$A:$A,0))</f>
        <v>Chicago</v>
      </c>
      <c r="H266" s="142" t="str">
        <f>INDEX(BrokerTBL!$D:$D,MATCH(D266,BrokerTBL!$A:$A,0))</f>
        <v>Il</v>
      </c>
      <c r="I266" s="142" t="str">
        <f>INDEX(BrokerTBL!$E:$E,MATCH(D266,BrokerTBL!$A:$A,0))</f>
        <v>US</v>
      </c>
      <c r="J266" s="142">
        <f>INDEX(BrokerTBL!$F:$F,MATCH(D266,BrokerTBL!$A:$A,0))</f>
        <v>60654</v>
      </c>
      <c r="K266" s="298" t="s">
        <v>1943</v>
      </c>
      <c r="L266" s="145" t="s">
        <v>1944</v>
      </c>
      <c r="M266" s="146">
        <v>42395</v>
      </c>
      <c r="N266" s="144" t="s">
        <v>1945</v>
      </c>
      <c r="O266" s="298" t="s">
        <v>1946</v>
      </c>
      <c r="P266" s="298" t="s">
        <v>1947</v>
      </c>
      <c r="Q266" s="298" t="s">
        <v>139</v>
      </c>
      <c r="R266" s="298">
        <v>95632</v>
      </c>
      <c r="S266" s="298" t="s">
        <v>118</v>
      </c>
      <c r="T266" s="298" t="s">
        <v>136</v>
      </c>
      <c r="U266" s="298" t="s">
        <v>120</v>
      </c>
      <c r="V266" s="298">
        <v>53</v>
      </c>
      <c r="W266" s="298" t="s">
        <v>1948</v>
      </c>
      <c r="X266" s="144">
        <v>3738</v>
      </c>
      <c r="Y266" s="298" t="s">
        <v>337</v>
      </c>
      <c r="Z266" s="298">
        <v>169</v>
      </c>
      <c r="AA266" s="298">
        <v>4</v>
      </c>
      <c r="AB266" s="298" t="s">
        <v>123</v>
      </c>
      <c r="AC266" s="298" t="s">
        <v>1949</v>
      </c>
      <c r="AD266" s="145" t="s">
        <v>1950</v>
      </c>
      <c r="AE266" s="146">
        <v>42395</v>
      </c>
      <c r="AF266" s="298" t="s">
        <v>1951</v>
      </c>
      <c r="AG266" s="298" t="s">
        <v>1952</v>
      </c>
      <c r="AH266" s="298" t="s">
        <v>1953</v>
      </c>
      <c r="AI266" s="298" t="s">
        <v>139</v>
      </c>
      <c r="AJ266" s="298">
        <v>94704</v>
      </c>
      <c r="AK266" s="298" t="s">
        <v>118</v>
      </c>
      <c r="AL266" s="298" t="s">
        <v>123</v>
      </c>
      <c r="AM266" s="142" t="str">
        <f>INDEX(CarrierDriverTBL!$B:$B,MATCH(Table1[[#This Row],[DriverID]],CarrierDriverTBL!$A:$A,0))</f>
        <v>UBTrucking</v>
      </c>
      <c r="AN266" s="10" t="s">
        <v>1409</v>
      </c>
      <c r="AO266" s="298" t="str">
        <f>INDEX(CarrierDriverTBL!$C:$C,MATCH(Table1[[#This Row],[DriverID]],CarrierDriverTBL!$A:$A,0))</f>
        <v>Miguel Jaime</v>
      </c>
      <c r="AP266" s="298" t="str">
        <f>INDEX(CarrierDriverTBL!$D:$D,MATCH(Table1[[#This Row],[DriverID]],CarrierDriverTBL!$A:$A,0))</f>
        <v>Martin Del Campo Velarca</v>
      </c>
      <c r="AQ266" s="142" t="str">
        <f>INDEX(CarrierDriverTBL!$X:$X,MATCH(Table1[[#This Row],[DriverID]],CarrierDriverTBL!$A:$A,0))</f>
        <v>D5179619</v>
      </c>
      <c r="AR266" s="160">
        <f>INDEX(CarrierDriverTBL!$Y:$Y,MATCH(Table1[[#This Row],[DriverID]],CarrierDriverTBL!$A:$A,0))</f>
        <v>43843</v>
      </c>
      <c r="AS266" s="142" t="str">
        <f t="shared" si="122"/>
        <v>GOOD</v>
      </c>
      <c r="AT266" s="146">
        <f>INDEX(CarrierDriverTBL!$E:$E,MATCH(Table1[[#This Row],[DriverID]],CarrierDriverTBL!$A:$A,0))</f>
        <v>21198</v>
      </c>
      <c r="AU266" s="163">
        <f ca="1">INDEX(CarrierDriverTBL!$F:$F,MATCH(Table1[[#This Row],[DriverID]],CarrierDriverTBL!$A:$A,0))</f>
        <v>58.56986301369863</v>
      </c>
      <c r="AV266" s="298" t="str">
        <f>INDEX(CarrierDriverTBL!$K:$K,MATCH(Table1[[#This Row],[DriverID]],CarrierDriverTBL!$A:$A,0))</f>
        <v>209-322-5231</v>
      </c>
      <c r="AW266" s="298" t="str">
        <f>INDEX(CarrierDriverTBL!$M:$M,MATCH(Table1[[#This Row],[DriverID]],CarrierDriverTBL!$A:$A,0))</f>
        <v>572 Predersen RD</v>
      </c>
      <c r="AX266" s="298" t="str">
        <f>INDEX(CarrierDriverTBL!$N:$N,MATCH(Table1[[#This Row],[DriverID]],CarrierDriverTBL!$A:$A,0))</f>
        <v>Oakdale</v>
      </c>
      <c r="AY266" s="142" t="str">
        <f>INDEX(CarrierDriverTBL!$O:$O,MATCH(Table1[[#This Row],[DriverID]],CarrierDriverTBL!$A:$A,0))</f>
        <v>CA</v>
      </c>
      <c r="AZ266" s="298">
        <f>INDEX(CarrierDriverTBL!$P:$P,MATCH(Table1[[#This Row],[DriverID]],CarrierDriverTBL!$A:$A,0))</f>
        <v>95361</v>
      </c>
      <c r="BA266" s="298" t="str">
        <f>INDEX(CarrierDriverTBL!$Q:$Q,MATCH(Table1[[#This Row],[DriverID]],CarrierDriverTBL!$A:$A,0))</f>
        <v>US</v>
      </c>
      <c r="BB266" s="176" t="str">
        <f>INDEX(CarrierDriverTBL!$R:$R,MATCH(Table1[[#This Row],[DriverID]],CarrierDriverTBL!$A:$A,0))</f>
        <v>Miguelmartin52@yahoo.com</v>
      </c>
      <c r="BC266" s="160">
        <f>INDEX(CarrierDriverTBL!$AB:$AB,MATCH(Table1[[#This Row],[DriverID]],CarrierDriverTBL!$A:$A,0))</f>
        <v>42334</v>
      </c>
      <c r="BD266" s="142" t="str">
        <f ca="1">INDEX(CarrierDriverTBL!$AD:$AD,MATCH(LoadMaster!$AN:$AN,CarrierDriverTBL!$A:$A,0))</f>
        <v>MISSING</v>
      </c>
      <c r="BE266" s="142">
        <f>INDEX(CarrierDriverTBL!$AE:$AE,MATCH(Table1[DriverID],CarrierDriverTBL!$A:$A,0))</f>
        <v>913971</v>
      </c>
      <c r="BF266" s="142">
        <f>INDEX(CarrierDriverTBL!$AF:$AF,MATCH(Table1[DriverID],CarrierDriverTBL!$A:$A,0))</f>
        <v>2627544</v>
      </c>
      <c r="BG266" s="142">
        <f>INDEX(CarrierDriverTBL!$AG:$AG,MATCH(Table1[DriverID],CarrierDriverTBL!$A:$A,0))</f>
        <v>466133</v>
      </c>
      <c r="BH266" s="142" t="str">
        <f>INDEX(CarrierDriverTBL!$AH:$AH,MATCH(Table1[DriverID],CarrierDriverTBL!$A:$A,0))</f>
        <v>GM Lawrence Ins</v>
      </c>
      <c r="BI266" s="142" t="str">
        <f>INDEX(CarrierDriverTBL!$AI:$AI,MATCH(Table1[DriverID],CarrierDriverTBL!$A:$A,0))</f>
        <v>DSK2842P160210</v>
      </c>
      <c r="BJ266" s="160">
        <f>INDEX(CarrierDriverTBL!$AJ:$AJ,MATCH(Table1[[#This Row],[DriverID]],CarrierDriverTBL!$A:$A,0))</f>
        <v>42778</v>
      </c>
      <c r="BK266" s="10">
        <f t="shared" si="123"/>
        <v>383</v>
      </c>
      <c r="BL266" s="59">
        <v>350</v>
      </c>
      <c r="BM266" s="144">
        <v>85</v>
      </c>
      <c r="BN266" s="159">
        <f t="shared" si="140"/>
        <v>4.117647058823529</v>
      </c>
      <c r="BO266" s="167">
        <f>0.93*350</f>
        <v>325.5</v>
      </c>
      <c r="BP266" s="159">
        <f t="shared" si="141"/>
        <v>3.8294117647058825</v>
      </c>
      <c r="BQ266" s="133">
        <v>2.6</v>
      </c>
      <c r="BR266" s="166">
        <f t="shared" si="142"/>
        <v>0.1166666666666667</v>
      </c>
      <c r="BS266" s="167">
        <f t="shared" si="124"/>
        <v>3.7127450980392158</v>
      </c>
      <c r="BT266" s="159">
        <f t="shared" si="125"/>
        <v>9.9166666666666696</v>
      </c>
      <c r="BU266" s="10" t="str">
        <f t="shared" si="126"/>
        <v>Ch Robinson</v>
      </c>
      <c r="BV266" s="15"/>
      <c r="BW266" s="4" t="str">
        <f>Table1[[#This Row],[BrokerAddress]]</f>
        <v>P.O. Box 3474</v>
      </c>
      <c r="BX266" s="4" t="str">
        <f t="shared" si="127"/>
        <v>Chicago</v>
      </c>
      <c r="BY266" s="4" t="str">
        <f t="shared" si="128"/>
        <v>Il</v>
      </c>
      <c r="BZ266" s="4">
        <f t="shared" si="129"/>
        <v>60654</v>
      </c>
      <c r="CA266" s="10" t="str">
        <f t="shared" si="130"/>
        <v>US</v>
      </c>
      <c r="CB266" s="15" t="s">
        <v>131</v>
      </c>
      <c r="CC266" s="62"/>
      <c r="CD266" s="15" t="s">
        <v>132</v>
      </c>
      <c r="CE266" s="64">
        <v>0</v>
      </c>
      <c r="CF266" s="4">
        <v>0</v>
      </c>
      <c r="CG266" s="132">
        <f t="shared" si="131"/>
        <v>0</v>
      </c>
      <c r="CH266" s="4" t="s">
        <v>132</v>
      </c>
      <c r="CI266" s="5">
        <v>0</v>
      </c>
      <c r="CJ266" s="4">
        <v>0</v>
      </c>
      <c r="CK266" s="132">
        <f t="shared" si="132"/>
        <v>0</v>
      </c>
      <c r="CL266" s="4" t="s">
        <v>132</v>
      </c>
      <c r="CM266" s="5">
        <v>0</v>
      </c>
      <c r="CN266" s="4">
        <v>0</v>
      </c>
      <c r="CO266" s="132">
        <f t="shared" si="133"/>
        <v>0</v>
      </c>
      <c r="CP266" s="4" t="s">
        <v>132</v>
      </c>
      <c r="CQ266" s="5">
        <v>0</v>
      </c>
      <c r="CR266" s="4">
        <v>0</v>
      </c>
      <c r="CS266" s="132">
        <f t="shared" si="134"/>
        <v>0</v>
      </c>
      <c r="CT266" s="159">
        <f t="shared" si="135"/>
        <v>0</v>
      </c>
      <c r="CU266" s="168">
        <f t="shared" si="136"/>
        <v>350</v>
      </c>
      <c r="CV266" s="169">
        <f t="shared" si="119"/>
        <v>0</v>
      </c>
      <c r="CW266" s="82">
        <f t="shared" si="120"/>
        <v>325.5</v>
      </c>
      <c r="CX266" s="79">
        <f>IF(ISBLANK(E266),"AddQuickPay",IF(E266=2,CU266*0.98,IF(E266=2.4,CU266*0.976,IF(E266=3,CU266*0.97,IF(E266=5,CU266*0.95,IF(E266=1.5,CU266*0.985,IF(E266=2.5,CU266*0.975,IF(E266=1.3,CU266*0.987,IF(E266=1,CU266*0.99,IF(E266=4,CU266*0.96,CU266*1))))))))))-Table1[[#This Row],[ComCheck+QuickPayFee]]</f>
        <v>343</v>
      </c>
      <c r="CY266" s="5">
        <f t="shared" si="137"/>
        <v>24.5</v>
      </c>
      <c r="CZ266" s="5">
        <f t="shared" si="138"/>
        <v>7</v>
      </c>
      <c r="DA266" s="258">
        <f>Table1[[#This Row],[OriginalDispatch]]-Table1[[#This Row],[QuickPayCharge]]</f>
        <v>17.5</v>
      </c>
      <c r="DB266" s="5">
        <v>0</v>
      </c>
      <c r="DC266" s="5" t="s">
        <v>133</v>
      </c>
      <c r="DD266" s="104">
        <f t="shared" si="139"/>
        <v>42398</v>
      </c>
      <c r="DE266" s="15">
        <f>MONTH(Table1[[#This Row],[Weekending]])</f>
        <v>1</v>
      </c>
      <c r="DF266" s="15">
        <f>YEAR(Table1[[#This Row],[Weekending]])</f>
        <v>2016</v>
      </c>
      <c r="DG266" s="4"/>
    </row>
    <row r="267" spans="1:111">
      <c r="A267" s="20" t="str">
        <f t="shared" si="121"/>
        <v>740788</v>
      </c>
      <c r="B267" s="146">
        <v>42395</v>
      </c>
      <c r="C267" s="144">
        <v>191624574</v>
      </c>
      <c r="D267" s="298" t="s">
        <v>111</v>
      </c>
      <c r="E267" s="298">
        <v>2</v>
      </c>
      <c r="F267" s="142" t="str">
        <f>INDEX(BrokerTBL!$B:$B,MATCH(D267,BrokerTBL!$A:$A,0))</f>
        <v>P.O. Box 3474</v>
      </c>
      <c r="G267" s="142" t="str">
        <f>INDEX(BrokerTBL!$C:$C,MATCH(D267,BrokerTBL!$A:$A,0))</f>
        <v>Chicago</v>
      </c>
      <c r="H267" s="142" t="str">
        <f>INDEX(BrokerTBL!$D:$D,MATCH(D267,BrokerTBL!$A:$A,0))</f>
        <v>Il</v>
      </c>
      <c r="I267" s="142" t="str">
        <f>INDEX(BrokerTBL!$E:$E,MATCH(D267,BrokerTBL!$A:$A,0))</f>
        <v>US</v>
      </c>
      <c r="J267" s="142">
        <f>INDEX(BrokerTBL!$F:$F,MATCH(D267,BrokerTBL!$A:$A,0))</f>
        <v>60654</v>
      </c>
      <c r="K267" s="298" t="s">
        <v>1954</v>
      </c>
      <c r="L267" s="145">
        <v>821156207</v>
      </c>
      <c r="M267" s="146">
        <v>42395</v>
      </c>
      <c r="N267" s="162" t="s">
        <v>136</v>
      </c>
      <c r="O267" s="298" t="s">
        <v>1955</v>
      </c>
      <c r="P267" s="298" t="s">
        <v>214</v>
      </c>
      <c r="Q267" s="298" t="s">
        <v>139</v>
      </c>
      <c r="R267" s="298" t="s">
        <v>1956</v>
      </c>
      <c r="S267" s="298" t="s">
        <v>118</v>
      </c>
      <c r="T267" s="298" t="s">
        <v>136</v>
      </c>
      <c r="U267" s="298" t="s">
        <v>120</v>
      </c>
      <c r="V267" s="298">
        <v>53</v>
      </c>
      <c r="W267" s="298" t="s">
        <v>1957</v>
      </c>
      <c r="X267" s="144">
        <v>45000</v>
      </c>
      <c r="Y267" s="298" t="s">
        <v>1537</v>
      </c>
      <c r="Z267" s="298" t="s">
        <v>123</v>
      </c>
      <c r="AA267" s="298" t="s">
        <v>123</v>
      </c>
      <c r="AB267" s="298" t="s">
        <v>123</v>
      </c>
      <c r="AC267" s="298" t="s">
        <v>1958</v>
      </c>
      <c r="AD267" s="145"/>
      <c r="AE267" s="146">
        <v>42396</v>
      </c>
      <c r="AF267" s="416" t="s">
        <v>123</v>
      </c>
      <c r="AG267" s="298" t="s">
        <v>1959</v>
      </c>
      <c r="AH267" s="298" t="s">
        <v>1799</v>
      </c>
      <c r="AI267" s="298" t="s">
        <v>139</v>
      </c>
      <c r="AJ267" s="298">
        <v>95973</v>
      </c>
      <c r="AK267" s="298" t="s">
        <v>118</v>
      </c>
      <c r="AL267" s="298" t="s">
        <v>123</v>
      </c>
      <c r="AM267" s="142" t="str">
        <f>INDEX(CarrierDriverTBL!$B:$B,MATCH(Table1[[#This Row],[DriverID]],CarrierDriverTBL!$A:$A,0))</f>
        <v>UBTrucking</v>
      </c>
      <c r="AN267" s="10" t="s">
        <v>948</v>
      </c>
      <c r="AO267" s="10" t="str">
        <f>INDEX(CarrierDriverTBL!$C:$C,MATCH(Table1[[#This Row],[DriverID]],CarrierDriverTBL!$A:$A,0))</f>
        <v>Wesley</v>
      </c>
      <c r="AP267" s="10" t="str">
        <f>INDEX(CarrierDriverTBL!$D:$D,MATCH(Table1[[#This Row],[DriverID]],CarrierDriverTBL!$A:$A,0))</f>
        <v>Cousain</v>
      </c>
      <c r="AQ267" s="10" t="str">
        <f>INDEX(CarrierDriverTBL!$X:$X,MATCH(Table1[[#This Row],[DriverID]],CarrierDriverTBL!$A:$A,0))</f>
        <v>D4903588</v>
      </c>
      <c r="AR267" s="11">
        <f>INDEX(CarrierDriverTBL!$Y:$Y,MATCH(Table1[[#This Row],[DriverID]],CarrierDriverTBL!$A:$A,0))</f>
        <v>43458</v>
      </c>
      <c r="AS267" s="142" t="str">
        <f t="shared" si="122"/>
        <v>GOOD</v>
      </c>
      <c r="AT267" s="11">
        <f>INDEX(CarrierDriverTBL!$E:$E,MATCH(Table1[[#This Row],[DriverID]],CarrierDriverTBL!$A:$A,0))</f>
        <v>31405</v>
      </c>
      <c r="AU267" s="163">
        <f ca="1">INDEX(CarrierDriverTBL!$F:$F,MATCH(Table1[[#This Row],[DriverID]],CarrierDriverTBL!$A:$A,0))</f>
        <v>30.605479452054794</v>
      </c>
      <c r="AV267" s="10" t="str">
        <f>INDEX(CarrierDriverTBL!$K:$K,MATCH(Table1[[#This Row],[DriverID]],CarrierDriverTBL!$A:$A,0))</f>
        <v>925-383-5364</v>
      </c>
      <c r="AW267" s="10" t="str">
        <f>INDEX(CarrierDriverTBL!$M:$M,MATCH(Table1[[#This Row],[DriverID]],CarrierDriverTBL!$A:$A,0))</f>
        <v>110 Cordova Ln</v>
      </c>
      <c r="AX267" s="10" t="str">
        <f>INDEX(CarrierDriverTBL!$N:$N,MATCH(Table1[[#This Row],[DriverID]],CarrierDriverTBL!$A:$A,0))</f>
        <v>Stockton</v>
      </c>
      <c r="AY267" s="10" t="str">
        <f>INDEX(CarrierDriverTBL!$O:$O,MATCH(Table1[[#This Row],[DriverID]],CarrierDriverTBL!$A:$A,0))</f>
        <v>CA</v>
      </c>
      <c r="AZ267" s="10">
        <f>INDEX(CarrierDriverTBL!$P:$P,MATCH(Table1[[#This Row],[DriverID]],CarrierDriverTBL!$A:$A,0))</f>
        <v>95207</v>
      </c>
      <c r="BA267" s="10" t="str">
        <f>INDEX(CarrierDriverTBL!$Q:$Q,MATCH(Table1[[#This Row],[DriverID]],CarrierDriverTBL!$A:$A,0))</f>
        <v>US</v>
      </c>
      <c r="BB267" s="173" t="str">
        <f>INDEX(CarrierDriverTBL!$R:$R,MATCH(Table1[[#This Row],[DriverID]],CarrierDriverTBL!$A:$A,0))</f>
        <v>wesleycousain1@gmail.com</v>
      </c>
      <c r="BC267" s="160">
        <f>INDEX(CarrierDriverTBL!$AB:$AB,MATCH(Table1[[#This Row],[DriverID]],CarrierDriverTBL!$A:$A,0))</f>
        <v>42271</v>
      </c>
      <c r="BD267" s="142" t="str">
        <f ca="1">INDEX(CarrierDriverTBL!$AD:$AD,MATCH(LoadMaster!$AN:$AN,CarrierDriverTBL!$A:$A,0))</f>
        <v>MISSING</v>
      </c>
      <c r="BE267" s="142">
        <f>INDEX(CarrierDriverTBL!$AE:$AE,MATCH(Table1[DriverID],CarrierDriverTBL!$A:$A,0))</f>
        <v>913971</v>
      </c>
      <c r="BF267" s="142">
        <f>INDEX(CarrierDriverTBL!$AF:$AF,MATCH(Table1[DriverID],CarrierDriverTBL!$A:$A,0))</f>
        <v>2627544</v>
      </c>
      <c r="BG267" s="142">
        <f>INDEX(CarrierDriverTBL!$AG:$AG,MATCH(Table1[DriverID],CarrierDriverTBL!$A:$A,0))</f>
        <v>466133</v>
      </c>
      <c r="BH267" s="142" t="str">
        <f>INDEX(CarrierDriverTBL!$AH:$AH,MATCH(Table1[DriverID],CarrierDriverTBL!$A:$A,0))</f>
        <v>GM Lawrence Ins</v>
      </c>
      <c r="BI267" s="142" t="str">
        <f>INDEX(CarrierDriverTBL!$AI:$AI,MATCH(Table1[DriverID],CarrierDriverTBL!$A:$A,0))</f>
        <v>DSK2842P160210</v>
      </c>
      <c r="BJ267" s="160">
        <f>INDEX(CarrierDriverTBL!$AJ:$AJ,MATCH(Table1[[#This Row],[DriverID]],CarrierDriverTBL!$A:$A,0))</f>
        <v>42778</v>
      </c>
      <c r="BK267" s="10">
        <f t="shared" si="123"/>
        <v>383</v>
      </c>
      <c r="BL267" s="59">
        <v>500</v>
      </c>
      <c r="BM267" s="144">
        <v>261</v>
      </c>
      <c r="BN267" s="159">
        <f t="shared" si="140"/>
        <v>1.9157088122605364</v>
      </c>
      <c r="BO267" s="167">
        <f>0.93*500</f>
        <v>465</v>
      </c>
      <c r="BP267" s="159">
        <f t="shared" si="141"/>
        <v>1.7816091954022988</v>
      </c>
      <c r="BQ267" s="133">
        <v>2.6</v>
      </c>
      <c r="BR267" s="166">
        <f t="shared" si="142"/>
        <v>0.1166666666666667</v>
      </c>
      <c r="BS267" s="167">
        <f t="shared" si="124"/>
        <v>1.6649425287356321</v>
      </c>
      <c r="BT267" s="159">
        <f t="shared" si="125"/>
        <v>30.450000000000006</v>
      </c>
      <c r="BU267" s="10" t="str">
        <f t="shared" si="126"/>
        <v>Ch Robinson</v>
      </c>
      <c r="BV267" s="15"/>
      <c r="BW267" s="4" t="str">
        <f>Table1[[#This Row],[BrokerAddress]]</f>
        <v>P.O. Box 3474</v>
      </c>
      <c r="BX267" s="4" t="str">
        <f t="shared" si="127"/>
        <v>Chicago</v>
      </c>
      <c r="BY267" s="4" t="str">
        <f t="shared" si="128"/>
        <v>Il</v>
      </c>
      <c r="BZ267" s="4">
        <f t="shared" si="129"/>
        <v>60654</v>
      </c>
      <c r="CA267" s="10" t="str">
        <f t="shared" si="130"/>
        <v>US</v>
      </c>
      <c r="CB267" s="15" t="s">
        <v>131</v>
      </c>
      <c r="CC267" s="62"/>
      <c r="CD267" s="15" t="s">
        <v>132</v>
      </c>
      <c r="CE267" s="64">
        <v>0</v>
      </c>
      <c r="CF267" s="4">
        <v>0</v>
      </c>
      <c r="CG267" s="132">
        <f t="shared" si="131"/>
        <v>0</v>
      </c>
      <c r="CH267" s="4" t="s">
        <v>132</v>
      </c>
      <c r="CI267" s="5">
        <v>0</v>
      </c>
      <c r="CJ267" s="4">
        <v>0</v>
      </c>
      <c r="CK267" s="132">
        <f t="shared" si="132"/>
        <v>0</v>
      </c>
      <c r="CL267" s="4" t="s">
        <v>132</v>
      </c>
      <c r="CM267" s="5">
        <v>0</v>
      </c>
      <c r="CN267" s="4">
        <v>0</v>
      </c>
      <c r="CO267" s="132">
        <f t="shared" si="133"/>
        <v>0</v>
      </c>
      <c r="CP267" s="4" t="s">
        <v>132</v>
      </c>
      <c r="CQ267" s="5">
        <v>0</v>
      </c>
      <c r="CR267" s="4">
        <v>0</v>
      </c>
      <c r="CS267" s="132">
        <f t="shared" si="134"/>
        <v>0</v>
      </c>
      <c r="CT267" s="159">
        <f t="shared" si="135"/>
        <v>0</v>
      </c>
      <c r="CU267" s="168">
        <f t="shared" si="136"/>
        <v>500</v>
      </c>
      <c r="CV267" s="169">
        <f t="shared" si="119"/>
        <v>0</v>
      </c>
      <c r="CW267" s="82">
        <f t="shared" si="120"/>
        <v>465</v>
      </c>
      <c r="CX267" s="79">
        <f>IF(ISBLANK(E267),"AddQuickPay",IF(E267=2,CU267*0.98,IF(E267=2.4,CU267*0.976,IF(E267=3,CU267*0.97,IF(E267=5,CU267*0.95,IF(E267=1.5,CU267*0.985,IF(E267=2.5,CU267*0.975,IF(E267=1.3,CU267*0.987,IF(E267=1,CU267*0.99,IF(E267=4,CU267*0.96,CU267*1))))))))))-Table1[[#This Row],[ComCheck+QuickPayFee]]</f>
        <v>490</v>
      </c>
      <c r="CY267" s="5">
        <f t="shared" si="137"/>
        <v>35</v>
      </c>
      <c r="CZ267" s="5">
        <f t="shared" si="138"/>
        <v>10</v>
      </c>
      <c r="DA267" s="258">
        <f>Table1[[#This Row],[OriginalDispatch]]-Table1[[#This Row],[QuickPayCharge]]</f>
        <v>25</v>
      </c>
      <c r="DB267" s="5">
        <v>0</v>
      </c>
      <c r="DC267" s="5" t="s">
        <v>133</v>
      </c>
      <c r="DD267" s="104">
        <f t="shared" si="139"/>
        <v>42398</v>
      </c>
      <c r="DE267" s="15">
        <f>MONTH(Table1[[#This Row],[Weekending]])</f>
        <v>1</v>
      </c>
      <c r="DF267" s="15">
        <f>YEAR(Table1[[#This Row],[Weekending]])</f>
        <v>2016</v>
      </c>
      <c r="DG267" s="4"/>
    </row>
    <row r="268" spans="1:111">
      <c r="A268" s="20" t="str">
        <f t="shared" si="121"/>
        <v>69010188</v>
      </c>
      <c r="B268" s="146">
        <v>42396</v>
      </c>
      <c r="C268" s="144">
        <v>191225669</v>
      </c>
      <c r="D268" s="298" t="s">
        <v>111</v>
      </c>
      <c r="E268" s="298">
        <v>2</v>
      </c>
      <c r="F268" s="142" t="str">
        <f>INDEX(BrokerTBL!$B:$B,MATCH(D268,BrokerTBL!$A:$A,0))</f>
        <v>P.O. Box 3474</v>
      </c>
      <c r="G268" s="142" t="str">
        <f>INDEX(BrokerTBL!$C:$C,MATCH(D268,BrokerTBL!$A:$A,0))</f>
        <v>Chicago</v>
      </c>
      <c r="H268" s="142" t="str">
        <f>INDEX(BrokerTBL!$D:$D,MATCH(D268,BrokerTBL!$A:$A,0))</f>
        <v>Il</v>
      </c>
      <c r="I268" s="142" t="str">
        <f>INDEX(BrokerTBL!$E:$E,MATCH(D268,BrokerTBL!$A:$A,0))</f>
        <v>US</v>
      </c>
      <c r="J268" s="142">
        <f>INDEX(BrokerTBL!$F:$F,MATCH(D268,BrokerTBL!$A:$A,0))</f>
        <v>60654</v>
      </c>
      <c r="K268" s="298" t="s">
        <v>398</v>
      </c>
      <c r="L268" s="145">
        <v>121270160127001</v>
      </c>
      <c r="M268" s="146">
        <v>42397</v>
      </c>
      <c r="N268" s="144" t="s">
        <v>1960</v>
      </c>
      <c r="O268" s="298" t="s">
        <v>400</v>
      </c>
      <c r="P268" s="298" t="s">
        <v>401</v>
      </c>
      <c r="Q268" s="298" t="s">
        <v>139</v>
      </c>
      <c r="R268" s="298" t="s">
        <v>1961</v>
      </c>
      <c r="S268" s="298" t="s">
        <v>118</v>
      </c>
      <c r="T268" s="298" t="s">
        <v>136</v>
      </c>
      <c r="U268" s="298" t="s">
        <v>120</v>
      </c>
      <c r="V268" s="298">
        <v>53</v>
      </c>
      <c r="W268" s="298" t="s">
        <v>601</v>
      </c>
      <c r="X268" s="185">
        <v>30999</v>
      </c>
      <c r="Y268" s="298" t="s">
        <v>1537</v>
      </c>
      <c r="Z268" s="298">
        <v>0</v>
      </c>
      <c r="AA268" s="298">
        <v>30</v>
      </c>
      <c r="AB268" s="298" t="s">
        <v>123</v>
      </c>
      <c r="AC268" s="298" t="s">
        <v>1540</v>
      </c>
      <c r="AD268" s="145">
        <v>121270160127001</v>
      </c>
      <c r="AE268" s="146">
        <v>42397</v>
      </c>
      <c r="AF268" s="298" t="s">
        <v>1962</v>
      </c>
      <c r="AG268" s="298" t="s">
        <v>764</v>
      </c>
      <c r="AH268" s="298" t="s">
        <v>765</v>
      </c>
      <c r="AI268" s="298" t="s">
        <v>139</v>
      </c>
      <c r="AJ268" s="298" t="s">
        <v>1963</v>
      </c>
      <c r="AK268" s="298" t="s">
        <v>118</v>
      </c>
      <c r="AL268" s="298" t="s">
        <v>123</v>
      </c>
      <c r="AM268" s="142" t="str">
        <f>INDEX(CarrierDriverTBL!$B:$B,MATCH(Table1[[#This Row],[DriverID]],CarrierDriverTBL!$A:$A,0))</f>
        <v>UBTrucking</v>
      </c>
      <c r="AN268" s="10" t="s">
        <v>948</v>
      </c>
      <c r="AO268" s="10" t="str">
        <f>INDEX(CarrierDriverTBL!$C:$C,MATCH(Table1[[#This Row],[DriverID]],CarrierDriverTBL!$A:$A,0))</f>
        <v>Wesley</v>
      </c>
      <c r="AP268" s="10" t="str">
        <f>INDEX(CarrierDriverTBL!$D:$D,MATCH(Table1[[#This Row],[DriverID]],CarrierDriverTBL!$A:$A,0))</f>
        <v>Cousain</v>
      </c>
      <c r="AQ268" s="10" t="str">
        <f>INDEX(CarrierDriverTBL!$X:$X,MATCH(Table1[[#This Row],[DriverID]],CarrierDriverTBL!$A:$A,0))</f>
        <v>D4903588</v>
      </c>
      <c r="AR268" s="11">
        <f>INDEX(CarrierDriverTBL!$Y:$Y,MATCH(Table1[[#This Row],[DriverID]],CarrierDriverTBL!$A:$A,0))</f>
        <v>43458</v>
      </c>
      <c r="AS268" s="142" t="str">
        <f t="shared" si="122"/>
        <v>GOOD</v>
      </c>
      <c r="AT268" s="11">
        <f>INDEX(CarrierDriverTBL!$E:$E,MATCH(Table1[[#This Row],[DriverID]],CarrierDriverTBL!$A:$A,0))</f>
        <v>31405</v>
      </c>
      <c r="AU268" s="163">
        <f ca="1">INDEX(CarrierDriverTBL!$F:$F,MATCH(Table1[[#This Row],[DriverID]],CarrierDriverTBL!$A:$A,0))</f>
        <v>30.605479452054794</v>
      </c>
      <c r="AV268" s="10" t="str">
        <f>INDEX(CarrierDriverTBL!$K:$K,MATCH(Table1[[#This Row],[DriverID]],CarrierDriverTBL!$A:$A,0))</f>
        <v>925-383-5364</v>
      </c>
      <c r="AW268" s="10" t="str">
        <f>INDEX(CarrierDriverTBL!$M:$M,MATCH(Table1[[#This Row],[DriverID]],CarrierDriverTBL!$A:$A,0))</f>
        <v>110 Cordova Ln</v>
      </c>
      <c r="AX268" s="10" t="str">
        <f>INDEX(CarrierDriverTBL!$N:$N,MATCH(Table1[[#This Row],[DriverID]],CarrierDriverTBL!$A:$A,0))</f>
        <v>Stockton</v>
      </c>
      <c r="AY268" s="10" t="str">
        <f>INDEX(CarrierDriverTBL!$O:$O,MATCH(Table1[[#This Row],[DriverID]],CarrierDriverTBL!$A:$A,0))</f>
        <v>CA</v>
      </c>
      <c r="AZ268" s="10">
        <f>INDEX(CarrierDriverTBL!$P:$P,MATCH(Table1[[#This Row],[DriverID]],CarrierDriverTBL!$A:$A,0))</f>
        <v>95207</v>
      </c>
      <c r="BA268" s="10" t="str">
        <f>INDEX(CarrierDriverTBL!$Q:$Q,MATCH(Table1[[#This Row],[DriverID]],CarrierDriverTBL!$A:$A,0))</f>
        <v>US</v>
      </c>
      <c r="BB268" s="173" t="str">
        <f>INDEX(CarrierDriverTBL!$R:$R,MATCH(Table1[[#This Row],[DriverID]],CarrierDriverTBL!$A:$A,0))</f>
        <v>wesleycousain1@gmail.com</v>
      </c>
      <c r="BC268" s="160">
        <f>INDEX(CarrierDriverTBL!$AB:$AB,MATCH(Table1[[#This Row],[DriverID]],CarrierDriverTBL!$A:$A,0))</f>
        <v>42271</v>
      </c>
      <c r="BD268" s="142" t="str">
        <f ca="1">INDEX(CarrierDriverTBL!$AD:$AD,MATCH(LoadMaster!$AN:$AN,CarrierDriverTBL!$A:$A,0))</f>
        <v>MISSING</v>
      </c>
      <c r="BE268" s="142">
        <f>INDEX(CarrierDriverTBL!$AE:$AE,MATCH(Table1[DriverID],CarrierDriverTBL!$A:$A,0))</f>
        <v>913971</v>
      </c>
      <c r="BF268" s="142">
        <f>INDEX(CarrierDriverTBL!$AF:$AF,MATCH(Table1[DriverID],CarrierDriverTBL!$A:$A,0))</f>
        <v>2627544</v>
      </c>
      <c r="BG268" s="142">
        <f>INDEX(CarrierDriverTBL!$AG:$AG,MATCH(Table1[DriverID],CarrierDriverTBL!$A:$A,0))</f>
        <v>466133</v>
      </c>
      <c r="BH268" s="142" t="str">
        <f>INDEX(CarrierDriverTBL!$AH:$AH,MATCH(Table1[DriverID],CarrierDriverTBL!$A:$A,0))</f>
        <v>GM Lawrence Ins</v>
      </c>
      <c r="BI268" s="142" t="str">
        <f>INDEX(CarrierDriverTBL!$AI:$AI,MATCH(Table1[DriverID],CarrierDriverTBL!$A:$A,0))</f>
        <v>DSK2842P160210</v>
      </c>
      <c r="BJ268" s="160">
        <f>INDEX(CarrierDriverTBL!$AJ:$AJ,MATCH(Table1[[#This Row],[DriverID]],CarrierDriverTBL!$A:$A,0))</f>
        <v>42778</v>
      </c>
      <c r="BK268" s="10">
        <f t="shared" si="123"/>
        <v>381</v>
      </c>
      <c r="BL268" s="59">
        <v>600</v>
      </c>
      <c r="BM268" s="144">
        <v>234</v>
      </c>
      <c r="BN268" s="159">
        <f t="shared" si="140"/>
        <v>2.5641025641025643</v>
      </c>
      <c r="BO268" s="167">
        <f>0.93*600</f>
        <v>558</v>
      </c>
      <c r="BP268" s="159">
        <f t="shared" si="141"/>
        <v>2.3846153846153846</v>
      </c>
      <c r="BQ268" s="133">
        <v>2.6</v>
      </c>
      <c r="BR268" s="166">
        <f t="shared" si="142"/>
        <v>0.1166666666666667</v>
      </c>
      <c r="BS268" s="167">
        <f t="shared" si="124"/>
        <v>2.2679487179487179</v>
      </c>
      <c r="BT268" s="159">
        <f t="shared" si="125"/>
        <v>27.300000000000008</v>
      </c>
      <c r="BU268" s="10" t="str">
        <f t="shared" si="126"/>
        <v>Ch Robinson</v>
      </c>
      <c r="BV268" s="15"/>
      <c r="BW268" s="4" t="str">
        <f>Table1[[#This Row],[BrokerAddress]]</f>
        <v>P.O. Box 3474</v>
      </c>
      <c r="BX268" s="4" t="str">
        <f t="shared" si="127"/>
        <v>Chicago</v>
      </c>
      <c r="BY268" s="4" t="str">
        <f t="shared" si="128"/>
        <v>Il</v>
      </c>
      <c r="BZ268" s="4">
        <f t="shared" si="129"/>
        <v>60654</v>
      </c>
      <c r="CA268" s="10" t="str">
        <f t="shared" si="130"/>
        <v>US</v>
      </c>
      <c r="CB268" s="15" t="s">
        <v>131</v>
      </c>
      <c r="CC268" s="62"/>
      <c r="CD268" s="15" t="s">
        <v>149</v>
      </c>
      <c r="CE268" s="64">
        <v>35</v>
      </c>
      <c r="CF268" s="4">
        <v>3</v>
      </c>
      <c r="CG268" s="132">
        <f t="shared" si="131"/>
        <v>105</v>
      </c>
      <c r="CH268" s="4" t="s">
        <v>132</v>
      </c>
      <c r="CI268" s="5">
        <v>0</v>
      </c>
      <c r="CJ268" s="4">
        <v>0</v>
      </c>
      <c r="CK268" s="132">
        <f t="shared" si="132"/>
        <v>0</v>
      </c>
      <c r="CL268" s="4" t="s">
        <v>132</v>
      </c>
      <c r="CM268" s="5">
        <v>0</v>
      </c>
      <c r="CN268" s="4">
        <v>0</v>
      </c>
      <c r="CO268" s="132">
        <f t="shared" si="133"/>
        <v>0</v>
      </c>
      <c r="CP268" s="4" t="s">
        <v>132</v>
      </c>
      <c r="CQ268" s="5">
        <v>0</v>
      </c>
      <c r="CR268" s="4">
        <v>0</v>
      </c>
      <c r="CS268" s="132">
        <f t="shared" si="134"/>
        <v>0</v>
      </c>
      <c r="CT268" s="159">
        <f t="shared" si="135"/>
        <v>105</v>
      </c>
      <c r="CU268" s="168">
        <f t="shared" si="136"/>
        <v>705</v>
      </c>
      <c r="CV268" s="169">
        <f t="shared" si="119"/>
        <v>97.65</v>
      </c>
      <c r="CW268" s="82">
        <f t="shared" si="120"/>
        <v>655.65</v>
      </c>
      <c r="CX268" s="79">
        <f>IF(ISBLANK(E268),"AddQuickPay",IF(E268=2,CU268*0.98,IF(E268=2.4,CU268*0.976,IF(E268=3,CU268*0.97,IF(E268=5,CU268*0.95,IF(E268=1.5,CU268*0.985,IF(E268=2.5,CU268*0.975,IF(E268=1.3,CU268*0.987,IF(E268=1,CU268*0.99,IF(E268=4,CU268*0.96,CU268*1))))))))))-Table1[[#This Row],[ComCheck+QuickPayFee]]</f>
        <v>690.9</v>
      </c>
      <c r="CY268" s="5">
        <f t="shared" si="137"/>
        <v>49.350000000000023</v>
      </c>
      <c r="CZ268" s="5">
        <f t="shared" si="138"/>
        <v>14.1</v>
      </c>
      <c r="DA268" s="258">
        <f>Table1[[#This Row],[OriginalDispatch]]-Table1[[#This Row],[QuickPayCharge]]</f>
        <v>35.250000000000021</v>
      </c>
      <c r="DB268" s="5">
        <v>0</v>
      </c>
      <c r="DC268" s="5" t="s">
        <v>133</v>
      </c>
      <c r="DD268" s="104">
        <f t="shared" si="139"/>
        <v>42398</v>
      </c>
      <c r="DE268" s="15">
        <f>MONTH(Table1[[#This Row],[Weekending]])</f>
        <v>1</v>
      </c>
      <c r="DF268" s="15">
        <f>YEAR(Table1[[#This Row],[Weekending]])</f>
        <v>2016</v>
      </c>
      <c r="DG268" s="4"/>
    </row>
    <row r="269" spans="1:111">
      <c r="A269" s="20" t="str">
        <f t="shared" si="121"/>
        <v>24002488</v>
      </c>
      <c r="B269" s="146">
        <v>42401</v>
      </c>
      <c r="C269" s="144">
        <v>2764324</v>
      </c>
      <c r="D269" s="298" t="s">
        <v>1964</v>
      </c>
      <c r="E269" s="298">
        <v>1.5</v>
      </c>
      <c r="F269" s="298" t="str">
        <f>INDEX(BrokerTBL!$B:$B,MATCH(D269,BrokerTBL!$A:$A,0))</f>
        <v>Po Box 9349</v>
      </c>
      <c r="G269" s="298" t="str">
        <f>INDEX(BrokerTBL!$C:$C,MATCH(D269,BrokerTBL!$A:$A,0))</f>
        <v>Louisville</v>
      </c>
      <c r="H269" s="142" t="str">
        <f>INDEX(BrokerTBL!$D:$D,MATCH(D269,BrokerTBL!$A:$A,0))</f>
        <v>Ky</v>
      </c>
      <c r="I269" s="142" t="str">
        <f>INDEX(BrokerTBL!$E:$E,MATCH(D269,BrokerTBL!$A:$A,0))</f>
        <v>US</v>
      </c>
      <c r="J269" s="298">
        <f>INDEX(BrokerTBL!$F:$F,MATCH(D269,BrokerTBL!$A:$A,0))</f>
        <v>40209</v>
      </c>
      <c r="K269" s="298" t="s">
        <v>1965</v>
      </c>
      <c r="L269" s="145" t="s">
        <v>1966</v>
      </c>
      <c r="M269" s="146">
        <v>42398</v>
      </c>
      <c r="N269" s="178">
        <v>0.72916666666666696</v>
      </c>
      <c r="O269" s="298" t="s">
        <v>457</v>
      </c>
      <c r="P269" s="298" t="s">
        <v>458</v>
      </c>
      <c r="Q269" s="298" t="s">
        <v>139</v>
      </c>
      <c r="R269" s="298">
        <v>95654</v>
      </c>
      <c r="S269" s="298" t="s">
        <v>118</v>
      </c>
      <c r="T269" s="298" t="s">
        <v>1967</v>
      </c>
      <c r="U269" s="298" t="s">
        <v>120</v>
      </c>
      <c r="V269" s="298">
        <v>53</v>
      </c>
      <c r="W269" s="298" t="s">
        <v>123</v>
      </c>
      <c r="X269" s="144" t="s">
        <v>123</v>
      </c>
      <c r="Y269" s="298" t="s">
        <v>123</v>
      </c>
      <c r="Z269" s="298" t="s">
        <v>123</v>
      </c>
      <c r="AA269" s="298" t="s">
        <v>123</v>
      </c>
      <c r="AB269" s="298" t="s">
        <v>123</v>
      </c>
      <c r="AC269" s="298" t="s">
        <v>1968</v>
      </c>
      <c r="AD269" s="145" t="s">
        <v>1969</v>
      </c>
      <c r="AE269" s="146">
        <v>42401</v>
      </c>
      <c r="AF269" s="182">
        <v>0.29166666666666702</v>
      </c>
      <c r="AG269" s="298" t="s">
        <v>1970</v>
      </c>
      <c r="AH269" s="298" t="s">
        <v>1971</v>
      </c>
      <c r="AI269" s="298" t="s">
        <v>139</v>
      </c>
      <c r="AJ269" s="298">
        <v>91950</v>
      </c>
      <c r="AK269" s="298" t="s">
        <v>118</v>
      </c>
      <c r="AL269" s="298" t="s">
        <v>1972</v>
      </c>
      <c r="AM269" s="142" t="str">
        <f>INDEX(CarrierDriverTBL!$B:$B,MATCH(Table1[[#This Row],[DriverID]],CarrierDriverTBL!$A:$A,0))</f>
        <v>UBTrucking</v>
      </c>
      <c r="AN269" s="10" t="s">
        <v>948</v>
      </c>
      <c r="AO269" s="10" t="str">
        <f>INDEX(CarrierDriverTBL!$C:$C,MATCH(Table1[[#This Row],[DriverID]],CarrierDriverTBL!$A:$A,0))</f>
        <v>Wesley</v>
      </c>
      <c r="AP269" s="10" t="str">
        <f>INDEX(CarrierDriverTBL!$D:$D,MATCH(Table1[[#This Row],[DriverID]],CarrierDriverTBL!$A:$A,0))</f>
        <v>Cousain</v>
      </c>
      <c r="AQ269" s="10" t="str">
        <f>INDEX(CarrierDriverTBL!$X:$X,MATCH(Table1[[#This Row],[DriverID]],CarrierDriverTBL!$A:$A,0))</f>
        <v>D4903588</v>
      </c>
      <c r="AR269" s="11">
        <f>INDEX(CarrierDriverTBL!$Y:$Y,MATCH(Table1[[#This Row],[DriverID]],CarrierDriverTBL!$A:$A,0))</f>
        <v>43458</v>
      </c>
      <c r="AS269" s="142" t="str">
        <f t="shared" si="122"/>
        <v>GOOD</v>
      </c>
      <c r="AT269" s="11">
        <f>INDEX(CarrierDriverTBL!$E:$E,MATCH(Table1[[#This Row],[DriverID]],CarrierDriverTBL!$A:$A,0))</f>
        <v>31405</v>
      </c>
      <c r="AU269" s="163">
        <f ca="1">INDEX(CarrierDriverTBL!$F:$F,MATCH(Table1[[#This Row],[DriverID]],CarrierDriverTBL!$A:$A,0))</f>
        <v>30.605479452054794</v>
      </c>
      <c r="AV269" s="10" t="str">
        <f>INDEX(CarrierDriverTBL!$K:$K,MATCH(Table1[[#This Row],[DriverID]],CarrierDriverTBL!$A:$A,0))</f>
        <v>925-383-5364</v>
      </c>
      <c r="AW269" s="10" t="str">
        <f>INDEX(CarrierDriverTBL!$M:$M,MATCH(Table1[[#This Row],[DriverID]],CarrierDriverTBL!$A:$A,0))</f>
        <v>110 Cordova Ln</v>
      </c>
      <c r="AX269" s="10" t="str">
        <f>INDEX(CarrierDriverTBL!$N:$N,MATCH(Table1[[#This Row],[DriverID]],CarrierDriverTBL!$A:$A,0))</f>
        <v>Stockton</v>
      </c>
      <c r="AY269" s="10" t="str">
        <f>INDEX(CarrierDriverTBL!$O:$O,MATCH(Table1[[#This Row],[DriverID]],CarrierDriverTBL!$A:$A,0))</f>
        <v>CA</v>
      </c>
      <c r="AZ269" s="10">
        <f>INDEX(CarrierDriverTBL!$P:$P,MATCH(Table1[[#This Row],[DriverID]],CarrierDriverTBL!$A:$A,0))</f>
        <v>95207</v>
      </c>
      <c r="BA269" s="10" t="str">
        <f>INDEX(CarrierDriverTBL!$Q:$Q,MATCH(Table1[[#This Row],[DriverID]],CarrierDriverTBL!$A:$A,0))</f>
        <v>US</v>
      </c>
      <c r="BB269" s="173" t="str">
        <f>INDEX(CarrierDriverTBL!$R:$R,MATCH(Table1[[#This Row],[DriverID]],CarrierDriverTBL!$A:$A,0))</f>
        <v>wesleycousain1@gmail.com</v>
      </c>
      <c r="BC269" s="160">
        <f>INDEX(CarrierDriverTBL!$AB:$AB,MATCH(Table1[[#This Row],[DriverID]],CarrierDriverTBL!$A:$A,0))</f>
        <v>42271</v>
      </c>
      <c r="BD269" s="142" t="str">
        <f ca="1">INDEX(CarrierDriverTBL!$AD:$AD,MATCH(LoadMaster!$AN:$AN,CarrierDriverTBL!$A:$A,0))</f>
        <v>MISSING</v>
      </c>
      <c r="BE269" s="142">
        <f>INDEX(CarrierDriverTBL!$AE:$AE,MATCH(Table1[DriverID],CarrierDriverTBL!$A:$A,0))</f>
        <v>913971</v>
      </c>
      <c r="BF269" s="142">
        <f>INDEX(CarrierDriverTBL!$AF:$AF,MATCH(Table1[DriverID],CarrierDriverTBL!$A:$A,0))</f>
        <v>2627544</v>
      </c>
      <c r="BG269" s="142">
        <f>INDEX(CarrierDriverTBL!$AG:$AG,MATCH(Table1[DriverID],CarrierDriverTBL!$A:$A,0))</f>
        <v>466133</v>
      </c>
      <c r="BH269" s="142" t="str">
        <f>INDEX(CarrierDriverTBL!$AH:$AH,MATCH(Table1[DriverID],CarrierDriverTBL!$A:$A,0))</f>
        <v>GM Lawrence Ins</v>
      </c>
      <c r="BI269" s="142" t="str">
        <f>INDEX(CarrierDriverTBL!$AI:$AI,MATCH(Table1[DriverID],CarrierDriverTBL!$A:$A,0))</f>
        <v>DSK2842P160210</v>
      </c>
      <c r="BJ269" s="160">
        <f>INDEX(CarrierDriverTBL!$AJ:$AJ,MATCH(Table1[[#This Row],[DriverID]],CarrierDriverTBL!$A:$A,0))</f>
        <v>42778</v>
      </c>
      <c r="BK269" s="10">
        <f t="shared" si="123"/>
        <v>380</v>
      </c>
      <c r="BL269" s="59">
        <v>600</v>
      </c>
      <c r="BM269" s="144">
        <v>511</v>
      </c>
      <c r="BN269" s="159">
        <f t="shared" si="140"/>
        <v>1.1741682974559686</v>
      </c>
      <c r="BO269" s="167">
        <f>0.93*BL269</f>
        <v>558</v>
      </c>
      <c r="BP269" s="159">
        <f t="shared" si="141"/>
        <v>1.0919765166340509</v>
      </c>
      <c r="BQ269" s="133">
        <v>2.6</v>
      </c>
      <c r="BR269" s="166">
        <f t="shared" si="142"/>
        <v>0.1166666666666667</v>
      </c>
      <c r="BS269" s="167">
        <f t="shared" si="124"/>
        <v>0.97530984996738423</v>
      </c>
      <c r="BT269" s="159">
        <f t="shared" si="125"/>
        <v>59.616666666666681</v>
      </c>
      <c r="BU269" s="10" t="str">
        <f t="shared" si="126"/>
        <v>Us Xpress Logistics</v>
      </c>
      <c r="BV269" s="15" t="s">
        <v>1973</v>
      </c>
      <c r="BW269" s="4" t="str">
        <f>Table1[[#This Row],[BrokerAddress]]</f>
        <v>Po Box 9349</v>
      </c>
      <c r="BX269" s="4" t="str">
        <f t="shared" si="127"/>
        <v>Louisville</v>
      </c>
      <c r="BY269" s="4" t="str">
        <f t="shared" si="128"/>
        <v>Ky</v>
      </c>
      <c r="BZ269" s="4">
        <f t="shared" si="129"/>
        <v>40209</v>
      </c>
      <c r="CA269" s="10" t="str">
        <f t="shared" si="130"/>
        <v>US</v>
      </c>
      <c r="CB269" s="15" t="s">
        <v>131</v>
      </c>
      <c r="CC269" s="62"/>
      <c r="CD269" s="15" t="s">
        <v>132</v>
      </c>
      <c r="CE269" s="64">
        <v>0</v>
      </c>
      <c r="CF269" s="4">
        <v>0</v>
      </c>
      <c r="CG269" s="132">
        <f t="shared" si="131"/>
        <v>0</v>
      </c>
      <c r="CH269" s="4" t="s">
        <v>132</v>
      </c>
      <c r="CI269" s="5">
        <v>0</v>
      </c>
      <c r="CJ269" s="4">
        <v>0</v>
      </c>
      <c r="CK269" s="132">
        <f t="shared" si="132"/>
        <v>0</v>
      </c>
      <c r="CL269" s="4" t="s">
        <v>132</v>
      </c>
      <c r="CM269" s="5">
        <v>0</v>
      </c>
      <c r="CN269" s="4">
        <v>0</v>
      </c>
      <c r="CO269" s="132">
        <f t="shared" si="133"/>
        <v>0</v>
      </c>
      <c r="CP269" s="4" t="s">
        <v>132</v>
      </c>
      <c r="CQ269" s="5">
        <v>0</v>
      </c>
      <c r="CR269" s="4">
        <v>0</v>
      </c>
      <c r="CS269" s="132">
        <f t="shared" si="134"/>
        <v>0</v>
      </c>
      <c r="CT269" s="159">
        <f t="shared" si="135"/>
        <v>0</v>
      </c>
      <c r="CU269" s="168">
        <f t="shared" si="136"/>
        <v>600</v>
      </c>
      <c r="CV269" s="169">
        <f t="shared" si="119"/>
        <v>0</v>
      </c>
      <c r="CW269" s="82">
        <f t="shared" si="120"/>
        <v>558</v>
      </c>
      <c r="CX269" s="79">
        <f>IF(ISBLANK(E269),"AddQuickPay",IF(E269=2,CU269*0.98,IF(E269=2.4,CU269*0.976,IF(E269=3,CU269*0.97,IF(E269=5,CU269*0.95,IF(E269=1.5,CU269*0.985,IF(E269=2.5,CU269*0.975,IF(E269=1.3,CU269*0.987,IF(E269=1,CU269*0.99,IF(E269=4,CU269*0.96,CU269*1))))))))))-Table1[[#This Row],[ComCheck+QuickPayFee]]</f>
        <v>591</v>
      </c>
      <c r="CY269" s="5">
        <f t="shared" si="137"/>
        <v>42</v>
      </c>
      <c r="CZ269" s="5">
        <f t="shared" si="138"/>
        <v>9</v>
      </c>
      <c r="DA269" s="258">
        <f>Table1[[#This Row],[OriginalDispatch]]-Table1[[#This Row],[QuickPayCharge]]</f>
        <v>33</v>
      </c>
      <c r="DB269" s="5">
        <v>0</v>
      </c>
      <c r="DC269" s="5" t="s">
        <v>133</v>
      </c>
      <c r="DD269" s="104">
        <f t="shared" si="139"/>
        <v>42398</v>
      </c>
      <c r="DE269" s="15">
        <f>MONTH(Table1[[#This Row],[Weekending]])</f>
        <v>1</v>
      </c>
      <c r="DF269" s="15">
        <f>YEAR(Table1[[#This Row],[Weekending]])</f>
        <v>2016</v>
      </c>
      <c r="DG269" s="4"/>
    </row>
    <row r="270" spans="1:111">
      <c r="A270" s="20" t="str">
        <f t="shared" si="121"/>
        <v>22wnwn88</v>
      </c>
      <c r="B270" s="146">
        <v>42398</v>
      </c>
      <c r="C270" s="144">
        <v>6556322</v>
      </c>
      <c r="D270" s="298" t="s">
        <v>555</v>
      </c>
      <c r="E270" s="298">
        <v>3</v>
      </c>
      <c r="F270" s="298" t="str">
        <f>INDEX(BrokerTBL!$B:$B,MATCH(D270,BrokerTBL!$A:$A,0))</f>
        <v>P.O. Box 799</v>
      </c>
      <c r="G270" s="298" t="str">
        <f>INDEX(BrokerTBL!$C:$C,MATCH(D270,BrokerTBL!$A:$A,0))</f>
        <v>Milford</v>
      </c>
      <c r="H270" s="142" t="str">
        <f>INDEX(BrokerTBL!$D:$D,MATCH(D270,BrokerTBL!$A:$A,0))</f>
        <v>Ohio</v>
      </c>
      <c r="I270" s="142" t="str">
        <f>INDEX(BrokerTBL!$E:$E,MATCH(D270,BrokerTBL!$A:$A,0))</f>
        <v>US</v>
      </c>
      <c r="J270" s="298">
        <f>INDEX(BrokerTBL!$F:$F,MATCH(D270,BrokerTBL!$A:$A,0))</f>
        <v>45150</v>
      </c>
      <c r="K270" s="298" t="s">
        <v>1974</v>
      </c>
      <c r="L270" s="145" t="s">
        <v>1205</v>
      </c>
      <c r="M270" s="146">
        <v>42398</v>
      </c>
      <c r="N270" s="144" t="s">
        <v>1975</v>
      </c>
      <c r="O270" s="298" t="s">
        <v>1976</v>
      </c>
      <c r="P270" s="298" t="s">
        <v>1977</v>
      </c>
      <c r="Q270" s="298" t="s">
        <v>139</v>
      </c>
      <c r="R270" s="298">
        <v>94550</v>
      </c>
      <c r="S270" s="298" t="s">
        <v>118</v>
      </c>
      <c r="T270" s="298" t="s">
        <v>123</v>
      </c>
      <c r="U270" s="298" t="s">
        <v>120</v>
      </c>
      <c r="V270" s="298">
        <v>53</v>
      </c>
      <c r="W270" s="298" t="s">
        <v>894</v>
      </c>
      <c r="X270" s="185">
        <v>20000</v>
      </c>
      <c r="Y270" s="298" t="s">
        <v>1859</v>
      </c>
      <c r="Z270" s="298">
        <v>1</v>
      </c>
      <c r="AA270" s="298" t="s">
        <v>123</v>
      </c>
      <c r="AB270" s="298" t="s">
        <v>123</v>
      </c>
      <c r="AC270" s="298" t="s">
        <v>1978</v>
      </c>
      <c r="AD270" s="145" t="s">
        <v>1205</v>
      </c>
      <c r="AE270" s="146">
        <v>42398</v>
      </c>
      <c r="AF270" s="298" t="s">
        <v>1979</v>
      </c>
      <c r="AG270" s="298" t="s">
        <v>1980</v>
      </c>
      <c r="AH270" s="298" t="s">
        <v>366</v>
      </c>
      <c r="AI270" s="298" t="s">
        <v>139</v>
      </c>
      <c r="AJ270" s="298">
        <v>95776</v>
      </c>
      <c r="AK270" s="298" t="s">
        <v>118</v>
      </c>
      <c r="AL270" s="298" t="s">
        <v>123</v>
      </c>
      <c r="AM270" s="142" t="str">
        <f>INDEX(CarrierDriverTBL!$B:$B,MATCH(Table1[[#This Row],[DriverID]],CarrierDriverTBL!$A:$A,0))</f>
        <v>UBTrucking</v>
      </c>
      <c r="AN270" s="10" t="s">
        <v>948</v>
      </c>
      <c r="AO270" s="10" t="str">
        <f>INDEX(CarrierDriverTBL!$C:$C,MATCH(Table1[[#This Row],[DriverID]],CarrierDriverTBL!$A:$A,0))</f>
        <v>Wesley</v>
      </c>
      <c r="AP270" s="10" t="str">
        <f>INDEX(CarrierDriverTBL!$D:$D,MATCH(Table1[[#This Row],[DriverID]],CarrierDriverTBL!$A:$A,0))</f>
        <v>Cousain</v>
      </c>
      <c r="AQ270" s="10" t="str">
        <f>INDEX(CarrierDriverTBL!$X:$X,MATCH(Table1[[#This Row],[DriverID]],CarrierDriverTBL!$A:$A,0))</f>
        <v>D4903588</v>
      </c>
      <c r="AR270" s="11">
        <f>INDEX(CarrierDriverTBL!$Y:$Y,MATCH(Table1[[#This Row],[DriverID]],CarrierDriverTBL!$A:$A,0))</f>
        <v>43458</v>
      </c>
      <c r="AS270" s="142" t="str">
        <f t="shared" si="122"/>
        <v>GOOD</v>
      </c>
      <c r="AT270" s="11">
        <f>INDEX(CarrierDriverTBL!$E:$E,MATCH(Table1[[#This Row],[DriverID]],CarrierDriverTBL!$A:$A,0))</f>
        <v>31405</v>
      </c>
      <c r="AU270" s="163">
        <f ca="1">INDEX(CarrierDriverTBL!$F:$F,MATCH(Table1[[#This Row],[DriverID]],CarrierDriverTBL!$A:$A,0))</f>
        <v>30.605479452054794</v>
      </c>
      <c r="AV270" s="10" t="str">
        <f>INDEX(CarrierDriverTBL!$K:$K,MATCH(Table1[[#This Row],[DriverID]],CarrierDriverTBL!$A:$A,0))</f>
        <v>925-383-5364</v>
      </c>
      <c r="AW270" s="10" t="str">
        <f>INDEX(CarrierDriverTBL!$M:$M,MATCH(Table1[[#This Row],[DriverID]],CarrierDriverTBL!$A:$A,0))</f>
        <v>110 Cordova Ln</v>
      </c>
      <c r="AX270" s="10" t="str">
        <f>INDEX(CarrierDriverTBL!$N:$N,MATCH(Table1[[#This Row],[DriverID]],CarrierDriverTBL!$A:$A,0))</f>
        <v>Stockton</v>
      </c>
      <c r="AY270" s="10" t="str">
        <f>INDEX(CarrierDriverTBL!$O:$O,MATCH(Table1[[#This Row],[DriverID]],CarrierDriverTBL!$A:$A,0))</f>
        <v>CA</v>
      </c>
      <c r="AZ270" s="10">
        <f>INDEX(CarrierDriverTBL!$P:$P,MATCH(Table1[[#This Row],[DriverID]],CarrierDriverTBL!$A:$A,0))</f>
        <v>95207</v>
      </c>
      <c r="BA270" s="10" t="str">
        <f>INDEX(CarrierDriverTBL!$Q:$Q,MATCH(Table1[[#This Row],[DriverID]],CarrierDriverTBL!$A:$A,0))</f>
        <v>US</v>
      </c>
      <c r="BB270" s="173" t="str">
        <f>INDEX(CarrierDriverTBL!$R:$R,MATCH(Table1[[#This Row],[DriverID]],CarrierDriverTBL!$A:$A,0))</f>
        <v>wesleycousain1@gmail.com</v>
      </c>
      <c r="BC270" s="160">
        <f>INDEX(CarrierDriverTBL!$AB:$AB,MATCH(Table1[[#This Row],[DriverID]],CarrierDriverTBL!$A:$A,0))</f>
        <v>42271</v>
      </c>
      <c r="BD270" s="142" t="str">
        <f ca="1">INDEX(CarrierDriverTBL!$AD:$AD,MATCH(LoadMaster!$AN:$AN,CarrierDriverTBL!$A:$A,0))</f>
        <v>MISSING</v>
      </c>
      <c r="BE270" s="142">
        <f>INDEX(CarrierDriverTBL!$AE:$AE,MATCH(Table1[DriverID],CarrierDriverTBL!$A:$A,0))</f>
        <v>913971</v>
      </c>
      <c r="BF270" s="142">
        <f>INDEX(CarrierDriverTBL!$AF:$AF,MATCH(Table1[DriverID],CarrierDriverTBL!$A:$A,0))</f>
        <v>2627544</v>
      </c>
      <c r="BG270" s="142">
        <f>INDEX(CarrierDriverTBL!$AG:$AG,MATCH(Table1[DriverID],CarrierDriverTBL!$A:$A,0))</f>
        <v>466133</v>
      </c>
      <c r="BH270" s="142" t="str">
        <f>INDEX(CarrierDriverTBL!$AH:$AH,MATCH(Table1[DriverID],CarrierDriverTBL!$A:$A,0))</f>
        <v>GM Lawrence Ins</v>
      </c>
      <c r="BI270" s="142" t="str">
        <f>INDEX(CarrierDriverTBL!$AI:$AI,MATCH(Table1[DriverID],CarrierDriverTBL!$A:$A,0))</f>
        <v>DSK2842P160210</v>
      </c>
      <c r="BJ270" s="160">
        <f>INDEX(CarrierDriverTBL!$AJ:$AJ,MATCH(Table1[[#This Row],[DriverID]],CarrierDriverTBL!$A:$A,0))</f>
        <v>42778</v>
      </c>
      <c r="BK270" s="10">
        <f t="shared" si="123"/>
        <v>380</v>
      </c>
      <c r="BL270" s="59">
        <v>250</v>
      </c>
      <c r="BM270" s="144">
        <v>93</v>
      </c>
      <c r="BN270" s="159">
        <f t="shared" si="140"/>
        <v>2.6881720430107525</v>
      </c>
      <c r="BO270" s="167">
        <f>0.93*250</f>
        <v>232.5</v>
      </c>
      <c r="BP270" s="159">
        <f t="shared" si="141"/>
        <v>2.5</v>
      </c>
      <c r="BQ270" s="133">
        <v>2.6</v>
      </c>
      <c r="BR270" s="166">
        <f t="shared" si="142"/>
        <v>0.1166666666666667</v>
      </c>
      <c r="BS270" s="167">
        <f t="shared" si="124"/>
        <v>2.3833333333333333</v>
      </c>
      <c r="BT270" s="159">
        <f t="shared" si="125"/>
        <v>10.850000000000003</v>
      </c>
      <c r="BU270" s="10" t="str">
        <f t="shared" si="126"/>
        <v>Tql</v>
      </c>
      <c r="BV270" s="15"/>
      <c r="BW270" s="4" t="str">
        <f>Table1[[#This Row],[BrokerAddress]]</f>
        <v>P.O. Box 799</v>
      </c>
      <c r="BX270" s="4" t="str">
        <f t="shared" si="127"/>
        <v>Milford</v>
      </c>
      <c r="BY270" s="4" t="str">
        <f t="shared" si="128"/>
        <v>Ohio</v>
      </c>
      <c r="BZ270" s="4">
        <f t="shared" si="129"/>
        <v>45150</v>
      </c>
      <c r="CA270" s="10" t="str">
        <f t="shared" si="130"/>
        <v>US</v>
      </c>
      <c r="CB270" s="15" t="s">
        <v>131</v>
      </c>
      <c r="CC270" s="62"/>
      <c r="CD270" s="15" t="s">
        <v>149</v>
      </c>
      <c r="CE270" s="64">
        <v>40</v>
      </c>
      <c r="CF270" s="4">
        <v>1</v>
      </c>
      <c r="CG270" s="132">
        <f t="shared" si="131"/>
        <v>40</v>
      </c>
      <c r="CH270" s="4" t="s">
        <v>132</v>
      </c>
      <c r="CI270" s="5">
        <v>0</v>
      </c>
      <c r="CJ270" s="4">
        <v>0</v>
      </c>
      <c r="CK270" s="132">
        <f t="shared" si="132"/>
        <v>0</v>
      </c>
      <c r="CL270" s="4" t="s">
        <v>132</v>
      </c>
      <c r="CM270" s="5">
        <v>0</v>
      </c>
      <c r="CN270" s="4">
        <v>0</v>
      </c>
      <c r="CO270" s="132">
        <f t="shared" si="133"/>
        <v>0</v>
      </c>
      <c r="CP270" s="4" t="s">
        <v>132</v>
      </c>
      <c r="CQ270" s="5">
        <v>0</v>
      </c>
      <c r="CR270" s="4">
        <v>0</v>
      </c>
      <c r="CS270" s="132">
        <f t="shared" si="134"/>
        <v>0</v>
      </c>
      <c r="CT270" s="159">
        <f t="shared" si="135"/>
        <v>40</v>
      </c>
      <c r="CU270" s="168">
        <f t="shared" si="136"/>
        <v>290</v>
      </c>
      <c r="CV270" s="169">
        <f t="shared" si="119"/>
        <v>37.200000000000003</v>
      </c>
      <c r="CW270" s="82">
        <f t="shared" si="120"/>
        <v>269.7</v>
      </c>
      <c r="CX270" s="79">
        <f>IF(ISBLANK(E270),"AddQuickPay",IF(E270=2,CU270*0.98,IF(E270=2.4,CU270*0.976,IF(E270=3,CU270*0.97,IF(E270=5,CU270*0.95,IF(E270=1.5,CU270*0.985,IF(E270=2.5,CU270*0.975,IF(E270=1.3,CU270*0.987,IF(E270=1,CU270*0.99,IF(E270=4,CU270*0.96,CU270*1))))))))))-Table1[[#This Row],[ComCheck+QuickPayFee]]</f>
        <v>281.3</v>
      </c>
      <c r="CY270" s="5">
        <f t="shared" si="137"/>
        <v>20.300000000000011</v>
      </c>
      <c r="CZ270" s="5">
        <f t="shared" si="138"/>
        <v>8.6999999999999993</v>
      </c>
      <c r="DA270" s="258">
        <f>Table1[[#This Row],[OriginalDispatch]]-Table1[[#This Row],[QuickPayCharge]]</f>
        <v>11.600000000000012</v>
      </c>
      <c r="DB270" s="5">
        <v>0</v>
      </c>
      <c r="DC270" s="5" t="s">
        <v>133</v>
      </c>
      <c r="DD270" s="104">
        <f t="shared" si="139"/>
        <v>42398</v>
      </c>
      <c r="DE270" s="15">
        <f>MONTH(Table1[[#This Row],[Weekending]])</f>
        <v>1</v>
      </c>
      <c r="DF270" s="15">
        <f>YEAR(Table1[[#This Row],[Weekending]])</f>
        <v>2016</v>
      </c>
      <c r="DG270" s="4"/>
    </row>
    <row r="271" spans="1:111">
      <c r="A271" s="20" t="str">
        <f t="shared" si="121"/>
        <v>35wnwn49</v>
      </c>
      <c r="B271" s="146">
        <v>42401</v>
      </c>
      <c r="C271" s="144">
        <v>156835</v>
      </c>
      <c r="D271" s="298" t="s">
        <v>278</v>
      </c>
      <c r="E271" s="144">
        <v>5</v>
      </c>
      <c r="F271" s="298" t="str">
        <f>INDEX(BrokerTBL!$B:$B,MATCH(D271,BrokerTBL!$A:$A,0))</f>
        <v>P.O Box 94520</v>
      </c>
      <c r="G271" s="298" t="str">
        <f>INDEX(BrokerTBL!$C:$C,MATCH(D271,BrokerTBL!$A:$A,0))</f>
        <v>North Little Rock</v>
      </c>
      <c r="H271" s="142" t="str">
        <f>INDEX(BrokerTBL!$D:$D,MATCH(D271,BrokerTBL!$A:$A,0))</f>
        <v>Ar</v>
      </c>
      <c r="I271" s="142" t="str">
        <f>INDEX(BrokerTBL!$E:$E,MATCH(D271,BrokerTBL!$A:$A,0))</f>
        <v>US</v>
      </c>
      <c r="J271" s="298">
        <f>INDEX(BrokerTBL!$F:$F,MATCH(D271,BrokerTBL!$A:$A,0))</f>
        <v>72190</v>
      </c>
      <c r="K271" s="298" t="s">
        <v>279</v>
      </c>
      <c r="L271" s="145" t="s">
        <v>1205</v>
      </c>
      <c r="M271" s="146">
        <v>42401</v>
      </c>
      <c r="N271" s="144" t="s">
        <v>1723</v>
      </c>
      <c r="O271" s="298" t="s">
        <v>1011</v>
      </c>
      <c r="P271" s="298" t="s">
        <v>1012</v>
      </c>
      <c r="Q271" s="298" t="s">
        <v>139</v>
      </c>
      <c r="R271" s="298">
        <v>94565</v>
      </c>
      <c r="S271" s="298" t="s">
        <v>118</v>
      </c>
      <c r="T271" s="298" t="s">
        <v>1981</v>
      </c>
      <c r="U271" s="298" t="s">
        <v>120</v>
      </c>
      <c r="V271" s="298">
        <v>53</v>
      </c>
      <c r="W271" s="298" t="s">
        <v>1982</v>
      </c>
      <c r="X271" s="144" t="s">
        <v>1983</v>
      </c>
      <c r="Y271" s="298" t="s">
        <v>1566</v>
      </c>
      <c r="Z271" s="298">
        <v>17</v>
      </c>
      <c r="AA271" s="298" t="s">
        <v>123</v>
      </c>
      <c r="AB271" s="298" t="s">
        <v>123</v>
      </c>
      <c r="AC271" s="298" t="s">
        <v>1984</v>
      </c>
      <c r="AD271" s="145" t="s">
        <v>1205</v>
      </c>
      <c r="AE271" s="146">
        <v>42401</v>
      </c>
      <c r="AF271" s="298" t="s">
        <v>1985</v>
      </c>
      <c r="AG271" s="298" t="s">
        <v>1481</v>
      </c>
      <c r="AH271" s="298" t="s">
        <v>470</v>
      </c>
      <c r="AI271" s="298" t="s">
        <v>139</v>
      </c>
      <c r="AJ271" s="298">
        <v>9392</v>
      </c>
      <c r="AK271" s="298" t="s">
        <v>118</v>
      </c>
      <c r="AL271" s="298" t="s">
        <v>1986</v>
      </c>
      <c r="AM271" s="142" t="str">
        <f>INDEX(CarrierDriverTBL!$B:$B,MATCH(Table1[[#This Row],[DriverID]],CarrierDriverTBL!$A:$A,0))</f>
        <v>UBTrucking</v>
      </c>
      <c r="AN271" s="10" t="s">
        <v>192</v>
      </c>
      <c r="AO271" s="10" t="str">
        <f>INDEX(CarrierDriverTBL!$C:$C,MATCH(Table1[[#This Row],[DriverID]],CarrierDriverTBL!$A:$A,0))</f>
        <v>Albel</v>
      </c>
      <c r="AP271" s="142" t="str">
        <f>INDEX(CarrierDriverTBL!$D:$D,MATCH(Table1[[#This Row],[DriverID]],CarrierDriverTBL!$A:$A,0))</f>
        <v>Chahil</v>
      </c>
      <c r="AQ271" s="142" t="str">
        <f>INDEX(CarrierDriverTBL!$X:$X,MATCH(Table1[[#This Row],[DriverID]],CarrierDriverTBL!$A:$A,0))</f>
        <v>A8390649</v>
      </c>
      <c r="AR271" s="160">
        <f>INDEX(CarrierDriverTBL!$Y:$Y,MATCH(Table1[[#This Row],[DriverID]],CarrierDriverTBL!$A:$A,0))</f>
        <v>42402</v>
      </c>
      <c r="AS271" s="142" t="str">
        <f t="shared" si="122"/>
        <v>GOOD</v>
      </c>
      <c r="AT271" s="160">
        <f>INDEX(CarrierDriverTBL!$E:$E,MATCH(Table1[[#This Row],[DriverID]],CarrierDriverTBL!$A:$A,0))</f>
        <v>22314</v>
      </c>
      <c r="AU271" s="163">
        <f ca="1">INDEX(CarrierDriverTBL!$F:$F,MATCH(Table1[[#This Row],[DriverID]],CarrierDriverTBL!$A:$A,0))</f>
        <v>55.512328767123286</v>
      </c>
      <c r="AV271" s="142" t="str">
        <f>INDEX(CarrierDriverTBL!$K:$K,MATCH(Table1[[#This Row],[DriverID]],CarrierDriverTBL!$A:$A,0))</f>
        <v>510-773-9450</v>
      </c>
      <c r="AW271" s="142" t="str">
        <f>INDEX(CarrierDriverTBL!$M:$M,MATCH(Table1[[#This Row],[DriverID]],CarrierDriverTBL!$A:$A,0))</f>
        <v>3124 Cynthia CT</v>
      </c>
      <c r="AX271" s="142" t="str">
        <f>INDEX(CarrierDriverTBL!$N:$N,MATCH(Table1[[#This Row],[DriverID]],CarrierDriverTBL!$A:$A,0))</f>
        <v>Tracy</v>
      </c>
      <c r="AY271" s="142" t="str">
        <f>INDEX(CarrierDriverTBL!$O:$O,MATCH(Table1[[#This Row],[DriverID]],CarrierDriverTBL!$A:$A,0))</f>
        <v>CA</v>
      </c>
      <c r="AZ271" s="142">
        <f>INDEX(CarrierDriverTBL!$P:$P,MATCH(Table1[[#This Row],[DriverID]],CarrierDriverTBL!$A:$A,0))</f>
        <v>95377</v>
      </c>
      <c r="BA271" s="142" t="str">
        <f>INDEX(CarrierDriverTBL!$Q:$Q,MATCH(Table1[[#This Row],[DriverID]],CarrierDriverTBL!$A:$A,0))</f>
        <v>US</v>
      </c>
      <c r="BB271" s="176" t="str">
        <f>INDEX(CarrierDriverTBL!$R:$R,MATCH(Table1[[#This Row],[DriverID]],CarrierDriverTBL!$A:$A,0))</f>
        <v>ubgollc@gmail.com</v>
      </c>
      <c r="BC271" s="160">
        <f>INDEX(CarrierDriverTBL!$AB:$AB,MATCH(Table1[[#This Row],[DriverID]],CarrierDriverTBL!$A:$A,0))</f>
        <v>42167</v>
      </c>
      <c r="BD271" s="142" t="str">
        <f ca="1">INDEX(CarrierDriverTBL!$AD:$AD,MATCH(LoadMaster!$AN:$AN,CarrierDriverTBL!$A:$A,0))</f>
        <v>MISSING</v>
      </c>
      <c r="BE271" s="142">
        <f>INDEX(CarrierDriverTBL!$AE:$AE,MATCH(Table1[DriverID],CarrierDriverTBL!$A:$A,0))</f>
        <v>913971</v>
      </c>
      <c r="BF271" s="142">
        <f>INDEX(CarrierDriverTBL!$AF:$AF,MATCH(Table1[DriverID],CarrierDriverTBL!$A:$A,0))</f>
        <v>2627544</v>
      </c>
      <c r="BG271" s="142">
        <f>INDEX(CarrierDriverTBL!$AG:$AG,MATCH(Table1[DriverID],CarrierDriverTBL!$A:$A,0))</f>
        <v>466133</v>
      </c>
      <c r="BH271" s="142" t="str">
        <f>INDEX(CarrierDriverTBL!$AH:$AH,MATCH(Table1[DriverID],CarrierDriverTBL!$A:$A,0))</f>
        <v>GM Lawrence Ins</v>
      </c>
      <c r="BI271" s="142" t="str">
        <f>INDEX(CarrierDriverTBL!$AI:$AI,MATCH(Table1[DriverID],CarrierDriverTBL!$A:$A,0))</f>
        <v>DSK2842P160210</v>
      </c>
      <c r="BJ271" s="160">
        <f>INDEX(CarrierDriverTBL!$AJ:$AJ,MATCH(Table1[[#This Row],[DriverID]],CarrierDriverTBL!$A:$A,0))</f>
        <v>42778</v>
      </c>
      <c r="BK271" s="10">
        <f t="shared" si="123"/>
        <v>377</v>
      </c>
      <c r="BL271" s="59">
        <v>350</v>
      </c>
      <c r="BM271" s="144">
        <v>120</v>
      </c>
      <c r="BN271" s="159">
        <f t="shared" si="140"/>
        <v>2.9166666666666665</v>
      </c>
      <c r="BO271" s="167">
        <v>325</v>
      </c>
      <c r="BP271" s="159">
        <f t="shared" si="141"/>
        <v>2.7083333333333335</v>
      </c>
      <c r="BQ271" s="133">
        <v>2.6</v>
      </c>
      <c r="BR271" s="166">
        <f t="shared" si="142"/>
        <v>0.1166666666666667</v>
      </c>
      <c r="BS271" s="167">
        <f t="shared" si="124"/>
        <v>2.5916666666666668</v>
      </c>
      <c r="BT271" s="159">
        <f t="shared" si="125"/>
        <v>14.000000000000004</v>
      </c>
      <c r="BU271" s="10" t="str">
        <f t="shared" si="126"/>
        <v>Pinnacle Transportation Logistics</v>
      </c>
      <c r="BV271" s="15" t="s">
        <v>1925</v>
      </c>
      <c r="BW271" s="4" t="str">
        <f>Table1[[#This Row],[BrokerAddress]]</f>
        <v>P.O Box 94520</v>
      </c>
      <c r="BX271" s="4" t="str">
        <f t="shared" si="127"/>
        <v>North Little Rock</v>
      </c>
      <c r="BY271" s="4" t="str">
        <f t="shared" si="128"/>
        <v>Ar</v>
      </c>
      <c r="BZ271" s="4">
        <f t="shared" si="129"/>
        <v>72190</v>
      </c>
      <c r="CA271" s="10" t="str">
        <f t="shared" si="130"/>
        <v>US</v>
      </c>
      <c r="CB271" s="15" t="s">
        <v>131</v>
      </c>
      <c r="CC271" s="62"/>
      <c r="CD271" s="15" t="s">
        <v>132</v>
      </c>
      <c r="CE271" s="64">
        <v>0</v>
      </c>
      <c r="CF271" s="4">
        <v>0</v>
      </c>
      <c r="CG271" s="132">
        <f t="shared" si="131"/>
        <v>0</v>
      </c>
      <c r="CH271" s="4" t="s">
        <v>132</v>
      </c>
      <c r="CI271" s="5">
        <v>0</v>
      </c>
      <c r="CJ271" s="4">
        <v>0</v>
      </c>
      <c r="CK271" s="132">
        <f t="shared" si="132"/>
        <v>0</v>
      </c>
      <c r="CL271" s="4" t="s">
        <v>132</v>
      </c>
      <c r="CM271" s="5">
        <v>0</v>
      </c>
      <c r="CN271" s="4">
        <v>0</v>
      </c>
      <c r="CO271" s="132">
        <f t="shared" si="133"/>
        <v>0</v>
      </c>
      <c r="CP271" s="4" t="s">
        <v>132</v>
      </c>
      <c r="CQ271" s="5">
        <v>0</v>
      </c>
      <c r="CR271" s="4">
        <v>0</v>
      </c>
      <c r="CS271" s="132">
        <f t="shared" si="134"/>
        <v>0</v>
      </c>
      <c r="CT271" s="159">
        <f t="shared" si="135"/>
        <v>0</v>
      </c>
      <c r="CU271" s="168">
        <f t="shared" si="136"/>
        <v>350</v>
      </c>
      <c r="CV271" s="169">
        <f t="shared" si="119"/>
        <v>0</v>
      </c>
      <c r="CW271" s="82">
        <f t="shared" si="120"/>
        <v>325</v>
      </c>
      <c r="CX271" s="79">
        <f>IF(ISBLANK(E271),"AddQuickPay",IF(E271=2,CU271*0.98,IF(E271=2.4,CU271*0.976,IF(E271=3,CU271*0.97,IF(E271=5,CU271*0.95,IF(E271=1.5,CU271*0.985,IF(E271=2.5,CU271*0.975,IF(E271=1.3,CU271*0.987,IF(E271=1,CU271*0.99,IF(E271=4,CU271*0.96,CU271*1))))))))))-Table1[[#This Row],[ComCheck+QuickPayFee]]</f>
        <v>332.5</v>
      </c>
      <c r="CY271" s="5">
        <f t="shared" si="137"/>
        <v>25</v>
      </c>
      <c r="CZ271" s="5">
        <f t="shared" si="138"/>
        <v>17.5</v>
      </c>
      <c r="DA271" s="258">
        <f>Table1[[#This Row],[OriginalDispatch]]-Table1[[#This Row],[QuickPayCharge]]</f>
        <v>7.5</v>
      </c>
      <c r="DB271" s="5">
        <v>0</v>
      </c>
      <c r="DC271" s="5" t="s">
        <v>133</v>
      </c>
      <c r="DD271" s="104">
        <f t="shared" si="139"/>
        <v>42405</v>
      </c>
      <c r="DE271" s="15">
        <f>MONTH(Table1[[#This Row],[Weekending]])</f>
        <v>2</v>
      </c>
      <c r="DF271" s="15">
        <f>YEAR(Table1[[#This Row],[Weekending]])</f>
        <v>2016</v>
      </c>
      <c r="DG271" s="4"/>
    </row>
    <row r="272" spans="1:111">
      <c r="A272" s="20" t="str">
        <f t="shared" si="121"/>
        <v>58242419</v>
      </c>
      <c r="B272" s="146">
        <v>42401</v>
      </c>
      <c r="C272" s="144">
        <v>192065758</v>
      </c>
      <c r="D272" s="298" t="s">
        <v>111</v>
      </c>
      <c r="E272" s="298">
        <v>2</v>
      </c>
      <c r="F272" s="142" t="str">
        <f>INDEX(BrokerTBL!$B:$B,MATCH(D272,BrokerTBL!$A:$A,0))</f>
        <v>P.O. Box 3474</v>
      </c>
      <c r="G272" s="142" t="str">
        <f>INDEX(BrokerTBL!$C:$C,MATCH(D272,BrokerTBL!$A:$A,0))</f>
        <v>Chicago</v>
      </c>
      <c r="H272" s="142" t="str">
        <f>INDEX(BrokerTBL!$D:$D,MATCH(D272,BrokerTBL!$A:$A,0))</f>
        <v>Il</v>
      </c>
      <c r="I272" s="142" t="str">
        <f>INDEX(BrokerTBL!$E:$E,MATCH(D272,BrokerTBL!$A:$A,0))</f>
        <v>US</v>
      </c>
      <c r="J272" s="142">
        <f>INDEX(BrokerTBL!$F:$F,MATCH(D272,BrokerTBL!$A:$A,0))</f>
        <v>60654</v>
      </c>
      <c r="K272" s="298" t="s">
        <v>1816</v>
      </c>
      <c r="L272" s="145">
        <v>3656936124</v>
      </c>
      <c r="M272" s="146">
        <v>42401</v>
      </c>
      <c r="N272" s="144" t="s">
        <v>1987</v>
      </c>
      <c r="O272" s="298" t="s">
        <v>1817</v>
      </c>
      <c r="P272" s="298" t="s">
        <v>380</v>
      </c>
      <c r="Q272" s="298" t="s">
        <v>139</v>
      </c>
      <c r="R272" s="298" t="s">
        <v>1988</v>
      </c>
      <c r="S272" s="298" t="s">
        <v>118</v>
      </c>
      <c r="T272" s="298" t="s">
        <v>123</v>
      </c>
      <c r="U272" s="298" t="s">
        <v>120</v>
      </c>
      <c r="V272" s="298">
        <v>53</v>
      </c>
      <c r="W272" s="298" t="s">
        <v>1989</v>
      </c>
      <c r="X272" s="185">
        <v>37500</v>
      </c>
      <c r="Y272" s="298" t="s">
        <v>1537</v>
      </c>
      <c r="Z272" s="298" t="s">
        <v>123</v>
      </c>
      <c r="AA272" s="298" t="s">
        <v>123</v>
      </c>
      <c r="AB272" s="298" t="s">
        <v>123</v>
      </c>
      <c r="AC272" s="298" t="s">
        <v>903</v>
      </c>
      <c r="AD272" s="145">
        <v>3656936124</v>
      </c>
      <c r="AE272" s="146">
        <v>42402</v>
      </c>
      <c r="AF272" s="298" t="s">
        <v>1055</v>
      </c>
      <c r="AG272" s="298" t="s">
        <v>1393</v>
      </c>
      <c r="AH272" s="298" t="s">
        <v>906</v>
      </c>
      <c r="AI272" s="298" t="s">
        <v>139</v>
      </c>
      <c r="AJ272" s="298">
        <v>95449</v>
      </c>
      <c r="AK272" s="298" t="s">
        <v>118</v>
      </c>
      <c r="AL272" s="298" t="s">
        <v>123</v>
      </c>
      <c r="AM272" s="142" t="str">
        <f>INDEX(CarrierDriverTBL!$B:$B,MATCH(Table1[[#This Row],[DriverID]],CarrierDriverTBL!$A:$A,0))</f>
        <v>UBTrucking</v>
      </c>
      <c r="AN272" s="10" t="s">
        <v>1409</v>
      </c>
      <c r="AO272" s="298" t="str">
        <f>INDEX(CarrierDriverTBL!$C:$C,MATCH(Table1[[#This Row],[DriverID]],CarrierDriverTBL!$A:$A,0))</f>
        <v>Miguel Jaime</v>
      </c>
      <c r="AP272" s="298" t="str">
        <f>INDEX(CarrierDriverTBL!$D:$D,MATCH(Table1[[#This Row],[DriverID]],CarrierDriverTBL!$A:$A,0))</f>
        <v>Martin Del Campo Velarca</v>
      </c>
      <c r="AQ272" s="142" t="str">
        <f>INDEX(CarrierDriverTBL!$X:$X,MATCH(Table1[[#This Row],[DriverID]],CarrierDriverTBL!$A:$A,0))</f>
        <v>D5179619</v>
      </c>
      <c r="AR272" s="160">
        <f>INDEX(CarrierDriverTBL!$Y:$Y,MATCH(Table1[[#This Row],[DriverID]],CarrierDriverTBL!$A:$A,0))</f>
        <v>43843</v>
      </c>
      <c r="AS272" s="142" t="str">
        <f t="shared" si="122"/>
        <v>GOOD</v>
      </c>
      <c r="AT272" s="146">
        <f>INDEX(CarrierDriverTBL!$E:$E,MATCH(Table1[[#This Row],[DriverID]],CarrierDriverTBL!$A:$A,0))</f>
        <v>21198</v>
      </c>
      <c r="AU272" s="163">
        <f ca="1">INDEX(CarrierDriverTBL!$F:$F,MATCH(Table1[[#This Row],[DriverID]],CarrierDriverTBL!$A:$A,0))</f>
        <v>58.56986301369863</v>
      </c>
      <c r="AV272" s="298" t="str">
        <f>INDEX(CarrierDriverTBL!$K:$K,MATCH(Table1[[#This Row],[DriverID]],CarrierDriverTBL!$A:$A,0))</f>
        <v>209-322-5231</v>
      </c>
      <c r="AW272" s="298" t="str">
        <f>INDEX(CarrierDriverTBL!$M:$M,MATCH(Table1[[#This Row],[DriverID]],CarrierDriverTBL!$A:$A,0))</f>
        <v>572 Predersen RD</v>
      </c>
      <c r="AX272" s="298" t="str">
        <f>INDEX(CarrierDriverTBL!$N:$N,MATCH(Table1[[#This Row],[DriverID]],CarrierDriverTBL!$A:$A,0))</f>
        <v>Oakdale</v>
      </c>
      <c r="AY272" s="142" t="str">
        <f>INDEX(CarrierDriverTBL!$O:$O,MATCH(Table1[[#This Row],[DriverID]],CarrierDriverTBL!$A:$A,0))</f>
        <v>CA</v>
      </c>
      <c r="AZ272" s="298">
        <f>INDEX(CarrierDriverTBL!$P:$P,MATCH(Table1[[#This Row],[DriverID]],CarrierDriverTBL!$A:$A,0))</f>
        <v>95361</v>
      </c>
      <c r="BA272" s="298" t="str">
        <f>INDEX(CarrierDriverTBL!$Q:$Q,MATCH(Table1[[#This Row],[DriverID]],CarrierDriverTBL!$A:$A,0))</f>
        <v>US</v>
      </c>
      <c r="BB272" s="176" t="str">
        <f>INDEX(CarrierDriverTBL!$R:$R,MATCH(Table1[[#This Row],[DriverID]],CarrierDriverTBL!$A:$A,0))</f>
        <v>Miguelmartin52@yahoo.com</v>
      </c>
      <c r="BC272" s="160">
        <f>INDEX(CarrierDriverTBL!$AB:$AB,MATCH(Table1[[#This Row],[DriverID]],CarrierDriverTBL!$A:$A,0))</f>
        <v>42334</v>
      </c>
      <c r="BD272" s="142" t="str">
        <f ca="1">INDEX(CarrierDriverTBL!$AD:$AD,MATCH(LoadMaster!$AN:$AN,CarrierDriverTBL!$A:$A,0))</f>
        <v>MISSING</v>
      </c>
      <c r="BE272" s="142">
        <f>INDEX(CarrierDriverTBL!$AE:$AE,MATCH(Table1[DriverID],CarrierDriverTBL!$A:$A,0))</f>
        <v>913971</v>
      </c>
      <c r="BF272" s="142">
        <f>INDEX(CarrierDriverTBL!$AF:$AF,MATCH(Table1[DriverID],CarrierDriverTBL!$A:$A,0))</f>
        <v>2627544</v>
      </c>
      <c r="BG272" s="142">
        <f>INDEX(CarrierDriverTBL!$AG:$AG,MATCH(Table1[DriverID],CarrierDriverTBL!$A:$A,0))</f>
        <v>466133</v>
      </c>
      <c r="BH272" s="142" t="str">
        <f>INDEX(CarrierDriverTBL!$AH:$AH,MATCH(Table1[DriverID],CarrierDriverTBL!$A:$A,0))</f>
        <v>GM Lawrence Ins</v>
      </c>
      <c r="BI272" s="142" t="str">
        <f>INDEX(CarrierDriverTBL!$AI:$AI,MATCH(Table1[DriverID],CarrierDriverTBL!$A:$A,0))</f>
        <v>DSK2842P160210</v>
      </c>
      <c r="BJ272" s="160">
        <f>INDEX(CarrierDriverTBL!$AJ:$AJ,MATCH(Table1[[#This Row],[DriverID]],CarrierDriverTBL!$A:$A,0))</f>
        <v>42778</v>
      </c>
      <c r="BK272" s="10">
        <f t="shared" si="123"/>
        <v>377</v>
      </c>
      <c r="BL272" s="59">
        <v>450</v>
      </c>
      <c r="BM272" s="144">
        <v>155</v>
      </c>
      <c r="BN272" s="159">
        <f t="shared" si="140"/>
        <v>2.903225806451613</v>
      </c>
      <c r="BO272" s="167">
        <f>0.93*450</f>
        <v>418.5</v>
      </c>
      <c r="BP272" s="159">
        <f t="shared" si="141"/>
        <v>2.7</v>
      </c>
      <c r="BQ272" s="133">
        <v>2.6</v>
      </c>
      <c r="BR272" s="166">
        <f t="shared" si="142"/>
        <v>0.1166666666666667</v>
      </c>
      <c r="BS272" s="167">
        <f t="shared" si="124"/>
        <v>2.5833333333333335</v>
      </c>
      <c r="BT272" s="159">
        <f t="shared" si="125"/>
        <v>18.083333333333339</v>
      </c>
      <c r="BU272" s="10" t="str">
        <f t="shared" si="126"/>
        <v>Ch Robinson</v>
      </c>
      <c r="BV272" s="15"/>
      <c r="BW272" s="4" t="str">
        <f>Table1[[#This Row],[BrokerAddress]]</f>
        <v>P.O. Box 3474</v>
      </c>
      <c r="BX272" s="4" t="str">
        <f t="shared" si="127"/>
        <v>Chicago</v>
      </c>
      <c r="BY272" s="4" t="str">
        <f t="shared" si="128"/>
        <v>Il</v>
      </c>
      <c r="BZ272" s="4">
        <f t="shared" si="129"/>
        <v>60654</v>
      </c>
      <c r="CA272" s="10" t="str">
        <f t="shared" si="130"/>
        <v>US</v>
      </c>
      <c r="CB272" s="15" t="s">
        <v>131</v>
      </c>
      <c r="CC272" s="62"/>
      <c r="CD272" s="15" t="s">
        <v>1990</v>
      </c>
      <c r="CE272" s="64">
        <v>340</v>
      </c>
      <c r="CF272" s="4">
        <v>1</v>
      </c>
      <c r="CG272" s="132">
        <f t="shared" si="131"/>
        <v>340</v>
      </c>
      <c r="CH272" s="4" t="s">
        <v>132</v>
      </c>
      <c r="CI272" s="5">
        <v>0</v>
      </c>
      <c r="CJ272" s="4">
        <v>0</v>
      </c>
      <c r="CK272" s="132">
        <f t="shared" si="132"/>
        <v>0</v>
      </c>
      <c r="CL272" s="4" t="s">
        <v>132</v>
      </c>
      <c r="CM272" s="5">
        <v>0</v>
      </c>
      <c r="CN272" s="4">
        <v>0</v>
      </c>
      <c r="CO272" s="132">
        <f t="shared" si="133"/>
        <v>0</v>
      </c>
      <c r="CP272" s="4" t="s">
        <v>132</v>
      </c>
      <c r="CQ272" s="5">
        <v>0</v>
      </c>
      <c r="CR272" s="4">
        <v>0</v>
      </c>
      <c r="CS272" s="132">
        <f t="shared" si="134"/>
        <v>0</v>
      </c>
      <c r="CT272" s="159">
        <f t="shared" si="135"/>
        <v>340</v>
      </c>
      <c r="CU272" s="168">
        <f t="shared" si="136"/>
        <v>790</v>
      </c>
      <c r="CV272" s="169">
        <f t="shared" si="119"/>
        <v>316.2</v>
      </c>
      <c r="CW272" s="82">
        <f t="shared" si="120"/>
        <v>734.7</v>
      </c>
      <c r="CX272" s="79">
        <f>IF(ISBLANK(E272),"AddQuickPay",IF(E272=2,CU272*0.98,IF(E272=2.4,CU272*0.976,IF(E272=3,CU272*0.97,IF(E272=5,CU272*0.95,IF(E272=1.5,CU272*0.985,IF(E272=2.5,CU272*0.975,IF(E272=1.3,CU272*0.987,IF(E272=1,CU272*0.99,IF(E272=4,CU272*0.96,CU272*1))))))))))-Table1[[#This Row],[ComCheck+QuickPayFee]]</f>
        <v>774.19999999999993</v>
      </c>
      <c r="CY272" s="5">
        <f t="shared" si="137"/>
        <v>55.299999999999955</v>
      </c>
      <c r="CZ272" s="5">
        <f t="shared" si="138"/>
        <v>15.8</v>
      </c>
      <c r="DA272" s="258">
        <f>Table1[[#This Row],[OriginalDispatch]]-Table1[[#This Row],[QuickPayCharge]]</f>
        <v>39.499999999999957</v>
      </c>
      <c r="DB272" s="5">
        <v>0</v>
      </c>
      <c r="DC272" s="5" t="s">
        <v>133</v>
      </c>
      <c r="DD272" s="104">
        <f t="shared" si="139"/>
        <v>42405</v>
      </c>
      <c r="DE272" s="15">
        <f>MONTH(Table1[[#This Row],[Weekending]])</f>
        <v>2</v>
      </c>
      <c r="DF272" s="15">
        <f>YEAR(Table1[[#This Row],[Weekending]])</f>
        <v>2016</v>
      </c>
      <c r="DG272" s="4"/>
    </row>
    <row r="273" spans="1:111">
      <c r="A273" s="20" t="str">
        <f t="shared" si="121"/>
        <v>106B6B49</v>
      </c>
      <c r="B273" s="146">
        <v>42401</v>
      </c>
      <c r="C273" s="144">
        <v>191030510</v>
      </c>
      <c r="D273" s="298" t="s">
        <v>111</v>
      </c>
      <c r="E273" s="298">
        <v>2</v>
      </c>
      <c r="F273" s="142" t="str">
        <f>INDEX(BrokerTBL!$B:$B,MATCH(D273,BrokerTBL!$A:$A,0))</f>
        <v>P.O. Box 3474</v>
      </c>
      <c r="G273" s="142" t="str">
        <f>INDEX(BrokerTBL!$C:$C,MATCH(D273,BrokerTBL!$A:$A,0))</f>
        <v>Chicago</v>
      </c>
      <c r="H273" s="142" t="str">
        <f>INDEX(BrokerTBL!$D:$D,MATCH(D273,BrokerTBL!$A:$A,0))</f>
        <v>Il</v>
      </c>
      <c r="I273" s="142" t="str">
        <f>INDEX(BrokerTBL!$E:$E,MATCH(D273,BrokerTBL!$A:$A,0))</f>
        <v>US</v>
      </c>
      <c r="J273" s="142">
        <f>INDEX(BrokerTBL!$F:$F,MATCH(D273,BrokerTBL!$A:$A,0))</f>
        <v>60654</v>
      </c>
      <c r="K273" s="298" t="s">
        <v>1336</v>
      </c>
      <c r="L273" s="145" t="s">
        <v>1991</v>
      </c>
      <c r="M273" s="146">
        <v>42401</v>
      </c>
      <c r="N273" s="144" t="s">
        <v>1359</v>
      </c>
      <c r="O273" s="298" t="s">
        <v>1338</v>
      </c>
      <c r="P273" s="298" t="s">
        <v>414</v>
      </c>
      <c r="Q273" s="298" t="s">
        <v>139</v>
      </c>
      <c r="R273" s="298" t="s">
        <v>1992</v>
      </c>
      <c r="S273" s="298" t="s">
        <v>118</v>
      </c>
      <c r="T273" s="298" t="s">
        <v>123</v>
      </c>
      <c r="U273" s="298" t="s">
        <v>120</v>
      </c>
      <c r="V273" s="298">
        <v>53</v>
      </c>
      <c r="W273" s="298" t="s">
        <v>1339</v>
      </c>
      <c r="X273" s="185">
        <v>41492</v>
      </c>
      <c r="Y273" s="298" t="s">
        <v>1537</v>
      </c>
      <c r="Z273" s="185">
        <v>1320</v>
      </c>
      <c r="AA273" s="298">
        <v>22</v>
      </c>
      <c r="AB273" s="298" t="s">
        <v>123</v>
      </c>
      <c r="AC273" s="298" t="s">
        <v>1993</v>
      </c>
      <c r="AD273" s="145" t="s">
        <v>1994</v>
      </c>
      <c r="AE273" s="146">
        <v>42402</v>
      </c>
      <c r="AF273" s="298" t="s">
        <v>1150</v>
      </c>
      <c r="AG273" s="298" t="s">
        <v>1995</v>
      </c>
      <c r="AH273" s="298" t="s">
        <v>184</v>
      </c>
      <c r="AI273" s="298" t="s">
        <v>139</v>
      </c>
      <c r="AJ273" s="298" t="s">
        <v>1996</v>
      </c>
      <c r="AK273" s="298" t="s">
        <v>118</v>
      </c>
      <c r="AL273" s="298" t="s">
        <v>123</v>
      </c>
      <c r="AM273" s="142" t="str">
        <f>INDEX(CarrierDriverTBL!$B:$B,MATCH(Table1[[#This Row],[DriverID]],CarrierDriverTBL!$A:$A,0))</f>
        <v>UBTrucking</v>
      </c>
      <c r="AN273" s="10" t="s">
        <v>192</v>
      </c>
      <c r="AO273" s="10" t="str">
        <f>INDEX(CarrierDriverTBL!$C:$C,MATCH(Table1[[#This Row],[DriverID]],CarrierDriverTBL!$A:$A,0))</f>
        <v>Albel</v>
      </c>
      <c r="AP273" s="142" t="str">
        <f>INDEX(CarrierDriverTBL!$D:$D,MATCH(Table1[[#This Row],[DriverID]],CarrierDriverTBL!$A:$A,0))</f>
        <v>Chahil</v>
      </c>
      <c r="AQ273" s="142" t="str">
        <f>INDEX(CarrierDriverTBL!$X:$X,MATCH(Table1[[#This Row],[DriverID]],CarrierDriverTBL!$A:$A,0))</f>
        <v>A8390649</v>
      </c>
      <c r="AR273" s="160">
        <f>INDEX(CarrierDriverTBL!$Y:$Y,MATCH(Table1[[#This Row],[DriverID]],CarrierDriverTBL!$A:$A,0))</f>
        <v>42402</v>
      </c>
      <c r="AS273" s="142" t="str">
        <f t="shared" si="122"/>
        <v>GOOD</v>
      </c>
      <c r="AT273" s="160">
        <f>INDEX(CarrierDriverTBL!$E:$E,MATCH(Table1[[#This Row],[DriverID]],CarrierDriverTBL!$A:$A,0))</f>
        <v>22314</v>
      </c>
      <c r="AU273" s="163">
        <f ca="1">INDEX(CarrierDriverTBL!$F:$F,MATCH(Table1[[#This Row],[DriverID]],CarrierDriverTBL!$A:$A,0))</f>
        <v>55.512328767123286</v>
      </c>
      <c r="AV273" s="142" t="str">
        <f>INDEX(CarrierDriverTBL!$K:$K,MATCH(Table1[[#This Row],[DriverID]],CarrierDriverTBL!$A:$A,0))</f>
        <v>510-773-9450</v>
      </c>
      <c r="AW273" s="142" t="str">
        <f>INDEX(CarrierDriverTBL!$M:$M,MATCH(Table1[[#This Row],[DriverID]],CarrierDriverTBL!$A:$A,0))</f>
        <v>3124 Cynthia CT</v>
      </c>
      <c r="AX273" s="142" t="str">
        <f>INDEX(CarrierDriverTBL!$N:$N,MATCH(Table1[[#This Row],[DriverID]],CarrierDriverTBL!$A:$A,0))</f>
        <v>Tracy</v>
      </c>
      <c r="AY273" s="142" t="str">
        <f>INDEX(CarrierDriverTBL!$O:$O,MATCH(Table1[[#This Row],[DriverID]],CarrierDriverTBL!$A:$A,0))</f>
        <v>CA</v>
      </c>
      <c r="AZ273" s="142">
        <f>INDEX(CarrierDriverTBL!$P:$P,MATCH(Table1[[#This Row],[DriverID]],CarrierDriverTBL!$A:$A,0))</f>
        <v>95377</v>
      </c>
      <c r="BA273" s="142" t="str">
        <f>INDEX(CarrierDriverTBL!$Q:$Q,MATCH(Table1[[#This Row],[DriverID]],CarrierDriverTBL!$A:$A,0))</f>
        <v>US</v>
      </c>
      <c r="BB273" s="176" t="str">
        <f>INDEX(CarrierDriverTBL!$R:$R,MATCH(Table1[[#This Row],[DriverID]],CarrierDriverTBL!$A:$A,0))</f>
        <v>ubgollc@gmail.com</v>
      </c>
      <c r="BC273" s="160">
        <f>INDEX(CarrierDriverTBL!$AB:$AB,MATCH(Table1[[#This Row],[DriverID]],CarrierDriverTBL!$A:$A,0))</f>
        <v>42167</v>
      </c>
      <c r="BD273" s="142" t="str">
        <f ca="1">INDEX(CarrierDriverTBL!$AD:$AD,MATCH(LoadMaster!$AN:$AN,CarrierDriverTBL!$A:$A,0))</f>
        <v>MISSING</v>
      </c>
      <c r="BE273" s="142">
        <f>INDEX(CarrierDriverTBL!$AE:$AE,MATCH(Table1[DriverID],CarrierDriverTBL!$A:$A,0))</f>
        <v>913971</v>
      </c>
      <c r="BF273" s="142">
        <f>INDEX(CarrierDriverTBL!$AF:$AF,MATCH(Table1[DriverID],CarrierDriverTBL!$A:$A,0))</f>
        <v>2627544</v>
      </c>
      <c r="BG273" s="142">
        <f>INDEX(CarrierDriverTBL!$AG:$AG,MATCH(Table1[DriverID],CarrierDriverTBL!$A:$A,0))</f>
        <v>466133</v>
      </c>
      <c r="BH273" s="142" t="str">
        <f>INDEX(CarrierDriverTBL!$AH:$AH,MATCH(Table1[DriverID],CarrierDriverTBL!$A:$A,0))</f>
        <v>GM Lawrence Ins</v>
      </c>
      <c r="BI273" s="142" t="str">
        <f>INDEX(CarrierDriverTBL!$AI:$AI,MATCH(Table1[DriverID],CarrierDriverTBL!$A:$A,0))</f>
        <v>DSK2842P160210</v>
      </c>
      <c r="BJ273" s="160">
        <f>INDEX(CarrierDriverTBL!$AJ:$AJ,MATCH(Table1[[#This Row],[DriverID]],CarrierDriverTBL!$A:$A,0))</f>
        <v>42778</v>
      </c>
      <c r="BK273" s="10">
        <f t="shared" si="123"/>
        <v>377</v>
      </c>
      <c r="BL273" s="59">
        <v>325</v>
      </c>
      <c r="BM273" s="144">
        <v>130</v>
      </c>
      <c r="BN273" s="159">
        <f t="shared" si="140"/>
        <v>2.5</v>
      </c>
      <c r="BO273" s="167">
        <v>300</v>
      </c>
      <c r="BP273" s="159">
        <f t="shared" si="141"/>
        <v>2.3076923076923075</v>
      </c>
      <c r="BQ273" s="133">
        <v>2.6</v>
      </c>
      <c r="BR273" s="166">
        <f t="shared" si="142"/>
        <v>0.1166666666666667</v>
      </c>
      <c r="BS273" s="167">
        <f t="shared" si="124"/>
        <v>2.1910256410256408</v>
      </c>
      <c r="BT273" s="159">
        <f t="shared" si="125"/>
        <v>15.166666666666671</v>
      </c>
      <c r="BU273" s="10" t="str">
        <f t="shared" si="126"/>
        <v>Ch Robinson</v>
      </c>
      <c r="BV273" s="15" t="s">
        <v>1925</v>
      </c>
      <c r="BW273" s="4" t="str">
        <f>Table1[[#This Row],[BrokerAddress]]</f>
        <v>P.O. Box 3474</v>
      </c>
      <c r="BX273" s="4" t="str">
        <f t="shared" si="127"/>
        <v>Chicago</v>
      </c>
      <c r="BY273" s="4" t="str">
        <f t="shared" si="128"/>
        <v>Il</v>
      </c>
      <c r="BZ273" s="4">
        <f t="shared" si="129"/>
        <v>60654</v>
      </c>
      <c r="CA273" s="10" t="str">
        <f t="shared" si="130"/>
        <v>US</v>
      </c>
      <c r="CB273" s="15" t="s">
        <v>131</v>
      </c>
      <c r="CC273" s="62"/>
      <c r="CD273" s="15" t="s">
        <v>132</v>
      </c>
      <c r="CE273" s="64">
        <v>0</v>
      </c>
      <c r="CF273" s="4">
        <v>0</v>
      </c>
      <c r="CG273" s="132">
        <f t="shared" si="131"/>
        <v>0</v>
      </c>
      <c r="CH273" s="4" t="s">
        <v>132</v>
      </c>
      <c r="CI273" s="5">
        <v>0</v>
      </c>
      <c r="CJ273" s="4">
        <v>0</v>
      </c>
      <c r="CK273" s="132">
        <f t="shared" si="132"/>
        <v>0</v>
      </c>
      <c r="CL273" s="4" t="s">
        <v>132</v>
      </c>
      <c r="CM273" s="5">
        <v>0</v>
      </c>
      <c r="CN273" s="4">
        <v>0</v>
      </c>
      <c r="CO273" s="132">
        <f t="shared" si="133"/>
        <v>0</v>
      </c>
      <c r="CP273" s="4" t="s">
        <v>132</v>
      </c>
      <c r="CQ273" s="5">
        <v>0</v>
      </c>
      <c r="CR273" s="4">
        <v>0</v>
      </c>
      <c r="CS273" s="132">
        <f t="shared" si="134"/>
        <v>0</v>
      </c>
      <c r="CT273" s="159">
        <f t="shared" si="135"/>
        <v>0</v>
      </c>
      <c r="CU273" s="168">
        <f t="shared" si="136"/>
        <v>325</v>
      </c>
      <c r="CV273" s="169">
        <f t="shared" si="119"/>
        <v>0</v>
      </c>
      <c r="CW273" s="82">
        <f t="shared" si="120"/>
        <v>300</v>
      </c>
      <c r="CX273" s="79">
        <f>IF(ISBLANK(E273),"AddQuickPay",IF(E273=2,CU273*0.98,IF(E273=2.4,CU273*0.976,IF(E273=3,CU273*0.97,IF(E273=5,CU273*0.95,IF(E273=1.5,CU273*0.985,IF(E273=2.5,CU273*0.975,IF(E273=1.3,CU273*0.987,IF(E273=1,CU273*0.99,IF(E273=4,CU273*0.96,CU273*1))))))))))-Table1[[#This Row],[ComCheck+QuickPayFee]]</f>
        <v>318.5</v>
      </c>
      <c r="CY273" s="5">
        <f t="shared" si="137"/>
        <v>25</v>
      </c>
      <c r="CZ273" s="5">
        <f t="shared" si="138"/>
        <v>6.5</v>
      </c>
      <c r="DA273" s="258">
        <f>Table1[[#This Row],[OriginalDispatch]]-Table1[[#This Row],[QuickPayCharge]]</f>
        <v>18.5</v>
      </c>
      <c r="DB273" s="5">
        <v>0</v>
      </c>
      <c r="DC273" s="5" t="s">
        <v>133</v>
      </c>
      <c r="DD273" s="104">
        <f t="shared" si="139"/>
        <v>42405</v>
      </c>
      <c r="DE273" s="15">
        <f>MONTH(Table1[[#This Row],[Weekending]])</f>
        <v>2</v>
      </c>
      <c r="DF273" s="15">
        <f>YEAR(Table1[[#This Row],[Weekending]])</f>
        <v>2016</v>
      </c>
      <c r="DG273" s="4"/>
    </row>
    <row r="274" spans="1:111">
      <c r="A274" s="20" t="str">
        <f t="shared" si="121"/>
        <v>44188688</v>
      </c>
      <c r="B274" s="146">
        <v>42401</v>
      </c>
      <c r="C274" s="144">
        <v>501844</v>
      </c>
      <c r="D274" s="298" t="s">
        <v>1997</v>
      </c>
      <c r="E274" s="298">
        <v>2</v>
      </c>
      <c r="F274" s="298" t="str">
        <f>INDEX(BrokerTBL!$B:$B,MATCH(D274,BrokerTBL!$A:$A,0))</f>
        <v>12755 East Nine Mile Road</v>
      </c>
      <c r="G274" s="298" t="str">
        <f>INDEX(BrokerTBL!$C:$C,MATCH(D274,BrokerTBL!$A:$A,0))</f>
        <v>Warren</v>
      </c>
      <c r="H274" s="142" t="str">
        <f>INDEX(BrokerTBL!$D:$D,MATCH(D274,BrokerTBL!$A:$A,0))</f>
        <v>Mi</v>
      </c>
      <c r="I274" s="142" t="str">
        <f>INDEX(BrokerTBL!$E:$E,MATCH(D274,BrokerTBL!$A:$A,0))</f>
        <v>US</v>
      </c>
      <c r="J274" s="298">
        <f>INDEX(BrokerTBL!$F:$F,MATCH(D274,BrokerTBL!$A:$A,0))</f>
        <v>48089</v>
      </c>
      <c r="K274" s="298" t="s">
        <v>1998</v>
      </c>
      <c r="L274" s="145">
        <v>710718</v>
      </c>
      <c r="M274" s="146">
        <v>42401</v>
      </c>
      <c r="N274" s="182">
        <v>0.125</v>
      </c>
      <c r="O274" s="298" t="s">
        <v>1999</v>
      </c>
      <c r="P274" s="298" t="s">
        <v>2000</v>
      </c>
      <c r="Q274" s="298" t="s">
        <v>139</v>
      </c>
      <c r="R274" s="298">
        <v>92154</v>
      </c>
      <c r="S274" s="298" t="s">
        <v>118</v>
      </c>
      <c r="T274" s="298" t="s">
        <v>123</v>
      </c>
      <c r="U274" s="298" t="s">
        <v>120</v>
      </c>
      <c r="V274" s="298">
        <v>53</v>
      </c>
      <c r="W274" s="298" t="s">
        <v>1998</v>
      </c>
      <c r="X274" s="185">
        <v>30251</v>
      </c>
      <c r="Y274" s="298" t="s">
        <v>123</v>
      </c>
      <c r="Z274" s="298" t="s">
        <v>123</v>
      </c>
      <c r="AA274" s="298" t="s">
        <v>123</v>
      </c>
      <c r="AB274" s="298" t="s">
        <v>123</v>
      </c>
      <c r="AC274" s="298" t="s">
        <v>2001</v>
      </c>
      <c r="AD274" s="145" t="s">
        <v>2002</v>
      </c>
      <c r="AE274" s="146">
        <v>42402</v>
      </c>
      <c r="AF274" s="182">
        <v>0.375</v>
      </c>
      <c r="AG274" s="298" t="s">
        <v>2003</v>
      </c>
      <c r="AH274" s="298" t="s">
        <v>248</v>
      </c>
      <c r="AI274" s="298" t="s">
        <v>139</v>
      </c>
      <c r="AJ274" s="298">
        <v>93291</v>
      </c>
      <c r="AK274" s="298" t="s">
        <v>118</v>
      </c>
      <c r="AL274" s="298" t="s">
        <v>123</v>
      </c>
      <c r="AM274" s="142" t="str">
        <f>INDEX(CarrierDriverTBL!$B:$B,MATCH(Table1[[#This Row],[DriverID]],CarrierDriverTBL!$A:$A,0))</f>
        <v>UBTrucking</v>
      </c>
      <c r="AN274" s="10" t="s">
        <v>948</v>
      </c>
      <c r="AO274" s="10" t="str">
        <f>INDEX(CarrierDriverTBL!$C:$C,MATCH(Table1[[#This Row],[DriverID]],CarrierDriverTBL!$A:$A,0))</f>
        <v>Wesley</v>
      </c>
      <c r="AP274" s="10" t="str">
        <f>INDEX(CarrierDriverTBL!$D:$D,MATCH(Table1[[#This Row],[DriverID]],CarrierDriverTBL!$A:$A,0))</f>
        <v>Cousain</v>
      </c>
      <c r="AQ274" s="10" t="str">
        <f>INDEX(CarrierDriverTBL!$X:$X,MATCH(Table1[[#This Row],[DriverID]],CarrierDriverTBL!$A:$A,0))</f>
        <v>D4903588</v>
      </c>
      <c r="AR274" s="11">
        <f>INDEX(CarrierDriverTBL!$Y:$Y,MATCH(Table1[[#This Row],[DriverID]],CarrierDriverTBL!$A:$A,0))</f>
        <v>43458</v>
      </c>
      <c r="AS274" s="142" t="str">
        <f t="shared" si="122"/>
        <v>GOOD</v>
      </c>
      <c r="AT274" s="11">
        <f>INDEX(CarrierDriverTBL!$E:$E,MATCH(Table1[[#This Row],[DriverID]],CarrierDriverTBL!$A:$A,0))</f>
        <v>31405</v>
      </c>
      <c r="AU274" s="163">
        <f ca="1">INDEX(CarrierDriverTBL!$F:$F,MATCH(Table1[[#This Row],[DriverID]],CarrierDriverTBL!$A:$A,0))</f>
        <v>30.605479452054794</v>
      </c>
      <c r="AV274" s="10" t="str">
        <f>INDEX(CarrierDriverTBL!$K:$K,MATCH(Table1[[#This Row],[DriverID]],CarrierDriverTBL!$A:$A,0))</f>
        <v>925-383-5364</v>
      </c>
      <c r="AW274" s="10" t="str">
        <f>INDEX(CarrierDriverTBL!$M:$M,MATCH(Table1[[#This Row],[DriverID]],CarrierDriverTBL!$A:$A,0))</f>
        <v>110 Cordova Ln</v>
      </c>
      <c r="AX274" s="10" t="str">
        <f>INDEX(CarrierDriverTBL!$N:$N,MATCH(Table1[[#This Row],[DriverID]],CarrierDriverTBL!$A:$A,0))</f>
        <v>Stockton</v>
      </c>
      <c r="AY274" s="10" t="str">
        <f>INDEX(CarrierDriverTBL!$O:$O,MATCH(Table1[[#This Row],[DriverID]],CarrierDriverTBL!$A:$A,0))</f>
        <v>CA</v>
      </c>
      <c r="AZ274" s="10">
        <f>INDEX(CarrierDriverTBL!$P:$P,MATCH(Table1[[#This Row],[DriverID]],CarrierDriverTBL!$A:$A,0))</f>
        <v>95207</v>
      </c>
      <c r="BA274" s="10" t="str">
        <f>INDEX(CarrierDriverTBL!$Q:$Q,MATCH(Table1[[#This Row],[DriverID]],CarrierDriverTBL!$A:$A,0))</f>
        <v>US</v>
      </c>
      <c r="BB274" s="173" t="str">
        <f>INDEX(CarrierDriverTBL!$R:$R,MATCH(Table1[[#This Row],[DriverID]],CarrierDriverTBL!$A:$A,0))</f>
        <v>wesleycousain1@gmail.com</v>
      </c>
      <c r="BC274" s="160">
        <f>INDEX(CarrierDriverTBL!$AB:$AB,MATCH(Table1[[#This Row],[DriverID]],CarrierDriverTBL!$A:$A,0))</f>
        <v>42271</v>
      </c>
      <c r="BD274" s="142" t="str">
        <f ca="1">INDEX(CarrierDriverTBL!$AD:$AD,MATCH(LoadMaster!$AN:$AN,CarrierDriverTBL!$A:$A,0))</f>
        <v>MISSING</v>
      </c>
      <c r="BE274" s="142">
        <f>INDEX(CarrierDriverTBL!$AE:$AE,MATCH(Table1[DriverID],CarrierDriverTBL!$A:$A,0))</f>
        <v>913971</v>
      </c>
      <c r="BF274" s="142">
        <f>INDEX(CarrierDriverTBL!$AF:$AF,MATCH(Table1[DriverID],CarrierDriverTBL!$A:$A,0))</f>
        <v>2627544</v>
      </c>
      <c r="BG274" s="142">
        <f>INDEX(CarrierDriverTBL!$AG:$AG,MATCH(Table1[DriverID],CarrierDriverTBL!$A:$A,0))</f>
        <v>466133</v>
      </c>
      <c r="BH274" s="142" t="str">
        <f>INDEX(CarrierDriverTBL!$AH:$AH,MATCH(Table1[DriverID],CarrierDriverTBL!$A:$A,0))</f>
        <v>GM Lawrence Ins</v>
      </c>
      <c r="BI274" s="142" t="str">
        <f>INDEX(CarrierDriverTBL!$AI:$AI,MATCH(Table1[DriverID],CarrierDriverTBL!$A:$A,0))</f>
        <v>DSK2842P160210</v>
      </c>
      <c r="BJ274" s="160">
        <f>INDEX(CarrierDriverTBL!$AJ:$AJ,MATCH(Table1[[#This Row],[DriverID]],CarrierDriverTBL!$A:$A,0))</f>
        <v>42778</v>
      </c>
      <c r="BK274" s="10">
        <f t="shared" si="123"/>
        <v>377</v>
      </c>
      <c r="BL274" s="59">
        <v>674</v>
      </c>
      <c r="BM274" s="144">
        <v>307</v>
      </c>
      <c r="BN274" s="159">
        <f t="shared" si="140"/>
        <v>2.1954397394136809</v>
      </c>
      <c r="BO274" s="167">
        <f>0.93*674</f>
        <v>626.82000000000005</v>
      </c>
      <c r="BP274" s="159">
        <f t="shared" si="141"/>
        <v>2.0417589576547233</v>
      </c>
      <c r="BQ274" s="133">
        <v>2.6</v>
      </c>
      <c r="BR274" s="166">
        <f t="shared" si="142"/>
        <v>0.1166666666666667</v>
      </c>
      <c r="BS274" s="167">
        <f t="shared" si="124"/>
        <v>1.9250922909880566</v>
      </c>
      <c r="BT274" s="159">
        <f t="shared" si="125"/>
        <v>35.816666666666677</v>
      </c>
      <c r="BU274" s="10" t="str">
        <f t="shared" si="126"/>
        <v>Cavalry Logistics</v>
      </c>
      <c r="BV274" s="15"/>
      <c r="BW274" s="4" t="str">
        <f>Table1[[#This Row],[BrokerAddress]]</f>
        <v>12755 East Nine Mile Road</v>
      </c>
      <c r="BX274" s="4" t="str">
        <f t="shared" si="127"/>
        <v>Warren</v>
      </c>
      <c r="BY274" s="4" t="str">
        <f t="shared" si="128"/>
        <v>Mi</v>
      </c>
      <c r="BZ274" s="4">
        <f t="shared" si="129"/>
        <v>48089</v>
      </c>
      <c r="CA274" s="10" t="str">
        <f t="shared" si="130"/>
        <v>US</v>
      </c>
      <c r="CB274" s="15" t="s">
        <v>131</v>
      </c>
      <c r="CC274" s="62"/>
      <c r="CD274" s="15" t="s">
        <v>132</v>
      </c>
      <c r="CE274" s="64">
        <v>0</v>
      </c>
      <c r="CF274" s="4">
        <v>0</v>
      </c>
      <c r="CG274" s="132">
        <f t="shared" si="131"/>
        <v>0</v>
      </c>
      <c r="CH274" s="4" t="s">
        <v>132</v>
      </c>
      <c r="CI274" s="5">
        <v>0</v>
      </c>
      <c r="CJ274" s="4">
        <v>0</v>
      </c>
      <c r="CK274" s="132">
        <f t="shared" si="132"/>
        <v>0</v>
      </c>
      <c r="CL274" s="4" t="s">
        <v>132</v>
      </c>
      <c r="CM274" s="5">
        <v>0</v>
      </c>
      <c r="CN274" s="4">
        <v>0</v>
      </c>
      <c r="CO274" s="132">
        <f t="shared" si="133"/>
        <v>0</v>
      </c>
      <c r="CP274" s="4" t="s">
        <v>132</v>
      </c>
      <c r="CQ274" s="5">
        <v>0</v>
      </c>
      <c r="CR274" s="4">
        <v>0</v>
      </c>
      <c r="CS274" s="132">
        <f t="shared" si="134"/>
        <v>0</v>
      </c>
      <c r="CT274" s="159">
        <f t="shared" si="135"/>
        <v>0</v>
      </c>
      <c r="CU274" s="168">
        <f t="shared" si="136"/>
        <v>674</v>
      </c>
      <c r="CV274" s="169">
        <f t="shared" si="119"/>
        <v>0</v>
      </c>
      <c r="CW274" s="82">
        <f t="shared" si="120"/>
        <v>626.82000000000005</v>
      </c>
      <c r="CX274" s="79">
        <f>IF(ISBLANK(E274),"AddQuickPay",IF(E274=2,CU274*0.98,IF(E274=2.4,CU274*0.976,IF(E274=3,CU274*0.97,IF(E274=5,CU274*0.95,IF(E274=1.5,CU274*0.985,IF(E274=2.5,CU274*0.975,IF(E274=1.3,CU274*0.987,IF(E274=1,CU274*0.99,IF(E274=4,CU274*0.96,CU274*1))))))))))-Table1[[#This Row],[ComCheck+QuickPayFee]]</f>
        <v>660.52</v>
      </c>
      <c r="CY274" s="5">
        <f t="shared" si="137"/>
        <v>47.17999999999995</v>
      </c>
      <c r="CZ274" s="5">
        <f t="shared" si="138"/>
        <v>13.48</v>
      </c>
      <c r="DA274" s="258">
        <f>Table1[[#This Row],[OriginalDispatch]]-Table1[[#This Row],[QuickPayCharge]]</f>
        <v>33.699999999999946</v>
      </c>
      <c r="DB274" s="5">
        <v>0</v>
      </c>
      <c r="DC274" s="5" t="s">
        <v>133</v>
      </c>
      <c r="DD274" s="104">
        <f t="shared" si="139"/>
        <v>42405</v>
      </c>
      <c r="DE274" s="15">
        <f>MONTH(Table1[[#This Row],[Weekending]])</f>
        <v>2</v>
      </c>
      <c r="DF274" s="15">
        <f>YEAR(Table1[[#This Row],[Weekending]])</f>
        <v>2016</v>
      </c>
      <c r="DG274" s="4"/>
    </row>
    <row r="275" spans="1:111">
      <c r="A275" s="20" t="str">
        <f t="shared" si="121"/>
        <v>51wnwn49</v>
      </c>
      <c r="B275" s="146">
        <v>42402</v>
      </c>
      <c r="C275" s="144">
        <v>2111851</v>
      </c>
      <c r="D275" s="298" t="s">
        <v>2004</v>
      </c>
      <c r="E275" s="144">
        <v>0</v>
      </c>
      <c r="F275" s="142" t="str">
        <f>INDEX(BrokerTBL!$B:$B,MATCH(D275,BrokerTBL!$A:$A,0))</f>
        <v>P.O. Box 23968</v>
      </c>
      <c r="G275" s="142" t="str">
        <f>INDEX(BrokerTBL!$C:$C,MATCH(D275,BrokerTBL!$A:$A,0))</f>
        <v>Chattanooga</v>
      </c>
      <c r="H275" s="142" t="str">
        <f>INDEX(BrokerTBL!$D:$D,MATCH(D275,BrokerTBL!$A:$A,0))</f>
        <v>Tn</v>
      </c>
      <c r="I275" s="142" t="str">
        <f>INDEX(BrokerTBL!$E:$E,MATCH(D275,BrokerTBL!$A:$A,0))</f>
        <v>US</v>
      </c>
      <c r="J275" s="142" t="str">
        <f>INDEX(BrokerTBL!$F:$F,MATCH(D275,BrokerTBL!$A:$A,0))</f>
        <v>37422-2997</v>
      </c>
      <c r="K275" s="298" t="s">
        <v>2005</v>
      </c>
      <c r="L275" s="145" t="s">
        <v>1205</v>
      </c>
      <c r="M275" s="146">
        <v>42402</v>
      </c>
      <c r="N275" s="182">
        <v>0.54166666666666696</v>
      </c>
      <c r="O275" s="298" t="s">
        <v>2006</v>
      </c>
      <c r="P275" s="298" t="s">
        <v>160</v>
      </c>
      <c r="Q275" s="298" t="s">
        <v>139</v>
      </c>
      <c r="R275" s="298">
        <v>94533</v>
      </c>
      <c r="S275" s="298" t="s">
        <v>118</v>
      </c>
      <c r="T275" s="298" t="s">
        <v>2007</v>
      </c>
      <c r="U275" s="298" t="s">
        <v>120</v>
      </c>
      <c r="V275" s="298">
        <v>53</v>
      </c>
      <c r="W275" s="298" t="s">
        <v>1205</v>
      </c>
      <c r="X275" s="185">
        <v>40420</v>
      </c>
      <c r="Y275" s="298" t="s">
        <v>123</v>
      </c>
      <c r="Z275" s="298" t="s">
        <v>123</v>
      </c>
      <c r="AA275" s="298" t="s">
        <v>123</v>
      </c>
      <c r="AB275" s="298" t="s">
        <v>123</v>
      </c>
      <c r="AC275" s="298" t="s">
        <v>2008</v>
      </c>
      <c r="AD275" s="145" t="s">
        <v>1205</v>
      </c>
      <c r="AE275" s="146">
        <v>42402</v>
      </c>
      <c r="AF275" s="182">
        <v>0.625</v>
      </c>
      <c r="AG275" s="298" t="s">
        <v>361</v>
      </c>
      <c r="AH275" s="298" t="s">
        <v>335</v>
      </c>
      <c r="AI275" s="298" t="s">
        <v>139</v>
      </c>
      <c r="AJ275" s="298">
        <v>94558</v>
      </c>
      <c r="AK275" s="298" t="s">
        <v>118</v>
      </c>
      <c r="AL275" s="298" t="s">
        <v>2009</v>
      </c>
      <c r="AM275" s="142" t="str">
        <f>INDEX(CarrierDriverTBL!$B:$B,MATCH(Table1[[#This Row],[DriverID]],CarrierDriverTBL!$A:$A,0))</f>
        <v>UBTrucking</v>
      </c>
      <c r="AN275" s="10" t="s">
        <v>192</v>
      </c>
      <c r="AO275" s="10" t="str">
        <f>INDEX(CarrierDriverTBL!$C:$C,MATCH(Table1[[#This Row],[DriverID]],CarrierDriverTBL!$A:$A,0))</f>
        <v>Albel</v>
      </c>
      <c r="AP275" s="142" t="str">
        <f>INDEX(CarrierDriverTBL!$D:$D,MATCH(Table1[[#This Row],[DriverID]],CarrierDriverTBL!$A:$A,0))</f>
        <v>Chahil</v>
      </c>
      <c r="AQ275" s="142" t="str">
        <f>INDEX(CarrierDriverTBL!$X:$X,MATCH(Table1[[#This Row],[DriverID]],CarrierDriverTBL!$A:$A,0))</f>
        <v>A8390649</v>
      </c>
      <c r="AR275" s="160">
        <f>INDEX(CarrierDriverTBL!$Y:$Y,MATCH(Table1[[#This Row],[DriverID]],CarrierDriverTBL!$A:$A,0))</f>
        <v>42402</v>
      </c>
      <c r="AS275" s="142" t="str">
        <f t="shared" si="122"/>
        <v>EXPIRED</v>
      </c>
      <c r="AT275" s="160">
        <f>INDEX(CarrierDriverTBL!$E:$E,MATCH(Table1[[#This Row],[DriverID]],CarrierDriverTBL!$A:$A,0))</f>
        <v>22314</v>
      </c>
      <c r="AU275" s="163">
        <f ca="1">INDEX(CarrierDriverTBL!$F:$F,MATCH(Table1[[#This Row],[DriverID]],CarrierDriverTBL!$A:$A,0))</f>
        <v>55.512328767123286</v>
      </c>
      <c r="AV275" s="142" t="str">
        <f>INDEX(CarrierDriverTBL!$K:$K,MATCH(Table1[[#This Row],[DriverID]],CarrierDriverTBL!$A:$A,0))</f>
        <v>510-773-9450</v>
      </c>
      <c r="AW275" s="142" t="str">
        <f>INDEX(CarrierDriverTBL!$M:$M,MATCH(Table1[[#This Row],[DriverID]],CarrierDriverTBL!$A:$A,0))</f>
        <v>3124 Cynthia CT</v>
      </c>
      <c r="AX275" s="142" t="str">
        <f>INDEX(CarrierDriverTBL!$N:$N,MATCH(Table1[[#This Row],[DriverID]],CarrierDriverTBL!$A:$A,0))</f>
        <v>Tracy</v>
      </c>
      <c r="AY275" s="142" t="str">
        <f>INDEX(CarrierDriverTBL!$O:$O,MATCH(Table1[[#This Row],[DriverID]],CarrierDriverTBL!$A:$A,0))</f>
        <v>CA</v>
      </c>
      <c r="AZ275" s="142">
        <f>INDEX(CarrierDriverTBL!$P:$P,MATCH(Table1[[#This Row],[DriverID]],CarrierDriverTBL!$A:$A,0))</f>
        <v>95377</v>
      </c>
      <c r="BA275" s="142" t="str">
        <f>INDEX(CarrierDriverTBL!$Q:$Q,MATCH(Table1[[#This Row],[DriverID]],CarrierDriverTBL!$A:$A,0))</f>
        <v>US</v>
      </c>
      <c r="BB275" s="176" t="str">
        <f>INDEX(CarrierDriverTBL!$R:$R,MATCH(Table1[[#This Row],[DriverID]],CarrierDriverTBL!$A:$A,0))</f>
        <v>ubgollc@gmail.com</v>
      </c>
      <c r="BC275" s="160">
        <f>INDEX(CarrierDriverTBL!$AB:$AB,MATCH(Table1[[#This Row],[DriverID]],CarrierDriverTBL!$A:$A,0))</f>
        <v>42167</v>
      </c>
      <c r="BD275" s="142" t="str">
        <f ca="1">INDEX(CarrierDriverTBL!$AD:$AD,MATCH(LoadMaster!$AN:$AN,CarrierDriverTBL!$A:$A,0))</f>
        <v>MISSING</v>
      </c>
      <c r="BE275" s="142">
        <f>INDEX(CarrierDriverTBL!$AE:$AE,MATCH(Table1[DriverID],CarrierDriverTBL!$A:$A,0))</f>
        <v>913971</v>
      </c>
      <c r="BF275" s="142">
        <f>INDEX(CarrierDriverTBL!$AF:$AF,MATCH(Table1[DriverID],CarrierDriverTBL!$A:$A,0))</f>
        <v>2627544</v>
      </c>
      <c r="BG275" s="142">
        <f>INDEX(CarrierDriverTBL!$AG:$AG,MATCH(Table1[DriverID],CarrierDriverTBL!$A:$A,0))</f>
        <v>466133</v>
      </c>
      <c r="BH275" s="142" t="str">
        <f>INDEX(CarrierDriverTBL!$AH:$AH,MATCH(Table1[DriverID],CarrierDriverTBL!$A:$A,0))</f>
        <v>GM Lawrence Ins</v>
      </c>
      <c r="BI275" s="142" t="str">
        <f>INDEX(CarrierDriverTBL!$AI:$AI,MATCH(Table1[DriverID],CarrierDriverTBL!$A:$A,0))</f>
        <v>DSK2842P160210</v>
      </c>
      <c r="BJ275" s="160">
        <f>INDEX(CarrierDriverTBL!$AJ:$AJ,MATCH(Table1[[#This Row],[DriverID]],CarrierDriverTBL!$A:$A,0))</f>
        <v>42778</v>
      </c>
      <c r="BK275" s="10">
        <f t="shared" si="123"/>
        <v>376</v>
      </c>
      <c r="BL275" s="59">
        <v>200</v>
      </c>
      <c r="BM275" s="144">
        <v>21</v>
      </c>
      <c r="BN275" s="159">
        <f t="shared" si="140"/>
        <v>9.5238095238095237</v>
      </c>
      <c r="BO275" s="167">
        <v>175</v>
      </c>
      <c r="BP275" s="159">
        <f t="shared" si="141"/>
        <v>8.3333333333333339</v>
      </c>
      <c r="BQ275" s="133">
        <v>2.6</v>
      </c>
      <c r="BR275" s="166">
        <f t="shared" si="142"/>
        <v>0.1166666666666667</v>
      </c>
      <c r="BS275" s="167">
        <f t="shared" si="124"/>
        <v>8.2166666666666668</v>
      </c>
      <c r="BT275" s="159">
        <f t="shared" si="125"/>
        <v>2.4500000000000006</v>
      </c>
      <c r="BU275" s="10" t="str">
        <f t="shared" si="126"/>
        <v>Covenant Transport Solutions</v>
      </c>
      <c r="BV275" s="15" t="s">
        <v>1925</v>
      </c>
      <c r="BW275" s="4" t="str">
        <f>Table1[[#This Row],[BrokerAddress]]</f>
        <v>P.O. Box 23968</v>
      </c>
      <c r="BX275" s="4" t="str">
        <f t="shared" si="127"/>
        <v>Chattanooga</v>
      </c>
      <c r="BY275" s="4" t="str">
        <f t="shared" si="128"/>
        <v>Tn</v>
      </c>
      <c r="BZ275" s="4" t="str">
        <f t="shared" si="129"/>
        <v>37422-2997</v>
      </c>
      <c r="CA275" s="10" t="str">
        <f t="shared" si="130"/>
        <v>US</v>
      </c>
      <c r="CB275" s="15" t="s">
        <v>131</v>
      </c>
      <c r="CC275" s="62"/>
      <c r="CD275" s="15" t="s">
        <v>132</v>
      </c>
      <c r="CE275" s="64">
        <v>0</v>
      </c>
      <c r="CF275" s="4">
        <v>0</v>
      </c>
      <c r="CG275" s="132">
        <f t="shared" si="131"/>
        <v>0</v>
      </c>
      <c r="CH275" s="4" t="s">
        <v>132</v>
      </c>
      <c r="CI275" s="5">
        <v>0</v>
      </c>
      <c r="CJ275" s="4">
        <v>0</v>
      </c>
      <c r="CK275" s="132">
        <f t="shared" si="132"/>
        <v>0</v>
      </c>
      <c r="CL275" s="4" t="s">
        <v>132</v>
      </c>
      <c r="CM275" s="5">
        <v>0</v>
      </c>
      <c r="CN275" s="4">
        <v>0</v>
      </c>
      <c r="CO275" s="132">
        <f t="shared" si="133"/>
        <v>0</v>
      </c>
      <c r="CP275" s="4" t="s">
        <v>132</v>
      </c>
      <c r="CQ275" s="5">
        <v>0</v>
      </c>
      <c r="CR275" s="4">
        <v>0</v>
      </c>
      <c r="CS275" s="132">
        <f t="shared" si="134"/>
        <v>0</v>
      </c>
      <c r="CT275" s="159">
        <f t="shared" si="135"/>
        <v>0</v>
      </c>
      <c r="CU275" s="168">
        <f t="shared" si="136"/>
        <v>200</v>
      </c>
      <c r="CV275" s="169">
        <f t="shared" si="119"/>
        <v>0</v>
      </c>
      <c r="CW275" s="82">
        <f t="shared" si="120"/>
        <v>175</v>
      </c>
      <c r="CX275" s="79">
        <f>IF(ISBLANK(E275),"AddQuickPay",IF(E275=2,CU275*0.98,IF(E275=2.4,CU275*0.976,IF(E275=3,CU275*0.97,IF(E275=5,CU275*0.95,IF(E275=1.5,CU275*0.985,IF(E275=2.5,CU275*0.975,IF(E275=1.3,CU275*0.987,IF(E275=1,CU275*0.99,IF(E275=4,CU275*0.96,CU275*1))))))))))-Table1[[#This Row],[ComCheck+QuickPayFee]]</f>
        <v>200</v>
      </c>
      <c r="CY275" s="5">
        <f t="shared" si="137"/>
        <v>25</v>
      </c>
      <c r="CZ275" s="5">
        <f t="shared" si="138"/>
        <v>0</v>
      </c>
      <c r="DA275" s="258">
        <f>Table1[[#This Row],[OriginalDispatch]]-Table1[[#This Row],[QuickPayCharge]]</f>
        <v>25</v>
      </c>
      <c r="DB275" s="5">
        <v>0</v>
      </c>
      <c r="DC275" s="5" t="s">
        <v>133</v>
      </c>
      <c r="DD275" s="104">
        <f t="shared" si="139"/>
        <v>42405</v>
      </c>
      <c r="DE275" s="15">
        <f>MONTH(Table1[[#This Row],[Weekending]])</f>
        <v>2</v>
      </c>
      <c r="DF275" s="15">
        <f>YEAR(Table1[[#This Row],[Weekending]])</f>
        <v>2016</v>
      </c>
      <c r="DG275" s="4"/>
    </row>
    <row r="276" spans="1:111">
      <c r="A276" s="20" t="str">
        <f t="shared" si="121"/>
        <v>87898988</v>
      </c>
      <c r="B276" s="146">
        <v>42402</v>
      </c>
      <c r="C276" s="144">
        <v>192163287</v>
      </c>
      <c r="D276" s="298" t="s">
        <v>111</v>
      </c>
      <c r="E276" s="298">
        <v>2</v>
      </c>
      <c r="F276" s="142" t="str">
        <f>INDEX(BrokerTBL!$B:$B,MATCH(D276,BrokerTBL!$A:$A,0))</f>
        <v>P.O. Box 3474</v>
      </c>
      <c r="G276" s="142" t="str">
        <f>INDEX(BrokerTBL!$C:$C,MATCH(D276,BrokerTBL!$A:$A,0))</f>
        <v>Chicago</v>
      </c>
      <c r="H276" s="142" t="str">
        <f>INDEX(BrokerTBL!$D:$D,MATCH(D276,BrokerTBL!$A:$A,0))</f>
        <v>Il</v>
      </c>
      <c r="I276" s="142" t="str">
        <f>INDEX(BrokerTBL!$E:$E,MATCH(D276,BrokerTBL!$A:$A,0))</f>
        <v>US</v>
      </c>
      <c r="J276" s="142">
        <f>INDEX(BrokerTBL!$F:$F,MATCH(D276,BrokerTBL!$A:$A,0))</f>
        <v>60654</v>
      </c>
      <c r="K276" s="298" t="s">
        <v>1954</v>
      </c>
      <c r="L276" s="145">
        <v>8900137689</v>
      </c>
      <c r="M276" s="146">
        <v>42402</v>
      </c>
      <c r="N276" s="144" t="s">
        <v>417</v>
      </c>
      <c r="O276" s="298" t="s">
        <v>1955</v>
      </c>
      <c r="P276" s="298" t="s">
        <v>214</v>
      </c>
      <c r="Q276" s="298" t="s">
        <v>139</v>
      </c>
      <c r="R276" s="298">
        <v>93725</v>
      </c>
      <c r="S276" s="298" t="s">
        <v>118</v>
      </c>
      <c r="T276" s="298" t="s">
        <v>123</v>
      </c>
      <c r="U276" s="298" t="s">
        <v>120</v>
      </c>
      <c r="V276" s="298">
        <v>53</v>
      </c>
      <c r="W276" s="298" t="s">
        <v>2010</v>
      </c>
      <c r="X276" s="185">
        <v>35278</v>
      </c>
      <c r="Y276" s="298" t="s">
        <v>2011</v>
      </c>
      <c r="Z276" s="298" t="s">
        <v>123</v>
      </c>
      <c r="AA276" s="298" t="s">
        <v>123</v>
      </c>
      <c r="AB276" s="298" t="s">
        <v>123</v>
      </c>
      <c r="AC276" s="298" t="s">
        <v>2012</v>
      </c>
      <c r="AD276" s="145">
        <v>8900137689</v>
      </c>
      <c r="AE276" s="146">
        <v>42403</v>
      </c>
      <c r="AF276" s="298" t="s">
        <v>981</v>
      </c>
      <c r="AG276" s="298" t="s">
        <v>2013</v>
      </c>
      <c r="AH276" s="298" t="s">
        <v>1308</v>
      </c>
      <c r="AI276" s="298" t="s">
        <v>139</v>
      </c>
      <c r="AJ276" s="298">
        <v>94513</v>
      </c>
      <c r="AK276" s="298" t="s">
        <v>118</v>
      </c>
      <c r="AL276" s="298" t="s">
        <v>123</v>
      </c>
      <c r="AM276" s="142" t="str">
        <f>INDEX(CarrierDriverTBL!$B:$B,MATCH(Table1[[#This Row],[DriverID]],CarrierDriverTBL!$A:$A,0))</f>
        <v>UBTrucking</v>
      </c>
      <c r="AN276" s="10" t="s">
        <v>948</v>
      </c>
      <c r="AO276" s="10" t="str">
        <f>INDEX(CarrierDriverTBL!$C:$C,MATCH(Table1[[#This Row],[DriverID]],CarrierDriverTBL!$A:$A,0))</f>
        <v>Wesley</v>
      </c>
      <c r="AP276" s="10" t="str">
        <f>INDEX(CarrierDriverTBL!$D:$D,MATCH(Table1[[#This Row],[DriverID]],CarrierDriverTBL!$A:$A,0))</f>
        <v>Cousain</v>
      </c>
      <c r="AQ276" s="10" t="str">
        <f>INDEX(CarrierDriverTBL!$X:$X,MATCH(Table1[[#This Row],[DriverID]],CarrierDriverTBL!$A:$A,0))</f>
        <v>D4903588</v>
      </c>
      <c r="AR276" s="11">
        <f>INDEX(CarrierDriverTBL!$Y:$Y,MATCH(Table1[[#This Row],[DriverID]],CarrierDriverTBL!$A:$A,0))</f>
        <v>43458</v>
      </c>
      <c r="AS276" s="142" t="str">
        <f t="shared" si="122"/>
        <v>GOOD</v>
      </c>
      <c r="AT276" s="11">
        <f>INDEX(CarrierDriverTBL!$E:$E,MATCH(Table1[[#This Row],[DriverID]],CarrierDriverTBL!$A:$A,0))</f>
        <v>31405</v>
      </c>
      <c r="AU276" s="163">
        <f ca="1">INDEX(CarrierDriverTBL!$F:$F,MATCH(Table1[[#This Row],[DriverID]],CarrierDriverTBL!$A:$A,0))</f>
        <v>30.605479452054794</v>
      </c>
      <c r="AV276" s="10" t="str">
        <f>INDEX(CarrierDriverTBL!$K:$K,MATCH(Table1[[#This Row],[DriverID]],CarrierDriverTBL!$A:$A,0))</f>
        <v>925-383-5364</v>
      </c>
      <c r="AW276" s="10" t="str">
        <f>INDEX(CarrierDriverTBL!$M:$M,MATCH(Table1[[#This Row],[DriverID]],CarrierDriverTBL!$A:$A,0))</f>
        <v>110 Cordova Ln</v>
      </c>
      <c r="AX276" s="10" t="str">
        <f>INDEX(CarrierDriverTBL!$N:$N,MATCH(Table1[[#This Row],[DriverID]],CarrierDriverTBL!$A:$A,0))</f>
        <v>Stockton</v>
      </c>
      <c r="AY276" s="10" t="str">
        <f>INDEX(CarrierDriverTBL!$O:$O,MATCH(Table1[[#This Row],[DriverID]],CarrierDriverTBL!$A:$A,0))</f>
        <v>CA</v>
      </c>
      <c r="AZ276" s="10">
        <f>INDEX(CarrierDriverTBL!$P:$P,MATCH(Table1[[#This Row],[DriverID]],CarrierDriverTBL!$A:$A,0))</f>
        <v>95207</v>
      </c>
      <c r="BA276" s="10" t="str">
        <f>INDEX(CarrierDriverTBL!$Q:$Q,MATCH(Table1[[#This Row],[DriverID]],CarrierDriverTBL!$A:$A,0))</f>
        <v>US</v>
      </c>
      <c r="BB276" s="173" t="str">
        <f>INDEX(CarrierDriverTBL!$R:$R,MATCH(Table1[[#This Row],[DriverID]],CarrierDriverTBL!$A:$A,0))</f>
        <v>wesleycousain1@gmail.com</v>
      </c>
      <c r="BC276" s="160">
        <f>INDEX(CarrierDriverTBL!$AB:$AB,MATCH(Table1[[#This Row],[DriverID]],CarrierDriverTBL!$A:$A,0))</f>
        <v>42271</v>
      </c>
      <c r="BD276" s="142" t="str">
        <f ca="1">INDEX(CarrierDriverTBL!$AD:$AD,MATCH(LoadMaster!$AN:$AN,CarrierDriverTBL!$A:$A,0))</f>
        <v>MISSING</v>
      </c>
      <c r="BE276" s="142">
        <f>INDEX(CarrierDriverTBL!$AE:$AE,MATCH(Table1[DriverID],CarrierDriverTBL!$A:$A,0))</f>
        <v>913971</v>
      </c>
      <c r="BF276" s="142">
        <f>INDEX(CarrierDriverTBL!$AF:$AF,MATCH(Table1[DriverID],CarrierDriverTBL!$A:$A,0))</f>
        <v>2627544</v>
      </c>
      <c r="BG276" s="142">
        <f>INDEX(CarrierDriverTBL!$AG:$AG,MATCH(Table1[DriverID],CarrierDriverTBL!$A:$A,0))</f>
        <v>466133</v>
      </c>
      <c r="BH276" s="142" t="str">
        <f>INDEX(CarrierDriverTBL!$AH:$AH,MATCH(Table1[DriverID],CarrierDriverTBL!$A:$A,0))</f>
        <v>GM Lawrence Ins</v>
      </c>
      <c r="BI276" s="142" t="str">
        <f>INDEX(CarrierDriverTBL!$AI:$AI,MATCH(Table1[DriverID],CarrierDriverTBL!$A:$A,0))</f>
        <v>DSK2842P160210</v>
      </c>
      <c r="BJ276" s="160">
        <f>INDEX(CarrierDriverTBL!$AJ:$AJ,MATCH(Table1[[#This Row],[DriverID]],CarrierDriverTBL!$A:$A,0))</f>
        <v>42778</v>
      </c>
      <c r="BK276" s="10">
        <f t="shared" si="123"/>
        <v>376</v>
      </c>
      <c r="BL276" s="59">
        <v>400</v>
      </c>
      <c r="BM276" s="144">
        <v>147</v>
      </c>
      <c r="BN276" s="159">
        <f t="shared" si="140"/>
        <v>2.7210884353741496</v>
      </c>
      <c r="BO276" s="167">
        <f>0.93*450</f>
        <v>418.5</v>
      </c>
      <c r="BP276" s="159">
        <f t="shared" si="141"/>
        <v>2.8469387755102042</v>
      </c>
      <c r="BQ276" s="133">
        <v>2.6</v>
      </c>
      <c r="BR276" s="166">
        <f t="shared" si="142"/>
        <v>0.1166666666666667</v>
      </c>
      <c r="BS276" s="167">
        <f t="shared" si="124"/>
        <v>2.7302721088435375</v>
      </c>
      <c r="BT276" s="159">
        <f t="shared" si="125"/>
        <v>17.150000000000006</v>
      </c>
      <c r="BU276" s="10" t="str">
        <f t="shared" si="126"/>
        <v>Ch Robinson</v>
      </c>
      <c r="BV276" s="15"/>
      <c r="BW276" s="4" t="str">
        <f>Table1[[#This Row],[BrokerAddress]]</f>
        <v>P.O. Box 3474</v>
      </c>
      <c r="BX276" s="4" t="str">
        <f t="shared" si="127"/>
        <v>Chicago</v>
      </c>
      <c r="BY276" s="4" t="str">
        <f t="shared" si="128"/>
        <v>Il</v>
      </c>
      <c r="BZ276" s="4">
        <f t="shared" si="129"/>
        <v>60654</v>
      </c>
      <c r="CA276" s="10" t="str">
        <f t="shared" si="130"/>
        <v>US</v>
      </c>
      <c r="CB276" s="15" t="s">
        <v>131</v>
      </c>
      <c r="CC276" s="62"/>
      <c r="CD276" s="15" t="s">
        <v>1375</v>
      </c>
      <c r="CE276" s="64">
        <v>50</v>
      </c>
      <c r="CF276" s="4">
        <v>1</v>
      </c>
      <c r="CG276" s="132">
        <f t="shared" si="131"/>
        <v>50</v>
      </c>
      <c r="CH276" s="4" t="s">
        <v>132</v>
      </c>
      <c r="CI276" s="5">
        <v>0</v>
      </c>
      <c r="CJ276" s="4">
        <v>0</v>
      </c>
      <c r="CK276" s="132">
        <f t="shared" si="132"/>
        <v>0</v>
      </c>
      <c r="CL276" s="4" t="s">
        <v>132</v>
      </c>
      <c r="CM276" s="5">
        <v>0</v>
      </c>
      <c r="CN276" s="4">
        <v>0</v>
      </c>
      <c r="CO276" s="132">
        <f t="shared" si="133"/>
        <v>0</v>
      </c>
      <c r="CP276" s="4" t="s">
        <v>132</v>
      </c>
      <c r="CQ276" s="5">
        <v>0</v>
      </c>
      <c r="CR276" s="4">
        <v>0</v>
      </c>
      <c r="CS276" s="132">
        <f t="shared" si="134"/>
        <v>0</v>
      </c>
      <c r="CT276" s="159">
        <f t="shared" si="135"/>
        <v>50</v>
      </c>
      <c r="CU276" s="168">
        <f t="shared" si="136"/>
        <v>450</v>
      </c>
      <c r="CV276" s="169">
        <f t="shared" si="119"/>
        <v>46.5</v>
      </c>
      <c r="CW276" s="82">
        <f t="shared" si="120"/>
        <v>465</v>
      </c>
      <c r="CX276" s="79">
        <f>IF(ISBLANK(E276),"AddQuickPay",IF(E276=2,CU276*0.98,IF(E276=2.4,CU276*0.976,IF(E276=3,CU276*0.97,IF(E276=5,CU276*0.95,IF(E276=1.5,CU276*0.985,IF(E276=2.5,CU276*0.975,IF(E276=1.3,CU276*0.987,IF(E276=1,CU276*0.99,IF(E276=4,CU276*0.96,CU276*1))))))))))-Table1[[#This Row],[ComCheck+QuickPayFee]]</f>
        <v>441</v>
      </c>
      <c r="CY276" s="5">
        <f t="shared" si="137"/>
        <v>-15</v>
      </c>
      <c r="CZ276" s="5">
        <f t="shared" si="138"/>
        <v>9</v>
      </c>
      <c r="DA276" s="258">
        <f>Table1[[#This Row],[OriginalDispatch]]-Table1[[#This Row],[QuickPayCharge]]</f>
        <v>-24</v>
      </c>
      <c r="DB276" s="5">
        <v>0</v>
      </c>
      <c r="DC276" s="5" t="s">
        <v>133</v>
      </c>
      <c r="DD276" s="104">
        <f t="shared" si="139"/>
        <v>42405</v>
      </c>
      <c r="DE276" s="15">
        <f>MONTH(Table1[[#This Row],[Weekending]])</f>
        <v>2</v>
      </c>
      <c r="DF276" s="15">
        <f>YEAR(Table1[[#This Row],[Weekending]])</f>
        <v>2016</v>
      </c>
      <c r="DG276" s="4"/>
    </row>
    <row r="277" spans="1:111">
      <c r="A277" s="20" t="str">
        <f t="shared" si="121"/>
        <v>12-1wn49</v>
      </c>
      <c r="B277" s="146">
        <v>42402</v>
      </c>
      <c r="C277" s="144">
        <v>6875712</v>
      </c>
      <c r="D277" s="298" t="s">
        <v>445</v>
      </c>
      <c r="E277" s="298">
        <v>3</v>
      </c>
      <c r="F277" s="298" t="str">
        <f>INDEX(BrokerTBL!$B:$B,MATCH(D277,BrokerTBL!$A:$A,0))</f>
        <v>960 Northpoint Parkway Suite 150</v>
      </c>
      <c r="G277" s="144" t="str">
        <f>INDEX(BrokerTBL!$C:$C,MATCH(D277,BrokerTBL!$A:$A,0))</f>
        <v>Alpharetta</v>
      </c>
      <c r="H277" s="142" t="str">
        <f>INDEX(BrokerTBL!$D:$D,MATCH(D277,BrokerTBL!$A:$A,0))</f>
        <v>Ga</v>
      </c>
      <c r="I277" s="142" t="str">
        <f>INDEX(BrokerTBL!$E:$E,MATCH(D277,BrokerTBL!$A:$A,0))</f>
        <v>US</v>
      </c>
      <c r="J277" s="298">
        <f>INDEX(BrokerTBL!$F:$F,MATCH(D277,BrokerTBL!$A:$A,0))</f>
        <v>30005</v>
      </c>
      <c r="K277" s="298" t="s">
        <v>2014</v>
      </c>
      <c r="L277" s="145" t="s">
        <v>2015</v>
      </c>
      <c r="M277" s="146">
        <v>42402</v>
      </c>
      <c r="N277" s="144" t="s">
        <v>2016</v>
      </c>
      <c r="O277" s="298" t="s">
        <v>2017</v>
      </c>
      <c r="P277" s="298" t="s">
        <v>395</v>
      </c>
      <c r="Q277" s="298" t="s">
        <v>139</v>
      </c>
      <c r="R277" s="298">
        <v>95356</v>
      </c>
      <c r="S277" s="298" t="s">
        <v>118</v>
      </c>
      <c r="T277" s="298" t="s">
        <v>2018</v>
      </c>
      <c r="U277" s="298" t="s">
        <v>120</v>
      </c>
      <c r="V277" s="298">
        <v>53</v>
      </c>
      <c r="W277" s="298" t="s">
        <v>2019</v>
      </c>
      <c r="X277" s="185">
        <v>43500</v>
      </c>
      <c r="Y277" s="298" t="s">
        <v>123</v>
      </c>
      <c r="Z277" s="298" t="s">
        <v>123</v>
      </c>
      <c r="AA277" s="298" t="s">
        <v>123</v>
      </c>
      <c r="AB277" s="298" t="s">
        <v>123</v>
      </c>
      <c r="AC277" s="298" t="s">
        <v>2020</v>
      </c>
      <c r="AD277" s="145" t="s">
        <v>1205</v>
      </c>
      <c r="AE277" s="146">
        <v>42402</v>
      </c>
      <c r="AF277" s="298" t="s">
        <v>2021</v>
      </c>
      <c r="AG277" s="298" t="s">
        <v>2022</v>
      </c>
      <c r="AH277" s="298" t="s">
        <v>160</v>
      </c>
      <c r="AI277" s="298" t="s">
        <v>139</v>
      </c>
      <c r="AJ277" s="298">
        <v>94533</v>
      </c>
      <c r="AK277" s="298" t="s">
        <v>118</v>
      </c>
      <c r="AL277" s="298" t="s">
        <v>123</v>
      </c>
      <c r="AM277" s="142" t="str">
        <f>INDEX(CarrierDriverTBL!$B:$B,MATCH(Table1[[#This Row],[DriverID]],CarrierDriverTBL!$A:$A,0))</f>
        <v>UBTrucking</v>
      </c>
      <c r="AN277" s="10" t="s">
        <v>192</v>
      </c>
      <c r="AO277" s="10" t="str">
        <f>INDEX(CarrierDriverTBL!$C:$C,MATCH(Table1[[#This Row],[DriverID]],CarrierDriverTBL!$A:$A,0))</f>
        <v>Albel</v>
      </c>
      <c r="AP277" s="142" t="str">
        <f>INDEX(CarrierDriverTBL!$D:$D,MATCH(Table1[[#This Row],[DriverID]],CarrierDriverTBL!$A:$A,0))</f>
        <v>Chahil</v>
      </c>
      <c r="AQ277" s="142" t="str">
        <f>INDEX(CarrierDriverTBL!$X:$X,MATCH(Table1[[#This Row],[DriverID]],CarrierDriverTBL!$A:$A,0))</f>
        <v>A8390649</v>
      </c>
      <c r="AR277" s="160">
        <f>INDEX(CarrierDriverTBL!$Y:$Y,MATCH(Table1[[#This Row],[DriverID]],CarrierDriverTBL!$A:$A,0))</f>
        <v>42402</v>
      </c>
      <c r="AS277" s="142" t="str">
        <f t="shared" si="122"/>
        <v>EXPIRED</v>
      </c>
      <c r="AT277" s="160">
        <f>INDEX(CarrierDriverTBL!$E:$E,MATCH(Table1[[#This Row],[DriverID]],CarrierDriverTBL!$A:$A,0))</f>
        <v>22314</v>
      </c>
      <c r="AU277" s="163">
        <f ca="1">INDEX(CarrierDriverTBL!$F:$F,MATCH(Table1[[#This Row],[DriverID]],CarrierDriverTBL!$A:$A,0))</f>
        <v>55.512328767123286</v>
      </c>
      <c r="AV277" s="142" t="str">
        <f>INDEX(CarrierDriverTBL!$K:$K,MATCH(Table1[[#This Row],[DriverID]],CarrierDriverTBL!$A:$A,0))</f>
        <v>510-773-9450</v>
      </c>
      <c r="AW277" s="142" t="str">
        <f>INDEX(CarrierDriverTBL!$M:$M,MATCH(Table1[[#This Row],[DriverID]],CarrierDriverTBL!$A:$A,0))</f>
        <v>3124 Cynthia CT</v>
      </c>
      <c r="AX277" s="142" t="str">
        <f>INDEX(CarrierDriverTBL!$N:$N,MATCH(Table1[[#This Row],[DriverID]],CarrierDriverTBL!$A:$A,0))</f>
        <v>Tracy</v>
      </c>
      <c r="AY277" s="142" t="str">
        <f>INDEX(CarrierDriverTBL!$O:$O,MATCH(Table1[[#This Row],[DriverID]],CarrierDriverTBL!$A:$A,0))</f>
        <v>CA</v>
      </c>
      <c r="AZ277" s="142">
        <f>INDEX(CarrierDriverTBL!$P:$P,MATCH(Table1[[#This Row],[DriverID]],CarrierDriverTBL!$A:$A,0))</f>
        <v>95377</v>
      </c>
      <c r="BA277" s="142" t="str">
        <f>INDEX(CarrierDriverTBL!$Q:$Q,MATCH(Table1[[#This Row],[DriverID]],CarrierDriverTBL!$A:$A,0))</f>
        <v>US</v>
      </c>
      <c r="BB277" s="176" t="str">
        <f>INDEX(CarrierDriverTBL!$R:$R,MATCH(Table1[[#This Row],[DriverID]],CarrierDriverTBL!$A:$A,0))</f>
        <v>ubgollc@gmail.com</v>
      </c>
      <c r="BC277" s="160">
        <f>INDEX(CarrierDriverTBL!$AB:$AB,MATCH(Table1[[#This Row],[DriverID]],CarrierDriverTBL!$A:$A,0))</f>
        <v>42167</v>
      </c>
      <c r="BD277" s="142" t="str">
        <f ca="1">INDEX(CarrierDriverTBL!$AD:$AD,MATCH(LoadMaster!$AN:$AN,CarrierDriverTBL!$A:$A,0))</f>
        <v>MISSING</v>
      </c>
      <c r="BE277" s="142">
        <f>INDEX(CarrierDriverTBL!$AE:$AE,MATCH(Table1[DriverID],CarrierDriverTBL!$A:$A,0))</f>
        <v>913971</v>
      </c>
      <c r="BF277" s="142">
        <f>INDEX(CarrierDriverTBL!$AF:$AF,MATCH(Table1[DriverID],CarrierDriverTBL!$A:$A,0))</f>
        <v>2627544</v>
      </c>
      <c r="BG277" s="142">
        <f>INDEX(CarrierDriverTBL!$AG:$AG,MATCH(Table1[DriverID],CarrierDriverTBL!$A:$A,0))</f>
        <v>466133</v>
      </c>
      <c r="BH277" s="142" t="str">
        <f>INDEX(CarrierDriverTBL!$AH:$AH,MATCH(Table1[DriverID],CarrierDriverTBL!$A:$A,0))</f>
        <v>GM Lawrence Ins</v>
      </c>
      <c r="BI277" s="142" t="str">
        <f>INDEX(CarrierDriverTBL!$AI:$AI,MATCH(Table1[DriverID],CarrierDriverTBL!$A:$A,0))</f>
        <v>DSK2842P160210</v>
      </c>
      <c r="BJ277" s="160">
        <f>INDEX(CarrierDriverTBL!$AJ:$AJ,MATCH(Table1[[#This Row],[DriverID]],CarrierDriverTBL!$A:$A,0))</f>
        <v>42778</v>
      </c>
      <c r="BK277" s="10">
        <f t="shared" si="123"/>
        <v>376</v>
      </c>
      <c r="BL277" s="59">
        <v>300</v>
      </c>
      <c r="BM277" s="144">
        <v>84</v>
      </c>
      <c r="BN277" s="159">
        <f t="shared" si="140"/>
        <v>3.5714285714285716</v>
      </c>
      <c r="BO277" s="167">
        <v>275</v>
      </c>
      <c r="BP277" s="159">
        <f t="shared" si="141"/>
        <v>3.2738095238095237</v>
      </c>
      <c r="BQ277" s="133">
        <v>2.6</v>
      </c>
      <c r="BR277" s="166">
        <f t="shared" si="142"/>
        <v>0.1166666666666667</v>
      </c>
      <c r="BS277" s="167">
        <f t="shared" si="124"/>
        <v>3.157142857142857</v>
      </c>
      <c r="BT277" s="159">
        <f t="shared" si="125"/>
        <v>9.8000000000000025</v>
      </c>
      <c r="BU277" s="10" t="str">
        <f t="shared" si="126"/>
        <v>Coyote</v>
      </c>
      <c r="BV277" s="15" t="s">
        <v>1925</v>
      </c>
      <c r="BW277" s="4" t="str">
        <f>Table1[[#This Row],[BrokerAddress]]</f>
        <v>960 Northpoint Parkway Suite 150</v>
      </c>
      <c r="BX277" s="4" t="str">
        <f t="shared" si="127"/>
        <v>Alpharetta</v>
      </c>
      <c r="BY277" s="4" t="str">
        <f t="shared" si="128"/>
        <v>Ga</v>
      </c>
      <c r="BZ277" s="4">
        <f t="shared" si="129"/>
        <v>30005</v>
      </c>
      <c r="CA277" s="10" t="str">
        <f t="shared" si="130"/>
        <v>US</v>
      </c>
      <c r="CB277" s="15" t="s">
        <v>131</v>
      </c>
      <c r="CC277" s="62"/>
      <c r="CD277" s="15" t="s">
        <v>132</v>
      </c>
      <c r="CE277" s="64">
        <v>0</v>
      </c>
      <c r="CF277" s="4">
        <v>0</v>
      </c>
      <c r="CG277" s="132">
        <f t="shared" si="131"/>
        <v>0</v>
      </c>
      <c r="CH277" s="4" t="s">
        <v>132</v>
      </c>
      <c r="CI277" s="5">
        <v>0</v>
      </c>
      <c r="CJ277" s="4">
        <v>0</v>
      </c>
      <c r="CK277" s="132">
        <f t="shared" si="132"/>
        <v>0</v>
      </c>
      <c r="CL277" s="4" t="s">
        <v>132</v>
      </c>
      <c r="CM277" s="5">
        <v>0</v>
      </c>
      <c r="CN277" s="4">
        <v>0</v>
      </c>
      <c r="CO277" s="132">
        <f t="shared" si="133"/>
        <v>0</v>
      </c>
      <c r="CP277" s="4" t="s">
        <v>132</v>
      </c>
      <c r="CQ277" s="5">
        <v>0</v>
      </c>
      <c r="CR277" s="4">
        <v>0</v>
      </c>
      <c r="CS277" s="132">
        <f t="shared" si="134"/>
        <v>0</v>
      </c>
      <c r="CT277" s="159">
        <f t="shared" si="135"/>
        <v>0</v>
      </c>
      <c r="CU277" s="168">
        <f t="shared" si="136"/>
        <v>300</v>
      </c>
      <c r="CV277" s="169">
        <f t="shared" si="119"/>
        <v>0</v>
      </c>
      <c r="CW277" s="82">
        <f t="shared" si="120"/>
        <v>275</v>
      </c>
      <c r="CX277" s="79">
        <f>IF(ISBLANK(E277),"AddQuickPay",IF(E277=2,CU277*0.98,IF(E277=2.4,CU277*0.976,IF(E277=3,CU277*0.97,IF(E277=5,CU277*0.95,IF(E277=1.5,CU277*0.985,IF(E277=2.5,CU277*0.975,IF(E277=1.3,CU277*0.987,IF(E277=1,CU277*0.99,IF(E277=4,CU277*0.96,CU277*1))))))))))-Table1[[#This Row],[ComCheck+QuickPayFee]]</f>
        <v>291</v>
      </c>
      <c r="CY277" s="5">
        <f t="shared" si="137"/>
        <v>25</v>
      </c>
      <c r="CZ277" s="5">
        <f t="shared" si="138"/>
        <v>9</v>
      </c>
      <c r="DA277" s="258">
        <f>Table1[[#This Row],[OriginalDispatch]]-Table1[[#This Row],[QuickPayCharge]]</f>
        <v>16</v>
      </c>
      <c r="DB277" s="5">
        <v>0</v>
      </c>
      <c r="DC277" s="5" t="s">
        <v>133</v>
      </c>
      <c r="DD277" s="104">
        <f t="shared" si="139"/>
        <v>42405</v>
      </c>
      <c r="DE277" s="15">
        <f>MONTH(Table1[[#This Row],[Weekending]])</f>
        <v>2</v>
      </c>
      <c r="DF277" s="15">
        <f>YEAR(Table1[[#This Row],[Weekending]])</f>
        <v>2016</v>
      </c>
      <c r="DG277" s="4"/>
    </row>
    <row r="278" spans="1:111">
      <c r="A278" s="20" t="str">
        <f t="shared" si="121"/>
        <v>23463249</v>
      </c>
      <c r="B278" s="146">
        <v>42403</v>
      </c>
      <c r="C278" s="144">
        <v>191916123</v>
      </c>
      <c r="D278" s="298" t="s">
        <v>111</v>
      </c>
      <c r="E278" s="298">
        <v>2</v>
      </c>
      <c r="F278" s="142" t="str">
        <f>INDEX(BrokerTBL!$B:$B,MATCH(D278,BrokerTBL!$A:$A,0))</f>
        <v>P.O. Box 3474</v>
      </c>
      <c r="G278" s="142" t="str">
        <f>INDEX(BrokerTBL!$C:$C,MATCH(D278,BrokerTBL!$A:$A,0))</f>
        <v>Chicago</v>
      </c>
      <c r="H278" s="142" t="str">
        <f>INDEX(BrokerTBL!$D:$D,MATCH(D278,BrokerTBL!$A:$A,0))</f>
        <v>Il</v>
      </c>
      <c r="I278" s="142" t="str">
        <f>INDEX(BrokerTBL!$E:$E,MATCH(D278,BrokerTBL!$A:$A,0))</f>
        <v>US</v>
      </c>
      <c r="J278" s="142">
        <f>INDEX(BrokerTBL!$F:$F,MATCH(D278,BrokerTBL!$A:$A,0))</f>
        <v>60654</v>
      </c>
      <c r="K278" s="298" t="s">
        <v>2023</v>
      </c>
      <c r="L278" s="145">
        <v>36911746</v>
      </c>
      <c r="M278" s="146">
        <v>42403</v>
      </c>
      <c r="N278" s="144" t="s">
        <v>353</v>
      </c>
      <c r="O278" s="298" t="s">
        <v>1198</v>
      </c>
      <c r="P278" s="298" t="s">
        <v>380</v>
      </c>
      <c r="Q278" s="298" t="s">
        <v>139</v>
      </c>
      <c r="R278" s="298">
        <v>95376</v>
      </c>
      <c r="S278" s="298" t="s">
        <v>118</v>
      </c>
      <c r="T278" s="298" t="s">
        <v>123</v>
      </c>
      <c r="U278" s="298" t="s">
        <v>120</v>
      </c>
      <c r="V278" s="298">
        <v>53</v>
      </c>
      <c r="W278" s="298" t="s">
        <v>141</v>
      </c>
      <c r="X278" s="185">
        <v>40632</v>
      </c>
      <c r="Y278" s="298" t="s">
        <v>337</v>
      </c>
      <c r="Z278" s="185">
        <v>1777</v>
      </c>
      <c r="AA278" s="298">
        <v>24</v>
      </c>
      <c r="AB278" s="298" t="s">
        <v>123</v>
      </c>
      <c r="AC278" s="298" t="s">
        <v>2024</v>
      </c>
      <c r="AD278" s="145">
        <v>828006732</v>
      </c>
      <c r="AE278" s="146">
        <v>42403</v>
      </c>
      <c r="AF278" s="298" t="s">
        <v>1398</v>
      </c>
      <c r="AG278" s="298" t="s">
        <v>935</v>
      </c>
      <c r="AH278" s="298" t="s">
        <v>380</v>
      </c>
      <c r="AI278" s="298" t="s">
        <v>139</v>
      </c>
      <c r="AJ278" s="298" t="s">
        <v>2025</v>
      </c>
      <c r="AK278" s="298" t="s">
        <v>118</v>
      </c>
      <c r="AL278" s="298" t="s">
        <v>123</v>
      </c>
      <c r="AM278" s="142" t="str">
        <f>INDEX(CarrierDriverTBL!$B:$B,MATCH(Table1[[#This Row],[DriverID]],CarrierDriverTBL!$A:$A,0))</f>
        <v>UBTrucking</v>
      </c>
      <c r="AN278" s="10" t="s">
        <v>192</v>
      </c>
      <c r="AO278" s="10" t="str">
        <f>INDEX(CarrierDriverTBL!$C:$C,MATCH(Table1[[#This Row],[DriverID]],CarrierDriverTBL!$A:$A,0))</f>
        <v>Albel</v>
      </c>
      <c r="AP278" s="142" t="str">
        <f>INDEX(CarrierDriverTBL!$D:$D,MATCH(Table1[[#This Row],[DriverID]],CarrierDriverTBL!$A:$A,0))</f>
        <v>Chahil</v>
      </c>
      <c r="AQ278" s="142" t="str">
        <f>INDEX(CarrierDriverTBL!$X:$X,MATCH(Table1[[#This Row],[DriverID]],CarrierDriverTBL!$A:$A,0))</f>
        <v>A8390649</v>
      </c>
      <c r="AR278" s="160">
        <f>INDEX(CarrierDriverTBL!$Y:$Y,MATCH(Table1[[#This Row],[DriverID]],CarrierDriverTBL!$A:$A,0))</f>
        <v>42402</v>
      </c>
      <c r="AS278" s="142" t="str">
        <f t="shared" si="122"/>
        <v>EXPIRED</v>
      </c>
      <c r="AT278" s="160">
        <f>INDEX(CarrierDriverTBL!$E:$E,MATCH(Table1[[#This Row],[DriverID]],CarrierDriverTBL!$A:$A,0))</f>
        <v>22314</v>
      </c>
      <c r="AU278" s="163">
        <f ca="1">INDEX(CarrierDriverTBL!$F:$F,MATCH(Table1[[#This Row],[DriverID]],CarrierDriverTBL!$A:$A,0))</f>
        <v>55.512328767123286</v>
      </c>
      <c r="AV278" s="142" t="str">
        <f>INDEX(CarrierDriverTBL!$K:$K,MATCH(Table1[[#This Row],[DriverID]],CarrierDriverTBL!$A:$A,0))</f>
        <v>510-773-9450</v>
      </c>
      <c r="AW278" s="142" t="str">
        <f>INDEX(CarrierDriverTBL!$M:$M,MATCH(Table1[[#This Row],[DriverID]],CarrierDriverTBL!$A:$A,0))</f>
        <v>3124 Cynthia CT</v>
      </c>
      <c r="AX278" s="142" t="str">
        <f>INDEX(CarrierDriverTBL!$N:$N,MATCH(Table1[[#This Row],[DriverID]],CarrierDriverTBL!$A:$A,0))</f>
        <v>Tracy</v>
      </c>
      <c r="AY278" s="142" t="str">
        <f>INDEX(CarrierDriverTBL!$O:$O,MATCH(Table1[[#This Row],[DriverID]],CarrierDriverTBL!$A:$A,0))</f>
        <v>CA</v>
      </c>
      <c r="AZ278" s="142">
        <f>INDEX(CarrierDriverTBL!$P:$P,MATCH(Table1[[#This Row],[DriverID]],CarrierDriverTBL!$A:$A,0))</f>
        <v>95377</v>
      </c>
      <c r="BA278" s="142" t="str">
        <f>INDEX(CarrierDriverTBL!$Q:$Q,MATCH(Table1[[#This Row],[DriverID]],CarrierDriverTBL!$A:$A,0))</f>
        <v>US</v>
      </c>
      <c r="BB278" s="176" t="str">
        <f>INDEX(CarrierDriverTBL!$R:$R,MATCH(Table1[[#This Row],[DriverID]],CarrierDriverTBL!$A:$A,0))</f>
        <v>ubgollc@gmail.com</v>
      </c>
      <c r="BC278" s="160">
        <f>INDEX(CarrierDriverTBL!$AB:$AB,MATCH(Table1[[#This Row],[DriverID]],CarrierDriverTBL!$A:$A,0))</f>
        <v>42167</v>
      </c>
      <c r="BD278" s="142" t="str">
        <f ca="1">INDEX(CarrierDriverTBL!$AD:$AD,MATCH(LoadMaster!$AN:$AN,CarrierDriverTBL!$A:$A,0))</f>
        <v>MISSING</v>
      </c>
      <c r="BE278" s="142">
        <f>INDEX(CarrierDriverTBL!$AE:$AE,MATCH(Table1[DriverID],CarrierDriverTBL!$A:$A,0))</f>
        <v>913971</v>
      </c>
      <c r="BF278" s="142">
        <f>INDEX(CarrierDriverTBL!$AF:$AF,MATCH(Table1[DriverID],CarrierDriverTBL!$A:$A,0))</f>
        <v>2627544</v>
      </c>
      <c r="BG278" s="142">
        <f>INDEX(CarrierDriverTBL!$AG:$AG,MATCH(Table1[DriverID],CarrierDriverTBL!$A:$A,0))</f>
        <v>466133</v>
      </c>
      <c r="BH278" s="142" t="str">
        <f>INDEX(CarrierDriverTBL!$AH:$AH,MATCH(Table1[DriverID],CarrierDriverTBL!$A:$A,0))</f>
        <v>GM Lawrence Ins</v>
      </c>
      <c r="BI278" s="142" t="str">
        <f>INDEX(CarrierDriverTBL!$AI:$AI,MATCH(Table1[DriverID],CarrierDriverTBL!$A:$A,0))</f>
        <v>DSK2842P160210</v>
      </c>
      <c r="BJ278" s="160">
        <f>INDEX(CarrierDriverTBL!$AJ:$AJ,MATCH(Table1[[#This Row],[DriverID]],CarrierDriverTBL!$A:$A,0))</f>
        <v>42778</v>
      </c>
      <c r="BK278" s="10">
        <f t="shared" si="123"/>
        <v>375</v>
      </c>
      <c r="BL278" s="59">
        <v>290</v>
      </c>
      <c r="BM278" s="144">
        <v>5.3</v>
      </c>
      <c r="BN278" s="159">
        <f t="shared" si="140"/>
        <v>54.716981132075475</v>
      </c>
      <c r="BO278" s="167">
        <v>125</v>
      </c>
      <c r="BP278" s="159">
        <f t="shared" si="141"/>
        <v>23.584905660377359</v>
      </c>
      <c r="BQ278" s="133">
        <v>2.6</v>
      </c>
      <c r="BR278" s="166">
        <f t="shared" si="142"/>
        <v>0.1166666666666667</v>
      </c>
      <c r="BS278" s="167">
        <f t="shared" si="124"/>
        <v>23.468238993710692</v>
      </c>
      <c r="BT278" s="159">
        <f t="shared" si="125"/>
        <v>0.61833333333333351</v>
      </c>
      <c r="BU278" s="10" t="str">
        <f t="shared" si="126"/>
        <v>Ch Robinson</v>
      </c>
      <c r="BV278" s="15" t="s">
        <v>1925</v>
      </c>
      <c r="BW278" s="4" t="str">
        <f>Table1[[#This Row],[BrokerAddress]]</f>
        <v>P.O. Box 3474</v>
      </c>
      <c r="BX278" s="4" t="str">
        <f t="shared" si="127"/>
        <v>Chicago</v>
      </c>
      <c r="BY278" s="4" t="str">
        <f t="shared" si="128"/>
        <v>Il</v>
      </c>
      <c r="BZ278" s="4">
        <f t="shared" si="129"/>
        <v>60654</v>
      </c>
      <c r="CA278" s="10" t="str">
        <f t="shared" si="130"/>
        <v>US</v>
      </c>
      <c r="CB278" s="15" t="s">
        <v>131</v>
      </c>
      <c r="CC278" s="62">
        <v>155</v>
      </c>
      <c r="CD278" s="15" t="s">
        <v>132</v>
      </c>
      <c r="CE278" s="64">
        <v>0</v>
      </c>
      <c r="CF278" s="4">
        <v>0</v>
      </c>
      <c r="CG278" s="132">
        <f t="shared" si="131"/>
        <v>0</v>
      </c>
      <c r="CH278" s="4" t="s">
        <v>132</v>
      </c>
      <c r="CI278" s="5">
        <v>0</v>
      </c>
      <c r="CJ278" s="4">
        <v>0</v>
      </c>
      <c r="CK278" s="132">
        <f t="shared" si="132"/>
        <v>0</v>
      </c>
      <c r="CL278" s="4" t="s">
        <v>132</v>
      </c>
      <c r="CM278" s="5">
        <v>0</v>
      </c>
      <c r="CN278" s="4">
        <v>0</v>
      </c>
      <c r="CO278" s="132">
        <f t="shared" si="133"/>
        <v>0</v>
      </c>
      <c r="CP278" s="4" t="s">
        <v>132</v>
      </c>
      <c r="CQ278" s="5">
        <v>0</v>
      </c>
      <c r="CR278" s="4">
        <v>0</v>
      </c>
      <c r="CS278" s="132">
        <f t="shared" si="134"/>
        <v>0</v>
      </c>
      <c r="CT278" s="159">
        <f t="shared" si="135"/>
        <v>0</v>
      </c>
      <c r="CU278" s="168">
        <f t="shared" si="136"/>
        <v>135</v>
      </c>
      <c r="CV278" s="169">
        <f t="shared" si="119"/>
        <v>0</v>
      </c>
      <c r="CW278" s="82">
        <f t="shared" si="120"/>
        <v>125</v>
      </c>
      <c r="CX278" s="79">
        <f>IF(ISBLANK(E278),"AddQuickPay",IF(E278=2,CU278*0.98,IF(E278=2.4,CU278*0.976,IF(E278=3,CU278*0.97,IF(E278=5,CU278*0.95,IF(E278=1.5,CU278*0.985,IF(E278=2.5,CU278*0.975,IF(E278=1.3,CU278*0.987,IF(E278=1,CU278*0.99,IF(E278=4,CU278*0.96,CU278*1))))))))))-Table1[[#This Row],[ComCheck+QuickPayFee]]</f>
        <v>132.30000000000001</v>
      </c>
      <c r="CY278" s="5">
        <f t="shared" si="137"/>
        <v>10</v>
      </c>
      <c r="CZ278" s="5">
        <f t="shared" si="138"/>
        <v>2.7</v>
      </c>
      <c r="DA278" s="258">
        <f>Table1[[#This Row],[OriginalDispatch]]-Table1[[#This Row],[QuickPayCharge]]</f>
        <v>7.3</v>
      </c>
      <c r="DB278" s="5">
        <v>0</v>
      </c>
      <c r="DC278" s="5" t="s">
        <v>133</v>
      </c>
      <c r="DD278" s="104">
        <f t="shared" si="139"/>
        <v>42405</v>
      </c>
      <c r="DE278" s="15">
        <f>MONTH(Table1[[#This Row],[Weekending]])</f>
        <v>2</v>
      </c>
      <c r="DF278" s="15">
        <f>YEAR(Table1[[#This Row],[Weekending]])</f>
        <v>2016</v>
      </c>
      <c r="DG278" s="4"/>
    </row>
    <row r="279" spans="1:111">
      <c r="A279" s="20" t="str">
        <f t="shared" si="121"/>
        <v>91026888</v>
      </c>
      <c r="B279" s="146">
        <v>42403</v>
      </c>
      <c r="C279" s="144">
        <v>6866291</v>
      </c>
      <c r="D279" s="298" t="s">
        <v>445</v>
      </c>
      <c r="E279" s="144">
        <v>3</v>
      </c>
      <c r="F279" s="298" t="str">
        <f>INDEX(BrokerTBL!$B:$B,MATCH(D279,BrokerTBL!$A:$A,0))</f>
        <v>960 Northpoint Parkway Suite 150</v>
      </c>
      <c r="G279" s="144" t="str">
        <f>INDEX(BrokerTBL!$C:$C,MATCH(D279,BrokerTBL!$A:$A,0))</f>
        <v>Alpharetta</v>
      </c>
      <c r="H279" s="142" t="str">
        <f>INDEX(BrokerTBL!$D:$D,MATCH(D279,BrokerTBL!$A:$A,0))</f>
        <v>Ga</v>
      </c>
      <c r="I279" s="142" t="str">
        <f>INDEX(BrokerTBL!$E:$E,MATCH(D279,BrokerTBL!$A:$A,0))</f>
        <v>US</v>
      </c>
      <c r="J279" s="298">
        <f>INDEX(BrokerTBL!$F:$F,MATCH(D279,BrokerTBL!$A:$A,0))</f>
        <v>30005</v>
      </c>
      <c r="K279" s="298" t="s">
        <v>2026</v>
      </c>
      <c r="L279" s="145" t="s">
        <v>2027</v>
      </c>
      <c r="M279" s="146">
        <v>42403</v>
      </c>
      <c r="N279" s="144" t="s">
        <v>1194</v>
      </c>
      <c r="O279" s="298" t="s">
        <v>2028</v>
      </c>
      <c r="P279" s="298" t="s">
        <v>253</v>
      </c>
      <c r="Q279" s="298" t="s">
        <v>139</v>
      </c>
      <c r="R279" s="298">
        <v>93636</v>
      </c>
      <c r="S279" s="298" t="s">
        <v>118</v>
      </c>
      <c r="T279" s="298" t="s">
        <v>2029</v>
      </c>
      <c r="U279" s="298" t="s">
        <v>120</v>
      </c>
      <c r="V279" s="298">
        <v>53</v>
      </c>
      <c r="W279" s="298" t="s">
        <v>2030</v>
      </c>
      <c r="X279" s="185">
        <v>42000</v>
      </c>
      <c r="Y279" s="298" t="s">
        <v>1537</v>
      </c>
      <c r="Z279" s="298">
        <v>20</v>
      </c>
      <c r="AA279" s="298" t="s">
        <v>123</v>
      </c>
      <c r="AB279" s="298" t="s">
        <v>123</v>
      </c>
      <c r="AC279" s="298" t="s">
        <v>2031</v>
      </c>
      <c r="AD279" s="145" t="s">
        <v>2032</v>
      </c>
      <c r="AE279" s="146">
        <v>42404</v>
      </c>
      <c r="AF279" s="298" t="s">
        <v>1398</v>
      </c>
      <c r="AG279" s="298" t="s">
        <v>2033</v>
      </c>
      <c r="AH279" s="298" t="s">
        <v>2000</v>
      </c>
      <c r="AI279" s="298" t="s">
        <v>139</v>
      </c>
      <c r="AJ279" s="298">
        <v>92154</v>
      </c>
      <c r="AK279" s="298" t="s">
        <v>118</v>
      </c>
      <c r="AL279" s="298" t="s">
        <v>2034</v>
      </c>
      <c r="AM279" s="142" t="str">
        <f>INDEX(CarrierDriverTBL!$B:$B,MATCH(Table1[[#This Row],[DriverID]],CarrierDriverTBL!$A:$A,0))</f>
        <v>UBTrucking</v>
      </c>
      <c r="AN279" s="10" t="s">
        <v>948</v>
      </c>
      <c r="AO279" s="10" t="str">
        <f>INDEX(CarrierDriverTBL!$C:$C,MATCH(Table1[[#This Row],[DriverID]],CarrierDriverTBL!$A:$A,0))</f>
        <v>Wesley</v>
      </c>
      <c r="AP279" s="10" t="str">
        <f>INDEX(CarrierDriverTBL!$D:$D,MATCH(Table1[[#This Row],[DriverID]],CarrierDriverTBL!$A:$A,0))</f>
        <v>Cousain</v>
      </c>
      <c r="AQ279" s="10" t="str">
        <f>INDEX(CarrierDriverTBL!$X:$X,MATCH(Table1[[#This Row],[DriverID]],CarrierDriverTBL!$A:$A,0))</f>
        <v>D4903588</v>
      </c>
      <c r="AR279" s="11">
        <f>INDEX(CarrierDriverTBL!$Y:$Y,MATCH(Table1[[#This Row],[DriverID]],CarrierDriverTBL!$A:$A,0))</f>
        <v>43458</v>
      </c>
      <c r="AS279" s="142" t="str">
        <f t="shared" si="122"/>
        <v>GOOD</v>
      </c>
      <c r="AT279" s="11">
        <f>INDEX(CarrierDriverTBL!$E:$E,MATCH(Table1[[#This Row],[DriverID]],CarrierDriverTBL!$A:$A,0))</f>
        <v>31405</v>
      </c>
      <c r="AU279" s="163">
        <f ca="1">INDEX(CarrierDriverTBL!$F:$F,MATCH(Table1[[#This Row],[DriverID]],CarrierDriverTBL!$A:$A,0))</f>
        <v>30.605479452054794</v>
      </c>
      <c r="AV279" s="10" t="str">
        <f>INDEX(CarrierDriverTBL!$K:$K,MATCH(Table1[[#This Row],[DriverID]],CarrierDriverTBL!$A:$A,0))</f>
        <v>925-383-5364</v>
      </c>
      <c r="AW279" s="10" t="str">
        <f>INDEX(CarrierDriverTBL!$M:$M,MATCH(Table1[[#This Row],[DriverID]],CarrierDriverTBL!$A:$A,0))</f>
        <v>110 Cordova Ln</v>
      </c>
      <c r="AX279" s="10" t="str">
        <f>INDEX(CarrierDriverTBL!$N:$N,MATCH(Table1[[#This Row],[DriverID]],CarrierDriverTBL!$A:$A,0))</f>
        <v>Stockton</v>
      </c>
      <c r="AY279" s="10" t="str">
        <f>INDEX(CarrierDriverTBL!$O:$O,MATCH(Table1[[#This Row],[DriverID]],CarrierDriverTBL!$A:$A,0))</f>
        <v>CA</v>
      </c>
      <c r="AZ279" s="10">
        <f>INDEX(CarrierDriverTBL!$P:$P,MATCH(Table1[[#This Row],[DriverID]],CarrierDriverTBL!$A:$A,0))</f>
        <v>95207</v>
      </c>
      <c r="BA279" s="10" t="str">
        <f>INDEX(CarrierDriverTBL!$Q:$Q,MATCH(Table1[[#This Row],[DriverID]],CarrierDriverTBL!$A:$A,0))</f>
        <v>US</v>
      </c>
      <c r="BB279" s="173" t="str">
        <f>INDEX(CarrierDriverTBL!$R:$R,MATCH(Table1[[#This Row],[DriverID]],CarrierDriverTBL!$A:$A,0))</f>
        <v>wesleycousain1@gmail.com</v>
      </c>
      <c r="BC279" s="160">
        <f>INDEX(CarrierDriverTBL!$AB:$AB,MATCH(Table1[[#This Row],[DriverID]],CarrierDriverTBL!$A:$A,0))</f>
        <v>42271</v>
      </c>
      <c r="BD279" s="142" t="str">
        <f ca="1">INDEX(CarrierDriverTBL!$AD:$AD,MATCH(LoadMaster!$AN:$AN,CarrierDriverTBL!$A:$A,0))</f>
        <v>MISSING</v>
      </c>
      <c r="BE279" s="142">
        <f>INDEX(CarrierDriverTBL!$AE:$AE,MATCH(Table1[DriverID],CarrierDriverTBL!$A:$A,0))</f>
        <v>913971</v>
      </c>
      <c r="BF279" s="142">
        <f>INDEX(CarrierDriverTBL!$AF:$AF,MATCH(Table1[DriverID],CarrierDriverTBL!$A:$A,0))</f>
        <v>2627544</v>
      </c>
      <c r="BG279" s="142">
        <f>INDEX(CarrierDriverTBL!$AG:$AG,MATCH(Table1[DriverID],CarrierDriverTBL!$A:$A,0))</f>
        <v>466133</v>
      </c>
      <c r="BH279" s="142" t="str">
        <f>INDEX(CarrierDriverTBL!$AH:$AH,MATCH(Table1[DriverID],CarrierDriverTBL!$A:$A,0))</f>
        <v>GM Lawrence Ins</v>
      </c>
      <c r="BI279" s="142" t="str">
        <f>INDEX(CarrierDriverTBL!$AI:$AI,MATCH(Table1[DriverID],CarrierDriverTBL!$A:$A,0))</f>
        <v>DSK2842P160210</v>
      </c>
      <c r="BJ279" s="160">
        <f>INDEX(CarrierDriverTBL!$AJ:$AJ,MATCH(Table1[[#This Row],[DriverID]],CarrierDriverTBL!$A:$A,0))</f>
        <v>42778</v>
      </c>
      <c r="BK279" s="10">
        <f t="shared" si="123"/>
        <v>375</v>
      </c>
      <c r="BL279" s="59">
        <v>600</v>
      </c>
      <c r="BM279" s="144">
        <v>360</v>
      </c>
      <c r="BN279" s="159">
        <f t="shared" si="140"/>
        <v>1.6666666666666667</v>
      </c>
      <c r="BO279" s="167">
        <f>0.93*600</f>
        <v>558</v>
      </c>
      <c r="BP279" s="159">
        <f t="shared" si="141"/>
        <v>1.55</v>
      </c>
      <c r="BQ279" s="133">
        <v>2.6</v>
      </c>
      <c r="BR279" s="166">
        <f t="shared" si="142"/>
        <v>0.1166666666666667</v>
      </c>
      <c r="BS279" s="167">
        <f t="shared" si="124"/>
        <v>1.4333333333333333</v>
      </c>
      <c r="BT279" s="159">
        <f t="shared" si="125"/>
        <v>42.000000000000014</v>
      </c>
      <c r="BU279" s="10" t="str">
        <f t="shared" si="126"/>
        <v>Coyote</v>
      </c>
      <c r="BV279" s="15" t="s">
        <v>1973</v>
      </c>
      <c r="BW279" s="4" t="str">
        <f>Table1[[#This Row],[BrokerAddress]]</f>
        <v>960 Northpoint Parkway Suite 150</v>
      </c>
      <c r="BX279" s="4" t="str">
        <f t="shared" si="127"/>
        <v>Alpharetta</v>
      </c>
      <c r="BY279" s="4" t="str">
        <f t="shared" si="128"/>
        <v>Ga</v>
      </c>
      <c r="BZ279" s="4">
        <f t="shared" si="129"/>
        <v>30005</v>
      </c>
      <c r="CA279" s="10" t="str">
        <f t="shared" si="130"/>
        <v>US</v>
      </c>
      <c r="CB279" s="15" t="s">
        <v>131</v>
      </c>
      <c r="CC279" s="62"/>
      <c r="CD279" s="15" t="s">
        <v>132</v>
      </c>
      <c r="CE279" s="64">
        <v>0</v>
      </c>
      <c r="CF279" s="4">
        <v>0</v>
      </c>
      <c r="CG279" s="132">
        <f t="shared" si="131"/>
        <v>0</v>
      </c>
      <c r="CH279" s="4" t="s">
        <v>132</v>
      </c>
      <c r="CI279" s="5">
        <v>0</v>
      </c>
      <c r="CJ279" s="4">
        <v>0</v>
      </c>
      <c r="CK279" s="132">
        <f t="shared" si="132"/>
        <v>0</v>
      </c>
      <c r="CL279" s="4" t="s">
        <v>132</v>
      </c>
      <c r="CM279" s="5">
        <v>0</v>
      </c>
      <c r="CN279" s="4">
        <v>0</v>
      </c>
      <c r="CO279" s="132">
        <f t="shared" si="133"/>
        <v>0</v>
      </c>
      <c r="CP279" s="4" t="s">
        <v>132</v>
      </c>
      <c r="CQ279" s="5">
        <v>0</v>
      </c>
      <c r="CR279" s="4">
        <v>0</v>
      </c>
      <c r="CS279" s="132">
        <f t="shared" si="134"/>
        <v>0</v>
      </c>
      <c r="CT279" s="159">
        <f t="shared" si="135"/>
        <v>0</v>
      </c>
      <c r="CU279" s="168">
        <f t="shared" si="136"/>
        <v>600</v>
      </c>
      <c r="CV279" s="169">
        <f t="shared" si="119"/>
        <v>0</v>
      </c>
      <c r="CW279" s="82">
        <f t="shared" si="120"/>
        <v>558</v>
      </c>
      <c r="CX279" s="79">
        <f>IF(ISBLANK(E279),"AddQuickPay",IF(E279=2,CU279*0.98,IF(E279=2.4,CU279*0.976,IF(E279=3,CU279*0.97,IF(E279=5,CU279*0.95,IF(E279=1.5,CU279*0.985,IF(E279=2.5,CU279*0.975,IF(E279=1.3,CU279*0.987,IF(E279=1,CU279*0.99,IF(E279=4,CU279*0.96,CU279*1))))))))))-Table1[[#This Row],[ComCheck+QuickPayFee]]</f>
        <v>582</v>
      </c>
      <c r="CY279" s="5">
        <f t="shared" si="137"/>
        <v>42</v>
      </c>
      <c r="CZ279" s="5">
        <f t="shared" si="138"/>
        <v>18</v>
      </c>
      <c r="DA279" s="258">
        <f>Table1[[#This Row],[OriginalDispatch]]-Table1[[#This Row],[QuickPayCharge]]</f>
        <v>24</v>
      </c>
      <c r="DB279" s="5">
        <v>0</v>
      </c>
      <c r="DC279" s="5" t="s">
        <v>133</v>
      </c>
      <c r="DD279" s="104">
        <f t="shared" si="139"/>
        <v>42405</v>
      </c>
      <c r="DE279" s="15">
        <f>MONTH(Table1[[#This Row],[Weekending]])</f>
        <v>2</v>
      </c>
      <c r="DF279" s="15">
        <f>YEAR(Table1[[#This Row],[Weekending]])</f>
        <v>2016</v>
      </c>
      <c r="DG279" s="4"/>
    </row>
    <row r="280" spans="1:111">
      <c r="A280" s="20" t="str">
        <f t="shared" si="121"/>
        <v>04484819</v>
      </c>
      <c r="B280" s="146">
        <v>42403</v>
      </c>
      <c r="C280" s="144">
        <v>192012104</v>
      </c>
      <c r="D280" s="298" t="s">
        <v>111</v>
      </c>
      <c r="E280" s="298">
        <v>2</v>
      </c>
      <c r="F280" s="142" t="str">
        <f>INDEX(BrokerTBL!$B:$B,MATCH(D280,BrokerTBL!$A:$A,0))</f>
        <v>P.O. Box 3474</v>
      </c>
      <c r="G280" s="142" t="str">
        <f>INDEX(BrokerTBL!$C:$C,MATCH(D280,BrokerTBL!$A:$A,0))</f>
        <v>Chicago</v>
      </c>
      <c r="H280" s="142" t="str">
        <f>INDEX(BrokerTBL!$D:$D,MATCH(D280,BrokerTBL!$A:$A,0))</f>
        <v>Il</v>
      </c>
      <c r="I280" s="142" t="str">
        <f>INDEX(BrokerTBL!$E:$E,MATCH(D280,BrokerTBL!$A:$A,0))</f>
        <v>US</v>
      </c>
      <c r="J280" s="142">
        <f>INDEX(BrokerTBL!$F:$F,MATCH(D280,BrokerTBL!$A:$A,0))</f>
        <v>60654</v>
      </c>
      <c r="K280" s="298" t="s">
        <v>2035</v>
      </c>
      <c r="L280" s="145">
        <v>4000376648</v>
      </c>
      <c r="M280" s="146">
        <v>42403</v>
      </c>
      <c r="N280" s="144" t="s">
        <v>1398</v>
      </c>
      <c r="O280" s="298" t="s">
        <v>2036</v>
      </c>
      <c r="P280" s="298" t="s">
        <v>248</v>
      </c>
      <c r="Q280" s="298" t="s">
        <v>139</v>
      </c>
      <c r="R280" s="298" t="s">
        <v>2037</v>
      </c>
      <c r="S280" s="298" t="s">
        <v>118</v>
      </c>
      <c r="T280" s="298" t="s">
        <v>123</v>
      </c>
      <c r="U280" s="298" t="s">
        <v>120</v>
      </c>
      <c r="V280" s="298">
        <v>53</v>
      </c>
      <c r="W280" s="298" t="s">
        <v>2038</v>
      </c>
      <c r="X280" s="185">
        <v>18315</v>
      </c>
      <c r="Y280" s="298" t="s">
        <v>337</v>
      </c>
      <c r="Z280" s="185">
        <v>1332</v>
      </c>
      <c r="AA280" s="298" t="s">
        <v>123</v>
      </c>
      <c r="AB280" s="298" t="s">
        <v>123</v>
      </c>
      <c r="AC280" s="298" t="s">
        <v>2039</v>
      </c>
      <c r="AD280" s="145">
        <v>4000376648</v>
      </c>
      <c r="AE280" s="146">
        <v>42404</v>
      </c>
      <c r="AF280" s="298" t="s">
        <v>2040</v>
      </c>
      <c r="AG280" s="298" t="s">
        <v>2041</v>
      </c>
      <c r="AH280" s="298" t="s">
        <v>380</v>
      </c>
      <c r="AI280" s="298" t="s">
        <v>139</v>
      </c>
      <c r="AJ280" s="298">
        <v>95304</v>
      </c>
      <c r="AK280" s="298" t="s">
        <v>118</v>
      </c>
      <c r="AL280" s="298" t="s">
        <v>123</v>
      </c>
      <c r="AM280" s="142" t="str">
        <f>INDEX(CarrierDriverTBL!$B:$B,MATCH(Table1[[#This Row],[DriverID]],CarrierDriverTBL!$A:$A,0))</f>
        <v>UBTrucking</v>
      </c>
      <c r="AN280" s="10" t="s">
        <v>1409</v>
      </c>
      <c r="AO280" s="298" t="str">
        <f>INDEX(CarrierDriverTBL!$C:$C,MATCH(Table1[[#This Row],[DriverID]],CarrierDriverTBL!$A:$A,0))</f>
        <v>Miguel Jaime</v>
      </c>
      <c r="AP280" s="298" t="str">
        <f>INDEX(CarrierDriverTBL!$D:$D,MATCH(Table1[[#This Row],[DriverID]],CarrierDriverTBL!$A:$A,0))</f>
        <v>Martin Del Campo Velarca</v>
      </c>
      <c r="AQ280" s="142" t="str">
        <f>INDEX(CarrierDriverTBL!$X:$X,MATCH(Table1[[#This Row],[DriverID]],CarrierDriverTBL!$A:$A,0))</f>
        <v>D5179619</v>
      </c>
      <c r="AR280" s="160">
        <f>INDEX(CarrierDriverTBL!$Y:$Y,MATCH(Table1[[#This Row],[DriverID]],CarrierDriverTBL!$A:$A,0))</f>
        <v>43843</v>
      </c>
      <c r="AS280" s="142" t="str">
        <f t="shared" si="122"/>
        <v>GOOD</v>
      </c>
      <c r="AT280" s="146">
        <f>INDEX(CarrierDriverTBL!$E:$E,MATCH(Table1[[#This Row],[DriverID]],CarrierDriverTBL!$A:$A,0))</f>
        <v>21198</v>
      </c>
      <c r="AU280" s="163">
        <f ca="1">INDEX(CarrierDriverTBL!$F:$F,MATCH(Table1[[#This Row],[DriverID]],CarrierDriverTBL!$A:$A,0))</f>
        <v>58.56986301369863</v>
      </c>
      <c r="AV280" s="298" t="str">
        <f>INDEX(CarrierDriverTBL!$K:$K,MATCH(Table1[[#This Row],[DriverID]],CarrierDriverTBL!$A:$A,0))</f>
        <v>209-322-5231</v>
      </c>
      <c r="AW280" s="298" t="str">
        <f>INDEX(CarrierDriverTBL!$M:$M,MATCH(Table1[[#This Row],[DriverID]],CarrierDriverTBL!$A:$A,0))</f>
        <v>572 Predersen RD</v>
      </c>
      <c r="AX280" s="298" t="str">
        <f>INDEX(CarrierDriverTBL!$N:$N,MATCH(Table1[[#This Row],[DriverID]],CarrierDriverTBL!$A:$A,0))</f>
        <v>Oakdale</v>
      </c>
      <c r="AY280" s="142" t="str">
        <f>INDEX(CarrierDriverTBL!$O:$O,MATCH(Table1[[#This Row],[DriverID]],CarrierDriverTBL!$A:$A,0))</f>
        <v>CA</v>
      </c>
      <c r="AZ280" s="298">
        <f>INDEX(CarrierDriverTBL!$P:$P,MATCH(Table1[[#This Row],[DriverID]],CarrierDriverTBL!$A:$A,0))</f>
        <v>95361</v>
      </c>
      <c r="BA280" s="298" t="str">
        <f>INDEX(CarrierDriverTBL!$Q:$Q,MATCH(Table1[[#This Row],[DriverID]],CarrierDriverTBL!$A:$A,0))</f>
        <v>US</v>
      </c>
      <c r="BB280" s="176" t="str">
        <f>INDEX(CarrierDriverTBL!$R:$R,MATCH(Table1[[#This Row],[DriverID]],CarrierDriverTBL!$A:$A,0))</f>
        <v>Miguelmartin52@yahoo.com</v>
      </c>
      <c r="BC280" s="160">
        <f>INDEX(CarrierDriverTBL!$AB:$AB,MATCH(Table1[[#This Row],[DriverID]],CarrierDriverTBL!$A:$A,0))</f>
        <v>42334</v>
      </c>
      <c r="BD280" s="142" t="str">
        <f ca="1">INDEX(CarrierDriverTBL!$AD:$AD,MATCH(LoadMaster!$AN:$AN,CarrierDriverTBL!$A:$A,0))</f>
        <v>MISSING</v>
      </c>
      <c r="BE280" s="142">
        <f>INDEX(CarrierDriverTBL!$AE:$AE,MATCH(Table1[DriverID],CarrierDriverTBL!$A:$A,0))</f>
        <v>913971</v>
      </c>
      <c r="BF280" s="142">
        <f>INDEX(CarrierDriverTBL!$AF:$AF,MATCH(Table1[DriverID],CarrierDriverTBL!$A:$A,0))</f>
        <v>2627544</v>
      </c>
      <c r="BG280" s="142">
        <f>INDEX(CarrierDriverTBL!$AG:$AG,MATCH(Table1[DriverID],CarrierDriverTBL!$A:$A,0))</f>
        <v>466133</v>
      </c>
      <c r="BH280" s="142" t="str">
        <f>INDEX(CarrierDriverTBL!$AH:$AH,MATCH(Table1[DriverID],CarrierDriverTBL!$A:$A,0))</f>
        <v>GM Lawrence Ins</v>
      </c>
      <c r="BI280" s="142" t="str">
        <f>INDEX(CarrierDriverTBL!$AI:$AI,MATCH(Table1[DriverID],CarrierDriverTBL!$A:$A,0))</f>
        <v>DSK2842P160210</v>
      </c>
      <c r="BJ280" s="160">
        <f>INDEX(CarrierDriverTBL!$AJ:$AJ,MATCH(Table1[[#This Row],[DriverID]],CarrierDriverTBL!$A:$A,0))</f>
        <v>42778</v>
      </c>
      <c r="BK280" s="10">
        <f t="shared" si="123"/>
        <v>375</v>
      </c>
      <c r="BL280" s="59">
        <v>400</v>
      </c>
      <c r="BM280" s="144">
        <v>166</v>
      </c>
      <c r="BN280" s="159">
        <f t="shared" si="140"/>
        <v>2.4096385542168677</v>
      </c>
      <c r="BO280" s="167">
        <f>0.93*400</f>
        <v>372</v>
      </c>
      <c r="BP280" s="159">
        <f t="shared" si="141"/>
        <v>2.2409638554216866</v>
      </c>
      <c r="BQ280" s="133">
        <v>2.6</v>
      </c>
      <c r="BR280" s="166">
        <f t="shared" si="142"/>
        <v>0.1166666666666667</v>
      </c>
      <c r="BS280" s="167">
        <f t="shared" si="124"/>
        <v>2.1242971887550199</v>
      </c>
      <c r="BT280" s="159">
        <f t="shared" si="125"/>
        <v>19.366666666666671</v>
      </c>
      <c r="BU280" s="10" t="str">
        <f t="shared" si="126"/>
        <v>Ch Robinson</v>
      </c>
      <c r="BV280" s="15"/>
      <c r="BW280" s="4" t="str">
        <f>Table1[[#This Row],[BrokerAddress]]</f>
        <v>P.O. Box 3474</v>
      </c>
      <c r="BX280" s="4" t="str">
        <f t="shared" si="127"/>
        <v>Chicago</v>
      </c>
      <c r="BY280" s="4" t="str">
        <f t="shared" si="128"/>
        <v>Il</v>
      </c>
      <c r="BZ280" s="4">
        <f t="shared" si="129"/>
        <v>60654</v>
      </c>
      <c r="CA280" s="10" t="str">
        <f t="shared" si="130"/>
        <v>US</v>
      </c>
      <c r="CB280" s="15" t="s">
        <v>131</v>
      </c>
      <c r="CC280" s="62"/>
      <c r="CD280" s="15" t="s">
        <v>132</v>
      </c>
      <c r="CE280" s="64">
        <v>0</v>
      </c>
      <c r="CF280" s="4">
        <v>0</v>
      </c>
      <c r="CG280" s="132">
        <f t="shared" si="131"/>
        <v>0</v>
      </c>
      <c r="CH280" s="4" t="s">
        <v>132</v>
      </c>
      <c r="CI280" s="5">
        <v>0</v>
      </c>
      <c r="CJ280" s="4">
        <v>0</v>
      </c>
      <c r="CK280" s="132">
        <f t="shared" si="132"/>
        <v>0</v>
      </c>
      <c r="CL280" s="4" t="s">
        <v>132</v>
      </c>
      <c r="CM280" s="5">
        <v>0</v>
      </c>
      <c r="CN280" s="4">
        <v>0</v>
      </c>
      <c r="CO280" s="132">
        <f t="shared" si="133"/>
        <v>0</v>
      </c>
      <c r="CP280" s="4" t="s">
        <v>132</v>
      </c>
      <c r="CQ280" s="5">
        <v>0</v>
      </c>
      <c r="CR280" s="4">
        <v>0</v>
      </c>
      <c r="CS280" s="132">
        <f t="shared" si="134"/>
        <v>0</v>
      </c>
      <c r="CT280" s="159">
        <f t="shared" si="135"/>
        <v>0</v>
      </c>
      <c r="CU280" s="168">
        <f t="shared" si="136"/>
        <v>400</v>
      </c>
      <c r="CV280" s="169">
        <f t="shared" si="119"/>
        <v>0</v>
      </c>
      <c r="CW280" s="82">
        <f t="shared" si="120"/>
        <v>372</v>
      </c>
      <c r="CX280" s="79">
        <f>IF(ISBLANK(E280),"AddQuickPay",IF(E280=2,CU280*0.98,IF(E280=2.4,CU280*0.976,IF(E280=3,CU280*0.97,IF(E280=5,CU280*0.95,IF(E280=1.5,CU280*0.985,IF(E280=2.5,CU280*0.975,IF(E280=1.3,CU280*0.987,IF(E280=1,CU280*0.99,IF(E280=4,CU280*0.96,CU280*1))))))))))-Table1[[#This Row],[ComCheck+QuickPayFee]]</f>
        <v>392</v>
      </c>
      <c r="CY280" s="5">
        <f t="shared" si="137"/>
        <v>28</v>
      </c>
      <c r="CZ280" s="5">
        <f t="shared" si="138"/>
        <v>8</v>
      </c>
      <c r="DA280" s="258">
        <f>Table1[[#This Row],[OriginalDispatch]]-Table1[[#This Row],[QuickPayCharge]]</f>
        <v>20</v>
      </c>
      <c r="DB280" s="5">
        <v>0</v>
      </c>
      <c r="DC280" s="5" t="s">
        <v>133</v>
      </c>
      <c r="DD280" s="104">
        <f t="shared" si="139"/>
        <v>42405</v>
      </c>
      <c r="DE280" s="15">
        <f>MONTH(Table1[[#This Row],[Weekending]])</f>
        <v>2</v>
      </c>
      <c r="DF280" s="15">
        <f>YEAR(Table1[[#This Row],[Weekending]])</f>
        <v>2016</v>
      </c>
      <c r="DG280" s="4"/>
    </row>
    <row r="281" spans="1:111">
      <c r="A281" s="20" t="str">
        <f t="shared" si="121"/>
        <v>897049</v>
      </c>
      <c r="B281" s="146">
        <v>42403</v>
      </c>
      <c r="C281" s="144">
        <v>6573489</v>
      </c>
      <c r="D281" s="298" t="s">
        <v>555</v>
      </c>
      <c r="E281" s="144">
        <v>3</v>
      </c>
      <c r="F281" s="298" t="str">
        <f>INDEX(BrokerTBL!$B:$B,MATCH(D281,BrokerTBL!$A:$A,0))</f>
        <v>P.O. Box 799</v>
      </c>
      <c r="G281" s="298" t="str">
        <f>INDEX(BrokerTBL!$C:$C,MATCH(D281,BrokerTBL!$A:$A,0))</f>
        <v>Milford</v>
      </c>
      <c r="H281" s="142" t="str">
        <f>INDEX(BrokerTBL!$D:$D,MATCH(D281,BrokerTBL!$A:$A,0))</f>
        <v>Ohio</v>
      </c>
      <c r="I281" s="142" t="str">
        <f>INDEX(BrokerTBL!$E:$E,MATCH(D281,BrokerTBL!$A:$A,0))</f>
        <v>US</v>
      </c>
      <c r="J281" s="298">
        <f>INDEX(BrokerTBL!$F:$F,MATCH(D281,BrokerTBL!$A:$A,0))</f>
        <v>45150</v>
      </c>
      <c r="K281" s="298" t="s">
        <v>2042</v>
      </c>
      <c r="L281" s="145" t="s">
        <v>2043</v>
      </c>
      <c r="M281" s="146">
        <v>42404</v>
      </c>
      <c r="N281" s="162" t="s">
        <v>123</v>
      </c>
      <c r="O281" s="298" t="s">
        <v>2044</v>
      </c>
      <c r="P281" s="298" t="s">
        <v>253</v>
      </c>
      <c r="Q281" s="298" t="s">
        <v>139</v>
      </c>
      <c r="R281" s="298">
        <v>93637</v>
      </c>
      <c r="S281" s="298" t="s">
        <v>118</v>
      </c>
      <c r="T281" s="298" t="s">
        <v>2045</v>
      </c>
      <c r="U281" s="298" t="s">
        <v>120</v>
      </c>
      <c r="V281" s="298">
        <v>53</v>
      </c>
      <c r="W281" s="298" t="s">
        <v>2046</v>
      </c>
      <c r="X281" s="144" t="s">
        <v>123</v>
      </c>
      <c r="Y281" s="298" t="s">
        <v>1537</v>
      </c>
      <c r="Z281" s="298">
        <v>16</v>
      </c>
      <c r="AA281" s="298" t="s">
        <v>123</v>
      </c>
      <c r="AB281" s="298" t="s">
        <v>123</v>
      </c>
      <c r="AC281" s="298" t="s">
        <v>2047</v>
      </c>
      <c r="AD281" s="145"/>
      <c r="AE281" s="146">
        <v>42404</v>
      </c>
      <c r="AF281" s="416" t="s">
        <v>123</v>
      </c>
      <c r="AG281" s="298" t="s">
        <v>2048</v>
      </c>
      <c r="AH281" s="298" t="s">
        <v>2049</v>
      </c>
      <c r="AI281" s="298" t="s">
        <v>139</v>
      </c>
      <c r="AJ281" s="298">
        <v>95987</v>
      </c>
      <c r="AK281" s="298" t="s">
        <v>118</v>
      </c>
      <c r="AL281" s="298" t="s">
        <v>123</v>
      </c>
      <c r="AM281" s="142" t="str">
        <f>INDEX(CarrierDriverTBL!$B:$B,MATCH(Table1[[#This Row],[DriverID]],CarrierDriverTBL!$A:$A,0))</f>
        <v>UBTrucking</v>
      </c>
      <c r="AN281" s="10" t="s">
        <v>192</v>
      </c>
      <c r="AO281" s="10" t="str">
        <f>INDEX(CarrierDriverTBL!$C:$C,MATCH(Table1[[#This Row],[DriverID]],CarrierDriverTBL!$A:$A,0))</f>
        <v>Albel</v>
      </c>
      <c r="AP281" s="142" t="str">
        <f>INDEX(CarrierDriverTBL!$D:$D,MATCH(Table1[[#This Row],[DriverID]],CarrierDriverTBL!$A:$A,0))</f>
        <v>Chahil</v>
      </c>
      <c r="AQ281" s="142" t="str">
        <f>INDEX(CarrierDriverTBL!$X:$X,MATCH(Table1[[#This Row],[DriverID]],CarrierDriverTBL!$A:$A,0))</f>
        <v>A8390649</v>
      </c>
      <c r="AR281" s="160">
        <f>INDEX(CarrierDriverTBL!$Y:$Y,MATCH(Table1[[#This Row],[DriverID]],CarrierDriverTBL!$A:$A,0))</f>
        <v>42402</v>
      </c>
      <c r="AS281" s="142" t="str">
        <f t="shared" si="122"/>
        <v>EXPIRED</v>
      </c>
      <c r="AT281" s="160">
        <f>INDEX(CarrierDriverTBL!$E:$E,MATCH(Table1[[#This Row],[DriverID]],CarrierDriverTBL!$A:$A,0))</f>
        <v>22314</v>
      </c>
      <c r="AU281" s="163">
        <f ca="1">INDEX(CarrierDriverTBL!$F:$F,MATCH(Table1[[#This Row],[DriverID]],CarrierDriverTBL!$A:$A,0))</f>
        <v>55.512328767123286</v>
      </c>
      <c r="AV281" s="142" t="str">
        <f>INDEX(CarrierDriverTBL!$K:$K,MATCH(Table1[[#This Row],[DriverID]],CarrierDriverTBL!$A:$A,0))</f>
        <v>510-773-9450</v>
      </c>
      <c r="AW281" s="142" t="str">
        <f>INDEX(CarrierDriverTBL!$M:$M,MATCH(Table1[[#This Row],[DriverID]],CarrierDriverTBL!$A:$A,0))</f>
        <v>3124 Cynthia CT</v>
      </c>
      <c r="AX281" s="142" t="str">
        <f>INDEX(CarrierDriverTBL!$N:$N,MATCH(Table1[[#This Row],[DriverID]],CarrierDriverTBL!$A:$A,0))</f>
        <v>Tracy</v>
      </c>
      <c r="AY281" s="142" t="str">
        <f>INDEX(CarrierDriverTBL!$O:$O,MATCH(Table1[[#This Row],[DriverID]],CarrierDriverTBL!$A:$A,0))</f>
        <v>CA</v>
      </c>
      <c r="AZ281" s="142">
        <f>INDEX(CarrierDriverTBL!$P:$P,MATCH(Table1[[#This Row],[DriverID]],CarrierDriverTBL!$A:$A,0))</f>
        <v>95377</v>
      </c>
      <c r="BA281" s="142" t="str">
        <f>INDEX(CarrierDriverTBL!$Q:$Q,MATCH(Table1[[#This Row],[DriverID]],CarrierDriverTBL!$A:$A,0))</f>
        <v>US</v>
      </c>
      <c r="BB281" s="176" t="str">
        <f>INDEX(CarrierDriverTBL!$R:$R,MATCH(Table1[[#This Row],[DriverID]],CarrierDriverTBL!$A:$A,0))</f>
        <v>ubgollc@gmail.com</v>
      </c>
      <c r="BC281" s="160">
        <f>INDEX(CarrierDriverTBL!$AB:$AB,MATCH(Table1[[#This Row],[DriverID]],CarrierDriverTBL!$A:$A,0))</f>
        <v>42167</v>
      </c>
      <c r="BD281" s="142" t="str">
        <f ca="1">INDEX(CarrierDriverTBL!$AD:$AD,MATCH(LoadMaster!$AN:$AN,CarrierDriverTBL!$A:$A,0))</f>
        <v>MISSING</v>
      </c>
      <c r="BE281" s="142">
        <f>INDEX(CarrierDriverTBL!$AE:$AE,MATCH(Table1[DriverID],CarrierDriverTBL!$A:$A,0))</f>
        <v>913971</v>
      </c>
      <c r="BF281" s="142">
        <f>INDEX(CarrierDriverTBL!$AF:$AF,MATCH(Table1[DriverID],CarrierDriverTBL!$A:$A,0))</f>
        <v>2627544</v>
      </c>
      <c r="BG281" s="142">
        <f>INDEX(CarrierDriverTBL!$AG:$AG,MATCH(Table1[DriverID],CarrierDriverTBL!$A:$A,0))</f>
        <v>466133</v>
      </c>
      <c r="BH281" s="142" t="str">
        <f>INDEX(CarrierDriverTBL!$AH:$AH,MATCH(Table1[DriverID],CarrierDriverTBL!$A:$A,0))</f>
        <v>GM Lawrence Ins</v>
      </c>
      <c r="BI281" s="142" t="str">
        <f>INDEX(CarrierDriverTBL!$AI:$AI,MATCH(Table1[DriverID],CarrierDriverTBL!$A:$A,0))</f>
        <v>DSK2842P160210</v>
      </c>
      <c r="BJ281" s="160">
        <f>INDEX(CarrierDriverTBL!$AJ:$AJ,MATCH(Table1[[#This Row],[DriverID]],CarrierDriverTBL!$A:$A,0))</f>
        <v>42778</v>
      </c>
      <c r="BK281" s="10">
        <f t="shared" si="123"/>
        <v>374</v>
      </c>
      <c r="BL281" s="59">
        <v>450</v>
      </c>
      <c r="BM281" s="144">
        <v>206</v>
      </c>
      <c r="BN281" s="159">
        <f t="shared" si="140"/>
        <v>2.1844660194174756</v>
      </c>
      <c r="BO281" s="167">
        <v>400</v>
      </c>
      <c r="BP281" s="159">
        <f t="shared" si="141"/>
        <v>1.941747572815534</v>
      </c>
      <c r="BQ281" s="133">
        <v>2.6</v>
      </c>
      <c r="BR281" s="166">
        <f t="shared" si="142"/>
        <v>0.1166666666666667</v>
      </c>
      <c r="BS281" s="167">
        <f t="shared" si="124"/>
        <v>1.8250809061488673</v>
      </c>
      <c r="BT281" s="159">
        <f t="shared" si="125"/>
        <v>24.033333333333339</v>
      </c>
      <c r="BU281" s="10" t="str">
        <f t="shared" si="126"/>
        <v>Tql</v>
      </c>
      <c r="BV281" s="15" t="s">
        <v>1925</v>
      </c>
      <c r="BW281" s="4" t="str">
        <f>Table1[[#This Row],[BrokerAddress]]</f>
        <v>P.O. Box 799</v>
      </c>
      <c r="BX281" s="4" t="str">
        <f t="shared" si="127"/>
        <v>Milford</v>
      </c>
      <c r="BY281" s="4" t="str">
        <f t="shared" si="128"/>
        <v>Ohio</v>
      </c>
      <c r="BZ281" s="4">
        <f t="shared" si="129"/>
        <v>45150</v>
      </c>
      <c r="CA281" s="10" t="str">
        <f t="shared" si="130"/>
        <v>US</v>
      </c>
      <c r="CB281" s="15" t="s">
        <v>131</v>
      </c>
      <c r="CC281" s="62"/>
      <c r="CD281" s="15" t="s">
        <v>132</v>
      </c>
      <c r="CE281" s="64">
        <v>0</v>
      </c>
      <c r="CF281" s="4">
        <v>0</v>
      </c>
      <c r="CG281" s="132">
        <f t="shared" si="131"/>
        <v>0</v>
      </c>
      <c r="CH281" s="4" t="s">
        <v>132</v>
      </c>
      <c r="CI281" s="5">
        <v>0</v>
      </c>
      <c r="CJ281" s="4">
        <v>0</v>
      </c>
      <c r="CK281" s="132">
        <f t="shared" si="132"/>
        <v>0</v>
      </c>
      <c r="CL281" s="4" t="s">
        <v>132</v>
      </c>
      <c r="CM281" s="5">
        <v>0</v>
      </c>
      <c r="CN281" s="4">
        <v>0</v>
      </c>
      <c r="CO281" s="132">
        <f t="shared" si="133"/>
        <v>0</v>
      </c>
      <c r="CP281" s="4" t="s">
        <v>132</v>
      </c>
      <c r="CQ281" s="5">
        <v>0</v>
      </c>
      <c r="CR281" s="4">
        <v>0</v>
      </c>
      <c r="CS281" s="132">
        <f t="shared" si="134"/>
        <v>0</v>
      </c>
      <c r="CT281" s="159">
        <f t="shared" si="135"/>
        <v>0</v>
      </c>
      <c r="CU281" s="168">
        <f t="shared" si="136"/>
        <v>450</v>
      </c>
      <c r="CV281" s="169">
        <f t="shared" si="119"/>
        <v>0</v>
      </c>
      <c r="CW281" s="82">
        <f t="shared" si="120"/>
        <v>400</v>
      </c>
      <c r="CX281" s="79">
        <f>IF(ISBLANK(E281),"AddQuickPay",IF(E281=2,CU281*0.98,IF(E281=2.4,CU281*0.976,IF(E281=3,CU281*0.97,IF(E281=5,CU281*0.95,IF(E281=1.5,CU281*0.985,IF(E281=2.5,CU281*0.975,IF(E281=1.3,CU281*0.987,IF(E281=1,CU281*0.99,IF(E281=4,CU281*0.96,CU281*1))))))))))-Table1[[#This Row],[ComCheck+QuickPayFee]]</f>
        <v>436.5</v>
      </c>
      <c r="CY281" s="5">
        <f t="shared" si="137"/>
        <v>50</v>
      </c>
      <c r="CZ281" s="5">
        <f t="shared" si="138"/>
        <v>13.5</v>
      </c>
      <c r="DA281" s="258">
        <f>Table1[[#This Row],[OriginalDispatch]]-Table1[[#This Row],[QuickPayCharge]]</f>
        <v>36.5</v>
      </c>
      <c r="DB281" s="5">
        <v>0</v>
      </c>
      <c r="DC281" s="5" t="s">
        <v>133</v>
      </c>
      <c r="DD281" s="104">
        <f t="shared" si="139"/>
        <v>42405</v>
      </c>
      <c r="DE281" s="15">
        <f>MONTH(Table1[[#This Row],[Weekending]])</f>
        <v>2</v>
      </c>
      <c r="DF281" s="15">
        <f>YEAR(Table1[[#This Row],[Weekending]])</f>
        <v>2016</v>
      </c>
      <c r="DG281" s="4"/>
    </row>
    <row r="282" spans="1:111">
      <c r="A282" s="20" t="str">
        <f t="shared" si="121"/>
        <v>23969688</v>
      </c>
      <c r="B282" s="146">
        <v>42404</v>
      </c>
      <c r="C282" s="144">
        <v>51523</v>
      </c>
      <c r="D282" s="298" t="s">
        <v>2050</v>
      </c>
      <c r="E282" s="144">
        <v>0</v>
      </c>
      <c r="F282" s="298" t="str">
        <f>INDEX(BrokerTBL!$B:$B,MATCH(D282,BrokerTBL!$A:$A,0))</f>
        <v xml:space="preserve">620 Spice Island Dr. </v>
      </c>
      <c r="G282" s="144" t="str">
        <f>INDEX(BrokerTBL!$C:$C,MATCH(D282,BrokerTBL!$A:$A,0))</f>
        <v>Sparks</v>
      </c>
      <c r="H282" s="142" t="str">
        <f>INDEX(BrokerTBL!$D:$D,MATCH(D282,BrokerTBL!$A:$A,0))</f>
        <v>Nv</v>
      </c>
      <c r="I282" s="142" t="str">
        <f>INDEX(BrokerTBL!$E:$E,MATCH(D282,BrokerTBL!$A:$A,0))</f>
        <v>US</v>
      </c>
      <c r="J282" s="142">
        <f>INDEX(BrokerTBL!$F:$F,MATCH(D282,BrokerTBL!$A:$A,0))</f>
        <v>89431</v>
      </c>
      <c r="K282" s="298" t="s">
        <v>2051</v>
      </c>
      <c r="L282" s="145" t="s">
        <v>2052</v>
      </c>
      <c r="M282" s="146">
        <v>42404</v>
      </c>
      <c r="N282" s="144" t="s">
        <v>218</v>
      </c>
      <c r="O282" s="298" t="s">
        <v>2053</v>
      </c>
      <c r="P282" s="298" t="s">
        <v>2054</v>
      </c>
      <c r="Q282" s="298" t="s">
        <v>139</v>
      </c>
      <c r="R282" s="298">
        <v>91980</v>
      </c>
      <c r="S282" s="298" t="s">
        <v>118</v>
      </c>
      <c r="T282" s="298" t="s">
        <v>2055</v>
      </c>
      <c r="U282" s="298" t="s">
        <v>120</v>
      </c>
      <c r="V282" s="298">
        <v>53</v>
      </c>
      <c r="W282" s="298" t="s">
        <v>123</v>
      </c>
      <c r="X282" s="185">
        <v>42000</v>
      </c>
      <c r="Y282" s="298" t="s">
        <v>123</v>
      </c>
      <c r="Z282" s="298" t="s">
        <v>123</v>
      </c>
      <c r="AA282" s="298" t="s">
        <v>123</v>
      </c>
      <c r="AB282" s="298" t="s">
        <v>123</v>
      </c>
      <c r="AC282" s="298" t="s">
        <v>2056</v>
      </c>
      <c r="AD282" s="145" t="s">
        <v>2052</v>
      </c>
      <c r="AE282" s="146">
        <v>42405</v>
      </c>
      <c r="AF282" s="182">
        <v>0.33333333333333298</v>
      </c>
      <c r="AG282" s="298" t="s">
        <v>2057</v>
      </c>
      <c r="AH282" s="298" t="s">
        <v>774</v>
      </c>
      <c r="AI282" s="298" t="s">
        <v>139</v>
      </c>
      <c r="AJ282" s="298">
        <v>93401</v>
      </c>
      <c r="AK282" s="298" t="s">
        <v>118</v>
      </c>
      <c r="AL282" s="298" t="s">
        <v>2058</v>
      </c>
      <c r="AM282" s="142" t="str">
        <f>INDEX(CarrierDriverTBL!$B:$B,MATCH(Table1[[#This Row],[DriverID]],CarrierDriverTBL!$A:$A,0))</f>
        <v>UBTrucking</v>
      </c>
      <c r="AN282" s="10" t="s">
        <v>948</v>
      </c>
      <c r="AO282" s="10" t="str">
        <f>INDEX(CarrierDriverTBL!$C:$C,MATCH(Table1[[#This Row],[DriverID]],CarrierDriverTBL!$A:$A,0))</f>
        <v>Wesley</v>
      </c>
      <c r="AP282" s="10" t="str">
        <f>INDEX(CarrierDriverTBL!$D:$D,MATCH(Table1[[#This Row],[DriverID]],CarrierDriverTBL!$A:$A,0))</f>
        <v>Cousain</v>
      </c>
      <c r="AQ282" s="10" t="str">
        <f>INDEX(CarrierDriverTBL!$X:$X,MATCH(Table1[[#This Row],[DriverID]],CarrierDriverTBL!$A:$A,0))</f>
        <v>D4903588</v>
      </c>
      <c r="AR282" s="11">
        <f>INDEX(CarrierDriverTBL!$Y:$Y,MATCH(Table1[[#This Row],[DriverID]],CarrierDriverTBL!$A:$A,0))</f>
        <v>43458</v>
      </c>
      <c r="AS282" s="142" t="str">
        <f t="shared" si="122"/>
        <v>GOOD</v>
      </c>
      <c r="AT282" s="11">
        <f>INDEX(CarrierDriverTBL!$E:$E,MATCH(Table1[[#This Row],[DriverID]],CarrierDriverTBL!$A:$A,0))</f>
        <v>31405</v>
      </c>
      <c r="AU282" s="163">
        <f ca="1">INDEX(CarrierDriverTBL!$F:$F,MATCH(Table1[[#This Row],[DriverID]],CarrierDriverTBL!$A:$A,0))</f>
        <v>30.605479452054794</v>
      </c>
      <c r="AV282" s="10" t="str">
        <f>INDEX(CarrierDriverTBL!$K:$K,MATCH(Table1[[#This Row],[DriverID]],CarrierDriverTBL!$A:$A,0))</f>
        <v>925-383-5364</v>
      </c>
      <c r="AW282" s="10" t="str">
        <f>INDEX(CarrierDriverTBL!$M:$M,MATCH(Table1[[#This Row],[DriverID]],CarrierDriverTBL!$A:$A,0))</f>
        <v>110 Cordova Ln</v>
      </c>
      <c r="AX282" s="10" t="str">
        <f>INDEX(CarrierDriverTBL!$N:$N,MATCH(Table1[[#This Row],[DriverID]],CarrierDriverTBL!$A:$A,0))</f>
        <v>Stockton</v>
      </c>
      <c r="AY282" s="10" t="str">
        <f>INDEX(CarrierDriverTBL!$O:$O,MATCH(Table1[[#This Row],[DriverID]],CarrierDriverTBL!$A:$A,0))</f>
        <v>CA</v>
      </c>
      <c r="AZ282" s="10">
        <f>INDEX(CarrierDriverTBL!$P:$P,MATCH(Table1[[#This Row],[DriverID]],CarrierDriverTBL!$A:$A,0))</f>
        <v>95207</v>
      </c>
      <c r="BA282" s="10" t="str">
        <f>INDEX(CarrierDriverTBL!$Q:$Q,MATCH(Table1[[#This Row],[DriverID]],CarrierDriverTBL!$A:$A,0))</f>
        <v>US</v>
      </c>
      <c r="BB282" s="173" t="str">
        <f>INDEX(CarrierDriverTBL!$R:$R,MATCH(Table1[[#This Row],[DriverID]],CarrierDriverTBL!$A:$A,0))</f>
        <v>wesleycousain1@gmail.com</v>
      </c>
      <c r="BC282" s="160">
        <f>INDEX(CarrierDriverTBL!$AB:$AB,MATCH(Table1[[#This Row],[DriverID]],CarrierDriverTBL!$A:$A,0))</f>
        <v>42271</v>
      </c>
      <c r="BD282" s="142" t="str">
        <f ca="1">INDEX(CarrierDriverTBL!$AD:$AD,MATCH(LoadMaster!$AN:$AN,CarrierDriverTBL!$A:$A,0))</f>
        <v>MISSING</v>
      </c>
      <c r="BE282" s="142">
        <f>INDEX(CarrierDriverTBL!$AE:$AE,MATCH(Table1[DriverID],CarrierDriverTBL!$A:$A,0))</f>
        <v>913971</v>
      </c>
      <c r="BF282" s="142">
        <f>INDEX(CarrierDriverTBL!$AF:$AF,MATCH(Table1[DriverID],CarrierDriverTBL!$A:$A,0))</f>
        <v>2627544</v>
      </c>
      <c r="BG282" s="142">
        <f>INDEX(CarrierDriverTBL!$AG:$AG,MATCH(Table1[DriverID],CarrierDriverTBL!$A:$A,0))</f>
        <v>466133</v>
      </c>
      <c r="BH282" s="142" t="str">
        <f>INDEX(CarrierDriverTBL!$AH:$AH,MATCH(Table1[DriverID],CarrierDriverTBL!$A:$A,0))</f>
        <v>GM Lawrence Ins</v>
      </c>
      <c r="BI282" s="142" t="str">
        <f>INDEX(CarrierDriverTBL!$AI:$AI,MATCH(Table1[DriverID],CarrierDriverTBL!$A:$A,0))</f>
        <v>DSK2842P160210</v>
      </c>
      <c r="BJ282" s="160">
        <f>INDEX(CarrierDriverTBL!$AJ:$AJ,MATCH(Table1[[#This Row],[DriverID]],CarrierDriverTBL!$A:$A,0))</f>
        <v>42778</v>
      </c>
      <c r="BK282" s="10">
        <f t="shared" si="123"/>
        <v>374</v>
      </c>
      <c r="BL282" s="59">
        <v>800</v>
      </c>
      <c r="BM282" s="144">
        <v>349</v>
      </c>
      <c r="BN282" s="159">
        <f t="shared" si="140"/>
        <v>2.2922636103151861</v>
      </c>
      <c r="BO282" s="167">
        <f>0.93*800</f>
        <v>744</v>
      </c>
      <c r="BP282" s="159">
        <f t="shared" si="141"/>
        <v>2.1318051575931234</v>
      </c>
      <c r="BQ282" s="133">
        <v>2.6</v>
      </c>
      <c r="BR282" s="166">
        <f t="shared" si="142"/>
        <v>0.1166666666666667</v>
      </c>
      <c r="BS282" s="167">
        <f t="shared" si="124"/>
        <v>2.0151384909264567</v>
      </c>
      <c r="BT282" s="159">
        <f t="shared" si="125"/>
        <v>40.716666666666676</v>
      </c>
      <c r="BU282" s="10" t="str">
        <f t="shared" si="126"/>
        <v xml:space="preserve">Its National </v>
      </c>
      <c r="BV282" s="15" t="s">
        <v>1973</v>
      </c>
      <c r="BW282" s="4" t="str">
        <f>Table1[[#This Row],[BrokerAddress]]</f>
        <v xml:space="preserve">620 Spice Island Dr. </v>
      </c>
      <c r="BX282" s="4" t="str">
        <f t="shared" si="127"/>
        <v>Sparks</v>
      </c>
      <c r="BY282" s="4" t="str">
        <f t="shared" si="128"/>
        <v>Nv</v>
      </c>
      <c r="BZ282" s="4">
        <f t="shared" si="129"/>
        <v>89431</v>
      </c>
      <c r="CA282" s="10" t="str">
        <f t="shared" si="130"/>
        <v>US</v>
      </c>
      <c r="CB282" s="15" t="s">
        <v>131</v>
      </c>
      <c r="CC282" s="62"/>
      <c r="CD282" s="15" t="s">
        <v>132</v>
      </c>
      <c r="CE282" s="64">
        <v>0</v>
      </c>
      <c r="CF282" s="4">
        <v>0</v>
      </c>
      <c r="CG282" s="132">
        <f t="shared" si="131"/>
        <v>0</v>
      </c>
      <c r="CH282" s="4" t="s">
        <v>132</v>
      </c>
      <c r="CI282" s="5">
        <v>0</v>
      </c>
      <c r="CJ282" s="4">
        <v>0</v>
      </c>
      <c r="CK282" s="132">
        <f t="shared" si="132"/>
        <v>0</v>
      </c>
      <c r="CL282" s="4" t="s">
        <v>132</v>
      </c>
      <c r="CM282" s="5">
        <v>0</v>
      </c>
      <c r="CN282" s="4">
        <v>0</v>
      </c>
      <c r="CO282" s="132">
        <f t="shared" si="133"/>
        <v>0</v>
      </c>
      <c r="CP282" s="4" t="s">
        <v>132</v>
      </c>
      <c r="CQ282" s="5">
        <v>0</v>
      </c>
      <c r="CR282" s="4">
        <v>0</v>
      </c>
      <c r="CS282" s="132">
        <f t="shared" si="134"/>
        <v>0</v>
      </c>
      <c r="CT282" s="159">
        <f t="shared" si="135"/>
        <v>0</v>
      </c>
      <c r="CU282" s="168">
        <f t="shared" si="136"/>
        <v>800</v>
      </c>
      <c r="CV282" s="169">
        <f t="shared" si="119"/>
        <v>0</v>
      </c>
      <c r="CW282" s="82">
        <f t="shared" si="120"/>
        <v>744</v>
      </c>
      <c r="CX282" s="79">
        <f>IF(ISBLANK(E282),"AddQuickPay",IF(E282=2,CU282*0.98,IF(E282=2.4,CU282*0.976,IF(E282=3,CU282*0.97,IF(E282=5,CU282*0.95,IF(E282=1.5,CU282*0.985,IF(E282=2.5,CU282*0.975,IF(E282=1.3,CU282*0.987,IF(E282=1,CU282*0.99,IF(E282=4,CU282*0.96,CU282*1))))))))))-Table1[[#This Row],[ComCheck+QuickPayFee]]</f>
        <v>800</v>
      </c>
      <c r="CY282" s="5">
        <f t="shared" si="137"/>
        <v>56</v>
      </c>
      <c r="CZ282" s="5">
        <f t="shared" si="138"/>
        <v>0</v>
      </c>
      <c r="DA282" s="258">
        <f>Table1[[#This Row],[OriginalDispatch]]-Table1[[#This Row],[QuickPayCharge]]</f>
        <v>56</v>
      </c>
      <c r="DB282" s="5">
        <v>0</v>
      </c>
      <c r="DC282" s="5" t="s">
        <v>133</v>
      </c>
      <c r="DD282" s="104">
        <f t="shared" si="139"/>
        <v>42405</v>
      </c>
      <c r="DE282" s="15">
        <f>MONTH(Table1[[#This Row],[Weekending]])</f>
        <v>2</v>
      </c>
      <c r="DF282" s="15">
        <f>YEAR(Table1[[#This Row],[Weekending]])</f>
        <v>2016</v>
      </c>
      <c r="DG282" s="4"/>
    </row>
    <row r="283" spans="1:111">
      <c r="A283" s="20" t="str">
        <f t="shared" si="121"/>
        <v>82271719</v>
      </c>
      <c r="B283" s="160">
        <v>42405</v>
      </c>
      <c r="C283" s="162">
        <v>47282</v>
      </c>
      <c r="D283" s="142" t="s">
        <v>1824</v>
      </c>
      <c r="E283" s="162">
        <v>3</v>
      </c>
      <c r="F283" s="142" t="str">
        <f>INDEX(BrokerTBL!$B:$B,MATCH(D283,BrokerTBL!$A:$A,0))</f>
        <v>2109 W Bullard Ave # 101</v>
      </c>
      <c r="G283" s="142" t="str">
        <f>INDEX(BrokerTBL!$C:$C,MATCH(D283,BrokerTBL!$A:$A,0))</f>
        <v>Fresno</v>
      </c>
      <c r="H283" s="142" t="str">
        <f>INDEX(BrokerTBL!$D:$D,MATCH(D283,BrokerTBL!$A:$A,0))</f>
        <v>Ca</v>
      </c>
      <c r="I283" s="142" t="str">
        <f>INDEX(BrokerTBL!$E:$E,MATCH(D283,BrokerTBL!$A:$A,0))</f>
        <v>US</v>
      </c>
      <c r="J283" s="142">
        <f>INDEX(BrokerTBL!$F:$F,MATCH(D283,BrokerTBL!$A:$A,0))</f>
        <v>93711</v>
      </c>
      <c r="K283" s="142" t="s">
        <v>1825</v>
      </c>
      <c r="L283" s="161">
        <v>351227</v>
      </c>
      <c r="M283" s="160">
        <v>42405</v>
      </c>
      <c r="N283" s="184">
        <v>0.29166666666666702</v>
      </c>
      <c r="O283" s="142" t="s">
        <v>1826</v>
      </c>
      <c r="P283" s="142" t="s">
        <v>184</v>
      </c>
      <c r="Q283" s="142" t="s">
        <v>139</v>
      </c>
      <c r="R283" s="142">
        <v>95203</v>
      </c>
      <c r="S283" s="142" t="s">
        <v>118</v>
      </c>
      <c r="T283" s="298" t="s">
        <v>123</v>
      </c>
      <c r="U283" s="142" t="s">
        <v>120</v>
      </c>
      <c r="V283" s="142">
        <v>53</v>
      </c>
      <c r="W283" s="142" t="s">
        <v>1827</v>
      </c>
      <c r="X283" s="186">
        <v>41800</v>
      </c>
      <c r="Y283" s="142" t="s">
        <v>123</v>
      </c>
      <c r="Z283" s="142" t="s">
        <v>123</v>
      </c>
      <c r="AA283" s="142" t="s">
        <v>123</v>
      </c>
      <c r="AB283" s="142" t="s">
        <v>123</v>
      </c>
      <c r="AC283" s="142" t="s">
        <v>1828</v>
      </c>
      <c r="AD283" s="161" t="s">
        <v>2059</v>
      </c>
      <c r="AE283" s="160">
        <v>42405</v>
      </c>
      <c r="AF283" s="142" t="s">
        <v>2060</v>
      </c>
      <c r="AG283" s="142" t="s">
        <v>1829</v>
      </c>
      <c r="AH283" s="142" t="s">
        <v>787</v>
      </c>
      <c r="AI283" s="142" t="s">
        <v>139</v>
      </c>
      <c r="AJ283" s="142">
        <v>94801</v>
      </c>
      <c r="AK283" s="142" t="s">
        <v>118</v>
      </c>
      <c r="AL283" s="142" t="s">
        <v>123</v>
      </c>
      <c r="AM283" s="142" t="str">
        <f>INDEX(CarrierDriverTBL!$B:$B,MATCH(Table1[[#This Row],[DriverID]],CarrierDriverTBL!$A:$A,0))</f>
        <v>UBTrucking</v>
      </c>
      <c r="AN283" s="10" t="s">
        <v>1409</v>
      </c>
      <c r="AO283" s="142" t="str">
        <f>INDEX(CarrierDriverTBL!$C:$C,MATCH(Table1[[#This Row],[DriverID]],CarrierDriverTBL!$A:$A,0))</f>
        <v>Miguel Jaime</v>
      </c>
      <c r="AP283" s="142" t="str">
        <f>INDEX(CarrierDriverTBL!$D:$D,MATCH(Table1[[#This Row],[DriverID]],CarrierDriverTBL!$A:$A,0))</f>
        <v>Martin Del Campo Velarca</v>
      </c>
      <c r="AQ283" s="142" t="str">
        <f>INDEX(CarrierDriverTBL!$X:$X,MATCH(Table1[[#This Row],[DriverID]],CarrierDriverTBL!$A:$A,0))</f>
        <v>D5179619</v>
      </c>
      <c r="AR283" s="160">
        <f>INDEX(CarrierDriverTBL!$Y:$Y,MATCH(Table1[[#This Row],[DriverID]],CarrierDriverTBL!$A:$A,0))</f>
        <v>43843</v>
      </c>
      <c r="AS283" s="142" t="str">
        <f t="shared" si="122"/>
        <v>GOOD</v>
      </c>
      <c r="AT283" s="160">
        <f>INDEX(CarrierDriverTBL!$E:$E,MATCH(Table1[[#This Row],[DriverID]],CarrierDriverTBL!$A:$A,0))</f>
        <v>21198</v>
      </c>
      <c r="AU283" s="163">
        <f ca="1">INDEX(CarrierDriverTBL!$F:$F,MATCH(Table1[[#This Row],[DriverID]],CarrierDriverTBL!$A:$A,0))</f>
        <v>58.56986301369863</v>
      </c>
      <c r="AV283" s="142" t="str">
        <f>INDEX(CarrierDriverTBL!$K:$K,MATCH(Table1[[#This Row],[DriverID]],CarrierDriverTBL!$A:$A,0))</f>
        <v>209-322-5231</v>
      </c>
      <c r="AW283" s="142" t="str">
        <f>INDEX(CarrierDriverTBL!$M:$M,MATCH(Table1[[#This Row],[DriverID]],CarrierDriverTBL!$A:$A,0))</f>
        <v>572 Predersen RD</v>
      </c>
      <c r="AX283" s="142" t="str">
        <f>INDEX(CarrierDriverTBL!$N:$N,MATCH(Table1[[#This Row],[DriverID]],CarrierDriverTBL!$A:$A,0))</f>
        <v>Oakdale</v>
      </c>
      <c r="AY283" s="142" t="str">
        <f>INDEX(CarrierDriverTBL!$O:$O,MATCH(Table1[[#This Row],[DriverID]],CarrierDriverTBL!$A:$A,0))</f>
        <v>CA</v>
      </c>
      <c r="AZ283" s="142">
        <f>INDEX(CarrierDriverTBL!$P:$P,MATCH(Table1[[#This Row],[DriverID]],CarrierDriverTBL!$A:$A,0))</f>
        <v>95361</v>
      </c>
      <c r="BA283" s="142" t="str">
        <f>INDEX(CarrierDriverTBL!$Q:$Q,MATCH(Table1[[#This Row],[DriverID]],CarrierDriverTBL!$A:$A,0))</f>
        <v>US</v>
      </c>
      <c r="BB283" s="176" t="str">
        <f>INDEX(CarrierDriverTBL!$R:$R,MATCH(Table1[[#This Row],[DriverID]],CarrierDriverTBL!$A:$A,0))</f>
        <v>Miguelmartin52@yahoo.com</v>
      </c>
      <c r="BC283" s="160">
        <f>INDEX(CarrierDriverTBL!$AB:$AB,MATCH(Table1[[#This Row],[DriverID]],CarrierDriverTBL!$A:$A,0))</f>
        <v>42334</v>
      </c>
      <c r="BD283" s="142" t="str">
        <f ca="1">INDEX(CarrierDriverTBL!$AD:$AD,MATCH(LoadMaster!$AN:$AN,CarrierDriverTBL!$A:$A,0))</f>
        <v>MISSING</v>
      </c>
      <c r="BE283" s="142">
        <f>INDEX(CarrierDriverTBL!$AE:$AE,MATCH(Table1[DriverID],CarrierDriverTBL!$A:$A,0))</f>
        <v>913971</v>
      </c>
      <c r="BF283" s="142">
        <f>INDEX(CarrierDriverTBL!$AF:$AF,MATCH(Table1[DriverID],CarrierDriverTBL!$A:$A,0))</f>
        <v>2627544</v>
      </c>
      <c r="BG283" s="142">
        <f>INDEX(CarrierDriverTBL!$AG:$AG,MATCH(Table1[DriverID],CarrierDriverTBL!$A:$A,0))</f>
        <v>466133</v>
      </c>
      <c r="BH283" s="142" t="str">
        <f>INDEX(CarrierDriverTBL!$AH:$AH,MATCH(Table1[DriverID],CarrierDriverTBL!$A:$A,0))</f>
        <v>GM Lawrence Ins</v>
      </c>
      <c r="BI283" s="142" t="str">
        <f>INDEX(CarrierDriverTBL!$AI:$AI,MATCH(Table1[DriverID],CarrierDriverTBL!$A:$A,0))</f>
        <v>DSK2842P160210</v>
      </c>
      <c r="BJ283" s="160">
        <f>INDEX(CarrierDriverTBL!$AJ:$AJ,MATCH(Table1[[#This Row],[DriverID]],CarrierDriverTBL!$A:$A,0))</f>
        <v>42778</v>
      </c>
      <c r="BK283" s="10">
        <f t="shared" si="123"/>
        <v>373</v>
      </c>
      <c r="BL283" s="159">
        <v>300</v>
      </c>
      <c r="BM283" s="162">
        <v>73</v>
      </c>
      <c r="BN283" s="159">
        <f t="shared" si="140"/>
        <v>4.1095890410958908</v>
      </c>
      <c r="BO283" s="167">
        <f>0.93*300</f>
        <v>279</v>
      </c>
      <c r="BP283" s="159">
        <f t="shared" si="141"/>
        <v>3.8219178082191783</v>
      </c>
      <c r="BQ283" s="134">
        <v>2.6</v>
      </c>
      <c r="BR283" s="166">
        <f t="shared" si="142"/>
        <v>0.1166666666666667</v>
      </c>
      <c r="BS283" s="167">
        <f t="shared" si="124"/>
        <v>3.7052511415525116</v>
      </c>
      <c r="BT283" s="159">
        <f t="shared" si="125"/>
        <v>8.5166666666666693</v>
      </c>
      <c r="BU283" s="10" t="str">
        <f t="shared" si="126"/>
        <v>Cargobarn Inc.</v>
      </c>
      <c r="BV283" s="4"/>
      <c r="BW283" s="4" t="str">
        <f>Table1[[#This Row],[BrokerAddress]]</f>
        <v>2109 W Bullard Ave # 101</v>
      </c>
      <c r="BX283" s="4" t="str">
        <f t="shared" si="127"/>
        <v>Fresno</v>
      </c>
      <c r="BY283" s="4" t="str">
        <f t="shared" si="128"/>
        <v>Ca</v>
      </c>
      <c r="BZ283" s="4">
        <f t="shared" si="129"/>
        <v>93711</v>
      </c>
      <c r="CA283" s="10" t="str">
        <f t="shared" si="130"/>
        <v>US</v>
      </c>
      <c r="CB283" s="15" t="s">
        <v>131</v>
      </c>
      <c r="CC283" s="61"/>
      <c r="CD283" s="4" t="s">
        <v>132</v>
      </c>
      <c r="CE283" s="5">
        <v>0</v>
      </c>
      <c r="CF283" s="4">
        <v>0</v>
      </c>
      <c r="CG283" s="132">
        <f t="shared" si="131"/>
        <v>0</v>
      </c>
      <c r="CH283" s="4" t="s">
        <v>132</v>
      </c>
      <c r="CI283" s="5">
        <v>0</v>
      </c>
      <c r="CJ283" s="4">
        <v>0</v>
      </c>
      <c r="CK283" s="132">
        <f t="shared" si="132"/>
        <v>0</v>
      </c>
      <c r="CL283" s="4" t="s">
        <v>132</v>
      </c>
      <c r="CM283" s="5">
        <v>0</v>
      </c>
      <c r="CN283" s="4">
        <v>0</v>
      </c>
      <c r="CO283" s="132">
        <f t="shared" si="133"/>
        <v>0</v>
      </c>
      <c r="CP283" s="4" t="s">
        <v>132</v>
      </c>
      <c r="CQ283" s="5">
        <v>0</v>
      </c>
      <c r="CR283" s="4">
        <v>0</v>
      </c>
      <c r="CS283" s="132">
        <f t="shared" si="134"/>
        <v>0</v>
      </c>
      <c r="CT283" s="159">
        <f t="shared" si="135"/>
        <v>0</v>
      </c>
      <c r="CU283" s="168">
        <f t="shared" si="136"/>
        <v>300</v>
      </c>
      <c r="CV283" s="167">
        <f t="shared" si="119"/>
        <v>0</v>
      </c>
      <c r="CW283" s="82">
        <f t="shared" si="120"/>
        <v>279</v>
      </c>
      <c r="CX283" s="79">
        <f>IF(ISBLANK(E283),"AddQuickPay",IF(E283=2,CU283*0.98,IF(E283=2.4,CU283*0.976,IF(E283=3,CU283*0.97,IF(E283=5,CU283*0.95,IF(E283=1.5,CU283*0.985,IF(E283=2.5,CU283*0.975,IF(E283=1.3,CU283*0.987,IF(E283=1,CU283*0.99,IF(E283=4,CU283*0.96,CU283*1))))))))))-Table1[[#This Row],[ComCheck+QuickPayFee]]</f>
        <v>291</v>
      </c>
      <c r="CY283" s="5">
        <f t="shared" si="137"/>
        <v>21</v>
      </c>
      <c r="CZ283" s="5">
        <f t="shared" si="138"/>
        <v>9</v>
      </c>
      <c r="DA283" s="258">
        <f>Table1[[#This Row],[OriginalDispatch]]-Table1[[#This Row],[QuickPayCharge]]</f>
        <v>12</v>
      </c>
      <c r="DB283" s="5">
        <v>0</v>
      </c>
      <c r="DC283" s="5" t="s">
        <v>133</v>
      </c>
      <c r="DD283" s="20">
        <f t="shared" si="139"/>
        <v>42405</v>
      </c>
      <c r="DE283" s="4">
        <f>MONTH(Table1[[#This Row],[Weekending]])</f>
        <v>2</v>
      </c>
      <c r="DF283" s="4">
        <f>YEAR(Table1[[#This Row],[Weekending]])</f>
        <v>2016</v>
      </c>
      <c r="DG283" s="4"/>
    </row>
    <row r="284" spans="1:111">
      <c r="A284" s="20" t="str">
        <f t="shared" si="121"/>
        <v>30858549</v>
      </c>
      <c r="B284" s="146">
        <v>42405</v>
      </c>
      <c r="C284" s="144">
        <v>192572930</v>
      </c>
      <c r="D284" s="298" t="s">
        <v>111</v>
      </c>
      <c r="E284" s="298">
        <v>2</v>
      </c>
      <c r="F284" s="142" t="str">
        <f>INDEX(BrokerTBL!$B:$B,MATCH(D284,BrokerTBL!$A:$A,0))</f>
        <v>P.O. Box 3474</v>
      </c>
      <c r="G284" s="142" t="str">
        <f>INDEX(BrokerTBL!$C:$C,MATCH(D284,BrokerTBL!$A:$A,0))</f>
        <v>Chicago</v>
      </c>
      <c r="H284" s="142" t="str">
        <f>INDEX(BrokerTBL!$D:$D,MATCH(D284,BrokerTBL!$A:$A,0))</f>
        <v>Il</v>
      </c>
      <c r="I284" s="142" t="str">
        <f>INDEX(BrokerTBL!$E:$E,MATCH(D284,BrokerTBL!$A:$A,0))</f>
        <v>US</v>
      </c>
      <c r="J284" s="142">
        <f>INDEX(BrokerTBL!$F:$F,MATCH(D284,BrokerTBL!$A:$A,0))</f>
        <v>60654</v>
      </c>
      <c r="K284" s="298" t="s">
        <v>2061</v>
      </c>
      <c r="L284" s="145">
        <v>82185</v>
      </c>
      <c r="M284" s="146">
        <v>42405</v>
      </c>
      <c r="N284" s="162" t="s">
        <v>123</v>
      </c>
      <c r="O284" s="298" t="s">
        <v>2062</v>
      </c>
      <c r="P284" s="298" t="s">
        <v>160</v>
      </c>
      <c r="Q284" s="298" t="s">
        <v>139</v>
      </c>
      <c r="R284" s="298">
        <v>94533</v>
      </c>
      <c r="S284" s="298" t="s">
        <v>118</v>
      </c>
      <c r="T284" s="298" t="s">
        <v>2063</v>
      </c>
      <c r="U284" s="298" t="s">
        <v>120</v>
      </c>
      <c r="V284" s="298">
        <v>53</v>
      </c>
      <c r="W284" s="298" t="s">
        <v>2064</v>
      </c>
      <c r="X284" s="185">
        <v>11500</v>
      </c>
      <c r="Y284" s="298" t="s">
        <v>1537</v>
      </c>
      <c r="Z284" s="298" t="s">
        <v>123</v>
      </c>
      <c r="AA284" s="298">
        <v>5</v>
      </c>
      <c r="AB284" s="298" t="s">
        <v>123</v>
      </c>
      <c r="AC284" s="298" t="s">
        <v>2065</v>
      </c>
      <c r="AD284" s="145">
        <v>82185</v>
      </c>
      <c r="AE284" s="146">
        <v>42405</v>
      </c>
      <c r="AF284" s="298" t="s">
        <v>2066</v>
      </c>
      <c r="AG284" s="298" t="s">
        <v>2067</v>
      </c>
      <c r="AH284" s="298" t="s">
        <v>438</v>
      </c>
      <c r="AI284" s="298" t="s">
        <v>139</v>
      </c>
      <c r="AJ284" s="298">
        <v>94080</v>
      </c>
      <c r="AK284" s="298" t="s">
        <v>118</v>
      </c>
      <c r="AL284" s="298" t="s">
        <v>2068</v>
      </c>
      <c r="AM284" s="142" t="str">
        <f>INDEX(CarrierDriverTBL!$B:$B,MATCH(Table1[[#This Row],[DriverID]],CarrierDriverTBL!$A:$A,0))</f>
        <v>UBTrucking</v>
      </c>
      <c r="AN284" s="10" t="s">
        <v>192</v>
      </c>
      <c r="AO284" s="10" t="str">
        <f>INDEX(CarrierDriverTBL!$C:$C,MATCH(Table1[[#This Row],[DriverID]],CarrierDriverTBL!$A:$A,0))</f>
        <v>Albel</v>
      </c>
      <c r="AP284" s="142" t="str">
        <f>INDEX(CarrierDriverTBL!$D:$D,MATCH(Table1[[#This Row],[DriverID]],CarrierDriverTBL!$A:$A,0))</f>
        <v>Chahil</v>
      </c>
      <c r="AQ284" s="142" t="str">
        <f>INDEX(CarrierDriverTBL!$X:$X,MATCH(Table1[[#This Row],[DriverID]],CarrierDriverTBL!$A:$A,0))</f>
        <v>A8390649</v>
      </c>
      <c r="AR284" s="160">
        <f>INDEX(CarrierDriverTBL!$Y:$Y,MATCH(Table1[[#This Row],[DriverID]],CarrierDriverTBL!$A:$A,0))</f>
        <v>42402</v>
      </c>
      <c r="AS284" s="142" t="str">
        <f t="shared" si="122"/>
        <v>EXPIRED</v>
      </c>
      <c r="AT284" s="160">
        <f>INDEX(CarrierDriverTBL!$E:$E,MATCH(Table1[[#This Row],[DriverID]],CarrierDriverTBL!$A:$A,0))</f>
        <v>22314</v>
      </c>
      <c r="AU284" s="163">
        <f ca="1">INDEX(CarrierDriverTBL!$F:$F,MATCH(Table1[[#This Row],[DriverID]],CarrierDriverTBL!$A:$A,0))</f>
        <v>55.512328767123286</v>
      </c>
      <c r="AV284" s="142" t="str">
        <f>INDEX(CarrierDriverTBL!$K:$K,MATCH(Table1[[#This Row],[DriverID]],CarrierDriverTBL!$A:$A,0))</f>
        <v>510-773-9450</v>
      </c>
      <c r="AW284" s="142" t="str">
        <f>INDEX(CarrierDriverTBL!$M:$M,MATCH(Table1[[#This Row],[DriverID]],CarrierDriverTBL!$A:$A,0))</f>
        <v>3124 Cynthia CT</v>
      </c>
      <c r="AX284" s="142" t="str">
        <f>INDEX(CarrierDriverTBL!$N:$N,MATCH(Table1[[#This Row],[DriverID]],CarrierDriverTBL!$A:$A,0))</f>
        <v>Tracy</v>
      </c>
      <c r="AY284" s="142" t="str">
        <f>INDEX(CarrierDriverTBL!$O:$O,MATCH(Table1[[#This Row],[DriverID]],CarrierDriverTBL!$A:$A,0))</f>
        <v>CA</v>
      </c>
      <c r="AZ284" s="142">
        <f>INDEX(CarrierDriverTBL!$P:$P,MATCH(Table1[[#This Row],[DriverID]],CarrierDriverTBL!$A:$A,0))</f>
        <v>95377</v>
      </c>
      <c r="BA284" s="142" t="str">
        <f>INDEX(CarrierDriverTBL!$Q:$Q,MATCH(Table1[[#This Row],[DriverID]],CarrierDriverTBL!$A:$A,0))</f>
        <v>US</v>
      </c>
      <c r="BB284" s="176" t="str">
        <f>INDEX(CarrierDriverTBL!$R:$R,MATCH(Table1[[#This Row],[DriverID]],CarrierDriverTBL!$A:$A,0))</f>
        <v>ubgollc@gmail.com</v>
      </c>
      <c r="BC284" s="160">
        <f>INDEX(CarrierDriverTBL!$AB:$AB,MATCH(Table1[[#This Row],[DriverID]],CarrierDriverTBL!$A:$A,0))</f>
        <v>42167</v>
      </c>
      <c r="BD284" s="142" t="str">
        <f ca="1">INDEX(CarrierDriverTBL!$AD:$AD,MATCH(LoadMaster!$AN:$AN,CarrierDriverTBL!$A:$A,0))</f>
        <v>MISSING</v>
      </c>
      <c r="BE284" s="142">
        <f>INDEX(CarrierDriverTBL!$AE:$AE,MATCH(Table1[DriverID],CarrierDriverTBL!$A:$A,0))</f>
        <v>913971</v>
      </c>
      <c r="BF284" s="142">
        <f>INDEX(CarrierDriverTBL!$AF:$AF,MATCH(Table1[DriverID],CarrierDriverTBL!$A:$A,0))</f>
        <v>2627544</v>
      </c>
      <c r="BG284" s="142">
        <f>INDEX(CarrierDriverTBL!$AG:$AG,MATCH(Table1[DriverID],CarrierDriverTBL!$A:$A,0))</f>
        <v>466133</v>
      </c>
      <c r="BH284" s="142" t="str">
        <f>INDEX(CarrierDriverTBL!$AH:$AH,MATCH(Table1[DriverID],CarrierDriverTBL!$A:$A,0))</f>
        <v>GM Lawrence Ins</v>
      </c>
      <c r="BI284" s="142" t="str">
        <f>INDEX(CarrierDriverTBL!$AI:$AI,MATCH(Table1[DriverID],CarrierDriverTBL!$A:$A,0))</f>
        <v>DSK2842P160210</v>
      </c>
      <c r="BJ284" s="160">
        <f>INDEX(CarrierDriverTBL!$AJ:$AJ,MATCH(Table1[[#This Row],[DriverID]],CarrierDriverTBL!$A:$A,0))</f>
        <v>42778</v>
      </c>
      <c r="BK284" s="10">
        <f t="shared" si="123"/>
        <v>373</v>
      </c>
      <c r="BL284" s="59">
        <v>300</v>
      </c>
      <c r="BM284" s="144">
        <v>56</v>
      </c>
      <c r="BN284" s="159">
        <f t="shared" si="140"/>
        <v>5.3571428571428568</v>
      </c>
      <c r="BO284" s="167">
        <v>275</v>
      </c>
      <c r="BP284" s="159">
        <f t="shared" si="141"/>
        <v>4.9107142857142856</v>
      </c>
      <c r="BQ284" s="133">
        <v>2.6</v>
      </c>
      <c r="BR284" s="166">
        <f t="shared" si="142"/>
        <v>0.1166666666666667</v>
      </c>
      <c r="BS284" s="167">
        <f t="shared" si="124"/>
        <v>4.7940476190476193</v>
      </c>
      <c r="BT284" s="159">
        <f t="shared" si="125"/>
        <v>6.533333333333335</v>
      </c>
      <c r="BU284" s="10" t="str">
        <f t="shared" si="126"/>
        <v>Ch Robinson</v>
      </c>
      <c r="BV284" s="15" t="s">
        <v>1925</v>
      </c>
      <c r="BW284" s="4" t="str">
        <f>Table1[[#This Row],[BrokerAddress]]</f>
        <v>P.O. Box 3474</v>
      </c>
      <c r="BX284" s="4" t="str">
        <f t="shared" si="127"/>
        <v>Chicago</v>
      </c>
      <c r="BY284" s="4" t="str">
        <f t="shared" si="128"/>
        <v>Il</v>
      </c>
      <c r="BZ284" s="4">
        <f t="shared" si="129"/>
        <v>60654</v>
      </c>
      <c r="CA284" s="10" t="str">
        <f t="shared" si="130"/>
        <v>US</v>
      </c>
      <c r="CB284" s="15" t="s">
        <v>131</v>
      </c>
      <c r="CC284" s="62"/>
      <c r="CD284" s="15" t="s">
        <v>132</v>
      </c>
      <c r="CE284" s="64">
        <v>0</v>
      </c>
      <c r="CF284" s="4">
        <v>0</v>
      </c>
      <c r="CG284" s="132">
        <f t="shared" si="131"/>
        <v>0</v>
      </c>
      <c r="CH284" s="4" t="s">
        <v>132</v>
      </c>
      <c r="CI284" s="5">
        <v>0</v>
      </c>
      <c r="CJ284" s="4">
        <v>0</v>
      </c>
      <c r="CK284" s="132">
        <f t="shared" si="132"/>
        <v>0</v>
      </c>
      <c r="CL284" s="4" t="s">
        <v>132</v>
      </c>
      <c r="CM284" s="5">
        <v>0</v>
      </c>
      <c r="CN284" s="4">
        <v>0</v>
      </c>
      <c r="CO284" s="132">
        <f t="shared" si="133"/>
        <v>0</v>
      </c>
      <c r="CP284" s="4" t="s">
        <v>132</v>
      </c>
      <c r="CQ284" s="5">
        <v>0</v>
      </c>
      <c r="CR284" s="4">
        <v>0</v>
      </c>
      <c r="CS284" s="132">
        <f t="shared" si="134"/>
        <v>0</v>
      </c>
      <c r="CT284" s="159">
        <f t="shared" si="135"/>
        <v>0</v>
      </c>
      <c r="CU284" s="168">
        <f t="shared" si="136"/>
        <v>300</v>
      </c>
      <c r="CV284" s="169">
        <f t="shared" si="119"/>
        <v>0</v>
      </c>
      <c r="CW284" s="82">
        <f t="shared" si="120"/>
        <v>275</v>
      </c>
      <c r="CX284" s="79">
        <f>IF(ISBLANK(E284),"AddQuickPay",IF(E284=2,CU284*0.98,IF(E284=2.4,CU284*0.976,IF(E284=3,CU284*0.97,IF(E284=5,CU284*0.95,IF(E284=1.5,CU284*0.985,IF(E284=2.5,CU284*0.975,IF(E284=1.3,CU284*0.987,IF(E284=1,CU284*0.99,IF(E284=4,CU284*0.96,CU284*1))))))))))-Table1[[#This Row],[ComCheck+QuickPayFee]]</f>
        <v>294</v>
      </c>
      <c r="CY284" s="5">
        <f t="shared" si="137"/>
        <v>25</v>
      </c>
      <c r="CZ284" s="5">
        <f t="shared" si="138"/>
        <v>6</v>
      </c>
      <c r="DA284" s="258">
        <f>Table1[[#This Row],[OriginalDispatch]]-Table1[[#This Row],[QuickPayCharge]]</f>
        <v>19</v>
      </c>
      <c r="DB284" s="5">
        <v>0</v>
      </c>
      <c r="DC284" s="5" t="s">
        <v>133</v>
      </c>
      <c r="DD284" s="104">
        <f t="shared" si="139"/>
        <v>42405</v>
      </c>
      <c r="DE284" s="15">
        <f>MONTH(Table1[[#This Row],[Weekending]])</f>
        <v>2</v>
      </c>
      <c r="DF284" s="15">
        <f>YEAR(Table1[[#This Row],[Weekending]])</f>
        <v>2016</v>
      </c>
      <c r="DG284" s="4"/>
    </row>
    <row r="285" spans="1:111">
      <c r="A285" s="20" t="str">
        <f t="shared" si="121"/>
        <v>521319</v>
      </c>
      <c r="B285" s="146">
        <v>42405</v>
      </c>
      <c r="C285" s="144">
        <v>192484752</v>
      </c>
      <c r="D285" s="298" t="s">
        <v>111</v>
      </c>
      <c r="E285" s="298">
        <v>2</v>
      </c>
      <c r="F285" s="142" t="str">
        <f>INDEX(BrokerTBL!$B:$B,MATCH(D285,BrokerTBL!$A:$A,0))</f>
        <v>P.O. Box 3474</v>
      </c>
      <c r="G285" s="142" t="str">
        <f>INDEX(BrokerTBL!$C:$C,MATCH(D285,BrokerTBL!$A:$A,0))</f>
        <v>Chicago</v>
      </c>
      <c r="H285" s="142" t="str">
        <f>INDEX(BrokerTBL!$D:$D,MATCH(D285,BrokerTBL!$A:$A,0))</f>
        <v>Il</v>
      </c>
      <c r="I285" s="142" t="str">
        <f>INDEX(BrokerTBL!$E:$E,MATCH(D285,BrokerTBL!$A:$A,0))</f>
        <v>US</v>
      </c>
      <c r="J285" s="142">
        <f>INDEX(BrokerTBL!$F:$F,MATCH(D285,BrokerTBL!$A:$A,0))</f>
        <v>60654</v>
      </c>
      <c r="K285" s="298" t="s">
        <v>2069</v>
      </c>
      <c r="L285" s="145" t="s">
        <v>2070</v>
      </c>
      <c r="M285" s="146">
        <v>42405</v>
      </c>
      <c r="N285" s="144" t="s">
        <v>1453</v>
      </c>
      <c r="O285" s="298" t="s">
        <v>2071</v>
      </c>
      <c r="P285" s="298" t="s">
        <v>299</v>
      </c>
      <c r="Q285" s="298" t="s">
        <v>139</v>
      </c>
      <c r="R285" s="298">
        <v>94607</v>
      </c>
      <c r="S285" s="298" t="s">
        <v>118</v>
      </c>
      <c r="T285" s="298" t="s">
        <v>2072</v>
      </c>
      <c r="U285" s="298" t="s">
        <v>120</v>
      </c>
      <c r="V285" s="298">
        <v>53</v>
      </c>
      <c r="W285" s="298" t="s">
        <v>2073</v>
      </c>
      <c r="X285" s="185">
        <v>45000</v>
      </c>
      <c r="Y285" s="298" t="s">
        <v>1537</v>
      </c>
      <c r="Z285" s="298" t="s">
        <v>123</v>
      </c>
      <c r="AA285" s="298">
        <v>26</v>
      </c>
      <c r="AB285" s="298" t="s">
        <v>123</v>
      </c>
      <c r="AC285" s="298" t="s">
        <v>2074</v>
      </c>
      <c r="AD285" s="145"/>
      <c r="AE285" s="146">
        <v>42406</v>
      </c>
      <c r="AF285" s="298" t="s">
        <v>2075</v>
      </c>
      <c r="AG285" s="298" t="s">
        <v>2076</v>
      </c>
      <c r="AH285" s="298" t="s">
        <v>2077</v>
      </c>
      <c r="AI285" s="298" t="s">
        <v>139</v>
      </c>
      <c r="AJ285" s="298">
        <v>93618</v>
      </c>
      <c r="AK285" s="298" t="s">
        <v>118</v>
      </c>
      <c r="AL285" s="298" t="s">
        <v>2078</v>
      </c>
      <c r="AM285" s="142" t="str">
        <f>INDEX(CarrierDriverTBL!$B:$B,MATCH(Table1[[#This Row],[DriverID]],CarrierDriverTBL!$A:$A,0))</f>
        <v>UBTrucking</v>
      </c>
      <c r="AN285" s="10" t="s">
        <v>1409</v>
      </c>
      <c r="AO285" s="298" t="str">
        <f>INDEX(CarrierDriverTBL!$C:$C,MATCH(Table1[[#This Row],[DriverID]],CarrierDriverTBL!$A:$A,0))</f>
        <v>Miguel Jaime</v>
      </c>
      <c r="AP285" s="298" t="str">
        <f>INDEX(CarrierDriverTBL!$D:$D,MATCH(Table1[[#This Row],[DriverID]],CarrierDriverTBL!$A:$A,0))</f>
        <v>Martin Del Campo Velarca</v>
      </c>
      <c r="AQ285" s="142" t="str">
        <f>INDEX(CarrierDriverTBL!$X:$X,MATCH(Table1[[#This Row],[DriverID]],CarrierDriverTBL!$A:$A,0))</f>
        <v>D5179619</v>
      </c>
      <c r="AR285" s="160">
        <f>INDEX(CarrierDriverTBL!$Y:$Y,MATCH(Table1[[#This Row],[DriverID]],CarrierDriverTBL!$A:$A,0))</f>
        <v>43843</v>
      </c>
      <c r="AS285" s="142" t="str">
        <f t="shared" si="122"/>
        <v>GOOD</v>
      </c>
      <c r="AT285" s="146">
        <f>INDEX(CarrierDriverTBL!$E:$E,MATCH(Table1[[#This Row],[DriverID]],CarrierDriverTBL!$A:$A,0))</f>
        <v>21198</v>
      </c>
      <c r="AU285" s="163">
        <f ca="1">INDEX(CarrierDriverTBL!$F:$F,MATCH(Table1[[#This Row],[DriverID]],CarrierDriverTBL!$A:$A,0))</f>
        <v>58.56986301369863</v>
      </c>
      <c r="AV285" s="298" t="str">
        <f>INDEX(CarrierDriverTBL!$K:$K,MATCH(Table1[[#This Row],[DriverID]],CarrierDriverTBL!$A:$A,0))</f>
        <v>209-322-5231</v>
      </c>
      <c r="AW285" s="298" t="str">
        <f>INDEX(CarrierDriverTBL!$M:$M,MATCH(Table1[[#This Row],[DriverID]],CarrierDriverTBL!$A:$A,0))</f>
        <v>572 Predersen RD</v>
      </c>
      <c r="AX285" s="298" t="str">
        <f>INDEX(CarrierDriverTBL!$N:$N,MATCH(Table1[[#This Row],[DriverID]],CarrierDriverTBL!$A:$A,0))</f>
        <v>Oakdale</v>
      </c>
      <c r="AY285" s="142" t="str">
        <f>INDEX(CarrierDriverTBL!$O:$O,MATCH(Table1[[#This Row],[DriverID]],CarrierDriverTBL!$A:$A,0))</f>
        <v>CA</v>
      </c>
      <c r="AZ285" s="298">
        <f>INDEX(CarrierDriverTBL!$P:$P,MATCH(Table1[[#This Row],[DriverID]],CarrierDriverTBL!$A:$A,0))</f>
        <v>95361</v>
      </c>
      <c r="BA285" s="298" t="str">
        <f>INDEX(CarrierDriverTBL!$Q:$Q,MATCH(Table1[[#This Row],[DriverID]],CarrierDriverTBL!$A:$A,0))</f>
        <v>US</v>
      </c>
      <c r="BB285" s="176" t="str">
        <f>INDEX(CarrierDriverTBL!$R:$R,MATCH(Table1[[#This Row],[DriverID]],CarrierDriverTBL!$A:$A,0))</f>
        <v>Miguelmartin52@yahoo.com</v>
      </c>
      <c r="BC285" s="160">
        <f>INDEX(CarrierDriverTBL!$AB:$AB,MATCH(Table1[[#This Row],[DriverID]],CarrierDriverTBL!$A:$A,0))</f>
        <v>42334</v>
      </c>
      <c r="BD285" s="142" t="str">
        <f ca="1">INDEX(CarrierDriverTBL!$AD:$AD,MATCH(LoadMaster!$AN:$AN,CarrierDriverTBL!$A:$A,0))</f>
        <v>MISSING</v>
      </c>
      <c r="BE285" s="142">
        <f>INDEX(CarrierDriverTBL!$AE:$AE,MATCH(Table1[DriverID],CarrierDriverTBL!$A:$A,0))</f>
        <v>913971</v>
      </c>
      <c r="BF285" s="142">
        <f>INDEX(CarrierDriverTBL!$AF:$AF,MATCH(Table1[DriverID],CarrierDriverTBL!$A:$A,0))</f>
        <v>2627544</v>
      </c>
      <c r="BG285" s="142">
        <f>INDEX(CarrierDriverTBL!$AG:$AG,MATCH(Table1[DriverID],CarrierDriverTBL!$A:$A,0))</f>
        <v>466133</v>
      </c>
      <c r="BH285" s="142" t="str">
        <f>INDEX(CarrierDriverTBL!$AH:$AH,MATCH(Table1[DriverID],CarrierDriverTBL!$A:$A,0))</f>
        <v>GM Lawrence Ins</v>
      </c>
      <c r="BI285" s="142" t="str">
        <f>INDEX(CarrierDriverTBL!$AI:$AI,MATCH(Table1[DriverID],CarrierDriverTBL!$A:$A,0))</f>
        <v>DSK2842P160210</v>
      </c>
      <c r="BJ285" s="160">
        <f>INDEX(CarrierDriverTBL!$AJ:$AJ,MATCH(Table1[[#This Row],[DriverID]],CarrierDriverTBL!$A:$A,0))</f>
        <v>42778</v>
      </c>
      <c r="BK285" s="10">
        <f t="shared" si="123"/>
        <v>373</v>
      </c>
      <c r="BL285" s="59">
        <v>425</v>
      </c>
      <c r="BM285" s="144">
        <v>203</v>
      </c>
      <c r="BN285" s="159">
        <f t="shared" si="140"/>
        <v>2.0935960591133007</v>
      </c>
      <c r="BO285" s="167">
        <f>0.93*425</f>
        <v>395.25</v>
      </c>
      <c r="BP285" s="159">
        <f t="shared" si="141"/>
        <v>1.9470443349753694</v>
      </c>
      <c r="BQ285" s="133">
        <v>2.6</v>
      </c>
      <c r="BR285" s="166">
        <f t="shared" si="142"/>
        <v>0.1166666666666667</v>
      </c>
      <c r="BS285" s="167">
        <f t="shared" si="124"/>
        <v>1.8303776683087027</v>
      </c>
      <c r="BT285" s="159">
        <f t="shared" si="125"/>
        <v>23.683333333333341</v>
      </c>
      <c r="BU285" s="10" t="str">
        <f t="shared" si="126"/>
        <v>Ch Robinson</v>
      </c>
      <c r="BV285" s="15"/>
      <c r="BW285" s="4" t="str">
        <f>Table1[[#This Row],[BrokerAddress]]</f>
        <v>P.O. Box 3474</v>
      </c>
      <c r="BX285" s="4" t="str">
        <f t="shared" si="127"/>
        <v>Chicago</v>
      </c>
      <c r="BY285" s="4" t="str">
        <f t="shared" si="128"/>
        <v>Il</v>
      </c>
      <c r="BZ285" s="4">
        <f t="shared" si="129"/>
        <v>60654</v>
      </c>
      <c r="CA285" s="10" t="str">
        <f t="shared" si="130"/>
        <v>US</v>
      </c>
      <c r="CB285" s="15" t="s">
        <v>131</v>
      </c>
      <c r="CC285" s="62"/>
      <c r="CD285" s="15" t="s">
        <v>132</v>
      </c>
      <c r="CE285" s="64">
        <v>0</v>
      </c>
      <c r="CF285" s="4">
        <v>0</v>
      </c>
      <c r="CG285" s="132">
        <f t="shared" si="131"/>
        <v>0</v>
      </c>
      <c r="CH285" s="4" t="s">
        <v>132</v>
      </c>
      <c r="CI285" s="5">
        <v>0</v>
      </c>
      <c r="CJ285" s="4">
        <v>0</v>
      </c>
      <c r="CK285" s="132">
        <f t="shared" si="132"/>
        <v>0</v>
      </c>
      <c r="CL285" s="4" t="s">
        <v>132</v>
      </c>
      <c r="CM285" s="5">
        <v>0</v>
      </c>
      <c r="CN285" s="4">
        <v>0</v>
      </c>
      <c r="CO285" s="132">
        <f t="shared" si="133"/>
        <v>0</v>
      </c>
      <c r="CP285" s="4" t="s">
        <v>132</v>
      </c>
      <c r="CQ285" s="5">
        <v>0</v>
      </c>
      <c r="CR285" s="4">
        <v>0</v>
      </c>
      <c r="CS285" s="132">
        <f t="shared" si="134"/>
        <v>0</v>
      </c>
      <c r="CT285" s="159">
        <f t="shared" si="135"/>
        <v>0</v>
      </c>
      <c r="CU285" s="168">
        <f t="shared" si="136"/>
        <v>425</v>
      </c>
      <c r="CV285" s="169">
        <f t="shared" si="119"/>
        <v>0</v>
      </c>
      <c r="CW285" s="82">
        <f t="shared" si="120"/>
        <v>395.25</v>
      </c>
      <c r="CX285" s="79">
        <f>IF(ISBLANK(E285),"AddQuickPay",IF(E285=2,CU285*0.98,IF(E285=2.4,CU285*0.976,IF(E285=3,CU285*0.97,IF(E285=5,CU285*0.95,IF(E285=1.5,CU285*0.985,IF(E285=2.5,CU285*0.975,IF(E285=1.3,CU285*0.987,IF(E285=1,CU285*0.99,IF(E285=4,CU285*0.96,CU285*1))))))))))-Table1[[#This Row],[ComCheck+QuickPayFee]]</f>
        <v>416.5</v>
      </c>
      <c r="CY285" s="5">
        <f t="shared" si="137"/>
        <v>29.75</v>
      </c>
      <c r="CZ285" s="5">
        <f t="shared" si="138"/>
        <v>8.5</v>
      </c>
      <c r="DA285" s="258">
        <f>Table1[[#This Row],[OriginalDispatch]]-Table1[[#This Row],[QuickPayCharge]]</f>
        <v>21.25</v>
      </c>
      <c r="DB285" s="5">
        <v>0</v>
      </c>
      <c r="DC285" s="5" t="s">
        <v>133</v>
      </c>
      <c r="DD285" s="104">
        <f t="shared" si="139"/>
        <v>42405</v>
      </c>
      <c r="DE285" s="15">
        <f>MONTH(Table1[[#This Row],[Weekending]])</f>
        <v>2</v>
      </c>
      <c r="DF285" s="15">
        <f>YEAR(Table1[[#This Row],[Weekending]])</f>
        <v>2016</v>
      </c>
      <c r="DG285" s="4"/>
    </row>
    <row r="286" spans="1:111">
      <c r="A286" s="20" t="str">
        <f t="shared" si="121"/>
        <v>46283449</v>
      </c>
      <c r="B286" s="146">
        <v>42406</v>
      </c>
      <c r="C286" s="144">
        <v>47346</v>
      </c>
      <c r="D286" s="298" t="s">
        <v>1824</v>
      </c>
      <c r="E286" s="144">
        <v>3</v>
      </c>
      <c r="F286" s="298" t="str">
        <f>INDEX(BrokerTBL!$B:$B,MATCH(D286,BrokerTBL!$A:$A,0))</f>
        <v>2109 W Bullard Ave # 101</v>
      </c>
      <c r="G286" s="298" t="str">
        <f>INDEX(BrokerTBL!$C:$C,MATCH(D286,BrokerTBL!$A:$A,0))</f>
        <v>Fresno</v>
      </c>
      <c r="H286" s="142" t="str">
        <f>INDEX(BrokerTBL!$D:$D,MATCH(D286,BrokerTBL!$A:$A,0))</f>
        <v>Ca</v>
      </c>
      <c r="I286" s="142" t="str">
        <f>INDEX(BrokerTBL!$E:$E,MATCH(D286,BrokerTBL!$A:$A,0))</f>
        <v>US</v>
      </c>
      <c r="J286" s="142">
        <f>INDEX(BrokerTBL!$F:$F,MATCH(D286,BrokerTBL!$A:$A,0))</f>
        <v>93711</v>
      </c>
      <c r="K286" s="298" t="s">
        <v>1825</v>
      </c>
      <c r="L286" s="145">
        <v>351228</v>
      </c>
      <c r="M286" s="146">
        <v>42406</v>
      </c>
      <c r="N286" s="182">
        <v>0.33333333333333298</v>
      </c>
      <c r="O286" s="298" t="s">
        <v>1826</v>
      </c>
      <c r="P286" s="298" t="s">
        <v>184</v>
      </c>
      <c r="Q286" s="298" t="s">
        <v>139</v>
      </c>
      <c r="R286" s="298">
        <v>95203</v>
      </c>
      <c r="S286" s="298" t="s">
        <v>118</v>
      </c>
      <c r="T286" s="298" t="s">
        <v>123</v>
      </c>
      <c r="U286" s="298" t="s">
        <v>120</v>
      </c>
      <c r="V286" s="298">
        <v>53</v>
      </c>
      <c r="W286" s="298" t="s">
        <v>1827</v>
      </c>
      <c r="X286" s="185">
        <v>41800</v>
      </c>
      <c r="Y286" s="298" t="s">
        <v>123</v>
      </c>
      <c r="Z286" s="298" t="s">
        <v>123</v>
      </c>
      <c r="AA286" s="298" t="s">
        <v>123</v>
      </c>
      <c r="AB286" s="298" t="s">
        <v>123</v>
      </c>
      <c r="AC286" s="298" t="s">
        <v>2079</v>
      </c>
      <c r="AD286" s="145">
        <v>360434</v>
      </c>
      <c r="AE286" s="146">
        <v>42406</v>
      </c>
      <c r="AF286" s="298" t="s">
        <v>2080</v>
      </c>
      <c r="AG286" s="298" t="s">
        <v>2081</v>
      </c>
      <c r="AH286" s="298" t="s">
        <v>184</v>
      </c>
      <c r="AI286" s="298" t="s">
        <v>139</v>
      </c>
      <c r="AJ286" s="298">
        <v>95202</v>
      </c>
      <c r="AK286" s="298" t="s">
        <v>118</v>
      </c>
      <c r="AL286" s="298" t="s">
        <v>123</v>
      </c>
      <c r="AM286" s="142" t="str">
        <f>INDEX(CarrierDriverTBL!$B:$B,MATCH(Table1[[#This Row],[DriverID]],CarrierDriverTBL!$A:$A,0))</f>
        <v>UBTrucking</v>
      </c>
      <c r="AN286" s="10" t="s">
        <v>192</v>
      </c>
      <c r="AO286" s="10" t="str">
        <f>INDEX(CarrierDriverTBL!$C:$C,MATCH(Table1[[#This Row],[DriverID]],CarrierDriverTBL!$A:$A,0))</f>
        <v>Albel</v>
      </c>
      <c r="AP286" s="142" t="str">
        <f>INDEX(CarrierDriverTBL!$D:$D,MATCH(Table1[[#This Row],[DriverID]],CarrierDriverTBL!$A:$A,0))</f>
        <v>Chahil</v>
      </c>
      <c r="AQ286" s="142" t="str">
        <f>INDEX(CarrierDriverTBL!$X:$X,MATCH(Table1[[#This Row],[DriverID]],CarrierDriverTBL!$A:$A,0))</f>
        <v>A8390649</v>
      </c>
      <c r="AR286" s="160">
        <f>INDEX(CarrierDriverTBL!$Y:$Y,MATCH(Table1[[#This Row],[DriverID]],CarrierDriverTBL!$A:$A,0))</f>
        <v>42402</v>
      </c>
      <c r="AS286" s="142" t="str">
        <f t="shared" si="122"/>
        <v>EXPIRED</v>
      </c>
      <c r="AT286" s="160">
        <f>INDEX(CarrierDriverTBL!$E:$E,MATCH(Table1[[#This Row],[DriverID]],CarrierDriverTBL!$A:$A,0))</f>
        <v>22314</v>
      </c>
      <c r="AU286" s="163">
        <f ca="1">INDEX(CarrierDriverTBL!$F:$F,MATCH(Table1[[#This Row],[DriverID]],CarrierDriverTBL!$A:$A,0))</f>
        <v>55.512328767123286</v>
      </c>
      <c r="AV286" s="142" t="str">
        <f>INDEX(CarrierDriverTBL!$K:$K,MATCH(Table1[[#This Row],[DriverID]],CarrierDriverTBL!$A:$A,0))</f>
        <v>510-773-9450</v>
      </c>
      <c r="AW286" s="142" t="str">
        <f>INDEX(CarrierDriverTBL!$M:$M,MATCH(Table1[[#This Row],[DriverID]],CarrierDriverTBL!$A:$A,0))</f>
        <v>3124 Cynthia CT</v>
      </c>
      <c r="AX286" s="142" t="str">
        <f>INDEX(CarrierDriverTBL!$N:$N,MATCH(Table1[[#This Row],[DriverID]],CarrierDriverTBL!$A:$A,0))</f>
        <v>Tracy</v>
      </c>
      <c r="AY286" s="142" t="str">
        <f>INDEX(CarrierDriverTBL!$O:$O,MATCH(Table1[[#This Row],[DriverID]],CarrierDriverTBL!$A:$A,0))</f>
        <v>CA</v>
      </c>
      <c r="AZ286" s="142">
        <f>INDEX(CarrierDriverTBL!$P:$P,MATCH(Table1[[#This Row],[DriverID]],CarrierDriverTBL!$A:$A,0))</f>
        <v>95377</v>
      </c>
      <c r="BA286" s="142" t="str">
        <f>INDEX(CarrierDriverTBL!$Q:$Q,MATCH(Table1[[#This Row],[DriverID]],CarrierDriverTBL!$A:$A,0))</f>
        <v>US</v>
      </c>
      <c r="BB286" s="176" t="str">
        <f>INDEX(CarrierDriverTBL!$R:$R,MATCH(Table1[[#This Row],[DriverID]],CarrierDriverTBL!$A:$A,0))</f>
        <v>ubgollc@gmail.com</v>
      </c>
      <c r="BC286" s="160">
        <f>INDEX(CarrierDriverTBL!$AB:$AB,MATCH(Table1[[#This Row],[DriverID]],CarrierDriverTBL!$A:$A,0))</f>
        <v>42167</v>
      </c>
      <c r="BD286" s="142" t="str">
        <f ca="1">INDEX(CarrierDriverTBL!$AD:$AD,MATCH(LoadMaster!$AN:$AN,CarrierDriverTBL!$A:$A,0))</f>
        <v>MISSING</v>
      </c>
      <c r="BE286" s="142">
        <f>INDEX(CarrierDriverTBL!$AE:$AE,MATCH(Table1[DriverID],CarrierDriverTBL!$A:$A,0))</f>
        <v>913971</v>
      </c>
      <c r="BF286" s="142">
        <f>INDEX(CarrierDriverTBL!$AF:$AF,MATCH(Table1[DriverID],CarrierDriverTBL!$A:$A,0))</f>
        <v>2627544</v>
      </c>
      <c r="BG286" s="142">
        <f>INDEX(CarrierDriverTBL!$AG:$AG,MATCH(Table1[DriverID],CarrierDriverTBL!$A:$A,0))</f>
        <v>466133</v>
      </c>
      <c r="BH286" s="142" t="str">
        <f>INDEX(CarrierDriverTBL!$AH:$AH,MATCH(Table1[DriverID],CarrierDriverTBL!$A:$A,0))</f>
        <v>GM Lawrence Ins</v>
      </c>
      <c r="BI286" s="142" t="str">
        <f>INDEX(CarrierDriverTBL!$AI:$AI,MATCH(Table1[DriverID],CarrierDriverTBL!$A:$A,0))</f>
        <v>DSK2842P160210</v>
      </c>
      <c r="BJ286" s="160">
        <f>INDEX(CarrierDriverTBL!$AJ:$AJ,MATCH(Table1[[#This Row],[DriverID]],CarrierDriverTBL!$A:$A,0))</f>
        <v>42778</v>
      </c>
      <c r="BK286" s="10">
        <f t="shared" si="123"/>
        <v>372</v>
      </c>
      <c r="BL286" s="59">
        <v>200</v>
      </c>
      <c r="BM286" s="144">
        <v>3</v>
      </c>
      <c r="BN286" s="159">
        <f t="shared" si="140"/>
        <v>66.666666666666671</v>
      </c>
      <c r="BO286" s="167">
        <v>175</v>
      </c>
      <c r="BP286" s="159">
        <f t="shared" si="141"/>
        <v>58.333333333333336</v>
      </c>
      <c r="BQ286" s="133">
        <v>2.6</v>
      </c>
      <c r="BR286" s="166">
        <f t="shared" si="142"/>
        <v>0.1166666666666667</v>
      </c>
      <c r="BS286" s="167">
        <f t="shared" si="124"/>
        <v>58.216666666666669</v>
      </c>
      <c r="BT286" s="159">
        <f t="shared" si="125"/>
        <v>0.35000000000000009</v>
      </c>
      <c r="BU286" s="10" t="str">
        <f t="shared" si="126"/>
        <v>Cargobarn Inc.</v>
      </c>
      <c r="BV286" s="15" t="s">
        <v>1925</v>
      </c>
      <c r="BW286" s="4" t="str">
        <f>Table1[[#This Row],[BrokerAddress]]</f>
        <v>2109 W Bullard Ave # 101</v>
      </c>
      <c r="BX286" s="4" t="str">
        <f t="shared" si="127"/>
        <v>Fresno</v>
      </c>
      <c r="BY286" s="4" t="str">
        <f t="shared" si="128"/>
        <v>Ca</v>
      </c>
      <c r="BZ286" s="4">
        <f t="shared" si="129"/>
        <v>93711</v>
      </c>
      <c r="CA286" s="10" t="str">
        <f t="shared" si="130"/>
        <v>US</v>
      </c>
      <c r="CB286" s="15" t="s">
        <v>131</v>
      </c>
      <c r="CC286" s="62"/>
      <c r="CD286" s="15" t="s">
        <v>132</v>
      </c>
      <c r="CE286" s="64">
        <v>0</v>
      </c>
      <c r="CF286" s="4">
        <v>0</v>
      </c>
      <c r="CG286" s="132">
        <f t="shared" si="131"/>
        <v>0</v>
      </c>
      <c r="CH286" s="4" t="s">
        <v>132</v>
      </c>
      <c r="CI286" s="5">
        <v>0</v>
      </c>
      <c r="CJ286" s="4">
        <v>0</v>
      </c>
      <c r="CK286" s="132">
        <f t="shared" si="132"/>
        <v>0</v>
      </c>
      <c r="CL286" s="4" t="s">
        <v>132</v>
      </c>
      <c r="CM286" s="5">
        <v>0</v>
      </c>
      <c r="CN286" s="4">
        <v>0</v>
      </c>
      <c r="CO286" s="132">
        <f t="shared" si="133"/>
        <v>0</v>
      </c>
      <c r="CP286" s="4" t="s">
        <v>132</v>
      </c>
      <c r="CQ286" s="5">
        <v>0</v>
      </c>
      <c r="CR286" s="4">
        <v>0</v>
      </c>
      <c r="CS286" s="132">
        <f t="shared" si="134"/>
        <v>0</v>
      </c>
      <c r="CT286" s="159">
        <f t="shared" si="135"/>
        <v>0</v>
      </c>
      <c r="CU286" s="168">
        <f t="shared" si="136"/>
        <v>200</v>
      </c>
      <c r="CV286" s="169">
        <f t="shared" si="119"/>
        <v>0</v>
      </c>
      <c r="CW286" s="82">
        <f t="shared" si="120"/>
        <v>175</v>
      </c>
      <c r="CX286" s="79">
        <f>IF(ISBLANK(E286),"AddQuickPay",IF(E286=2,CU286*0.98,IF(E286=2.4,CU286*0.976,IF(E286=3,CU286*0.97,IF(E286=5,CU286*0.95,IF(E286=1.5,CU286*0.985,IF(E286=2.5,CU286*0.975,IF(E286=1.3,CU286*0.987,IF(E286=1,CU286*0.99,IF(E286=4,CU286*0.96,CU286*1))))))))))-Table1[[#This Row],[ComCheck+QuickPayFee]]</f>
        <v>194</v>
      </c>
      <c r="CY286" s="5">
        <f t="shared" si="137"/>
        <v>25</v>
      </c>
      <c r="CZ286" s="5">
        <f t="shared" si="138"/>
        <v>6</v>
      </c>
      <c r="DA286" s="258">
        <f>Table1[[#This Row],[OriginalDispatch]]-Table1[[#This Row],[QuickPayCharge]]</f>
        <v>19</v>
      </c>
      <c r="DB286" s="5">
        <v>0</v>
      </c>
      <c r="DC286" s="5" t="s">
        <v>133</v>
      </c>
      <c r="DD286" s="104">
        <f t="shared" si="139"/>
        <v>42405</v>
      </c>
      <c r="DE286" s="15">
        <f>MONTH(Table1[[#This Row],[Weekending]])</f>
        <v>2</v>
      </c>
      <c r="DF286" s="15">
        <f>YEAR(Table1[[#This Row],[Weekending]])</f>
        <v>2016</v>
      </c>
      <c r="DG286" s="4"/>
    </row>
    <row r="287" spans="1:111">
      <c r="A287" s="20" t="str">
        <f t="shared" si="121"/>
        <v>93wnwn49</v>
      </c>
      <c r="B287" s="146">
        <v>42408</v>
      </c>
      <c r="C287" s="144">
        <v>10781193</v>
      </c>
      <c r="D287" s="298" t="s">
        <v>984</v>
      </c>
      <c r="E287" s="144">
        <v>4</v>
      </c>
      <c r="F287" s="298" t="str">
        <f>INDEX(BrokerTBL!$B:$B,MATCH(D287,BrokerTBL!$A:$A,0))</f>
        <v>P O Box 30130</v>
      </c>
      <c r="G287" s="298" t="str">
        <f>INDEX(BrokerTBL!$C:$C,MATCH(D287,BrokerTBL!$A:$A,0))</f>
        <v>Salt Lake City</v>
      </c>
      <c r="H287" s="142" t="str">
        <f>INDEX(BrokerTBL!$D:$D,MATCH(D287,BrokerTBL!$A:$A,0))</f>
        <v>Ut</v>
      </c>
      <c r="I287" s="142" t="str">
        <f>INDEX(BrokerTBL!$E:$E,MATCH(D287,BrokerTBL!$A:$A,0))</f>
        <v>US</v>
      </c>
      <c r="J287" s="298">
        <f>INDEX(BrokerTBL!$F:$F,MATCH(D287,BrokerTBL!$A:$A,0))</f>
        <v>84130</v>
      </c>
      <c r="K287" s="298" t="s">
        <v>313</v>
      </c>
      <c r="L287" s="145" t="s">
        <v>1205</v>
      </c>
      <c r="M287" s="146">
        <v>42408</v>
      </c>
      <c r="N287" s="182">
        <v>0.5</v>
      </c>
      <c r="O287" s="298" t="s">
        <v>315</v>
      </c>
      <c r="P287" s="298" t="s">
        <v>253</v>
      </c>
      <c r="Q287" s="298" t="s">
        <v>139</v>
      </c>
      <c r="R287" s="298">
        <v>93637</v>
      </c>
      <c r="S287" s="298" t="s">
        <v>118</v>
      </c>
      <c r="T287" s="298" t="s">
        <v>2082</v>
      </c>
      <c r="U287" s="298" t="s">
        <v>120</v>
      </c>
      <c r="V287" s="298">
        <v>53</v>
      </c>
      <c r="W287" s="298" t="s">
        <v>2083</v>
      </c>
      <c r="X287" s="144" t="s">
        <v>123</v>
      </c>
      <c r="Y287" s="298" t="s">
        <v>123</v>
      </c>
      <c r="Z287" s="298" t="s">
        <v>123</v>
      </c>
      <c r="AA287" s="298" t="s">
        <v>123</v>
      </c>
      <c r="AB287" s="298" t="s">
        <v>123</v>
      </c>
      <c r="AC287" s="298" t="s">
        <v>2084</v>
      </c>
      <c r="AD287" s="145" t="s">
        <v>1205</v>
      </c>
      <c r="AE287" s="146">
        <v>42409</v>
      </c>
      <c r="AF287" s="298" t="s">
        <v>2085</v>
      </c>
      <c r="AG287" s="298" t="s">
        <v>2086</v>
      </c>
      <c r="AH287" s="298" t="s">
        <v>2000</v>
      </c>
      <c r="AI287" s="298" t="s">
        <v>139</v>
      </c>
      <c r="AJ287" s="298">
        <v>92154</v>
      </c>
      <c r="AK287" s="298" t="s">
        <v>118</v>
      </c>
      <c r="AL287" s="298" t="s">
        <v>2087</v>
      </c>
      <c r="AM287" s="142" t="str">
        <f>INDEX(CarrierDriverTBL!$B:$B,MATCH(Table1[[#This Row],[DriverID]],CarrierDriverTBL!$A:$A,0))</f>
        <v>UBTrucking</v>
      </c>
      <c r="AN287" s="10" t="s">
        <v>192</v>
      </c>
      <c r="AO287" s="10" t="str">
        <f>INDEX(CarrierDriverTBL!$C:$C,MATCH(Table1[[#This Row],[DriverID]],CarrierDriverTBL!$A:$A,0))</f>
        <v>Albel</v>
      </c>
      <c r="AP287" s="142" t="str">
        <f>INDEX(CarrierDriverTBL!$D:$D,MATCH(Table1[[#This Row],[DriverID]],CarrierDriverTBL!$A:$A,0))</f>
        <v>Chahil</v>
      </c>
      <c r="AQ287" s="142" t="str">
        <f>INDEX(CarrierDriverTBL!$X:$X,MATCH(Table1[[#This Row],[DriverID]],CarrierDriverTBL!$A:$A,0))</f>
        <v>A8390649</v>
      </c>
      <c r="AR287" s="160">
        <f>INDEX(CarrierDriverTBL!$Y:$Y,MATCH(Table1[[#This Row],[DriverID]],CarrierDriverTBL!$A:$A,0))</f>
        <v>42402</v>
      </c>
      <c r="AS287" s="142" t="str">
        <f t="shared" si="122"/>
        <v>EXPIRED</v>
      </c>
      <c r="AT287" s="160">
        <f>INDEX(CarrierDriverTBL!$E:$E,MATCH(Table1[[#This Row],[DriverID]],CarrierDriverTBL!$A:$A,0))</f>
        <v>22314</v>
      </c>
      <c r="AU287" s="163">
        <f ca="1">INDEX(CarrierDriverTBL!$F:$F,MATCH(Table1[[#This Row],[DriverID]],CarrierDriverTBL!$A:$A,0))</f>
        <v>55.512328767123286</v>
      </c>
      <c r="AV287" s="142" t="str">
        <f>INDEX(CarrierDriverTBL!$K:$K,MATCH(Table1[[#This Row],[DriverID]],CarrierDriverTBL!$A:$A,0))</f>
        <v>510-773-9450</v>
      </c>
      <c r="AW287" s="142" t="str">
        <f>INDEX(CarrierDriverTBL!$M:$M,MATCH(Table1[[#This Row],[DriverID]],CarrierDriverTBL!$A:$A,0))</f>
        <v>3124 Cynthia CT</v>
      </c>
      <c r="AX287" s="142" t="str">
        <f>INDEX(CarrierDriverTBL!$N:$N,MATCH(Table1[[#This Row],[DriverID]],CarrierDriverTBL!$A:$A,0))</f>
        <v>Tracy</v>
      </c>
      <c r="AY287" s="142" t="str">
        <f>INDEX(CarrierDriverTBL!$O:$O,MATCH(Table1[[#This Row],[DriverID]],CarrierDriverTBL!$A:$A,0))</f>
        <v>CA</v>
      </c>
      <c r="AZ287" s="142">
        <f>INDEX(CarrierDriverTBL!$P:$P,MATCH(Table1[[#This Row],[DriverID]],CarrierDriverTBL!$A:$A,0))</f>
        <v>95377</v>
      </c>
      <c r="BA287" s="142" t="str">
        <f>INDEX(CarrierDriverTBL!$Q:$Q,MATCH(Table1[[#This Row],[DriverID]],CarrierDriverTBL!$A:$A,0))</f>
        <v>US</v>
      </c>
      <c r="BB287" s="176" t="str">
        <f>INDEX(CarrierDriverTBL!$R:$R,MATCH(Table1[[#This Row],[DriverID]],CarrierDriverTBL!$A:$A,0))</f>
        <v>ubgollc@gmail.com</v>
      </c>
      <c r="BC287" s="160">
        <f>INDEX(CarrierDriverTBL!$AB:$AB,MATCH(Table1[[#This Row],[DriverID]],CarrierDriverTBL!$A:$A,0))</f>
        <v>42167</v>
      </c>
      <c r="BD287" s="142" t="str">
        <f ca="1">INDEX(CarrierDriverTBL!$AD:$AD,MATCH(LoadMaster!$AN:$AN,CarrierDriverTBL!$A:$A,0))</f>
        <v>MISSING</v>
      </c>
      <c r="BE287" s="142">
        <f>INDEX(CarrierDriverTBL!$AE:$AE,MATCH(Table1[DriverID],CarrierDriverTBL!$A:$A,0))</f>
        <v>913971</v>
      </c>
      <c r="BF287" s="142">
        <f>INDEX(CarrierDriverTBL!$AF:$AF,MATCH(Table1[DriverID],CarrierDriverTBL!$A:$A,0))</f>
        <v>2627544</v>
      </c>
      <c r="BG287" s="142">
        <f>INDEX(CarrierDriverTBL!$AG:$AG,MATCH(Table1[DriverID],CarrierDriverTBL!$A:$A,0))</f>
        <v>466133</v>
      </c>
      <c r="BH287" s="142" t="str">
        <f>INDEX(CarrierDriverTBL!$AH:$AH,MATCH(Table1[DriverID],CarrierDriverTBL!$A:$A,0))</f>
        <v>GM Lawrence Ins</v>
      </c>
      <c r="BI287" s="142" t="str">
        <f>INDEX(CarrierDriverTBL!$AI:$AI,MATCH(Table1[DriverID],CarrierDriverTBL!$A:$A,0))</f>
        <v>DSK2842P160210</v>
      </c>
      <c r="BJ287" s="160">
        <f>INDEX(CarrierDriverTBL!$AJ:$AJ,MATCH(Table1[[#This Row],[DriverID]],CarrierDriverTBL!$A:$A,0))</f>
        <v>42778</v>
      </c>
      <c r="BK287" s="10">
        <f t="shared" si="123"/>
        <v>370</v>
      </c>
      <c r="BL287" s="59">
        <v>600</v>
      </c>
      <c r="BM287" s="144">
        <v>360</v>
      </c>
      <c r="BN287" s="159">
        <f t="shared" si="140"/>
        <v>1.6666666666666667</v>
      </c>
      <c r="BO287" s="167">
        <v>550</v>
      </c>
      <c r="BP287" s="159">
        <f t="shared" si="141"/>
        <v>1.5277777777777777</v>
      </c>
      <c r="BQ287" s="133">
        <v>2.6</v>
      </c>
      <c r="BR287" s="166">
        <f t="shared" si="142"/>
        <v>0.1166666666666667</v>
      </c>
      <c r="BS287" s="167">
        <f t="shared" si="124"/>
        <v>1.411111111111111</v>
      </c>
      <c r="BT287" s="159">
        <f t="shared" si="125"/>
        <v>42.000000000000014</v>
      </c>
      <c r="BU287" s="10" t="str">
        <f t="shared" si="126"/>
        <v>England Logistics, Inc.</v>
      </c>
      <c r="BV287" s="15" t="s">
        <v>1925</v>
      </c>
      <c r="BW287" s="4" t="str">
        <f>Table1[[#This Row],[BrokerAddress]]</f>
        <v>P O Box 30130</v>
      </c>
      <c r="BX287" s="4" t="str">
        <f t="shared" si="127"/>
        <v>Salt Lake City</v>
      </c>
      <c r="BY287" s="4" t="str">
        <f t="shared" si="128"/>
        <v>Ut</v>
      </c>
      <c r="BZ287" s="4">
        <f t="shared" si="129"/>
        <v>84130</v>
      </c>
      <c r="CA287" s="10" t="str">
        <f t="shared" si="130"/>
        <v>US</v>
      </c>
      <c r="CB287" s="15" t="s">
        <v>131</v>
      </c>
      <c r="CC287" s="62"/>
      <c r="CD287" s="15" t="s">
        <v>149</v>
      </c>
      <c r="CE287" s="64">
        <v>0</v>
      </c>
      <c r="CF287" s="4">
        <v>1</v>
      </c>
      <c r="CG287" s="132">
        <f t="shared" si="131"/>
        <v>0</v>
      </c>
      <c r="CH287" s="4" t="s">
        <v>132</v>
      </c>
      <c r="CI287" s="5">
        <v>0</v>
      </c>
      <c r="CJ287" s="4">
        <v>0</v>
      </c>
      <c r="CK287" s="132">
        <f t="shared" si="132"/>
        <v>0</v>
      </c>
      <c r="CL287" s="4" t="s">
        <v>132</v>
      </c>
      <c r="CM287" s="5">
        <v>0</v>
      </c>
      <c r="CN287" s="4">
        <v>0</v>
      </c>
      <c r="CO287" s="132">
        <f t="shared" si="133"/>
        <v>0</v>
      </c>
      <c r="CP287" s="4" t="s">
        <v>132</v>
      </c>
      <c r="CQ287" s="5">
        <v>0</v>
      </c>
      <c r="CR287" s="4">
        <v>0</v>
      </c>
      <c r="CS287" s="132">
        <f t="shared" si="134"/>
        <v>0</v>
      </c>
      <c r="CT287" s="159">
        <f t="shared" si="135"/>
        <v>0</v>
      </c>
      <c r="CU287" s="168">
        <f t="shared" si="136"/>
        <v>600</v>
      </c>
      <c r="CV287" s="169">
        <f t="shared" si="119"/>
        <v>0</v>
      </c>
      <c r="CW287" s="82">
        <f t="shared" si="120"/>
        <v>550</v>
      </c>
      <c r="CX287" s="79">
        <f>IF(ISBLANK(E287),"AddQuickPay",IF(E287=2,CU287*0.98,IF(E287=2.4,CU287*0.976,IF(E287=3,CU287*0.97,IF(E287=5,CU287*0.95,IF(E287=1.5,CU287*0.985,IF(E287=2.5,CU287*0.975,IF(E287=1.3,CU287*0.987,IF(E287=1,CU287*0.99,IF(E287=4,CU287*0.96,CU287*1))))))))))-Table1[[#This Row],[ComCheck+QuickPayFee]]</f>
        <v>576</v>
      </c>
      <c r="CY287" s="5">
        <f t="shared" si="137"/>
        <v>50</v>
      </c>
      <c r="CZ287" s="5">
        <f t="shared" si="138"/>
        <v>24</v>
      </c>
      <c r="DA287" s="258">
        <f>Table1[[#This Row],[OriginalDispatch]]-Table1[[#This Row],[QuickPayCharge]]</f>
        <v>26</v>
      </c>
      <c r="DB287" s="5">
        <v>0</v>
      </c>
      <c r="DC287" s="5" t="s">
        <v>133</v>
      </c>
      <c r="DD287" s="104">
        <f t="shared" si="139"/>
        <v>42412</v>
      </c>
      <c r="DE287" s="15">
        <f>MONTH(Table1[[#This Row],[Weekending]])</f>
        <v>2</v>
      </c>
      <c r="DF287" s="15">
        <f>YEAR(Table1[[#This Row],[Weekending]])</f>
        <v>2016</v>
      </c>
      <c r="DG287" s="4"/>
    </row>
    <row r="288" spans="1:111">
      <c r="A288" s="20" t="str">
        <f t="shared" si="121"/>
        <v>55012019</v>
      </c>
      <c r="B288" s="146">
        <v>42409</v>
      </c>
      <c r="C288" s="144">
        <v>507255</v>
      </c>
      <c r="D288" s="298" t="s">
        <v>1997</v>
      </c>
      <c r="E288" s="298">
        <v>2</v>
      </c>
      <c r="F288" s="298" t="str">
        <f>INDEX(BrokerTBL!$B:$B,MATCH(D288,BrokerTBL!$A:$A,0))</f>
        <v>12755 East Nine Mile Road</v>
      </c>
      <c r="G288" s="298" t="str">
        <f>INDEX(BrokerTBL!$C:$C,MATCH(D288,BrokerTBL!$A:$A,0))</f>
        <v>Warren</v>
      </c>
      <c r="H288" s="142" t="str">
        <f>INDEX(BrokerTBL!$D:$D,MATCH(D288,BrokerTBL!$A:$A,0))</f>
        <v>Mi</v>
      </c>
      <c r="I288" s="142" t="str">
        <f>INDEX(BrokerTBL!$E:$E,MATCH(D288,BrokerTBL!$A:$A,0))</f>
        <v>US</v>
      </c>
      <c r="J288" s="298">
        <f>INDEX(BrokerTBL!$F:$F,MATCH(D288,BrokerTBL!$A:$A,0))</f>
        <v>48089</v>
      </c>
      <c r="K288" s="298" t="s">
        <v>562</v>
      </c>
      <c r="L288" s="145" t="s">
        <v>2088</v>
      </c>
      <c r="M288" s="146">
        <v>42409</v>
      </c>
      <c r="N288" s="182">
        <v>0.5</v>
      </c>
      <c r="O288" s="298" t="s">
        <v>2089</v>
      </c>
      <c r="P288" s="298" t="s">
        <v>214</v>
      </c>
      <c r="Q288" s="298" t="s">
        <v>139</v>
      </c>
      <c r="R288" s="298">
        <v>93650</v>
      </c>
      <c r="S288" s="298" t="s">
        <v>118</v>
      </c>
      <c r="T288" s="298" t="s">
        <v>123</v>
      </c>
      <c r="U288" s="298" t="s">
        <v>120</v>
      </c>
      <c r="V288" s="298">
        <v>53</v>
      </c>
      <c r="W288" s="298" t="s">
        <v>123</v>
      </c>
      <c r="X288" s="185">
        <v>42338</v>
      </c>
      <c r="Y288" s="298" t="s">
        <v>123</v>
      </c>
      <c r="Z288" s="298" t="s">
        <v>123</v>
      </c>
      <c r="AA288" s="298" t="s">
        <v>123</v>
      </c>
      <c r="AB288" s="298" t="s">
        <v>123</v>
      </c>
      <c r="AC288" s="298" t="s">
        <v>2090</v>
      </c>
      <c r="AD288" s="145" t="s">
        <v>2091</v>
      </c>
      <c r="AE288" s="146">
        <v>42409</v>
      </c>
      <c r="AF288" s="182">
        <v>0.16666666666666699</v>
      </c>
      <c r="AG288" s="298" t="s">
        <v>2092</v>
      </c>
      <c r="AH288" s="298" t="s">
        <v>380</v>
      </c>
      <c r="AI288" s="298" t="s">
        <v>139</v>
      </c>
      <c r="AJ288" s="298">
        <v>95376</v>
      </c>
      <c r="AK288" s="298" t="s">
        <v>118</v>
      </c>
      <c r="AL288" s="298" t="s">
        <v>123</v>
      </c>
      <c r="AM288" s="171" t="str">
        <f>INDEX(CarrierDriverTBL!$B:$B,MATCH(Table1[[#This Row],[DriverID]],CarrierDriverTBL!$A:$A,0))</f>
        <v>UBTrucking</v>
      </c>
      <c r="AN288" s="10" t="s">
        <v>1409</v>
      </c>
      <c r="AO288" s="298" t="str">
        <f>INDEX(CarrierDriverTBL!$C:$C,MATCH(Table1[[#This Row],[DriverID]],CarrierDriverTBL!$A:$A,0))</f>
        <v>Miguel Jaime</v>
      </c>
      <c r="AP288" s="298" t="str">
        <f>INDEX(CarrierDriverTBL!$D:$D,MATCH(Table1[[#This Row],[DriverID]],CarrierDriverTBL!$A:$A,0))</f>
        <v>Martin Del Campo Velarca</v>
      </c>
      <c r="AQ288" s="142" t="str">
        <f>INDEX(CarrierDriverTBL!$X:$X,MATCH(Table1[[#This Row],[DriverID]],CarrierDriverTBL!$A:$A,0))</f>
        <v>D5179619</v>
      </c>
      <c r="AR288" s="160">
        <f>INDEX(CarrierDriverTBL!$Y:$Y,MATCH(Table1[[#This Row],[DriverID]],CarrierDriverTBL!$A:$A,0))</f>
        <v>43843</v>
      </c>
      <c r="AS288" s="142" t="str">
        <f t="shared" si="122"/>
        <v>GOOD</v>
      </c>
      <c r="AT288" s="146">
        <f>INDEX(CarrierDriverTBL!$E:$E,MATCH(Table1[[#This Row],[DriverID]],CarrierDriverTBL!$A:$A,0))</f>
        <v>21198</v>
      </c>
      <c r="AU288" s="163">
        <f ca="1">INDEX(CarrierDriverTBL!$F:$F,MATCH(Table1[[#This Row],[DriverID]],CarrierDriverTBL!$A:$A,0))</f>
        <v>58.56986301369863</v>
      </c>
      <c r="AV288" s="298" t="str">
        <f>INDEX(CarrierDriverTBL!$K:$K,MATCH(Table1[[#This Row],[DriverID]],CarrierDriverTBL!$A:$A,0))</f>
        <v>209-322-5231</v>
      </c>
      <c r="AW288" s="298" t="str">
        <f>INDEX(CarrierDriverTBL!$M:$M,MATCH(Table1[[#This Row],[DriverID]],CarrierDriverTBL!$A:$A,0))</f>
        <v>572 Predersen RD</v>
      </c>
      <c r="AX288" s="298" t="str">
        <f>INDEX(CarrierDriverTBL!$N:$N,MATCH(Table1[[#This Row],[DriverID]],CarrierDriverTBL!$A:$A,0))</f>
        <v>Oakdale</v>
      </c>
      <c r="AY288" s="142" t="str">
        <f>INDEX(CarrierDriverTBL!$O:$O,MATCH(Table1[[#This Row],[DriverID]],CarrierDriverTBL!$A:$A,0))</f>
        <v>CA</v>
      </c>
      <c r="AZ288" s="298">
        <f>INDEX(CarrierDriverTBL!$P:$P,MATCH(Table1[[#This Row],[DriverID]],CarrierDriverTBL!$A:$A,0))</f>
        <v>95361</v>
      </c>
      <c r="BA288" s="298" t="str">
        <f>INDEX(CarrierDriverTBL!$Q:$Q,MATCH(Table1[[#This Row],[DriverID]],CarrierDriverTBL!$A:$A,0))</f>
        <v>US</v>
      </c>
      <c r="BB288" s="176" t="str">
        <f>INDEX(CarrierDriverTBL!$R:$R,MATCH(Table1[[#This Row],[DriverID]],CarrierDriverTBL!$A:$A,0))</f>
        <v>Miguelmartin52@yahoo.com</v>
      </c>
      <c r="BC288" s="160">
        <f>INDEX(CarrierDriverTBL!$AB:$AB,MATCH(Table1[[#This Row],[DriverID]],CarrierDriverTBL!$A:$A,0))</f>
        <v>42334</v>
      </c>
      <c r="BD288" s="142" t="str">
        <f ca="1">INDEX(CarrierDriverTBL!$AD:$AD,MATCH(LoadMaster!$AN:$AN,CarrierDriverTBL!$A:$A,0))</f>
        <v>MISSING</v>
      </c>
      <c r="BE288" s="142">
        <f>INDEX(CarrierDriverTBL!$AE:$AE,MATCH(Table1[DriverID],CarrierDriverTBL!$A:$A,0))</f>
        <v>913971</v>
      </c>
      <c r="BF288" s="142">
        <f>INDEX(CarrierDriverTBL!$AF:$AF,MATCH(Table1[DriverID],CarrierDriverTBL!$A:$A,0))</f>
        <v>2627544</v>
      </c>
      <c r="BG288" s="142">
        <f>INDEX(CarrierDriverTBL!$AG:$AG,MATCH(Table1[DriverID],CarrierDriverTBL!$A:$A,0))</f>
        <v>466133</v>
      </c>
      <c r="BH288" s="142" t="str">
        <f>INDEX(CarrierDriverTBL!$AH:$AH,MATCH(Table1[DriverID],CarrierDriverTBL!$A:$A,0))</f>
        <v>GM Lawrence Ins</v>
      </c>
      <c r="BI288" s="142" t="str">
        <f>INDEX(CarrierDriverTBL!$AI:$AI,MATCH(Table1[DriverID],CarrierDriverTBL!$A:$A,0))</f>
        <v>DSK2842P160210</v>
      </c>
      <c r="BJ288" s="160">
        <f>INDEX(CarrierDriverTBL!$AJ:$AJ,MATCH(Table1[[#This Row],[DriverID]],CarrierDriverTBL!$A:$A,0))</f>
        <v>42778</v>
      </c>
      <c r="BK288" s="10">
        <f t="shared" si="123"/>
        <v>369</v>
      </c>
      <c r="BL288" s="59">
        <v>311</v>
      </c>
      <c r="BM288" s="144">
        <v>126</v>
      </c>
      <c r="BN288" s="159">
        <f t="shared" si="140"/>
        <v>2.4682539682539684</v>
      </c>
      <c r="BO288" s="167">
        <f>0.93*311</f>
        <v>289.23</v>
      </c>
      <c r="BP288" s="159">
        <f t="shared" si="141"/>
        <v>2.2954761904761907</v>
      </c>
      <c r="BQ288" s="133">
        <v>2.6</v>
      </c>
      <c r="BR288" s="166">
        <f t="shared" si="142"/>
        <v>0.1166666666666667</v>
      </c>
      <c r="BS288" s="167">
        <f t="shared" si="124"/>
        <v>2.178809523809524</v>
      </c>
      <c r="BT288" s="159">
        <f t="shared" si="125"/>
        <v>14.700000000000003</v>
      </c>
      <c r="BU288" s="10" t="str">
        <f t="shared" si="126"/>
        <v>Cavalry Logistics</v>
      </c>
      <c r="BV288" s="15"/>
      <c r="BW288" s="4" t="str">
        <f>Table1[[#This Row],[BrokerAddress]]</f>
        <v>12755 East Nine Mile Road</v>
      </c>
      <c r="BX288" s="4" t="str">
        <f t="shared" si="127"/>
        <v>Warren</v>
      </c>
      <c r="BY288" s="4" t="str">
        <f t="shared" si="128"/>
        <v>Mi</v>
      </c>
      <c r="BZ288" s="4">
        <f t="shared" si="129"/>
        <v>48089</v>
      </c>
      <c r="CA288" s="10" t="str">
        <f t="shared" si="130"/>
        <v>US</v>
      </c>
      <c r="CB288" s="15" t="s">
        <v>131</v>
      </c>
      <c r="CC288" s="62"/>
      <c r="CD288" s="15" t="s">
        <v>132</v>
      </c>
      <c r="CE288" s="64">
        <v>0</v>
      </c>
      <c r="CF288" s="4">
        <v>0</v>
      </c>
      <c r="CG288" s="132">
        <f t="shared" si="131"/>
        <v>0</v>
      </c>
      <c r="CH288" s="4" t="s">
        <v>132</v>
      </c>
      <c r="CI288" s="5">
        <v>0</v>
      </c>
      <c r="CJ288" s="4">
        <v>0</v>
      </c>
      <c r="CK288" s="132">
        <f t="shared" si="132"/>
        <v>0</v>
      </c>
      <c r="CL288" s="4" t="s">
        <v>132</v>
      </c>
      <c r="CM288" s="5">
        <v>0</v>
      </c>
      <c r="CN288" s="4">
        <v>0</v>
      </c>
      <c r="CO288" s="132">
        <f t="shared" si="133"/>
        <v>0</v>
      </c>
      <c r="CP288" s="4" t="s">
        <v>132</v>
      </c>
      <c r="CQ288" s="5">
        <v>0</v>
      </c>
      <c r="CR288" s="4">
        <v>0</v>
      </c>
      <c r="CS288" s="132">
        <f t="shared" si="134"/>
        <v>0</v>
      </c>
      <c r="CT288" s="159">
        <f t="shared" si="135"/>
        <v>0</v>
      </c>
      <c r="CU288" s="168">
        <f t="shared" si="136"/>
        <v>311</v>
      </c>
      <c r="CV288" s="169">
        <f t="shared" si="119"/>
        <v>0</v>
      </c>
      <c r="CW288" s="82">
        <f t="shared" si="120"/>
        <v>289.23</v>
      </c>
      <c r="CX288" s="79">
        <f>IF(ISBLANK(E288),"AddQuickPay",IF(E288=2,CU288*0.98,IF(E288=2.4,CU288*0.976,IF(E288=3,CU288*0.97,IF(E288=5,CU288*0.95,IF(E288=1.5,CU288*0.985,IF(E288=2.5,CU288*0.975,IF(E288=1.3,CU288*0.987,IF(E288=1,CU288*0.99,IF(E288=4,CU288*0.96,CU288*1))))))))))-Table1[[#This Row],[ComCheck+QuickPayFee]]</f>
        <v>304.77999999999997</v>
      </c>
      <c r="CY288" s="5">
        <f t="shared" si="137"/>
        <v>21.769999999999982</v>
      </c>
      <c r="CZ288" s="5">
        <f t="shared" si="138"/>
        <v>6.22</v>
      </c>
      <c r="DA288" s="258">
        <f>Table1[[#This Row],[OriginalDispatch]]-Table1[[#This Row],[QuickPayCharge]]</f>
        <v>15.549999999999983</v>
      </c>
      <c r="DB288" s="5">
        <v>0</v>
      </c>
      <c r="DC288" s="5" t="s">
        <v>133</v>
      </c>
      <c r="DD288" s="104">
        <f t="shared" si="139"/>
        <v>42412</v>
      </c>
      <c r="DE288" s="15">
        <f>MONTH(Table1[[#This Row],[Weekending]])</f>
        <v>2</v>
      </c>
      <c r="DF288" s="15">
        <f>YEAR(Table1[[#This Row],[Weekending]])</f>
        <v>2016</v>
      </c>
      <c r="DG288" s="4"/>
    </row>
    <row r="289" spans="1:111">
      <c r="A289" s="20" t="str">
        <f t="shared" si="121"/>
        <v>74004249</v>
      </c>
      <c r="B289" s="146">
        <v>42409</v>
      </c>
      <c r="C289" s="144">
        <v>6580174</v>
      </c>
      <c r="D289" s="298" t="s">
        <v>555</v>
      </c>
      <c r="E289" s="144">
        <v>3</v>
      </c>
      <c r="F289" s="298" t="str">
        <f>INDEX(BrokerTBL!$B:$B,MATCH(D289,BrokerTBL!$A:$A,0))</f>
        <v>P.O. Box 799</v>
      </c>
      <c r="G289" s="298" t="str">
        <f>INDEX(BrokerTBL!$C:$C,MATCH(D289,BrokerTBL!$A:$A,0))</f>
        <v>Milford</v>
      </c>
      <c r="H289" s="142" t="str">
        <f>INDEX(BrokerTBL!$D:$D,MATCH(D289,BrokerTBL!$A:$A,0))</f>
        <v>Ohio</v>
      </c>
      <c r="I289" s="142" t="str">
        <f>INDEX(BrokerTBL!$E:$E,MATCH(D289,BrokerTBL!$A:$A,0))</f>
        <v>US</v>
      </c>
      <c r="J289" s="298">
        <f>INDEX(BrokerTBL!$F:$F,MATCH(D289,BrokerTBL!$A:$A,0))</f>
        <v>45150</v>
      </c>
      <c r="K289" s="298" t="s">
        <v>2093</v>
      </c>
      <c r="L289" s="145">
        <v>1.56311563215633E+19</v>
      </c>
      <c r="M289" s="146">
        <v>42409</v>
      </c>
      <c r="N289" s="144" t="s">
        <v>1027</v>
      </c>
      <c r="O289" s="298" t="s">
        <v>2094</v>
      </c>
      <c r="P289" s="298" t="s">
        <v>2000</v>
      </c>
      <c r="Q289" s="298" t="s">
        <v>139</v>
      </c>
      <c r="R289" s="298">
        <v>92154</v>
      </c>
      <c r="S289" s="298" t="s">
        <v>118</v>
      </c>
      <c r="T289" s="298" t="s">
        <v>2095</v>
      </c>
      <c r="U289" s="298" t="s">
        <v>120</v>
      </c>
      <c r="V289" s="298">
        <v>53</v>
      </c>
      <c r="W289" s="298" t="s">
        <v>2096</v>
      </c>
      <c r="X289" s="144" t="s">
        <v>123</v>
      </c>
      <c r="Y289" s="298" t="s">
        <v>123</v>
      </c>
      <c r="Z289" s="298" t="s">
        <v>123</v>
      </c>
      <c r="AA289" s="298" t="s">
        <v>123</v>
      </c>
      <c r="AB289" s="298" t="s">
        <v>123</v>
      </c>
      <c r="AC289" s="298" t="s">
        <v>2097</v>
      </c>
      <c r="AD289" s="145" t="s">
        <v>2098</v>
      </c>
      <c r="AE289" s="146">
        <v>42410</v>
      </c>
      <c r="AF289" s="298" t="s">
        <v>2099</v>
      </c>
      <c r="AG289" s="298" t="s">
        <v>2100</v>
      </c>
      <c r="AH289" s="298" t="s">
        <v>2101</v>
      </c>
      <c r="AI289" s="298" t="s">
        <v>139</v>
      </c>
      <c r="AJ289" s="298" t="s">
        <v>2102</v>
      </c>
      <c r="AK289" s="298" t="s">
        <v>118</v>
      </c>
      <c r="AL289" s="298" t="s">
        <v>123</v>
      </c>
      <c r="AM289" s="142" t="str">
        <f>INDEX(CarrierDriverTBL!$B:$B,MATCH(Table1[[#This Row],[DriverID]],CarrierDriverTBL!$A:$A,0))</f>
        <v>UBTrucking</v>
      </c>
      <c r="AN289" s="10" t="s">
        <v>192</v>
      </c>
      <c r="AO289" s="10" t="str">
        <f>INDEX(CarrierDriverTBL!$C:$C,MATCH(Table1[[#This Row],[DriverID]],CarrierDriverTBL!$A:$A,0))</f>
        <v>Albel</v>
      </c>
      <c r="AP289" s="142" t="str">
        <f>INDEX(CarrierDriverTBL!$D:$D,MATCH(Table1[[#This Row],[DriverID]],CarrierDriverTBL!$A:$A,0))</f>
        <v>Chahil</v>
      </c>
      <c r="AQ289" s="142" t="str">
        <f>INDEX(CarrierDriverTBL!$X:$X,MATCH(Table1[[#This Row],[DriverID]],CarrierDriverTBL!$A:$A,0))</f>
        <v>A8390649</v>
      </c>
      <c r="AR289" s="160">
        <f>INDEX(CarrierDriverTBL!$Y:$Y,MATCH(Table1[[#This Row],[DriverID]],CarrierDriverTBL!$A:$A,0))</f>
        <v>42402</v>
      </c>
      <c r="AS289" s="142" t="str">
        <f t="shared" si="122"/>
        <v>EXPIRED</v>
      </c>
      <c r="AT289" s="160">
        <f>INDEX(CarrierDriverTBL!$E:$E,MATCH(Table1[[#This Row],[DriverID]],CarrierDriverTBL!$A:$A,0))</f>
        <v>22314</v>
      </c>
      <c r="AU289" s="163">
        <f ca="1">INDEX(CarrierDriverTBL!$F:$F,MATCH(Table1[[#This Row],[DriverID]],CarrierDriverTBL!$A:$A,0))</f>
        <v>55.512328767123286</v>
      </c>
      <c r="AV289" s="142" t="str">
        <f>INDEX(CarrierDriverTBL!$K:$K,MATCH(Table1[[#This Row],[DriverID]],CarrierDriverTBL!$A:$A,0))</f>
        <v>510-773-9450</v>
      </c>
      <c r="AW289" s="142" t="str">
        <f>INDEX(CarrierDriverTBL!$M:$M,MATCH(Table1[[#This Row],[DriverID]],CarrierDriverTBL!$A:$A,0))</f>
        <v>3124 Cynthia CT</v>
      </c>
      <c r="AX289" s="142" t="str">
        <f>INDEX(CarrierDriverTBL!$N:$N,MATCH(Table1[[#This Row],[DriverID]],CarrierDriverTBL!$A:$A,0))</f>
        <v>Tracy</v>
      </c>
      <c r="AY289" s="142" t="str">
        <f>INDEX(CarrierDriverTBL!$O:$O,MATCH(Table1[[#This Row],[DriverID]],CarrierDriverTBL!$A:$A,0))</f>
        <v>CA</v>
      </c>
      <c r="AZ289" s="142">
        <f>INDEX(CarrierDriverTBL!$P:$P,MATCH(Table1[[#This Row],[DriverID]],CarrierDriverTBL!$A:$A,0))</f>
        <v>95377</v>
      </c>
      <c r="BA289" s="142" t="str">
        <f>INDEX(CarrierDriverTBL!$Q:$Q,MATCH(Table1[[#This Row],[DriverID]],CarrierDriverTBL!$A:$A,0))</f>
        <v>US</v>
      </c>
      <c r="BB289" s="176" t="str">
        <f>INDEX(CarrierDriverTBL!$R:$R,MATCH(Table1[[#This Row],[DriverID]],CarrierDriverTBL!$A:$A,0))</f>
        <v>ubgollc@gmail.com</v>
      </c>
      <c r="BC289" s="160">
        <f>INDEX(CarrierDriverTBL!$AB:$AB,MATCH(Table1[[#This Row],[DriverID]],CarrierDriverTBL!$A:$A,0))</f>
        <v>42167</v>
      </c>
      <c r="BD289" s="142" t="str">
        <f ca="1">INDEX(CarrierDriverTBL!$AD:$AD,MATCH(LoadMaster!$AN:$AN,CarrierDriverTBL!$A:$A,0))</f>
        <v>MISSING</v>
      </c>
      <c r="BE289" s="142">
        <f>INDEX(CarrierDriverTBL!$AE:$AE,MATCH(Table1[DriverID],CarrierDriverTBL!$A:$A,0))</f>
        <v>913971</v>
      </c>
      <c r="BF289" s="142">
        <f>INDEX(CarrierDriverTBL!$AF:$AF,MATCH(Table1[DriverID],CarrierDriverTBL!$A:$A,0))</f>
        <v>2627544</v>
      </c>
      <c r="BG289" s="142">
        <f>INDEX(CarrierDriverTBL!$AG:$AG,MATCH(Table1[DriverID],CarrierDriverTBL!$A:$A,0))</f>
        <v>466133</v>
      </c>
      <c r="BH289" s="142" t="str">
        <f>INDEX(CarrierDriverTBL!$AH:$AH,MATCH(Table1[DriverID],CarrierDriverTBL!$A:$A,0))</f>
        <v>GM Lawrence Ins</v>
      </c>
      <c r="BI289" s="142" t="str">
        <f>INDEX(CarrierDriverTBL!$AI:$AI,MATCH(Table1[DriverID],CarrierDriverTBL!$A:$A,0))</f>
        <v>DSK2842P160210</v>
      </c>
      <c r="BJ289" s="160">
        <f>INDEX(CarrierDriverTBL!$AJ:$AJ,MATCH(Table1[[#This Row],[DriverID]],CarrierDriverTBL!$A:$A,0))</f>
        <v>42778</v>
      </c>
      <c r="BK289" s="10">
        <f t="shared" si="123"/>
        <v>369</v>
      </c>
      <c r="BL289" s="59">
        <v>917</v>
      </c>
      <c r="BM289" s="144">
        <v>624</v>
      </c>
      <c r="BN289" s="159">
        <f t="shared" si="140"/>
        <v>1.4695512820512822</v>
      </c>
      <c r="BO289" s="167">
        <v>867</v>
      </c>
      <c r="BP289" s="159">
        <f t="shared" si="141"/>
        <v>1.3894230769230769</v>
      </c>
      <c r="BQ289" s="133">
        <v>2.6</v>
      </c>
      <c r="BR289" s="166">
        <f t="shared" si="142"/>
        <v>0.1166666666666667</v>
      </c>
      <c r="BS289" s="167">
        <f t="shared" si="124"/>
        <v>1.2727564102564102</v>
      </c>
      <c r="BT289" s="159">
        <f t="shared" si="125"/>
        <v>72.800000000000011</v>
      </c>
      <c r="BU289" s="10" t="str">
        <f t="shared" si="126"/>
        <v>Tql</v>
      </c>
      <c r="BV289" s="15" t="s">
        <v>1925</v>
      </c>
      <c r="BW289" s="4" t="str">
        <f>Table1[[#This Row],[BrokerAddress]]</f>
        <v>P.O. Box 799</v>
      </c>
      <c r="BX289" s="4" t="str">
        <f t="shared" si="127"/>
        <v>Milford</v>
      </c>
      <c r="BY289" s="4" t="str">
        <f t="shared" si="128"/>
        <v>Ohio</v>
      </c>
      <c r="BZ289" s="4">
        <f t="shared" si="129"/>
        <v>45150</v>
      </c>
      <c r="CA289" s="10" t="str">
        <f t="shared" si="130"/>
        <v>US</v>
      </c>
      <c r="CB289" s="15" t="s">
        <v>131</v>
      </c>
      <c r="CC289" s="62"/>
      <c r="CD289" s="15" t="s">
        <v>132</v>
      </c>
      <c r="CE289" s="64">
        <v>0</v>
      </c>
      <c r="CF289" s="4">
        <v>0</v>
      </c>
      <c r="CG289" s="132">
        <f t="shared" si="131"/>
        <v>0</v>
      </c>
      <c r="CH289" s="4" t="s">
        <v>132</v>
      </c>
      <c r="CI289" s="5">
        <v>0</v>
      </c>
      <c r="CJ289" s="4">
        <v>0</v>
      </c>
      <c r="CK289" s="132">
        <f t="shared" si="132"/>
        <v>0</v>
      </c>
      <c r="CL289" s="4" t="s">
        <v>132</v>
      </c>
      <c r="CM289" s="5">
        <v>0</v>
      </c>
      <c r="CN289" s="4">
        <v>0</v>
      </c>
      <c r="CO289" s="132">
        <f t="shared" si="133"/>
        <v>0</v>
      </c>
      <c r="CP289" s="4" t="s">
        <v>132</v>
      </c>
      <c r="CQ289" s="5">
        <v>0</v>
      </c>
      <c r="CR289" s="4">
        <v>0</v>
      </c>
      <c r="CS289" s="132">
        <f t="shared" si="134"/>
        <v>0</v>
      </c>
      <c r="CT289" s="159">
        <f t="shared" si="135"/>
        <v>0</v>
      </c>
      <c r="CU289" s="168">
        <f t="shared" si="136"/>
        <v>917</v>
      </c>
      <c r="CV289" s="169">
        <f t="shared" si="119"/>
        <v>0</v>
      </c>
      <c r="CW289" s="82">
        <f t="shared" si="120"/>
        <v>867</v>
      </c>
      <c r="CX289" s="79">
        <f>IF(ISBLANK(E289),"AddQuickPay",IF(E289=2,CU289*0.98,IF(E289=2.4,CU289*0.976,IF(E289=3,CU289*0.97,IF(E289=5,CU289*0.95,IF(E289=1.5,CU289*0.985,IF(E289=2.5,CU289*0.975,IF(E289=1.3,CU289*0.987,IF(E289=1,CU289*0.99,IF(E289=4,CU289*0.96,CU289*1))))))))))-Table1[[#This Row],[ComCheck+QuickPayFee]]</f>
        <v>889.49</v>
      </c>
      <c r="CY289" s="5">
        <f t="shared" si="137"/>
        <v>50</v>
      </c>
      <c r="CZ289" s="5">
        <f t="shared" si="138"/>
        <v>27.509999999999998</v>
      </c>
      <c r="DA289" s="258">
        <f>Table1[[#This Row],[OriginalDispatch]]-Table1[[#This Row],[QuickPayCharge]]</f>
        <v>22.490000000000002</v>
      </c>
      <c r="DB289" s="5">
        <v>0</v>
      </c>
      <c r="DC289" s="5" t="s">
        <v>133</v>
      </c>
      <c r="DD289" s="104">
        <f t="shared" si="139"/>
        <v>42412</v>
      </c>
      <c r="DE289" s="15">
        <f>MONTH(Table1[[#This Row],[Weekending]])</f>
        <v>2</v>
      </c>
      <c r="DF289" s="15">
        <f>YEAR(Table1[[#This Row],[Weekending]])</f>
        <v>2016</v>
      </c>
      <c r="DG289" s="4"/>
    </row>
    <row r="290" spans="1:111">
      <c r="A290" s="416" t="str">
        <f t="shared" si="121"/>
        <v>39newn19</v>
      </c>
      <c r="B290" s="104">
        <v>42410</v>
      </c>
      <c r="C290" s="15" t="s">
        <v>2103</v>
      </c>
      <c r="D290" s="416" t="s">
        <v>2104</v>
      </c>
      <c r="E290" s="15">
        <v>5</v>
      </c>
      <c r="F290" s="298" t="str">
        <f>INDEX(BrokerTBL!$B:$B,MATCH(D290,BrokerTBL!$A:$A,0))</f>
        <v>2146 N Thompson Lane</v>
      </c>
      <c r="G290" s="416" t="str">
        <f>INDEX(BrokerTBL!$C:$C,MATCH(D290,BrokerTBL!$A:$A,0))</f>
        <v>Murfreesboro</v>
      </c>
      <c r="H290" s="131" t="str">
        <f>INDEX(BrokerTBL!$D:$D,MATCH(D290,BrokerTBL!$A:$A,0))</f>
        <v>Tn</v>
      </c>
      <c r="I290" s="131" t="str">
        <f>INDEX(BrokerTBL!$E:$E,MATCH(D290,BrokerTBL!$A:$A,0))</f>
        <v>US</v>
      </c>
      <c r="J290" s="131">
        <f>INDEX(BrokerTBL!$F:$F,MATCH(D290,BrokerTBL!$A:$A,0))</f>
        <v>37129</v>
      </c>
      <c r="K290" s="416" t="s">
        <v>793</v>
      </c>
      <c r="L290" s="81" t="s">
        <v>132</v>
      </c>
      <c r="M290" s="104">
        <v>42410</v>
      </c>
      <c r="N290" s="162" t="s">
        <v>123</v>
      </c>
      <c r="O290" s="15" t="s">
        <v>796</v>
      </c>
      <c r="P290" s="416" t="s">
        <v>345</v>
      </c>
      <c r="Q290" s="416" t="s">
        <v>139</v>
      </c>
      <c r="R290" s="416">
        <v>93635</v>
      </c>
      <c r="S290" s="416" t="s">
        <v>118</v>
      </c>
      <c r="T290" s="298" t="s">
        <v>123</v>
      </c>
      <c r="U290" s="416" t="s">
        <v>120</v>
      </c>
      <c r="V290" s="416">
        <v>53</v>
      </c>
      <c r="W290" s="298" t="s">
        <v>123</v>
      </c>
      <c r="X290" s="225">
        <v>43000</v>
      </c>
      <c r="Y290" s="15" t="s">
        <v>123</v>
      </c>
      <c r="Z290" s="416" t="s">
        <v>123</v>
      </c>
      <c r="AA290" s="416" t="s">
        <v>123</v>
      </c>
      <c r="AB290" s="416" t="s">
        <v>123</v>
      </c>
      <c r="AC290" s="416" t="s">
        <v>2105</v>
      </c>
      <c r="AD290" s="81" t="s">
        <v>1205</v>
      </c>
      <c r="AE290" s="104">
        <v>42411</v>
      </c>
      <c r="AF290" s="416" t="s">
        <v>123</v>
      </c>
      <c r="AG290" s="416" t="s">
        <v>2106</v>
      </c>
      <c r="AH290" s="416" t="s">
        <v>983</v>
      </c>
      <c r="AI290" s="416" t="s">
        <v>139</v>
      </c>
      <c r="AJ290" s="416">
        <v>94503</v>
      </c>
      <c r="AK290" s="416" t="s">
        <v>118</v>
      </c>
      <c r="AL290" s="416" t="s">
        <v>123</v>
      </c>
      <c r="AM290" s="171" t="str">
        <f>INDEX(CarrierDriverTBL!$B:$B,MATCH(Table1[[#This Row],[DriverID]],CarrierDriverTBL!$A:$A,0))</f>
        <v>UBTrucking</v>
      </c>
      <c r="AN290" s="10" t="s">
        <v>1409</v>
      </c>
      <c r="AO290" s="298" t="str">
        <f>INDEX(CarrierDriverTBL!$C:$C,MATCH(Table1[[#This Row],[DriverID]],CarrierDriverTBL!$A:$A,0))</f>
        <v>Miguel Jaime</v>
      </c>
      <c r="AP290" s="298" t="str">
        <f>INDEX(CarrierDriverTBL!$D:$D,MATCH(Table1[[#This Row],[DriverID]],CarrierDriverTBL!$A:$A,0))</f>
        <v>Martin Del Campo Velarca</v>
      </c>
      <c r="AQ290" s="142" t="str">
        <f>INDEX(CarrierDriverTBL!$X:$X,MATCH(Table1[[#This Row],[DriverID]],CarrierDriverTBL!$A:$A,0))</f>
        <v>D5179619</v>
      </c>
      <c r="AR290" s="160">
        <f>INDEX(CarrierDriverTBL!$Y:$Y,MATCH(Table1[[#This Row],[DriverID]],CarrierDriverTBL!$A:$A,0))</f>
        <v>43843</v>
      </c>
      <c r="AS290" s="142" t="str">
        <f t="shared" si="122"/>
        <v>GOOD</v>
      </c>
      <c r="AT290" s="146">
        <f>INDEX(CarrierDriverTBL!$E:$E,MATCH(Table1[[#This Row],[DriverID]],CarrierDriverTBL!$A:$A,0))</f>
        <v>21198</v>
      </c>
      <c r="AU290" s="163">
        <f ca="1">INDEX(CarrierDriverTBL!$F:$F,MATCH(Table1[[#This Row],[DriverID]],CarrierDriverTBL!$A:$A,0))</f>
        <v>58.56986301369863</v>
      </c>
      <c r="AV290" s="298" t="str">
        <f>INDEX(CarrierDriverTBL!$K:$K,MATCH(Table1[[#This Row],[DriverID]],CarrierDriverTBL!$A:$A,0))</f>
        <v>209-322-5231</v>
      </c>
      <c r="AW290" s="298" t="str">
        <f>INDEX(CarrierDriverTBL!$M:$M,MATCH(Table1[[#This Row],[DriverID]],CarrierDriverTBL!$A:$A,0))</f>
        <v>572 Predersen RD</v>
      </c>
      <c r="AX290" s="298" t="str">
        <f>INDEX(CarrierDriverTBL!$N:$N,MATCH(Table1[[#This Row],[DriverID]],CarrierDriverTBL!$A:$A,0))</f>
        <v>Oakdale</v>
      </c>
      <c r="AY290" s="142" t="str">
        <f>INDEX(CarrierDriverTBL!$O:$O,MATCH(Table1[[#This Row],[DriverID]],CarrierDriverTBL!$A:$A,0))</f>
        <v>CA</v>
      </c>
      <c r="AZ290" s="298">
        <f>INDEX(CarrierDriverTBL!$P:$P,MATCH(Table1[[#This Row],[DriverID]],CarrierDriverTBL!$A:$A,0))</f>
        <v>95361</v>
      </c>
      <c r="BA290" s="298" t="str">
        <f>INDEX(CarrierDriverTBL!$Q:$Q,MATCH(Table1[[#This Row],[DriverID]],CarrierDriverTBL!$A:$A,0))</f>
        <v>US</v>
      </c>
      <c r="BB290" s="176" t="str">
        <f>INDEX(CarrierDriverTBL!$R:$R,MATCH(Table1[[#This Row],[DriverID]],CarrierDriverTBL!$A:$A,0))</f>
        <v>Miguelmartin52@yahoo.com</v>
      </c>
      <c r="BC290" s="160">
        <f>INDEX(CarrierDriverTBL!$AB:$AB,MATCH(Table1[[#This Row],[DriverID]],CarrierDriverTBL!$A:$A,0))</f>
        <v>42334</v>
      </c>
      <c r="BD290" s="142" t="str">
        <f ca="1">INDEX(CarrierDriverTBL!$AD:$AD,MATCH(LoadMaster!$AN:$AN,CarrierDriverTBL!$A:$A,0))</f>
        <v>MISSING</v>
      </c>
      <c r="BE290" s="142">
        <f>INDEX(CarrierDriverTBL!$AE:$AE,MATCH(Table1[DriverID],CarrierDriverTBL!$A:$A,0))</f>
        <v>913971</v>
      </c>
      <c r="BF290" s="142">
        <f>INDEX(CarrierDriverTBL!$AF:$AF,MATCH(Table1[DriverID],CarrierDriverTBL!$A:$A,0))</f>
        <v>2627544</v>
      </c>
      <c r="BG290" s="142">
        <f>INDEX(CarrierDriverTBL!$AG:$AG,MATCH(Table1[DriverID],CarrierDriverTBL!$A:$A,0))</f>
        <v>466133</v>
      </c>
      <c r="BH290" s="142" t="str">
        <f>INDEX(CarrierDriverTBL!$AH:$AH,MATCH(Table1[DriverID],CarrierDriverTBL!$A:$A,0))</f>
        <v>GM Lawrence Ins</v>
      </c>
      <c r="BI290" s="142" t="str">
        <f>INDEX(CarrierDriverTBL!$AI:$AI,MATCH(Table1[DriverID],CarrierDriverTBL!$A:$A,0))</f>
        <v>DSK2842P160210</v>
      </c>
      <c r="BJ290" s="160">
        <f>INDEX(CarrierDriverTBL!$AJ:$AJ,MATCH(Table1[[#This Row],[DriverID]],CarrierDriverTBL!$A:$A,0))</f>
        <v>42778</v>
      </c>
      <c r="BK290" s="10">
        <f t="shared" si="123"/>
        <v>368</v>
      </c>
      <c r="BL290" s="5">
        <v>450</v>
      </c>
      <c r="BM290" s="171">
        <v>130</v>
      </c>
      <c r="BN290" s="159">
        <f t="shared" si="140"/>
        <v>3.4615384615384617</v>
      </c>
      <c r="BO290" s="134">
        <f>0.93*Table1[[#This Row],[ChargeBroker]]</f>
        <v>418.5</v>
      </c>
      <c r="BP290" s="133">
        <f t="shared" si="141"/>
        <v>3.2192307692307693</v>
      </c>
      <c r="BQ290" s="133">
        <v>2.6</v>
      </c>
      <c r="BR290" s="215">
        <f t="shared" si="142"/>
        <v>0.1166666666666667</v>
      </c>
      <c r="BS290" s="133">
        <f t="shared" si="124"/>
        <v>3.1025641025641026</v>
      </c>
      <c r="BT290" s="133">
        <f t="shared" si="125"/>
        <v>15.166666666666671</v>
      </c>
      <c r="BU290" s="10" t="str">
        <f t="shared" si="126"/>
        <v>Somerset Logistics</v>
      </c>
      <c r="BV290" s="15"/>
      <c r="BW290" s="4" t="str">
        <f>Table1[[#This Row],[BrokerAddress]]</f>
        <v>2146 N Thompson Lane</v>
      </c>
      <c r="BX290" s="4" t="str">
        <f t="shared" si="127"/>
        <v>Murfreesboro</v>
      </c>
      <c r="BY290" s="4" t="str">
        <f t="shared" si="128"/>
        <v>Tn</v>
      </c>
      <c r="BZ290" s="4">
        <f t="shared" si="129"/>
        <v>37129</v>
      </c>
      <c r="CA290" s="10" t="str">
        <f t="shared" si="130"/>
        <v>US</v>
      </c>
      <c r="CB290" s="15" t="s">
        <v>131</v>
      </c>
      <c r="CC290" s="62"/>
      <c r="CD290" s="15" t="s">
        <v>132</v>
      </c>
      <c r="CE290" s="64">
        <v>0</v>
      </c>
      <c r="CF290" s="4">
        <v>0</v>
      </c>
      <c r="CG290" s="132">
        <f t="shared" si="131"/>
        <v>0</v>
      </c>
      <c r="CH290" s="4" t="s">
        <v>132</v>
      </c>
      <c r="CI290" s="5">
        <v>0</v>
      </c>
      <c r="CJ290" s="4">
        <v>0</v>
      </c>
      <c r="CK290" s="132">
        <f t="shared" si="132"/>
        <v>0</v>
      </c>
      <c r="CL290" s="4" t="s">
        <v>132</v>
      </c>
      <c r="CM290" s="5">
        <v>0</v>
      </c>
      <c r="CN290" s="4">
        <v>0</v>
      </c>
      <c r="CO290" s="132">
        <f t="shared" si="133"/>
        <v>0</v>
      </c>
      <c r="CP290" s="4" t="s">
        <v>132</v>
      </c>
      <c r="CQ290" s="5">
        <v>0</v>
      </c>
      <c r="CR290" s="4">
        <v>0</v>
      </c>
      <c r="CS290" s="132">
        <f t="shared" si="134"/>
        <v>0</v>
      </c>
      <c r="CT290" s="132">
        <f t="shared" si="135"/>
        <v>0</v>
      </c>
      <c r="CU290" s="168">
        <f t="shared" si="136"/>
        <v>450</v>
      </c>
      <c r="CV290" s="177">
        <f t="shared" si="119"/>
        <v>0</v>
      </c>
      <c r="CW290" s="82">
        <f t="shared" si="120"/>
        <v>418.5</v>
      </c>
      <c r="CX290" s="79">
        <f>IF(ISBLANK(E290),"AddQuickPay",IF(E290=2,CU290*0.98,IF(E290=2.4,CU290*0.976,IF(E290=3,CU290*0.97,IF(E290=5,CU290*0.95,IF(E290=1.5,CU290*0.985,IF(E290=2.5,CU290*0.975,IF(E290=1.3,CU290*0.987,IF(E290=1,CU290*0.99,IF(E290=4,CU290*0.96,CU290*1))))))))))-Table1[[#This Row],[ComCheck+QuickPayFee]]</f>
        <v>427.5</v>
      </c>
      <c r="CY290" s="5">
        <f t="shared" si="137"/>
        <v>31.5</v>
      </c>
      <c r="CZ290" s="5">
        <f t="shared" si="138"/>
        <v>22.5</v>
      </c>
      <c r="DA290" s="258">
        <f>Table1[[#This Row],[OriginalDispatch]]-Table1[[#This Row],[QuickPayCharge]]</f>
        <v>9</v>
      </c>
      <c r="DB290" s="5">
        <v>0</v>
      </c>
      <c r="DC290" s="5" t="s">
        <v>133</v>
      </c>
      <c r="DD290" s="172">
        <f t="shared" si="139"/>
        <v>42412</v>
      </c>
      <c r="DE290" s="171">
        <f>MONTH(Table1[[#This Row],[Weekending]])</f>
        <v>2</v>
      </c>
      <c r="DF290" s="171">
        <f>YEAR(Table1[[#This Row],[Weekending]])</f>
        <v>2016</v>
      </c>
      <c r="DG290" s="4"/>
    </row>
    <row r="291" spans="1:111">
      <c r="A291" s="416" t="str">
        <f t="shared" si="121"/>
        <v>40Brwn88</v>
      </c>
      <c r="B291" s="104">
        <v>42410</v>
      </c>
      <c r="C291" s="15">
        <v>8458840</v>
      </c>
      <c r="D291" s="298" t="s">
        <v>2107</v>
      </c>
      <c r="E291" s="15">
        <v>2.5</v>
      </c>
      <c r="F291" s="298" t="str">
        <f>INDEX(BrokerTBL!$B:$B,MATCH(D291,BrokerTBL!$A:$A,0))</f>
        <v>6413 Congress Ave., Suite 260</v>
      </c>
      <c r="G291" s="298" t="str">
        <f>INDEX(BrokerTBL!$C:$C,MATCH(D291,BrokerTBL!$A:$A,0))</f>
        <v>Boca Raton</v>
      </c>
      <c r="H291" s="142" t="str">
        <f>INDEX(BrokerTBL!$D:$D,MATCH(D291,BrokerTBL!$A:$A,0))</f>
        <v>Fl</v>
      </c>
      <c r="I291" s="142" t="str">
        <f>INDEX(BrokerTBL!$E:$E,MATCH(D291,BrokerTBL!$A:$A,0))</f>
        <v>US</v>
      </c>
      <c r="J291" s="298">
        <f>INDEX(BrokerTBL!$F:$F,MATCH(D291,BrokerTBL!$A:$A,0))</f>
        <v>33487</v>
      </c>
      <c r="K291" s="416" t="s">
        <v>2108</v>
      </c>
      <c r="L291" s="81" t="s">
        <v>2109</v>
      </c>
      <c r="M291" s="104">
        <v>42410</v>
      </c>
      <c r="N291" s="15" t="s">
        <v>1125</v>
      </c>
      <c r="O291" s="298" t="s">
        <v>2110</v>
      </c>
      <c r="P291" s="298" t="s">
        <v>2111</v>
      </c>
      <c r="Q291" s="298" t="s">
        <v>139</v>
      </c>
      <c r="R291" s="298">
        <v>94572</v>
      </c>
      <c r="S291" s="298" t="s">
        <v>118</v>
      </c>
      <c r="T291" s="298" t="s">
        <v>123</v>
      </c>
      <c r="U291" s="416" t="s">
        <v>120</v>
      </c>
      <c r="V291" s="416">
        <v>53</v>
      </c>
      <c r="W291" s="298" t="s">
        <v>123</v>
      </c>
      <c r="X291" s="225">
        <v>41500</v>
      </c>
      <c r="Y291" s="15" t="s">
        <v>123</v>
      </c>
      <c r="Z291" s="416" t="s">
        <v>123</v>
      </c>
      <c r="AA291" s="416" t="s">
        <v>123</v>
      </c>
      <c r="AB291" s="416" t="s">
        <v>123</v>
      </c>
      <c r="AC291" s="298" t="s">
        <v>2112</v>
      </c>
      <c r="AD291" s="81" t="s">
        <v>1205</v>
      </c>
      <c r="AE291" s="104">
        <v>42411</v>
      </c>
      <c r="AF291" s="104" t="s">
        <v>427</v>
      </c>
      <c r="AG291" s="298" t="s">
        <v>2113</v>
      </c>
      <c r="AH291" s="298" t="s">
        <v>2114</v>
      </c>
      <c r="AI291" s="298" t="s">
        <v>264</v>
      </c>
      <c r="AJ291" s="298">
        <v>89406</v>
      </c>
      <c r="AK291" s="298" t="s">
        <v>118</v>
      </c>
      <c r="AL291" s="416" t="s">
        <v>123</v>
      </c>
      <c r="AM291" s="142" t="str">
        <f>INDEX(CarrierDriverTBL!$B:$B,MATCH(Table1[[#This Row],[DriverID]],CarrierDriverTBL!$A:$A,0))</f>
        <v>UBTrucking</v>
      </c>
      <c r="AN291" s="10" t="s">
        <v>948</v>
      </c>
      <c r="AO291" s="10" t="str">
        <f>INDEX(CarrierDriverTBL!$C:$C,MATCH(Table1[[#This Row],[DriverID]],CarrierDriverTBL!$A:$A,0))</f>
        <v>Wesley</v>
      </c>
      <c r="AP291" s="10" t="str">
        <f>INDEX(CarrierDriverTBL!$D:$D,MATCH(Table1[[#This Row],[DriverID]],CarrierDriverTBL!$A:$A,0))</f>
        <v>Cousain</v>
      </c>
      <c r="AQ291" s="10" t="str">
        <f>INDEX(CarrierDriverTBL!$X:$X,MATCH(Table1[[#This Row],[DriverID]],CarrierDriverTBL!$A:$A,0))</f>
        <v>D4903588</v>
      </c>
      <c r="AR291" s="11">
        <f>INDEX(CarrierDriverTBL!$Y:$Y,MATCH(Table1[[#This Row],[DriverID]],CarrierDriverTBL!$A:$A,0))</f>
        <v>43458</v>
      </c>
      <c r="AS291" s="142" t="str">
        <f t="shared" si="122"/>
        <v>GOOD</v>
      </c>
      <c r="AT291" s="11">
        <f>INDEX(CarrierDriverTBL!$E:$E,MATCH(Table1[[#This Row],[DriverID]],CarrierDriverTBL!$A:$A,0))</f>
        <v>31405</v>
      </c>
      <c r="AU291" s="163">
        <f ca="1">INDEX(CarrierDriverTBL!$F:$F,MATCH(Table1[[#This Row],[DriverID]],CarrierDriverTBL!$A:$A,0))</f>
        <v>30.605479452054794</v>
      </c>
      <c r="AV291" s="10" t="str">
        <f>INDEX(CarrierDriverTBL!$K:$K,MATCH(Table1[[#This Row],[DriverID]],CarrierDriverTBL!$A:$A,0))</f>
        <v>925-383-5364</v>
      </c>
      <c r="AW291" s="10" t="str">
        <f>INDEX(CarrierDriverTBL!$M:$M,MATCH(Table1[[#This Row],[DriverID]],CarrierDriverTBL!$A:$A,0))</f>
        <v>110 Cordova Ln</v>
      </c>
      <c r="AX291" s="10" t="str">
        <f>INDEX(CarrierDriverTBL!$N:$N,MATCH(Table1[[#This Row],[DriverID]],CarrierDriverTBL!$A:$A,0))</f>
        <v>Stockton</v>
      </c>
      <c r="AY291" s="10" t="str">
        <f>INDEX(CarrierDriverTBL!$O:$O,MATCH(Table1[[#This Row],[DriverID]],CarrierDriverTBL!$A:$A,0))</f>
        <v>CA</v>
      </c>
      <c r="AZ291" s="10">
        <f>INDEX(CarrierDriverTBL!$P:$P,MATCH(Table1[[#This Row],[DriverID]],CarrierDriverTBL!$A:$A,0))</f>
        <v>95207</v>
      </c>
      <c r="BA291" s="10" t="str">
        <f>INDEX(CarrierDriverTBL!$Q:$Q,MATCH(Table1[[#This Row],[DriverID]],CarrierDriverTBL!$A:$A,0))</f>
        <v>US</v>
      </c>
      <c r="BB291" s="173" t="str">
        <f>INDEX(CarrierDriverTBL!$R:$R,MATCH(Table1[[#This Row],[DriverID]],CarrierDriverTBL!$A:$A,0))</f>
        <v>wesleycousain1@gmail.com</v>
      </c>
      <c r="BC291" s="160">
        <f>INDEX(CarrierDriverTBL!$AB:$AB,MATCH(Table1[[#This Row],[DriverID]],CarrierDriverTBL!$A:$A,0))</f>
        <v>42271</v>
      </c>
      <c r="BD291" s="142" t="str">
        <f ca="1">INDEX(CarrierDriverTBL!$AD:$AD,MATCH(LoadMaster!$AN:$AN,CarrierDriverTBL!$A:$A,0))</f>
        <v>MISSING</v>
      </c>
      <c r="BE291" s="142">
        <f>INDEX(CarrierDriverTBL!$AE:$AE,MATCH(Table1[DriverID],CarrierDriverTBL!$A:$A,0))</f>
        <v>913971</v>
      </c>
      <c r="BF291" s="142">
        <f>INDEX(CarrierDriverTBL!$AF:$AF,MATCH(Table1[DriverID],CarrierDriverTBL!$A:$A,0))</f>
        <v>2627544</v>
      </c>
      <c r="BG291" s="142">
        <f>INDEX(CarrierDriverTBL!$AG:$AG,MATCH(Table1[DriverID],CarrierDriverTBL!$A:$A,0))</f>
        <v>466133</v>
      </c>
      <c r="BH291" s="142" t="str">
        <f>INDEX(CarrierDriverTBL!$AH:$AH,MATCH(Table1[DriverID],CarrierDriverTBL!$A:$A,0))</f>
        <v>GM Lawrence Ins</v>
      </c>
      <c r="BI291" s="142" t="str">
        <f>INDEX(CarrierDriverTBL!$AI:$AI,MATCH(Table1[DriverID],CarrierDriverTBL!$A:$A,0))</f>
        <v>DSK2842P160210</v>
      </c>
      <c r="BJ291" s="160">
        <f>INDEX(CarrierDriverTBL!$AJ:$AJ,MATCH(Table1[[#This Row],[DriverID]],CarrierDriverTBL!$A:$A,0))</f>
        <v>42778</v>
      </c>
      <c r="BK291" s="10">
        <f t="shared" si="123"/>
        <v>368</v>
      </c>
      <c r="BL291" s="5">
        <v>600</v>
      </c>
      <c r="BM291" s="171">
        <v>257</v>
      </c>
      <c r="BN291" s="159">
        <f t="shared" si="140"/>
        <v>2.3346303501945527</v>
      </c>
      <c r="BO291" s="134">
        <f>0.93*600</f>
        <v>558</v>
      </c>
      <c r="BP291" s="133">
        <f t="shared" si="141"/>
        <v>2.1712062256809337</v>
      </c>
      <c r="BQ291" s="133">
        <v>2.6</v>
      </c>
      <c r="BR291" s="166">
        <f t="shared" si="142"/>
        <v>0.1166666666666667</v>
      </c>
      <c r="BS291" s="133">
        <f t="shared" si="124"/>
        <v>2.054539559014267</v>
      </c>
      <c r="BT291" s="133">
        <f t="shared" si="125"/>
        <v>29.983333333333341</v>
      </c>
      <c r="BU291" s="10" t="str">
        <f t="shared" si="126"/>
        <v>Sunteck Transport Co. Inc</v>
      </c>
      <c r="BV291" s="15"/>
      <c r="BW291" s="4" t="str">
        <f>Table1[[#This Row],[BrokerAddress]]</f>
        <v>6413 Congress Ave., Suite 260</v>
      </c>
      <c r="BX291" s="4" t="str">
        <f t="shared" si="127"/>
        <v>Boca Raton</v>
      </c>
      <c r="BY291" s="4" t="str">
        <f t="shared" si="128"/>
        <v>Fl</v>
      </c>
      <c r="BZ291" s="4">
        <f t="shared" si="129"/>
        <v>33487</v>
      </c>
      <c r="CA291" s="10" t="str">
        <f t="shared" si="130"/>
        <v>US</v>
      </c>
      <c r="CB291" s="15" t="s">
        <v>131</v>
      </c>
      <c r="CC291" s="62"/>
      <c r="CD291" s="15" t="s">
        <v>132</v>
      </c>
      <c r="CE291" s="64">
        <v>0</v>
      </c>
      <c r="CF291" s="4">
        <v>0</v>
      </c>
      <c r="CG291" s="132">
        <f t="shared" si="131"/>
        <v>0</v>
      </c>
      <c r="CH291" s="4" t="s">
        <v>132</v>
      </c>
      <c r="CI291" s="5">
        <v>0</v>
      </c>
      <c r="CJ291" s="4">
        <v>0</v>
      </c>
      <c r="CK291" s="132">
        <f t="shared" si="132"/>
        <v>0</v>
      </c>
      <c r="CL291" s="4" t="s">
        <v>132</v>
      </c>
      <c r="CM291" s="5">
        <v>0</v>
      </c>
      <c r="CN291" s="4">
        <v>0</v>
      </c>
      <c r="CO291" s="132">
        <f t="shared" si="133"/>
        <v>0</v>
      </c>
      <c r="CP291" s="4" t="s">
        <v>132</v>
      </c>
      <c r="CQ291" s="5">
        <v>0</v>
      </c>
      <c r="CR291" s="4">
        <v>0</v>
      </c>
      <c r="CS291" s="132">
        <f t="shared" si="134"/>
        <v>0</v>
      </c>
      <c r="CT291" s="159">
        <f t="shared" si="135"/>
        <v>0</v>
      </c>
      <c r="CU291" s="168">
        <f t="shared" si="136"/>
        <v>600</v>
      </c>
      <c r="CV291" s="177">
        <f t="shared" si="119"/>
        <v>0</v>
      </c>
      <c r="CW291" s="82">
        <f t="shared" si="120"/>
        <v>558</v>
      </c>
      <c r="CX291" s="79">
        <f>IF(ISBLANK(E291),"AddQuickPay",IF(E291=2,CU291*0.98,IF(E291=2.4,CU291*0.976,IF(E291=3,CU291*0.97,IF(E291=5,CU291*0.95,IF(E291=1.5,CU291*0.985,IF(E291=2.5,CU291*0.975,IF(E291=1.3,CU291*0.987,IF(E291=1,CU291*0.99,IF(E291=4,CU291*0.96,CU291*1))))))))))-Table1[[#This Row],[ComCheck+QuickPayFee]]</f>
        <v>585</v>
      </c>
      <c r="CY291" s="5">
        <f t="shared" si="137"/>
        <v>42</v>
      </c>
      <c r="CZ291" s="5">
        <f t="shared" si="138"/>
        <v>15</v>
      </c>
      <c r="DA291" s="258">
        <f>Table1[[#This Row],[OriginalDispatch]]-Table1[[#This Row],[QuickPayCharge]]</f>
        <v>27</v>
      </c>
      <c r="DB291" s="5">
        <v>0</v>
      </c>
      <c r="DC291" s="5" t="s">
        <v>133</v>
      </c>
      <c r="DD291" s="172">
        <f t="shared" si="139"/>
        <v>42412</v>
      </c>
      <c r="DE291" s="171">
        <f>MONTH(Table1[[#This Row],[Weekending]])</f>
        <v>2</v>
      </c>
      <c r="DF291" s="171">
        <f>YEAR(Table1[[#This Row],[Weekending]])</f>
        <v>2016</v>
      </c>
      <c r="DG291" s="4"/>
    </row>
    <row r="292" spans="1:111">
      <c r="A292" s="416" t="str">
        <f t="shared" si="121"/>
        <v>5919ne49</v>
      </c>
      <c r="B292" s="104">
        <v>42410</v>
      </c>
      <c r="C292" s="15">
        <v>1862259</v>
      </c>
      <c r="D292" s="416" t="s">
        <v>2115</v>
      </c>
      <c r="E292" s="15">
        <v>2</v>
      </c>
      <c r="F292" s="298" t="str">
        <f>INDEX(BrokerTBL!$B:$B,MATCH(D292,BrokerTBL!$A:$A,0))</f>
        <v>Po Box 173</v>
      </c>
      <c r="G292" s="416" t="str">
        <f>INDEX(BrokerTBL!$C:$C,MATCH(D292,BrokerTBL!$A:$A,0))</f>
        <v>Versailles</v>
      </c>
      <c r="H292" s="131" t="str">
        <f>INDEX(BrokerTBL!$D:$D,MATCH(D292,BrokerTBL!$A:$A,0))</f>
        <v>Ohio</v>
      </c>
      <c r="I292" s="131" t="str">
        <f>INDEX(BrokerTBL!$E:$E,MATCH(D292,BrokerTBL!$A:$A,0))</f>
        <v>US</v>
      </c>
      <c r="J292" s="131">
        <f>INDEX(BrokerTBL!$F:$F,MATCH(D292,BrokerTBL!$A:$A,0))</f>
        <v>45380</v>
      </c>
      <c r="K292" s="416" t="s">
        <v>2116</v>
      </c>
      <c r="L292" s="81">
        <v>13219</v>
      </c>
      <c r="M292" s="104">
        <v>42410</v>
      </c>
      <c r="N292" s="162" t="s">
        <v>123</v>
      </c>
      <c r="O292" s="15" t="s">
        <v>2117</v>
      </c>
      <c r="P292" s="416" t="s">
        <v>411</v>
      </c>
      <c r="Q292" s="416" t="s">
        <v>139</v>
      </c>
      <c r="R292" s="416">
        <v>95020</v>
      </c>
      <c r="S292" s="416" t="s">
        <v>118</v>
      </c>
      <c r="T292" s="298" t="s">
        <v>123</v>
      </c>
      <c r="U292" s="416" t="s">
        <v>120</v>
      </c>
      <c r="V292" s="416">
        <v>53</v>
      </c>
      <c r="W292" s="416" t="s">
        <v>2118</v>
      </c>
      <c r="X292" s="225">
        <v>43000</v>
      </c>
      <c r="Y292" s="15" t="s">
        <v>123</v>
      </c>
      <c r="Z292" s="416" t="s">
        <v>123</v>
      </c>
      <c r="AA292" s="416" t="s">
        <v>123</v>
      </c>
      <c r="AB292" s="416" t="s">
        <v>123</v>
      </c>
      <c r="AC292" s="416" t="s">
        <v>451</v>
      </c>
      <c r="AD292" s="81" t="s">
        <v>132</v>
      </c>
      <c r="AE292" s="104">
        <v>42411</v>
      </c>
      <c r="AF292" s="416" t="s">
        <v>123</v>
      </c>
      <c r="AG292" s="416" t="s">
        <v>452</v>
      </c>
      <c r="AH292" s="416" t="s">
        <v>184</v>
      </c>
      <c r="AI292" s="416" t="s">
        <v>139</v>
      </c>
      <c r="AJ292" s="416">
        <v>95215</v>
      </c>
      <c r="AK292" s="416" t="s">
        <v>118</v>
      </c>
      <c r="AL292" s="416" t="s">
        <v>123</v>
      </c>
      <c r="AM292" s="142" t="str">
        <f>INDEX(CarrierDriverTBL!$B:$B,MATCH(Table1[[#This Row],[DriverID]],CarrierDriverTBL!$A:$A,0))</f>
        <v>UBTrucking</v>
      </c>
      <c r="AN292" s="10" t="s">
        <v>192</v>
      </c>
      <c r="AO292" s="10" t="str">
        <f>INDEX(CarrierDriverTBL!$C:$C,MATCH(Table1[[#This Row],[DriverID]],CarrierDriverTBL!$A:$A,0))</f>
        <v>Albel</v>
      </c>
      <c r="AP292" s="142" t="str">
        <f>INDEX(CarrierDriverTBL!$D:$D,MATCH(Table1[[#This Row],[DriverID]],CarrierDriverTBL!$A:$A,0))</f>
        <v>Chahil</v>
      </c>
      <c r="AQ292" s="142" t="str">
        <f>INDEX(CarrierDriverTBL!$X:$X,MATCH(Table1[[#This Row],[DriverID]],CarrierDriverTBL!$A:$A,0))</f>
        <v>A8390649</v>
      </c>
      <c r="AR292" s="160">
        <f>INDEX(CarrierDriverTBL!$Y:$Y,MATCH(Table1[[#This Row],[DriverID]],CarrierDriverTBL!$A:$A,0))</f>
        <v>42402</v>
      </c>
      <c r="AS292" s="142" t="str">
        <f t="shared" si="122"/>
        <v>EXPIRED</v>
      </c>
      <c r="AT292" s="160">
        <f>INDEX(CarrierDriverTBL!$E:$E,MATCH(Table1[[#This Row],[DriverID]],CarrierDriverTBL!$A:$A,0))</f>
        <v>22314</v>
      </c>
      <c r="AU292" s="163">
        <f ca="1">INDEX(CarrierDriverTBL!$F:$F,MATCH(Table1[[#This Row],[DriverID]],CarrierDriverTBL!$A:$A,0))</f>
        <v>55.512328767123286</v>
      </c>
      <c r="AV292" s="142" t="str">
        <f>INDEX(CarrierDriverTBL!$K:$K,MATCH(Table1[[#This Row],[DriverID]],CarrierDriverTBL!$A:$A,0))</f>
        <v>510-773-9450</v>
      </c>
      <c r="AW292" s="142" t="str">
        <f>INDEX(CarrierDriverTBL!$M:$M,MATCH(Table1[[#This Row],[DriverID]],CarrierDriverTBL!$A:$A,0))</f>
        <v>3124 Cynthia CT</v>
      </c>
      <c r="AX292" s="142" t="str">
        <f>INDEX(CarrierDriverTBL!$N:$N,MATCH(Table1[[#This Row],[DriverID]],CarrierDriverTBL!$A:$A,0))</f>
        <v>Tracy</v>
      </c>
      <c r="AY292" s="142" t="str">
        <f>INDEX(CarrierDriverTBL!$O:$O,MATCH(Table1[[#This Row],[DriverID]],CarrierDriverTBL!$A:$A,0))</f>
        <v>CA</v>
      </c>
      <c r="AZ292" s="142">
        <f>INDEX(CarrierDriverTBL!$P:$P,MATCH(Table1[[#This Row],[DriverID]],CarrierDriverTBL!$A:$A,0))</f>
        <v>95377</v>
      </c>
      <c r="BA292" s="142" t="str">
        <f>INDEX(CarrierDriverTBL!$Q:$Q,MATCH(Table1[[#This Row],[DriverID]],CarrierDriverTBL!$A:$A,0))</f>
        <v>US</v>
      </c>
      <c r="BB292" s="176" t="str">
        <f>INDEX(CarrierDriverTBL!$R:$R,MATCH(Table1[[#This Row],[DriverID]],CarrierDriverTBL!$A:$A,0))</f>
        <v>ubgollc@gmail.com</v>
      </c>
      <c r="BC292" s="160">
        <f>INDEX(CarrierDriverTBL!$AB:$AB,MATCH(Table1[[#This Row],[DriverID]],CarrierDriverTBL!$A:$A,0))</f>
        <v>42167</v>
      </c>
      <c r="BD292" s="142" t="str">
        <f ca="1">INDEX(CarrierDriverTBL!$AD:$AD,MATCH(LoadMaster!$AN:$AN,CarrierDriverTBL!$A:$A,0))</f>
        <v>MISSING</v>
      </c>
      <c r="BE292" s="142">
        <f>INDEX(CarrierDriverTBL!$AE:$AE,MATCH(Table1[DriverID],CarrierDriverTBL!$A:$A,0))</f>
        <v>913971</v>
      </c>
      <c r="BF292" s="142">
        <f>INDEX(CarrierDriverTBL!$AF:$AF,MATCH(Table1[DriverID],CarrierDriverTBL!$A:$A,0))</f>
        <v>2627544</v>
      </c>
      <c r="BG292" s="142">
        <f>INDEX(CarrierDriverTBL!$AG:$AG,MATCH(Table1[DriverID],CarrierDriverTBL!$A:$A,0))</f>
        <v>466133</v>
      </c>
      <c r="BH292" s="142" t="str">
        <f>INDEX(CarrierDriverTBL!$AH:$AH,MATCH(Table1[DriverID],CarrierDriverTBL!$A:$A,0))</f>
        <v>GM Lawrence Ins</v>
      </c>
      <c r="BI292" s="142" t="str">
        <f>INDEX(CarrierDriverTBL!$AI:$AI,MATCH(Table1[DriverID],CarrierDriverTBL!$A:$A,0))</f>
        <v>DSK2842P160210</v>
      </c>
      <c r="BJ292" s="160">
        <f>INDEX(CarrierDriverTBL!$AJ:$AJ,MATCH(Table1[[#This Row],[DriverID]],CarrierDriverTBL!$A:$A,0))</f>
        <v>42778</v>
      </c>
      <c r="BK292" s="10">
        <f t="shared" si="123"/>
        <v>368</v>
      </c>
      <c r="BL292" s="5">
        <v>300</v>
      </c>
      <c r="BM292" s="171">
        <v>110</v>
      </c>
      <c r="BN292" s="133">
        <f t="shared" si="140"/>
        <v>2.7272727272727271</v>
      </c>
      <c r="BO292" s="134">
        <v>275</v>
      </c>
      <c r="BP292" s="133">
        <f t="shared" si="141"/>
        <v>2.5</v>
      </c>
      <c r="BQ292" s="133">
        <v>2.6</v>
      </c>
      <c r="BR292" s="215">
        <f t="shared" si="142"/>
        <v>0.1166666666666667</v>
      </c>
      <c r="BS292" s="133">
        <f t="shared" si="124"/>
        <v>2.3833333333333333</v>
      </c>
      <c r="BT292" s="133">
        <f t="shared" si="125"/>
        <v>12.833333333333336</v>
      </c>
      <c r="BU292" s="10" t="str">
        <f t="shared" si="126"/>
        <v>Bnsf Logistics</v>
      </c>
      <c r="BV292" s="15"/>
      <c r="BW292" s="4" t="str">
        <f>Table1[[#This Row],[BrokerAddress]]</f>
        <v>Po Box 173</v>
      </c>
      <c r="BX292" s="4" t="str">
        <f t="shared" si="127"/>
        <v>Versailles</v>
      </c>
      <c r="BY292" s="4" t="str">
        <f t="shared" si="128"/>
        <v>Ohio</v>
      </c>
      <c r="BZ292" s="4">
        <f t="shared" si="129"/>
        <v>45380</v>
      </c>
      <c r="CA292" s="10" t="str">
        <f t="shared" si="130"/>
        <v>US</v>
      </c>
      <c r="CB292" s="15" t="s">
        <v>131</v>
      </c>
      <c r="CC292" s="62"/>
      <c r="CD292" s="15" t="s">
        <v>132</v>
      </c>
      <c r="CE292" s="64">
        <v>0</v>
      </c>
      <c r="CF292" s="4">
        <v>0</v>
      </c>
      <c r="CG292" s="132">
        <f t="shared" si="131"/>
        <v>0</v>
      </c>
      <c r="CH292" s="4" t="s">
        <v>132</v>
      </c>
      <c r="CI292" s="5">
        <v>0</v>
      </c>
      <c r="CJ292" s="4">
        <v>0</v>
      </c>
      <c r="CK292" s="132">
        <f t="shared" si="132"/>
        <v>0</v>
      </c>
      <c r="CL292" s="4" t="s">
        <v>132</v>
      </c>
      <c r="CM292" s="5">
        <v>0</v>
      </c>
      <c r="CN292" s="4">
        <v>0</v>
      </c>
      <c r="CO292" s="132">
        <f t="shared" si="133"/>
        <v>0</v>
      </c>
      <c r="CP292" s="4" t="s">
        <v>132</v>
      </c>
      <c r="CQ292" s="5">
        <v>0</v>
      </c>
      <c r="CR292" s="4">
        <v>0</v>
      </c>
      <c r="CS292" s="132">
        <f t="shared" si="134"/>
        <v>0</v>
      </c>
      <c r="CT292" s="132">
        <f t="shared" si="135"/>
        <v>0</v>
      </c>
      <c r="CU292" s="168">
        <f t="shared" si="136"/>
        <v>300</v>
      </c>
      <c r="CV292" s="177">
        <f t="shared" si="119"/>
        <v>0</v>
      </c>
      <c r="CW292" s="82">
        <f t="shared" si="120"/>
        <v>275</v>
      </c>
      <c r="CX292" s="79">
        <f>IF(ISBLANK(E292),"AddQuickPay",IF(E292=2,CU292*0.98,IF(E292=2.4,CU292*0.976,IF(E292=3,CU292*0.97,IF(E292=5,CU292*0.95,IF(E292=1.5,CU292*0.985,IF(E292=2.5,CU292*0.975,IF(E292=1.3,CU292*0.987,IF(E292=1,CU292*0.99,IF(E292=4,CU292*0.96,CU292*1))))))))))-Table1[[#This Row],[ComCheck+QuickPayFee]]</f>
        <v>294</v>
      </c>
      <c r="CY292" s="5">
        <f t="shared" si="137"/>
        <v>25</v>
      </c>
      <c r="CZ292" s="5">
        <f t="shared" si="138"/>
        <v>6</v>
      </c>
      <c r="DA292" s="258">
        <f>Table1[[#This Row],[OriginalDispatch]]-Table1[[#This Row],[QuickPayCharge]]</f>
        <v>19</v>
      </c>
      <c r="DB292" s="5">
        <v>0</v>
      </c>
      <c r="DC292" s="5" t="s">
        <v>133</v>
      </c>
      <c r="DD292" s="172">
        <f t="shared" si="139"/>
        <v>42412</v>
      </c>
      <c r="DE292" s="171">
        <f>MONTH(Table1[[#This Row],[Weekending]])</f>
        <v>2</v>
      </c>
      <c r="DF292" s="171">
        <f>YEAR(Table1[[#This Row],[Weekending]])</f>
        <v>2016</v>
      </c>
      <c r="DG292" s="4"/>
    </row>
    <row r="293" spans="1:111">
      <c r="A293" s="20" t="str">
        <f t="shared" si="121"/>
        <v>9804om49</v>
      </c>
      <c r="B293" s="146">
        <v>42411</v>
      </c>
      <c r="C293" s="144">
        <v>47498</v>
      </c>
      <c r="D293" s="298" t="s">
        <v>1824</v>
      </c>
      <c r="E293" s="144">
        <v>3</v>
      </c>
      <c r="F293" s="298" t="str">
        <f>INDEX(BrokerTBL!$B:$B,MATCH(D293,BrokerTBL!$A:$A,0))</f>
        <v>2109 W Bullard Ave # 101</v>
      </c>
      <c r="G293" s="298" t="str">
        <f>INDEX(BrokerTBL!$C:$C,MATCH(D293,BrokerTBL!$A:$A,0))</f>
        <v>Fresno</v>
      </c>
      <c r="H293" s="142" t="str">
        <f>INDEX(BrokerTBL!$D:$D,MATCH(D293,BrokerTBL!$A:$A,0))</f>
        <v>Ca</v>
      </c>
      <c r="I293" s="142" t="str">
        <f>INDEX(BrokerTBL!$E:$E,MATCH(D293,BrokerTBL!$A:$A,0))</f>
        <v>US</v>
      </c>
      <c r="J293" s="142">
        <f>INDEX(BrokerTBL!$F:$F,MATCH(D293,BrokerTBL!$A:$A,0))</f>
        <v>93711</v>
      </c>
      <c r="K293" s="298" t="s">
        <v>1825</v>
      </c>
      <c r="L293" s="145">
        <v>351304</v>
      </c>
      <c r="M293" s="146">
        <v>42411</v>
      </c>
      <c r="N293" s="182">
        <v>0.35416666666666702</v>
      </c>
      <c r="O293" s="298" t="s">
        <v>1826</v>
      </c>
      <c r="P293" s="298" t="s">
        <v>184</v>
      </c>
      <c r="Q293" s="298" t="s">
        <v>139</v>
      </c>
      <c r="R293" s="298">
        <v>95203</v>
      </c>
      <c r="S293" s="298" t="s">
        <v>118</v>
      </c>
      <c r="T293" s="298" t="s">
        <v>123</v>
      </c>
      <c r="U293" s="298" t="s">
        <v>120</v>
      </c>
      <c r="V293" s="298">
        <v>53</v>
      </c>
      <c r="W293" s="298" t="s">
        <v>2119</v>
      </c>
      <c r="X293" s="185">
        <v>41800</v>
      </c>
      <c r="Y293" s="298" t="s">
        <v>123</v>
      </c>
      <c r="Z293" s="298" t="s">
        <v>123</v>
      </c>
      <c r="AA293" s="298" t="s">
        <v>123</v>
      </c>
      <c r="AB293" s="298" t="s">
        <v>123</v>
      </c>
      <c r="AC293" s="298" t="s">
        <v>1828</v>
      </c>
      <c r="AD293" s="145" t="s">
        <v>2120</v>
      </c>
      <c r="AE293" s="146">
        <v>42411</v>
      </c>
      <c r="AF293" s="298" t="s">
        <v>2121</v>
      </c>
      <c r="AG293" s="298" t="s">
        <v>1829</v>
      </c>
      <c r="AH293" s="298" t="s">
        <v>787</v>
      </c>
      <c r="AI293" s="298" t="s">
        <v>139</v>
      </c>
      <c r="AJ293" s="298">
        <v>94801</v>
      </c>
      <c r="AK293" s="298" t="s">
        <v>118</v>
      </c>
      <c r="AL293" s="298" t="s">
        <v>123</v>
      </c>
      <c r="AM293" s="142" t="str">
        <f>INDEX(CarrierDriverTBL!$B:$B,MATCH(Table1[[#This Row],[DriverID]],CarrierDriverTBL!$A:$A,0))</f>
        <v>UBTrucking</v>
      </c>
      <c r="AN293" s="10" t="s">
        <v>192</v>
      </c>
      <c r="AO293" s="10" t="str">
        <f>INDEX(CarrierDriverTBL!$C:$C,MATCH(Table1[[#This Row],[DriverID]],CarrierDriverTBL!$A:$A,0))</f>
        <v>Albel</v>
      </c>
      <c r="AP293" s="142" t="str">
        <f>INDEX(CarrierDriverTBL!$D:$D,MATCH(Table1[[#This Row],[DriverID]],CarrierDriverTBL!$A:$A,0))</f>
        <v>Chahil</v>
      </c>
      <c r="AQ293" s="142" t="str">
        <f>INDEX(CarrierDriverTBL!$X:$X,MATCH(Table1[[#This Row],[DriverID]],CarrierDriverTBL!$A:$A,0))</f>
        <v>A8390649</v>
      </c>
      <c r="AR293" s="160">
        <f>INDEX(CarrierDriverTBL!$Y:$Y,MATCH(Table1[[#This Row],[DriverID]],CarrierDriverTBL!$A:$A,0))</f>
        <v>42402</v>
      </c>
      <c r="AS293" s="142" t="str">
        <f t="shared" si="122"/>
        <v>EXPIRED</v>
      </c>
      <c r="AT293" s="160">
        <f>INDEX(CarrierDriverTBL!$E:$E,MATCH(Table1[[#This Row],[DriverID]],CarrierDriverTBL!$A:$A,0))</f>
        <v>22314</v>
      </c>
      <c r="AU293" s="163">
        <f ca="1">INDEX(CarrierDriverTBL!$F:$F,MATCH(Table1[[#This Row],[DriverID]],CarrierDriverTBL!$A:$A,0))</f>
        <v>55.512328767123286</v>
      </c>
      <c r="AV293" s="142" t="str">
        <f>INDEX(CarrierDriverTBL!$K:$K,MATCH(Table1[[#This Row],[DriverID]],CarrierDriverTBL!$A:$A,0))</f>
        <v>510-773-9450</v>
      </c>
      <c r="AW293" s="142" t="str">
        <f>INDEX(CarrierDriverTBL!$M:$M,MATCH(Table1[[#This Row],[DriverID]],CarrierDriverTBL!$A:$A,0))</f>
        <v>3124 Cynthia CT</v>
      </c>
      <c r="AX293" s="142" t="str">
        <f>INDEX(CarrierDriverTBL!$N:$N,MATCH(Table1[[#This Row],[DriverID]],CarrierDriverTBL!$A:$A,0))</f>
        <v>Tracy</v>
      </c>
      <c r="AY293" s="142" t="str">
        <f>INDEX(CarrierDriverTBL!$O:$O,MATCH(Table1[[#This Row],[DriverID]],CarrierDriverTBL!$A:$A,0))</f>
        <v>CA</v>
      </c>
      <c r="AZ293" s="142">
        <f>INDEX(CarrierDriverTBL!$P:$P,MATCH(Table1[[#This Row],[DriverID]],CarrierDriverTBL!$A:$A,0))</f>
        <v>95377</v>
      </c>
      <c r="BA293" s="142" t="str">
        <f>INDEX(CarrierDriverTBL!$Q:$Q,MATCH(Table1[[#This Row],[DriverID]],CarrierDriverTBL!$A:$A,0))</f>
        <v>US</v>
      </c>
      <c r="BB293" s="176" t="str">
        <f>INDEX(CarrierDriverTBL!$R:$R,MATCH(Table1[[#This Row],[DriverID]],CarrierDriverTBL!$A:$A,0))</f>
        <v>ubgollc@gmail.com</v>
      </c>
      <c r="BC293" s="160">
        <f>INDEX(CarrierDriverTBL!$AB:$AB,MATCH(Table1[[#This Row],[DriverID]],CarrierDriverTBL!$A:$A,0))</f>
        <v>42167</v>
      </c>
      <c r="BD293" s="142" t="str">
        <f ca="1">INDEX(CarrierDriverTBL!$AD:$AD,MATCH(LoadMaster!$AN:$AN,CarrierDriverTBL!$A:$A,0))</f>
        <v>MISSING</v>
      </c>
      <c r="BE293" s="142">
        <f>INDEX(CarrierDriverTBL!$AE:$AE,MATCH(Table1[DriverID],CarrierDriverTBL!$A:$A,0))</f>
        <v>913971</v>
      </c>
      <c r="BF293" s="142">
        <f>INDEX(CarrierDriverTBL!$AF:$AF,MATCH(Table1[DriverID],CarrierDriverTBL!$A:$A,0))</f>
        <v>2627544</v>
      </c>
      <c r="BG293" s="142">
        <f>INDEX(CarrierDriverTBL!$AG:$AG,MATCH(Table1[DriverID],CarrierDriverTBL!$A:$A,0))</f>
        <v>466133</v>
      </c>
      <c r="BH293" s="142" t="str">
        <f>INDEX(CarrierDriverTBL!$AH:$AH,MATCH(Table1[DriverID],CarrierDriverTBL!$A:$A,0))</f>
        <v>GM Lawrence Ins</v>
      </c>
      <c r="BI293" s="142" t="str">
        <f>INDEX(CarrierDriverTBL!$AI:$AI,MATCH(Table1[DriverID],CarrierDriverTBL!$A:$A,0))</f>
        <v>DSK2842P160210</v>
      </c>
      <c r="BJ293" s="160">
        <f>INDEX(CarrierDriverTBL!$AJ:$AJ,MATCH(Table1[[#This Row],[DriverID]],CarrierDriverTBL!$A:$A,0))</f>
        <v>42778</v>
      </c>
      <c r="BK293" s="10">
        <f t="shared" si="123"/>
        <v>367</v>
      </c>
      <c r="BL293" s="59">
        <v>300</v>
      </c>
      <c r="BM293" s="144">
        <v>84</v>
      </c>
      <c r="BN293" s="159">
        <f t="shared" si="140"/>
        <v>3.5714285714285716</v>
      </c>
      <c r="BO293" s="167">
        <v>275</v>
      </c>
      <c r="BP293" s="159">
        <f t="shared" si="141"/>
        <v>3.2738095238095237</v>
      </c>
      <c r="BQ293" s="133">
        <v>2.6</v>
      </c>
      <c r="BR293" s="166">
        <f t="shared" si="142"/>
        <v>0.1166666666666667</v>
      </c>
      <c r="BS293" s="167">
        <f t="shared" si="124"/>
        <v>3.157142857142857</v>
      </c>
      <c r="BT293" s="159">
        <f t="shared" si="125"/>
        <v>9.8000000000000025</v>
      </c>
      <c r="BU293" s="10" t="str">
        <f t="shared" si="126"/>
        <v>Cargobarn Inc.</v>
      </c>
      <c r="BV293" s="15" t="s">
        <v>1925</v>
      </c>
      <c r="BW293" s="4" t="str">
        <f>Table1[[#This Row],[BrokerAddress]]</f>
        <v>2109 W Bullard Ave # 101</v>
      </c>
      <c r="BX293" s="4" t="str">
        <f t="shared" si="127"/>
        <v>Fresno</v>
      </c>
      <c r="BY293" s="4" t="str">
        <f t="shared" si="128"/>
        <v>Ca</v>
      </c>
      <c r="BZ293" s="4">
        <f t="shared" si="129"/>
        <v>93711</v>
      </c>
      <c r="CA293" s="10" t="str">
        <f t="shared" si="130"/>
        <v>US</v>
      </c>
      <c r="CB293" s="15" t="s">
        <v>131</v>
      </c>
      <c r="CC293" s="62"/>
      <c r="CD293" s="15" t="s">
        <v>132</v>
      </c>
      <c r="CE293" s="64">
        <v>0</v>
      </c>
      <c r="CF293" s="4">
        <v>0</v>
      </c>
      <c r="CG293" s="132">
        <f t="shared" si="131"/>
        <v>0</v>
      </c>
      <c r="CH293" s="4" t="s">
        <v>132</v>
      </c>
      <c r="CI293" s="5">
        <v>0</v>
      </c>
      <c r="CJ293" s="4">
        <v>0</v>
      </c>
      <c r="CK293" s="132">
        <f t="shared" si="132"/>
        <v>0</v>
      </c>
      <c r="CL293" s="4" t="s">
        <v>132</v>
      </c>
      <c r="CM293" s="5">
        <v>0</v>
      </c>
      <c r="CN293" s="4">
        <v>0</v>
      </c>
      <c r="CO293" s="132">
        <f t="shared" si="133"/>
        <v>0</v>
      </c>
      <c r="CP293" s="4" t="s">
        <v>132</v>
      </c>
      <c r="CQ293" s="5">
        <v>0</v>
      </c>
      <c r="CR293" s="4">
        <v>0</v>
      </c>
      <c r="CS293" s="132">
        <f t="shared" si="134"/>
        <v>0</v>
      </c>
      <c r="CT293" s="159">
        <f t="shared" si="135"/>
        <v>0</v>
      </c>
      <c r="CU293" s="168">
        <f t="shared" si="136"/>
        <v>300</v>
      </c>
      <c r="CV293" s="169">
        <f t="shared" si="119"/>
        <v>0</v>
      </c>
      <c r="CW293" s="82">
        <f t="shared" si="120"/>
        <v>275</v>
      </c>
      <c r="CX293" s="79">
        <f>IF(ISBLANK(E293),"AddQuickPay",IF(E293=2,CU293*0.98,IF(E293=2.4,CU293*0.976,IF(E293=3,CU293*0.97,IF(E293=5,CU293*0.95,IF(E293=1.5,CU293*0.985,IF(E293=2.5,CU293*0.975,IF(E293=1.3,CU293*0.987,IF(E293=1,CU293*0.99,IF(E293=4,CU293*0.96,CU293*1))))))))))-Table1[[#This Row],[ComCheck+QuickPayFee]]</f>
        <v>291</v>
      </c>
      <c r="CY293" s="5">
        <f t="shared" si="137"/>
        <v>25</v>
      </c>
      <c r="CZ293" s="5">
        <f t="shared" si="138"/>
        <v>9</v>
      </c>
      <c r="DA293" s="258">
        <f>Table1[[#This Row],[OriginalDispatch]]-Table1[[#This Row],[QuickPayCharge]]</f>
        <v>16</v>
      </c>
      <c r="DB293" s="5">
        <v>0</v>
      </c>
      <c r="DC293" s="5" t="s">
        <v>133</v>
      </c>
      <c r="DD293" s="104">
        <f t="shared" si="139"/>
        <v>42412</v>
      </c>
      <c r="DE293" s="15">
        <f>MONTH(Table1[[#This Row],[Weekending]])</f>
        <v>2</v>
      </c>
      <c r="DF293" s="15">
        <f>YEAR(Table1[[#This Row],[Weekending]])</f>
        <v>2016</v>
      </c>
      <c r="DG293" s="4"/>
    </row>
    <row r="294" spans="1:111">
      <c r="A294" s="416" t="str">
        <f t="shared" si="121"/>
        <v>14555588</v>
      </c>
      <c r="B294" s="104">
        <v>42411</v>
      </c>
      <c r="C294" s="15">
        <v>123414</v>
      </c>
      <c r="D294" s="416" t="s">
        <v>455</v>
      </c>
      <c r="E294" s="15">
        <v>2.5</v>
      </c>
      <c r="F294" s="298" t="str">
        <f>INDEX(BrokerTBL!$B:$B,MATCH(D294,BrokerTBL!$A:$A,0))</f>
        <v>5600 Headquarters Drive C2D11</v>
      </c>
      <c r="G294" s="416" t="str">
        <f>INDEX(BrokerTBL!$C:$C,MATCH(D294,BrokerTBL!$A:$A,0))</f>
        <v>Plano</v>
      </c>
      <c r="H294" s="131" t="str">
        <f>INDEX(BrokerTBL!$D:$D,MATCH(D294,BrokerTBL!$A:$A,0))</f>
        <v>Tx</v>
      </c>
      <c r="I294" s="131" t="str">
        <f>INDEX(BrokerTBL!$E:$E,MATCH(D294,BrokerTBL!$A:$A,0))</f>
        <v>US</v>
      </c>
      <c r="J294" s="131">
        <f>INDEX(BrokerTBL!$F:$F,MATCH(D294,BrokerTBL!$A:$A,0))</f>
        <v>75024</v>
      </c>
      <c r="K294" s="416" t="s">
        <v>2122</v>
      </c>
      <c r="L294" s="81">
        <v>2596555</v>
      </c>
      <c r="M294" s="104">
        <v>42411</v>
      </c>
      <c r="N294" s="226">
        <v>0.46597222222222201</v>
      </c>
      <c r="O294" s="15" t="s">
        <v>2123</v>
      </c>
      <c r="P294" s="416" t="s">
        <v>263</v>
      </c>
      <c r="Q294" s="416" t="s">
        <v>264</v>
      </c>
      <c r="R294" s="416">
        <v>89434</v>
      </c>
      <c r="S294" s="416" t="s">
        <v>118</v>
      </c>
      <c r="T294" s="298" t="s">
        <v>123</v>
      </c>
      <c r="U294" s="416" t="s">
        <v>120</v>
      </c>
      <c r="V294" s="416">
        <v>53</v>
      </c>
      <c r="W294" s="416" t="s">
        <v>2124</v>
      </c>
      <c r="X294" s="144" t="s">
        <v>123</v>
      </c>
      <c r="Y294" s="15" t="s">
        <v>123</v>
      </c>
      <c r="Z294" s="416" t="s">
        <v>123</v>
      </c>
      <c r="AA294" s="416" t="s">
        <v>123</v>
      </c>
      <c r="AB294" s="416" t="s">
        <v>123</v>
      </c>
      <c r="AC294" s="416" t="s">
        <v>1103</v>
      </c>
      <c r="AD294" s="81">
        <v>2596555</v>
      </c>
      <c r="AE294" s="104">
        <v>42412</v>
      </c>
      <c r="AF294" s="226">
        <v>0.5</v>
      </c>
      <c r="AG294" s="416" t="s">
        <v>1104</v>
      </c>
      <c r="AH294" s="416" t="s">
        <v>228</v>
      </c>
      <c r="AI294" s="416" t="s">
        <v>139</v>
      </c>
      <c r="AJ294" s="416">
        <v>94545</v>
      </c>
      <c r="AK294" s="416" t="s">
        <v>118</v>
      </c>
      <c r="AL294" s="416" t="s">
        <v>123</v>
      </c>
      <c r="AM294" s="142" t="str">
        <f>INDEX(CarrierDriverTBL!$B:$B,MATCH(Table1[[#This Row],[DriverID]],CarrierDriverTBL!$A:$A,0))</f>
        <v>UBTrucking</v>
      </c>
      <c r="AN294" s="10" t="s">
        <v>948</v>
      </c>
      <c r="AO294" s="10" t="str">
        <f>INDEX(CarrierDriverTBL!$C:$C,MATCH(Table1[[#This Row],[DriverID]],CarrierDriverTBL!$A:$A,0))</f>
        <v>Wesley</v>
      </c>
      <c r="AP294" s="10" t="str">
        <f>INDEX(CarrierDriverTBL!$D:$D,MATCH(Table1[[#This Row],[DriverID]],CarrierDriverTBL!$A:$A,0))</f>
        <v>Cousain</v>
      </c>
      <c r="AQ294" s="10" t="str">
        <f>INDEX(CarrierDriverTBL!$X:$X,MATCH(Table1[[#This Row],[DriverID]],CarrierDriverTBL!$A:$A,0))</f>
        <v>D4903588</v>
      </c>
      <c r="AR294" s="11">
        <f>INDEX(CarrierDriverTBL!$Y:$Y,MATCH(Table1[[#This Row],[DriverID]],CarrierDriverTBL!$A:$A,0))</f>
        <v>43458</v>
      </c>
      <c r="AS294" s="142" t="str">
        <f t="shared" si="122"/>
        <v>GOOD</v>
      </c>
      <c r="AT294" s="11">
        <f>INDEX(CarrierDriverTBL!$E:$E,MATCH(Table1[[#This Row],[DriverID]],CarrierDriverTBL!$A:$A,0))</f>
        <v>31405</v>
      </c>
      <c r="AU294" s="163">
        <f ca="1">INDEX(CarrierDriverTBL!$F:$F,MATCH(Table1[[#This Row],[DriverID]],CarrierDriverTBL!$A:$A,0))</f>
        <v>30.605479452054794</v>
      </c>
      <c r="AV294" s="10" t="str">
        <f>INDEX(CarrierDriverTBL!$K:$K,MATCH(Table1[[#This Row],[DriverID]],CarrierDriverTBL!$A:$A,0))</f>
        <v>925-383-5364</v>
      </c>
      <c r="AW294" s="10" t="str">
        <f>INDEX(CarrierDriverTBL!$M:$M,MATCH(Table1[[#This Row],[DriverID]],CarrierDriverTBL!$A:$A,0))</f>
        <v>110 Cordova Ln</v>
      </c>
      <c r="AX294" s="10" t="str">
        <f>INDEX(CarrierDriverTBL!$N:$N,MATCH(Table1[[#This Row],[DriverID]],CarrierDriverTBL!$A:$A,0))</f>
        <v>Stockton</v>
      </c>
      <c r="AY294" s="10" t="str">
        <f>INDEX(CarrierDriverTBL!$O:$O,MATCH(Table1[[#This Row],[DriverID]],CarrierDriverTBL!$A:$A,0))</f>
        <v>CA</v>
      </c>
      <c r="AZ294" s="10">
        <f>INDEX(CarrierDriverTBL!$P:$P,MATCH(Table1[[#This Row],[DriverID]],CarrierDriverTBL!$A:$A,0))</f>
        <v>95207</v>
      </c>
      <c r="BA294" s="10" t="str">
        <f>INDEX(CarrierDriverTBL!$Q:$Q,MATCH(Table1[[#This Row],[DriverID]],CarrierDriverTBL!$A:$A,0))</f>
        <v>US</v>
      </c>
      <c r="BB294" s="173" t="str">
        <f>INDEX(CarrierDriverTBL!$R:$R,MATCH(Table1[[#This Row],[DriverID]],CarrierDriverTBL!$A:$A,0))</f>
        <v>wesleycousain1@gmail.com</v>
      </c>
      <c r="BC294" s="160">
        <f>INDEX(CarrierDriverTBL!$AB:$AB,MATCH(Table1[[#This Row],[DriverID]],CarrierDriverTBL!$A:$A,0))</f>
        <v>42271</v>
      </c>
      <c r="BD294" s="142" t="str">
        <f ca="1">INDEX(CarrierDriverTBL!$AD:$AD,MATCH(LoadMaster!$AN:$AN,CarrierDriverTBL!$A:$A,0))</f>
        <v>MISSING</v>
      </c>
      <c r="BE294" s="142">
        <f>INDEX(CarrierDriverTBL!$AE:$AE,MATCH(Table1[DriverID],CarrierDriverTBL!$A:$A,0))</f>
        <v>913971</v>
      </c>
      <c r="BF294" s="142">
        <f>INDEX(CarrierDriverTBL!$AF:$AF,MATCH(Table1[DriverID],CarrierDriverTBL!$A:$A,0))</f>
        <v>2627544</v>
      </c>
      <c r="BG294" s="142">
        <f>INDEX(CarrierDriverTBL!$AG:$AG,MATCH(Table1[DriverID],CarrierDriverTBL!$A:$A,0))</f>
        <v>466133</v>
      </c>
      <c r="BH294" s="142" t="str">
        <f>INDEX(CarrierDriverTBL!$AH:$AH,MATCH(Table1[DriverID],CarrierDriverTBL!$A:$A,0))</f>
        <v>GM Lawrence Ins</v>
      </c>
      <c r="BI294" s="142" t="str">
        <f>INDEX(CarrierDriverTBL!$AI:$AI,MATCH(Table1[DriverID],CarrierDriverTBL!$A:$A,0))</f>
        <v>DSK2842P160210</v>
      </c>
      <c r="BJ294" s="160">
        <f>INDEX(CarrierDriverTBL!$AJ:$AJ,MATCH(Table1[[#This Row],[DriverID]],CarrierDriverTBL!$A:$A,0))</f>
        <v>42778</v>
      </c>
      <c r="BK294" s="10">
        <f t="shared" si="123"/>
        <v>367</v>
      </c>
      <c r="BL294" s="5">
        <v>500</v>
      </c>
      <c r="BM294" s="171">
        <v>233</v>
      </c>
      <c r="BN294" s="159">
        <f t="shared" si="140"/>
        <v>2.1459227467811157</v>
      </c>
      <c r="BO294" s="134">
        <f>0.93*500</f>
        <v>465</v>
      </c>
      <c r="BP294" s="133">
        <f t="shared" si="141"/>
        <v>1.9957081545064377</v>
      </c>
      <c r="BQ294" s="133">
        <v>2.6</v>
      </c>
      <c r="BR294" s="215">
        <f t="shared" si="142"/>
        <v>0.1166666666666667</v>
      </c>
      <c r="BS294" s="133">
        <f t="shared" si="124"/>
        <v>1.879041487839771</v>
      </c>
      <c r="BT294" s="133">
        <f t="shared" si="125"/>
        <v>27.183333333333341</v>
      </c>
      <c r="BU294" s="10" t="str">
        <f t="shared" si="126"/>
        <v>Pepsi Logistics Company Inc</v>
      </c>
      <c r="BV294" s="15"/>
      <c r="BW294" s="4" t="str">
        <f>Table1[[#This Row],[BrokerAddress]]</f>
        <v>5600 Headquarters Drive C2D11</v>
      </c>
      <c r="BX294" s="4" t="str">
        <f t="shared" si="127"/>
        <v>Plano</v>
      </c>
      <c r="BY294" s="4" t="str">
        <f t="shared" si="128"/>
        <v>Tx</v>
      </c>
      <c r="BZ294" s="4">
        <f t="shared" si="129"/>
        <v>75024</v>
      </c>
      <c r="CA294" s="10" t="str">
        <f t="shared" si="130"/>
        <v>US</v>
      </c>
      <c r="CB294" s="15" t="s">
        <v>131</v>
      </c>
      <c r="CC294" s="62"/>
      <c r="CD294" s="15" t="s">
        <v>132</v>
      </c>
      <c r="CE294" s="64">
        <v>0</v>
      </c>
      <c r="CF294" s="4">
        <v>0</v>
      </c>
      <c r="CG294" s="132">
        <f t="shared" si="131"/>
        <v>0</v>
      </c>
      <c r="CH294" s="4" t="s">
        <v>132</v>
      </c>
      <c r="CI294" s="5">
        <v>0</v>
      </c>
      <c r="CJ294" s="4">
        <v>0</v>
      </c>
      <c r="CK294" s="132">
        <f t="shared" si="132"/>
        <v>0</v>
      </c>
      <c r="CL294" s="4" t="s">
        <v>132</v>
      </c>
      <c r="CM294" s="5">
        <v>0</v>
      </c>
      <c r="CN294" s="4">
        <v>0</v>
      </c>
      <c r="CO294" s="132">
        <f t="shared" si="133"/>
        <v>0</v>
      </c>
      <c r="CP294" s="4" t="s">
        <v>132</v>
      </c>
      <c r="CQ294" s="5">
        <v>0</v>
      </c>
      <c r="CR294" s="4">
        <v>0</v>
      </c>
      <c r="CS294" s="132">
        <f t="shared" si="134"/>
        <v>0</v>
      </c>
      <c r="CT294" s="159">
        <f t="shared" si="135"/>
        <v>0</v>
      </c>
      <c r="CU294" s="168">
        <f t="shared" si="136"/>
        <v>500</v>
      </c>
      <c r="CV294" s="177">
        <f t="shared" si="119"/>
        <v>0</v>
      </c>
      <c r="CW294" s="82">
        <f t="shared" si="120"/>
        <v>465</v>
      </c>
      <c r="CX294" s="79">
        <f>IF(ISBLANK(E294),"AddQuickPay",IF(E294=2,CU294*0.98,IF(E294=2.4,CU294*0.976,IF(E294=3,CU294*0.97,IF(E294=5,CU294*0.95,IF(E294=1.5,CU294*0.985,IF(E294=2.5,CU294*0.975,IF(E294=1.3,CU294*0.987,IF(E294=1,CU294*0.99,IF(E294=4,CU294*0.96,CU294*1))))))))))-Table1[[#This Row],[ComCheck+QuickPayFee]]</f>
        <v>487.5</v>
      </c>
      <c r="CY294" s="5">
        <f t="shared" si="137"/>
        <v>35</v>
      </c>
      <c r="CZ294" s="5">
        <f t="shared" si="138"/>
        <v>12.5</v>
      </c>
      <c r="DA294" s="258">
        <f>Table1[[#This Row],[OriginalDispatch]]-Table1[[#This Row],[QuickPayCharge]]</f>
        <v>22.5</v>
      </c>
      <c r="DB294" s="5">
        <v>0</v>
      </c>
      <c r="DC294" s="5" t="s">
        <v>133</v>
      </c>
      <c r="DD294" s="172">
        <f t="shared" si="139"/>
        <v>42412</v>
      </c>
      <c r="DE294" s="171">
        <f>MONTH(Table1[[#This Row],[Weekending]])</f>
        <v>2</v>
      </c>
      <c r="DF294" s="171">
        <f>YEAR(Table1[[#This Row],[Weekending]])</f>
        <v>2016</v>
      </c>
      <c r="DG294" s="4"/>
    </row>
    <row r="295" spans="1:111">
      <c r="A295" s="20" t="str">
        <f t="shared" si="121"/>
        <v>9905om49</v>
      </c>
      <c r="B295" s="146">
        <v>42412</v>
      </c>
      <c r="C295" s="144">
        <v>47499</v>
      </c>
      <c r="D295" s="298" t="s">
        <v>1824</v>
      </c>
      <c r="E295" s="144">
        <v>3</v>
      </c>
      <c r="F295" s="298" t="str">
        <f>INDEX(BrokerTBL!$B:$B,MATCH(D295,BrokerTBL!$A:$A,0))</f>
        <v>2109 W Bullard Ave # 101</v>
      </c>
      <c r="G295" s="298" t="str">
        <f>INDEX(BrokerTBL!$C:$C,MATCH(D295,BrokerTBL!$A:$A,0))</f>
        <v>Fresno</v>
      </c>
      <c r="H295" s="142" t="str">
        <f>INDEX(BrokerTBL!$D:$D,MATCH(D295,BrokerTBL!$A:$A,0))</f>
        <v>Ca</v>
      </c>
      <c r="I295" s="142" t="str">
        <f>INDEX(BrokerTBL!$E:$E,MATCH(D295,BrokerTBL!$A:$A,0))</f>
        <v>US</v>
      </c>
      <c r="J295" s="142">
        <f>INDEX(BrokerTBL!$F:$F,MATCH(D295,BrokerTBL!$A:$A,0))</f>
        <v>93711</v>
      </c>
      <c r="K295" s="298" t="s">
        <v>1825</v>
      </c>
      <c r="L295" s="145">
        <v>351305</v>
      </c>
      <c r="M295" s="146">
        <v>42412</v>
      </c>
      <c r="N295" s="182">
        <v>0.33333333333333298</v>
      </c>
      <c r="O295" s="298" t="s">
        <v>1826</v>
      </c>
      <c r="P295" s="298" t="s">
        <v>184</v>
      </c>
      <c r="Q295" s="298" t="s">
        <v>139</v>
      </c>
      <c r="R295" s="298">
        <v>95203</v>
      </c>
      <c r="S295" s="298" t="s">
        <v>118</v>
      </c>
      <c r="T295" s="298" t="s">
        <v>123</v>
      </c>
      <c r="U295" s="298" t="s">
        <v>120</v>
      </c>
      <c r="V295" s="298">
        <v>53</v>
      </c>
      <c r="W295" s="298" t="s">
        <v>2125</v>
      </c>
      <c r="X295" s="185">
        <v>41800</v>
      </c>
      <c r="Y295" s="298" t="s">
        <v>123</v>
      </c>
      <c r="Z295" s="298" t="s">
        <v>123</v>
      </c>
      <c r="AA295" s="298" t="s">
        <v>123</v>
      </c>
      <c r="AB295" s="298" t="s">
        <v>123</v>
      </c>
      <c r="AC295" s="298" t="s">
        <v>1828</v>
      </c>
      <c r="AD295" s="145" t="s">
        <v>2120</v>
      </c>
      <c r="AE295" s="146">
        <v>42412</v>
      </c>
      <c r="AF295" s="298" t="s">
        <v>1316</v>
      </c>
      <c r="AG295" s="298" t="s">
        <v>1829</v>
      </c>
      <c r="AH295" s="298" t="s">
        <v>787</v>
      </c>
      <c r="AI295" s="298" t="s">
        <v>139</v>
      </c>
      <c r="AJ295" s="298">
        <v>94801</v>
      </c>
      <c r="AK295" s="298" t="s">
        <v>118</v>
      </c>
      <c r="AL295" s="298" t="s">
        <v>123</v>
      </c>
      <c r="AM295" s="142" t="str">
        <f>INDEX(CarrierDriverTBL!$B:$B,MATCH(Table1[[#This Row],[DriverID]],CarrierDriverTBL!$A:$A,0))</f>
        <v>UBTrucking</v>
      </c>
      <c r="AN295" s="10" t="s">
        <v>192</v>
      </c>
      <c r="AO295" s="10" t="str">
        <f>INDEX(CarrierDriverTBL!$C:$C,MATCH(Table1[[#This Row],[DriverID]],CarrierDriverTBL!$A:$A,0))</f>
        <v>Albel</v>
      </c>
      <c r="AP295" s="142" t="str">
        <f>INDEX(CarrierDriverTBL!$D:$D,MATCH(Table1[[#This Row],[DriverID]],CarrierDriverTBL!$A:$A,0))</f>
        <v>Chahil</v>
      </c>
      <c r="AQ295" s="142" t="str">
        <f>INDEX(CarrierDriverTBL!$X:$X,MATCH(Table1[[#This Row],[DriverID]],CarrierDriverTBL!$A:$A,0))</f>
        <v>A8390649</v>
      </c>
      <c r="AR295" s="160">
        <f>INDEX(CarrierDriverTBL!$Y:$Y,MATCH(Table1[[#This Row],[DriverID]],CarrierDriverTBL!$A:$A,0))</f>
        <v>42402</v>
      </c>
      <c r="AS295" s="142" t="str">
        <f t="shared" si="122"/>
        <v>EXPIRED</v>
      </c>
      <c r="AT295" s="160">
        <f>INDEX(CarrierDriverTBL!$E:$E,MATCH(Table1[[#This Row],[DriverID]],CarrierDriverTBL!$A:$A,0))</f>
        <v>22314</v>
      </c>
      <c r="AU295" s="163">
        <f ca="1">INDEX(CarrierDriverTBL!$F:$F,MATCH(Table1[[#This Row],[DriverID]],CarrierDriverTBL!$A:$A,0))</f>
        <v>55.512328767123286</v>
      </c>
      <c r="AV295" s="142" t="str">
        <f>INDEX(CarrierDriverTBL!$K:$K,MATCH(Table1[[#This Row],[DriverID]],CarrierDriverTBL!$A:$A,0))</f>
        <v>510-773-9450</v>
      </c>
      <c r="AW295" s="142" t="str">
        <f>INDEX(CarrierDriverTBL!$M:$M,MATCH(Table1[[#This Row],[DriverID]],CarrierDriverTBL!$A:$A,0))</f>
        <v>3124 Cynthia CT</v>
      </c>
      <c r="AX295" s="142" t="str">
        <f>INDEX(CarrierDriverTBL!$N:$N,MATCH(Table1[[#This Row],[DriverID]],CarrierDriverTBL!$A:$A,0))</f>
        <v>Tracy</v>
      </c>
      <c r="AY295" s="142" t="str">
        <f>INDEX(CarrierDriverTBL!$O:$O,MATCH(Table1[[#This Row],[DriverID]],CarrierDriverTBL!$A:$A,0))</f>
        <v>CA</v>
      </c>
      <c r="AZ295" s="142">
        <f>INDEX(CarrierDriverTBL!$P:$P,MATCH(Table1[[#This Row],[DriverID]],CarrierDriverTBL!$A:$A,0))</f>
        <v>95377</v>
      </c>
      <c r="BA295" s="142" t="str">
        <f>INDEX(CarrierDriverTBL!$Q:$Q,MATCH(Table1[[#This Row],[DriverID]],CarrierDriverTBL!$A:$A,0))</f>
        <v>US</v>
      </c>
      <c r="BB295" s="176" t="str">
        <f>INDEX(CarrierDriverTBL!$R:$R,MATCH(Table1[[#This Row],[DriverID]],CarrierDriverTBL!$A:$A,0))</f>
        <v>ubgollc@gmail.com</v>
      </c>
      <c r="BC295" s="160">
        <f>INDEX(CarrierDriverTBL!$AB:$AB,MATCH(Table1[[#This Row],[DriverID]],CarrierDriverTBL!$A:$A,0))</f>
        <v>42167</v>
      </c>
      <c r="BD295" s="142" t="str">
        <f ca="1">INDEX(CarrierDriverTBL!$AD:$AD,MATCH(LoadMaster!$AN:$AN,CarrierDriverTBL!$A:$A,0))</f>
        <v>MISSING</v>
      </c>
      <c r="BE295" s="142">
        <f>INDEX(CarrierDriverTBL!$AE:$AE,MATCH(Table1[DriverID],CarrierDriverTBL!$A:$A,0))</f>
        <v>913971</v>
      </c>
      <c r="BF295" s="142">
        <f>INDEX(CarrierDriverTBL!$AF:$AF,MATCH(Table1[DriverID],CarrierDriverTBL!$A:$A,0))</f>
        <v>2627544</v>
      </c>
      <c r="BG295" s="142">
        <f>INDEX(CarrierDriverTBL!$AG:$AG,MATCH(Table1[DriverID],CarrierDriverTBL!$A:$A,0))</f>
        <v>466133</v>
      </c>
      <c r="BH295" s="142" t="str">
        <f>INDEX(CarrierDriverTBL!$AH:$AH,MATCH(Table1[DriverID],CarrierDriverTBL!$A:$A,0))</f>
        <v>GM Lawrence Ins</v>
      </c>
      <c r="BI295" s="142" t="str">
        <f>INDEX(CarrierDriverTBL!$AI:$AI,MATCH(Table1[DriverID],CarrierDriverTBL!$A:$A,0))</f>
        <v>DSK2842P160210</v>
      </c>
      <c r="BJ295" s="160">
        <f>INDEX(CarrierDriverTBL!$AJ:$AJ,MATCH(Table1[[#This Row],[DriverID]],CarrierDriverTBL!$A:$A,0))</f>
        <v>42778</v>
      </c>
      <c r="BK295" s="10">
        <f t="shared" si="123"/>
        <v>366</v>
      </c>
      <c r="BL295" s="59">
        <v>300</v>
      </c>
      <c r="BM295" s="144">
        <v>84</v>
      </c>
      <c r="BN295" s="159">
        <f t="shared" si="140"/>
        <v>3.5714285714285716</v>
      </c>
      <c r="BO295" s="167">
        <v>275</v>
      </c>
      <c r="BP295" s="159">
        <f t="shared" si="141"/>
        <v>3.2738095238095237</v>
      </c>
      <c r="BQ295" s="133">
        <v>2.6</v>
      </c>
      <c r="BR295" s="166">
        <f t="shared" si="142"/>
        <v>0.1166666666666667</v>
      </c>
      <c r="BS295" s="167">
        <f t="shared" si="124"/>
        <v>3.157142857142857</v>
      </c>
      <c r="BT295" s="159">
        <f t="shared" si="125"/>
        <v>9.8000000000000025</v>
      </c>
      <c r="BU295" s="10" t="str">
        <f t="shared" si="126"/>
        <v>Cargobarn Inc.</v>
      </c>
      <c r="BV295" s="15" t="s">
        <v>1925</v>
      </c>
      <c r="BW295" s="4" t="str">
        <f>Table1[[#This Row],[BrokerAddress]]</f>
        <v>2109 W Bullard Ave # 101</v>
      </c>
      <c r="BX295" s="4" t="str">
        <f t="shared" si="127"/>
        <v>Fresno</v>
      </c>
      <c r="BY295" s="4" t="str">
        <f t="shared" si="128"/>
        <v>Ca</v>
      </c>
      <c r="BZ295" s="4">
        <f t="shared" si="129"/>
        <v>93711</v>
      </c>
      <c r="CA295" s="10" t="str">
        <f t="shared" si="130"/>
        <v>US</v>
      </c>
      <c r="CB295" s="15" t="s">
        <v>131</v>
      </c>
      <c r="CC295" s="62"/>
      <c r="CD295" s="15" t="s">
        <v>132</v>
      </c>
      <c r="CE295" s="64">
        <v>0</v>
      </c>
      <c r="CF295" s="4">
        <v>0</v>
      </c>
      <c r="CG295" s="132">
        <f t="shared" si="131"/>
        <v>0</v>
      </c>
      <c r="CH295" s="4" t="s">
        <v>132</v>
      </c>
      <c r="CI295" s="5">
        <v>0</v>
      </c>
      <c r="CJ295" s="4">
        <v>0</v>
      </c>
      <c r="CK295" s="132">
        <f t="shared" si="132"/>
        <v>0</v>
      </c>
      <c r="CL295" s="4" t="s">
        <v>132</v>
      </c>
      <c r="CM295" s="5">
        <v>0</v>
      </c>
      <c r="CN295" s="4">
        <v>0</v>
      </c>
      <c r="CO295" s="132">
        <f t="shared" si="133"/>
        <v>0</v>
      </c>
      <c r="CP295" s="4" t="s">
        <v>132</v>
      </c>
      <c r="CQ295" s="5">
        <v>0</v>
      </c>
      <c r="CR295" s="4">
        <v>0</v>
      </c>
      <c r="CS295" s="132">
        <f t="shared" si="134"/>
        <v>0</v>
      </c>
      <c r="CT295" s="159">
        <f t="shared" si="135"/>
        <v>0</v>
      </c>
      <c r="CU295" s="168">
        <f t="shared" si="136"/>
        <v>300</v>
      </c>
      <c r="CV295" s="169">
        <f t="shared" si="119"/>
        <v>0</v>
      </c>
      <c r="CW295" s="82">
        <f t="shared" si="120"/>
        <v>275</v>
      </c>
      <c r="CX295" s="79">
        <f>IF(ISBLANK(E295),"AddQuickPay",IF(E295=2,CU295*0.98,IF(E295=2.4,CU295*0.976,IF(E295=3,CU295*0.97,IF(E295=5,CU295*0.95,IF(E295=1.5,CU295*0.985,IF(E295=2.5,CU295*0.975,IF(E295=1.3,CU295*0.987,IF(E295=1,CU295*0.99,IF(E295=4,CU295*0.96,CU295*1))))))))))-Table1[[#This Row],[ComCheck+QuickPayFee]]</f>
        <v>291</v>
      </c>
      <c r="CY295" s="5">
        <f t="shared" si="137"/>
        <v>25</v>
      </c>
      <c r="CZ295" s="5">
        <f t="shared" si="138"/>
        <v>9</v>
      </c>
      <c r="DA295" s="258">
        <f>Table1[[#This Row],[OriginalDispatch]]-Table1[[#This Row],[QuickPayCharge]]</f>
        <v>16</v>
      </c>
      <c r="DB295" s="5">
        <v>0</v>
      </c>
      <c r="DC295" s="5" t="s">
        <v>133</v>
      </c>
      <c r="DD295" s="104">
        <f t="shared" si="139"/>
        <v>42412</v>
      </c>
      <c r="DE295" s="15">
        <f>MONTH(Table1[[#This Row],[Weekending]])</f>
        <v>2</v>
      </c>
      <c r="DF295" s="15">
        <f>YEAR(Table1[[#This Row],[Weekending]])</f>
        <v>2016</v>
      </c>
      <c r="DG295" s="4"/>
    </row>
    <row r="296" spans="1:111">
      <c r="A296" s="20" t="str">
        <f t="shared" si="121"/>
        <v>0006om19</v>
      </c>
      <c r="B296" s="146" t="s">
        <v>2126</v>
      </c>
      <c r="C296" s="144">
        <v>47500</v>
      </c>
      <c r="D296" s="298" t="s">
        <v>1824</v>
      </c>
      <c r="E296" s="144">
        <v>3</v>
      </c>
      <c r="F296" s="298" t="str">
        <f>INDEX(BrokerTBL!$B:$B,MATCH(D296,BrokerTBL!$A:$A,0))</f>
        <v>2109 W Bullard Ave # 101</v>
      </c>
      <c r="G296" s="298" t="str">
        <f>INDEX(BrokerTBL!$C:$C,MATCH(D296,BrokerTBL!$A:$A,0))</f>
        <v>Fresno</v>
      </c>
      <c r="H296" s="142" t="str">
        <f>INDEX(BrokerTBL!$D:$D,MATCH(D296,BrokerTBL!$A:$A,0))</f>
        <v>Ca</v>
      </c>
      <c r="I296" s="142" t="str">
        <f>INDEX(BrokerTBL!$E:$E,MATCH(D296,BrokerTBL!$A:$A,0))</f>
        <v>US</v>
      </c>
      <c r="J296" s="142">
        <f>INDEX(BrokerTBL!$F:$F,MATCH(D296,BrokerTBL!$A:$A,0))</f>
        <v>93711</v>
      </c>
      <c r="K296" s="298" t="s">
        <v>1825</v>
      </c>
      <c r="L296" s="145">
        <v>351306</v>
      </c>
      <c r="M296" s="146">
        <v>42412</v>
      </c>
      <c r="N296" s="182">
        <v>0.41666666666666702</v>
      </c>
      <c r="O296" s="298" t="s">
        <v>1826</v>
      </c>
      <c r="P296" s="298" t="s">
        <v>184</v>
      </c>
      <c r="Q296" s="298" t="s">
        <v>139</v>
      </c>
      <c r="R296" s="298">
        <v>95203</v>
      </c>
      <c r="S296" s="298" t="s">
        <v>118</v>
      </c>
      <c r="T296" s="298" t="s">
        <v>123</v>
      </c>
      <c r="U296" s="298" t="s">
        <v>120</v>
      </c>
      <c r="V296" s="298">
        <v>53</v>
      </c>
      <c r="W296" s="298" t="s">
        <v>2125</v>
      </c>
      <c r="X296" s="185">
        <v>41800</v>
      </c>
      <c r="Y296" s="298" t="s">
        <v>123</v>
      </c>
      <c r="Z296" s="298" t="s">
        <v>123</v>
      </c>
      <c r="AA296" s="298" t="s">
        <v>123</v>
      </c>
      <c r="AB296" s="298" t="s">
        <v>123</v>
      </c>
      <c r="AC296" s="298" t="s">
        <v>1828</v>
      </c>
      <c r="AD296" s="145" t="s">
        <v>2120</v>
      </c>
      <c r="AE296" s="146">
        <v>42412</v>
      </c>
      <c r="AF296" s="298" t="s">
        <v>1942</v>
      </c>
      <c r="AG296" s="298" t="s">
        <v>1829</v>
      </c>
      <c r="AH296" s="298" t="s">
        <v>787</v>
      </c>
      <c r="AI296" s="298" t="s">
        <v>139</v>
      </c>
      <c r="AJ296" s="298">
        <v>94801</v>
      </c>
      <c r="AK296" s="298" t="s">
        <v>118</v>
      </c>
      <c r="AL296" s="298" t="s">
        <v>123</v>
      </c>
      <c r="AM296" s="171" t="str">
        <f>INDEX(CarrierDriverTBL!$B:$B,MATCH(Table1[[#This Row],[DriverID]],CarrierDriverTBL!$A:$A,0))</f>
        <v>UBTrucking</v>
      </c>
      <c r="AN296" s="10" t="s">
        <v>1409</v>
      </c>
      <c r="AO296" s="298" t="str">
        <f>INDEX(CarrierDriverTBL!$C:$C,MATCH(Table1[[#This Row],[DriverID]],CarrierDriverTBL!$A:$A,0))</f>
        <v>Miguel Jaime</v>
      </c>
      <c r="AP296" s="298" t="str">
        <f>INDEX(CarrierDriverTBL!$D:$D,MATCH(Table1[[#This Row],[DriverID]],CarrierDriverTBL!$A:$A,0))</f>
        <v>Martin Del Campo Velarca</v>
      </c>
      <c r="AQ296" s="142" t="str">
        <f>INDEX(CarrierDriverTBL!$X:$X,MATCH(Table1[[#This Row],[DriverID]],CarrierDriverTBL!$A:$A,0))</f>
        <v>D5179619</v>
      </c>
      <c r="AR296" s="160">
        <f>INDEX(CarrierDriverTBL!$Y:$Y,MATCH(Table1[[#This Row],[DriverID]],CarrierDriverTBL!$A:$A,0))</f>
        <v>43843</v>
      </c>
      <c r="AS296" s="142" t="str">
        <f t="shared" si="122"/>
        <v>GOOD</v>
      </c>
      <c r="AT296" s="146">
        <f>INDEX(CarrierDriverTBL!$E:$E,MATCH(Table1[[#This Row],[DriverID]],CarrierDriverTBL!$A:$A,0))</f>
        <v>21198</v>
      </c>
      <c r="AU296" s="163">
        <f ca="1">INDEX(CarrierDriverTBL!$F:$F,MATCH(Table1[[#This Row],[DriverID]],CarrierDriverTBL!$A:$A,0))</f>
        <v>58.56986301369863</v>
      </c>
      <c r="AV296" s="298" t="str">
        <f>INDEX(CarrierDriverTBL!$K:$K,MATCH(Table1[[#This Row],[DriverID]],CarrierDriverTBL!$A:$A,0))</f>
        <v>209-322-5231</v>
      </c>
      <c r="AW296" s="298" t="str">
        <f>INDEX(CarrierDriverTBL!$M:$M,MATCH(Table1[[#This Row],[DriverID]],CarrierDriverTBL!$A:$A,0))</f>
        <v>572 Predersen RD</v>
      </c>
      <c r="AX296" s="298" t="str">
        <f>INDEX(CarrierDriverTBL!$N:$N,MATCH(Table1[[#This Row],[DriverID]],CarrierDriverTBL!$A:$A,0))</f>
        <v>Oakdale</v>
      </c>
      <c r="AY296" s="142" t="str">
        <f>INDEX(CarrierDriverTBL!$O:$O,MATCH(Table1[[#This Row],[DriverID]],CarrierDriverTBL!$A:$A,0))</f>
        <v>CA</v>
      </c>
      <c r="AZ296" s="298">
        <f>INDEX(CarrierDriverTBL!$P:$P,MATCH(Table1[[#This Row],[DriverID]],CarrierDriverTBL!$A:$A,0))</f>
        <v>95361</v>
      </c>
      <c r="BA296" s="298" t="str">
        <f>INDEX(CarrierDriverTBL!$Q:$Q,MATCH(Table1[[#This Row],[DriverID]],CarrierDriverTBL!$A:$A,0))</f>
        <v>US</v>
      </c>
      <c r="BB296" s="176" t="str">
        <f>INDEX(CarrierDriverTBL!$R:$R,MATCH(Table1[[#This Row],[DriverID]],CarrierDriverTBL!$A:$A,0))</f>
        <v>Miguelmartin52@yahoo.com</v>
      </c>
      <c r="BC296" s="160">
        <f>INDEX(CarrierDriverTBL!$AB:$AB,MATCH(Table1[[#This Row],[DriverID]],CarrierDriverTBL!$A:$A,0))</f>
        <v>42334</v>
      </c>
      <c r="BD296" s="142" t="str">
        <f ca="1">INDEX(CarrierDriverTBL!$AD:$AD,MATCH(LoadMaster!$AN:$AN,CarrierDriverTBL!$A:$A,0))</f>
        <v>MISSING</v>
      </c>
      <c r="BE296" s="142">
        <f>INDEX(CarrierDriverTBL!$AE:$AE,MATCH(Table1[DriverID],CarrierDriverTBL!$A:$A,0))</f>
        <v>913971</v>
      </c>
      <c r="BF296" s="142">
        <f>INDEX(CarrierDriverTBL!$AF:$AF,MATCH(Table1[DriverID],CarrierDriverTBL!$A:$A,0))</f>
        <v>2627544</v>
      </c>
      <c r="BG296" s="142">
        <f>INDEX(CarrierDriverTBL!$AG:$AG,MATCH(Table1[DriverID],CarrierDriverTBL!$A:$A,0))</f>
        <v>466133</v>
      </c>
      <c r="BH296" s="142" t="str">
        <f>INDEX(CarrierDriverTBL!$AH:$AH,MATCH(Table1[DriverID],CarrierDriverTBL!$A:$A,0))</f>
        <v>GM Lawrence Ins</v>
      </c>
      <c r="BI296" s="142" t="str">
        <f>INDEX(CarrierDriverTBL!$AI:$AI,MATCH(Table1[DriverID],CarrierDriverTBL!$A:$A,0))</f>
        <v>DSK2842P160210</v>
      </c>
      <c r="BJ296" s="160">
        <f>INDEX(CarrierDriverTBL!$AJ:$AJ,MATCH(Table1[[#This Row],[DriverID]],CarrierDriverTBL!$A:$A,0))</f>
        <v>42778</v>
      </c>
      <c r="BK296" s="10">
        <f t="shared" si="123"/>
        <v>366</v>
      </c>
      <c r="BL296" s="59">
        <v>300</v>
      </c>
      <c r="BM296" s="144">
        <v>84</v>
      </c>
      <c r="BN296" s="159">
        <f t="shared" si="140"/>
        <v>3.5714285714285716</v>
      </c>
      <c r="BO296" s="167">
        <f>0.93*300</f>
        <v>279</v>
      </c>
      <c r="BP296" s="159">
        <f t="shared" si="141"/>
        <v>3.3214285714285716</v>
      </c>
      <c r="BQ296" s="133">
        <v>2.6</v>
      </c>
      <c r="BR296" s="166">
        <f t="shared" si="142"/>
        <v>0.1166666666666667</v>
      </c>
      <c r="BS296" s="167">
        <f t="shared" si="124"/>
        <v>3.2047619047619049</v>
      </c>
      <c r="BT296" s="159">
        <f t="shared" si="125"/>
        <v>9.8000000000000025</v>
      </c>
      <c r="BU296" s="10" t="str">
        <f t="shared" si="126"/>
        <v>Cargobarn Inc.</v>
      </c>
      <c r="BV296" s="15"/>
      <c r="BW296" s="4" t="str">
        <f>Table1[[#This Row],[BrokerAddress]]</f>
        <v>2109 W Bullard Ave # 101</v>
      </c>
      <c r="BX296" s="4" t="str">
        <f t="shared" si="127"/>
        <v>Fresno</v>
      </c>
      <c r="BY296" s="4" t="str">
        <f t="shared" si="128"/>
        <v>Ca</v>
      </c>
      <c r="BZ296" s="4">
        <f t="shared" si="129"/>
        <v>93711</v>
      </c>
      <c r="CA296" s="10" t="str">
        <f t="shared" si="130"/>
        <v>US</v>
      </c>
      <c r="CB296" s="15" t="s">
        <v>131</v>
      </c>
      <c r="CC296" s="62"/>
      <c r="CD296" s="15" t="s">
        <v>132</v>
      </c>
      <c r="CE296" s="64">
        <v>0</v>
      </c>
      <c r="CF296" s="4">
        <v>0</v>
      </c>
      <c r="CG296" s="132">
        <f t="shared" si="131"/>
        <v>0</v>
      </c>
      <c r="CH296" s="4" t="s">
        <v>132</v>
      </c>
      <c r="CI296" s="5">
        <v>0</v>
      </c>
      <c r="CJ296" s="4">
        <v>0</v>
      </c>
      <c r="CK296" s="132">
        <f t="shared" si="132"/>
        <v>0</v>
      </c>
      <c r="CL296" s="4" t="s">
        <v>132</v>
      </c>
      <c r="CM296" s="5">
        <v>0</v>
      </c>
      <c r="CN296" s="4">
        <v>0</v>
      </c>
      <c r="CO296" s="132">
        <f t="shared" si="133"/>
        <v>0</v>
      </c>
      <c r="CP296" s="4" t="s">
        <v>132</v>
      </c>
      <c r="CQ296" s="5">
        <v>0</v>
      </c>
      <c r="CR296" s="4">
        <v>0</v>
      </c>
      <c r="CS296" s="132">
        <f t="shared" si="134"/>
        <v>0</v>
      </c>
      <c r="CT296" s="159">
        <f t="shared" si="135"/>
        <v>0</v>
      </c>
      <c r="CU296" s="168">
        <f t="shared" si="136"/>
        <v>300</v>
      </c>
      <c r="CV296" s="169">
        <f t="shared" si="119"/>
        <v>0</v>
      </c>
      <c r="CW296" s="82">
        <f t="shared" si="120"/>
        <v>279</v>
      </c>
      <c r="CX296" s="79">
        <f>IF(ISBLANK(E296),"AddQuickPay",IF(E296=2,CU296*0.98,IF(E296=2.4,CU296*0.976,IF(E296=3,CU296*0.97,IF(E296=5,CU296*0.95,IF(E296=1.5,CU296*0.985,IF(E296=2.5,CU296*0.975,IF(E296=1.3,CU296*0.987,IF(E296=1,CU296*0.99,IF(E296=4,CU296*0.96,CU296*1))))))))))-Table1[[#This Row],[ComCheck+QuickPayFee]]</f>
        <v>291</v>
      </c>
      <c r="CY296" s="5">
        <f t="shared" si="137"/>
        <v>21</v>
      </c>
      <c r="CZ296" s="5">
        <f t="shared" si="138"/>
        <v>9</v>
      </c>
      <c r="DA296" s="258">
        <f>Table1[[#This Row],[OriginalDispatch]]-Table1[[#This Row],[QuickPayCharge]]</f>
        <v>12</v>
      </c>
      <c r="DB296" s="5">
        <v>0</v>
      </c>
      <c r="DC296" s="5" t="s">
        <v>133</v>
      </c>
      <c r="DD296" s="104">
        <f t="shared" si="139"/>
        <v>42412</v>
      </c>
      <c r="DE296" s="15">
        <f>MONTH(Table1[[#This Row],[Weekending]])</f>
        <v>2</v>
      </c>
      <c r="DF296" s="15">
        <f>YEAR(Table1[[#This Row],[Weekending]])</f>
        <v>2016</v>
      </c>
      <c r="DG296" s="4"/>
    </row>
    <row r="297" spans="1:111">
      <c r="A297" s="20" t="str">
        <f t="shared" si="121"/>
        <v>30Brwn49</v>
      </c>
      <c r="B297" s="146">
        <v>42412</v>
      </c>
      <c r="C297" s="144">
        <v>8459630</v>
      </c>
      <c r="D297" s="298" t="s">
        <v>2107</v>
      </c>
      <c r="E297" s="144">
        <v>2.5</v>
      </c>
      <c r="F297" s="298" t="str">
        <f>INDEX(BrokerTBL!$B:$B,MATCH(D297,BrokerTBL!$A:$A,0))</f>
        <v>6413 Congress Ave., Suite 260</v>
      </c>
      <c r="G297" s="298" t="str">
        <f>INDEX(BrokerTBL!$C:$C,MATCH(D297,BrokerTBL!$A:$A,0))</f>
        <v>Boca Raton</v>
      </c>
      <c r="H297" s="142" t="str">
        <f>INDEX(BrokerTBL!$D:$D,MATCH(D297,BrokerTBL!$A:$A,0))</f>
        <v>Fl</v>
      </c>
      <c r="I297" s="142" t="str">
        <f>INDEX(BrokerTBL!$E:$E,MATCH(D297,BrokerTBL!$A:$A,0))</f>
        <v>US</v>
      </c>
      <c r="J297" s="298">
        <f>INDEX(BrokerTBL!$F:$F,MATCH(D297,BrokerTBL!$A:$A,0))</f>
        <v>33487</v>
      </c>
      <c r="K297" s="298" t="s">
        <v>2108</v>
      </c>
      <c r="L297" s="145" t="s">
        <v>2127</v>
      </c>
      <c r="M297" s="146">
        <v>42412</v>
      </c>
      <c r="N297" s="144" t="s">
        <v>1125</v>
      </c>
      <c r="O297" s="298" t="s">
        <v>2110</v>
      </c>
      <c r="P297" s="298" t="s">
        <v>2111</v>
      </c>
      <c r="Q297" s="298" t="s">
        <v>139</v>
      </c>
      <c r="R297" s="298">
        <v>94572</v>
      </c>
      <c r="S297" s="298" t="s">
        <v>118</v>
      </c>
      <c r="T297" s="298" t="s">
        <v>123</v>
      </c>
      <c r="U297" s="298" t="s">
        <v>120</v>
      </c>
      <c r="V297" s="298">
        <v>53</v>
      </c>
      <c r="W297" s="298" t="s">
        <v>1205</v>
      </c>
      <c r="X297" s="185">
        <v>41500</v>
      </c>
      <c r="Y297" s="298" t="s">
        <v>123</v>
      </c>
      <c r="Z297" s="298" t="s">
        <v>123</v>
      </c>
      <c r="AA297" s="298" t="s">
        <v>123</v>
      </c>
      <c r="AB297" s="298" t="s">
        <v>123</v>
      </c>
      <c r="AC297" s="298" t="s">
        <v>2112</v>
      </c>
      <c r="AD297" s="145" t="s">
        <v>1205</v>
      </c>
      <c r="AE297" s="146">
        <v>42415</v>
      </c>
      <c r="AF297" s="298" t="s">
        <v>218</v>
      </c>
      <c r="AG297" s="298" t="s">
        <v>2113</v>
      </c>
      <c r="AH297" s="298" t="s">
        <v>2114</v>
      </c>
      <c r="AI297" s="298" t="s">
        <v>264</v>
      </c>
      <c r="AJ297" s="298">
        <v>89406</v>
      </c>
      <c r="AK297" s="298" t="s">
        <v>118</v>
      </c>
      <c r="AL297" s="298" t="s">
        <v>123</v>
      </c>
      <c r="AM297" s="142" t="str">
        <f>INDEX(CarrierDriverTBL!$B:$B,MATCH(Table1[[#This Row],[DriverID]],CarrierDriverTBL!$A:$A,0))</f>
        <v>UBTrucking</v>
      </c>
      <c r="AN297" s="10" t="s">
        <v>192</v>
      </c>
      <c r="AO297" s="10" t="str">
        <f>INDEX(CarrierDriverTBL!$C:$C,MATCH(Table1[[#This Row],[DriverID]],CarrierDriverTBL!$A:$A,0))</f>
        <v>Albel</v>
      </c>
      <c r="AP297" s="142" t="str">
        <f>INDEX(CarrierDriverTBL!$D:$D,MATCH(Table1[[#This Row],[DriverID]],CarrierDriverTBL!$A:$A,0))</f>
        <v>Chahil</v>
      </c>
      <c r="AQ297" s="142" t="str">
        <f>INDEX(CarrierDriverTBL!$X:$X,MATCH(Table1[[#This Row],[DriverID]],CarrierDriverTBL!$A:$A,0))</f>
        <v>A8390649</v>
      </c>
      <c r="AR297" s="160">
        <f>INDEX(CarrierDriverTBL!$Y:$Y,MATCH(Table1[[#This Row],[DriverID]],CarrierDriverTBL!$A:$A,0))</f>
        <v>42402</v>
      </c>
      <c r="AS297" s="142" t="str">
        <f t="shared" si="122"/>
        <v>EXPIRED</v>
      </c>
      <c r="AT297" s="160">
        <f>INDEX(CarrierDriverTBL!$E:$E,MATCH(Table1[[#This Row],[DriverID]],CarrierDriverTBL!$A:$A,0))</f>
        <v>22314</v>
      </c>
      <c r="AU297" s="163">
        <f ca="1">INDEX(CarrierDriverTBL!$F:$F,MATCH(Table1[[#This Row],[DriverID]],CarrierDriverTBL!$A:$A,0))</f>
        <v>55.512328767123286</v>
      </c>
      <c r="AV297" s="142" t="str">
        <f>INDEX(CarrierDriverTBL!$K:$K,MATCH(Table1[[#This Row],[DriverID]],CarrierDriverTBL!$A:$A,0))</f>
        <v>510-773-9450</v>
      </c>
      <c r="AW297" s="142" t="str">
        <f>INDEX(CarrierDriverTBL!$M:$M,MATCH(Table1[[#This Row],[DriverID]],CarrierDriverTBL!$A:$A,0))</f>
        <v>3124 Cynthia CT</v>
      </c>
      <c r="AX297" s="142" t="str">
        <f>INDEX(CarrierDriverTBL!$N:$N,MATCH(Table1[[#This Row],[DriverID]],CarrierDriverTBL!$A:$A,0))</f>
        <v>Tracy</v>
      </c>
      <c r="AY297" s="142" t="str">
        <f>INDEX(CarrierDriverTBL!$O:$O,MATCH(Table1[[#This Row],[DriverID]],CarrierDriverTBL!$A:$A,0))</f>
        <v>CA</v>
      </c>
      <c r="AZ297" s="142">
        <f>INDEX(CarrierDriverTBL!$P:$P,MATCH(Table1[[#This Row],[DriverID]],CarrierDriverTBL!$A:$A,0))</f>
        <v>95377</v>
      </c>
      <c r="BA297" s="142" t="str">
        <f>INDEX(CarrierDriverTBL!$Q:$Q,MATCH(Table1[[#This Row],[DriverID]],CarrierDriverTBL!$A:$A,0))</f>
        <v>US</v>
      </c>
      <c r="BB297" s="176" t="str">
        <f>INDEX(CarrierDriverTBL!$R:$R,MATCH(Table1[[#This Row],[DriverID]],CarrierDriverTBL!$A:$A,0))</f>
        <v>ubgollc@gmail.com</v>
      </c>
      <c r="BC297" s="160">
        <f>INDEX(CarrierDriverTBL!$AB:$AB,MATCH(Table1[[#This Row],[DriverID]],CarrierDriverTBL!$A:$A,0))</f>
        <v>42167</v>
      </c>
      <c r="BD297" s="142" t="str">
        <f ca="1">INDEX(CarrierDriverTBL!$AD:$AD,MATCH(LoadMaster!$AN:$AN,CarrierDriverTBL!$A:$A,0))</f>
        <v>MISSING</v>
      </c>
      <c r="BE297" s="142">
        <f>INDEX(CarrierDriverTBL!$AE:$AE,MATCH(Table1[DriverID],CarrierDriverTBL!$A:$A,0))</f>
        <v>913971</v>
      </c>
      <c r="BF297" s="142">
        <f>INDEX(CarrierDriverTBL!$AF:$AF,MATCH(Table1[DriverID],CarrierDriverTBL!$A:$A,0))</f>
        <v>2627544</v>
      </c>
      <c r="BG297" s="142">
        <f>INDEX(CarrierDriverTBL!$AG:$AG,MATCH(Table1[DriverID],CarrierDriverTBL!$A:$A,0))</f>
        <v>466133</v>
      </c>
      <c r="BH297" s="142" t="str">
        <f>INDEX(CarrierDriverTBL!$AH:$AH,MATCH(Table1[DriverID],CarrierDriverTBL!$A:$A,0))</f>
        <v>GM Lawrence Ins</v>
      </c>
      <c r="BI297" s="142" t="str">
        <f>INDEX(CarrierDriverTBL!$AI:$AI,MATCH(Table1[DriverID],CarrierDriverTBL!$A:$A,0))</f>
        <v>DSK2842P160210</v>
      </c>
      <c r="BJ297" s="160">
        <f>INDEX(CarrierDriverTBL!$AJ:$AJ,MATCH(Table1[[#This Row],[DriverID]],CarrierDriverTBL!$A:$A,0))</f>
        <v>42778</v>
      </c>
      <c r="BK297" s="10">
        <f t="shared" si="123"/>
        <v>366</v>
      </c>
      <c r="BL297" s="59">
        <v>600</v>
      </c>
      <c r="BM297" s="144">
        <v>257</v>
      </c>
      <c r="BN297" s="159">
        <f t="shared" si="140"/>
        <v>2.3346303501945527</v>
      </c>
      <c r="BO297" s="174">
        <v>550</v>
      </c>
      <c r="BP297" s="159">
        <f t="shared" si="141"/>
        <v>2.1400778210116731</v>
      </c>
      <c r="BQ297" s="133">
        <v>2.6</v>
      </c>
      <c r="BR297" s="166">
        <f t="shared" si="142"/>
        <v>0.1166666666666667</v>
      </c>
      <c r="BS297" s="167">
        <f t="shared" si="124"/>
        <v>2.0234111543450064</v>
      </c>
      <c r="BT297" s="159">
        <f t="shared" si="125"/>
        <v>29.983333333333341</v>
      </c>
      <c r="BU297" s="10" t="str">
        <f t="shared" si="126"/>
        <v>Sunteck Transport Co. Inc</v>
      </c>
      <c r="BV297" s="15" t="s">
        <v>1925</v>
      </c>
      <c r="BW297" s="4" t="str">
        <f>Table1[[#This Row],[BrokerAddress]]</f>
        <v>6413 Congress Ave., Suite 260</v>
      </c>
      <c r="BX297" s="4" t="str">
        <f t="shared" si="127"/>
        <v>Boca Raton</v>
      </c>
      <c r="BY297" s="4" t="str">
        <f t="shared" si="128"/>
        <v>Fl</v>
      </c>
      <c r="BZ297" s="4">
        <f t="shared" si="129"/>
        <v>33487</v>
      </c>
      <c r="CA297" s="10" t="str">
        <f t="shared" si="130"/>
        <v>US</v>
      </c>
      <c r="CB297" s="15" t="s">
        <v>131</v>
      </c>
      <c r="CC297" s="62"/>
      <c r="CD297" s="15" t="s">
        <v>132</v>
      </c>
      <c r="CE297" s="64">
        <v>0</v>
      </c>
      <c r="CF297" s="4">
        <v>0</v>
      </c>
      <c r="CG297" s="132">
        <f t="shared" si="131"/>
        <v>0</v>
      </c>
      <c r="CH297" s="4" t="s">
        <v>132</v>
      </c>
      <c r="CI297" s="5">
        <v>0</v>
      </c>
      <c r="CJ297" s="4">
        <v>0</v>
      </c>
      <c r="CK297" s="132">
        <f t="shared" si="132"/>
        <v>0</v>
      </c>
      <c r="CL297" s="4" t="s">
        <v>132</v>
      </c>
      <c r="CM297" s="5">
        <v>0</v>
      </c>
      <c r="CN297" s="4">
        <v>0</v>
      </c>
      <c r="CO297" s="132">
        <f t="shared" si="133"/>
        <v>0</v>
      </c>
      <c r="CP297" s="4" t="s">
        <v>132</v>
      </c>
      <c r="CQ297" s="5">
        <v>0</v>
      </c>
      <c r="CR297" s="4">
        <v>0</v>
      </c>
      <c r="CS297" s="132">
        <f t="shared" si="134"/>
        <v>0</v>
      </c>
      <c r="CT297" s="159">
        <f t="shared" si="135"/>
        <v>0</v>
      </c>
      <c r="CU297" s="168">
        <f t="shared" si="136"/>
        <v>600</v>
      </c>
      <c r="CV297" s="169">
        <f t="shared" si="119"/>
        <v>0</v>
      </c>
      <c r="CW297" s="82">
        <f t="shared" si="120"/>
        <v>550</v>
      </c>
      <c r="CX297" s="79">
        <f>IF(ISBLANK(E297),"AddQuickPay",IF(E297=2,CU297*0.98,IF(E297=2.4,CU297*0.976,IF(E297=3,CU297*0.97,IF(E297=5,CU297*0.95,IF(E297=1.5,CU297*0.985,IF(E297=2.5,CU297*0.975,IF(E297=1.3,CU297*0.987,IF(E297=1,CU297*0.99,IF(E297=4,CU297*0.96,CU297*1))))))))))-Table1[[#This Row],[ComCheck+QuickPayFee]]</f>
        <v>585</v>
      </c>
      <c r="CY297" s="5">
        <f t="shared" si="137"/>
        <v>50</v>
      </c>
      <c r="CZ297" s="5">
        <f t="shared" si="138"/>
        <v>15</v>
      </c>
      <c r="DA297" s="258">
        <f>Table1[[#This Row],[OriginalDispatch]]-Table1[[#This Row],[QuickPayCharge]]</f>
        <v>35</v>
      </c>
      <c r="DB297" s="5">
        <v>0</v>
      </c>
      <c r="DC297" s="5" t="s">
        <v>133</v>
      </c>
      <c r="DD297" s="104">
        <f t="shared" si="139"/>
        <v>42412</v>
      </c>
      <c r="DE297" s="15">
        <f>MONTH(Table1[[#This Row],[Weekending]])</f>
        <v>2</v>
      </c>
      <c r="DF297" s="15">
        <f>YEAR(Table1[[#This Row],[Weekending]])</f>
        <v>2016</v>
      </c>
      <c r="DG297" s="4"/>
    </row>
    <row r="298" spans="1:111">
      <c r="A298" s="20" t="str">
        <f t="shared" si="121"/>
        <v>00393988</v>
      </c>
      <c r="B298" s="146">
        <v>42415</v>
      </c>
      <c r="C298" s="144">
        <v>2389500</v>
      </c>
      <c r="D298" s="298" t="s">
        <v>1638</v>
      </c>
      <c r="E298" s="144">
        <v>2</v>
      </c>
      <c r="F298" s="298" t="str">
        <f>INDEX(BrokerTBL!$B:$B,MATCH(D298,BrokerTBL!$A:$A,0))</f>
        <v>4040 Embassy Parkway Suite 370</v>
      </c>
      <c r="G298" s="298" t="str">
        <f>INDEX(BrokerTBL!$C:$C,MATCH(D298,BrokerTBL!$A:$A,0))</f>
        <v>Akron</v>
      </c>
      <c r="H298" s="142" t="str">
        <f>INDEX(BrokerTBL!$D:$D,MATCH(D298,BrokerTBL!$A:$A,0))</f>
        <v>Ohio</v>
      </c>
      <c r="I298" s="142" t="str">
        <f>INDEX(BrokerTBL!$E:$E,MATCH(D298,BrokerTBL!$A:$A,0))</f>
        <v>US</v>
      </c>
      <c r="J298" s="142">
        <f>INDEX(BrokerTBL!$F:$F,MATCH(D298,BrokerTBL!$A:$A,0))</f>
        <v>44333</v>
      </c>
      <c r="K298" s="298" t="s">
        <v>2128</v>
      </c>
      <c r="L298" s="145">
        <v>70012639</v>
      </c>
      <c r="M298" s="146">
        <v>42415</v>
      </c>
      <c r="N298" s="144" t="s">
        <v>2129</v>
      </c>
      <c r="O298" s="298" t="s">
        <v>2130</v>
      </c>
      <c r="P298" s="298" t="s">
        <v>2131</v>
      </c>
      <c r="Q298" s="298" t="s">
        <v>139</v>
      </c>
      <c r="R298" s="298">
        <v>95301</v>
      </c>
      <c r="S298" s="298" t="s">
        <v>118</v>
      </c>
      <c r="T298" s="298" t="s">
        <v>2132</v>
      </c>
      <c r="U298" s="298" t="s">
        <v>120</v>
      </c>
      <c r="V298" s="298">
        <v>53</v>
      </c>
      <c r="W298" s="298" t="s">
        <v>2133</v>
      </c>
      <c r="X298" s="185">
        <v>22000</v>
      </c>
      <c r="Y298" s="298" t="s">
        <v>1537</v>
      </c>
      <c r="Z298" s="298" t="s">
        <v>123</v>
      </c>
      <c r="AA298" s="298">
        <v>13</v>
      </c>
      <c r="AB298" s="298" t="s">
        <v>123</v>
      </c>
      <c r="AC298" s="298" t="s">
        <v>2134</v>
      </c>
      <c r="AD298" s="145">
        <v>70012639</v>
      </c>
      <c r="AE298" s="146">
        <v>42415</v>
      </c>
      <c r="AF298" s="298" t="s">
        <v>2135</v>
      </c>
      <c r="AG298" s="298" t="s">
        <v>2136</v>
      </c>
      <c r="AH298" s="298" t="s">
        <v>299</v>
      </c>
      <c r="AI298" s="298" t="s">
        <v>139</v>
      </c>
      <c r="AJ298" s="298">
        <v>94603</v>
      </c>
      <c r="AK298" s="298" t="s">
        <v>118</v>
      </c>
      <c r="AL298" s="298" t="s">
        <v>2137</v>
      </c>
      <c r="AM298" s="142" t="str">
        <f>INDEX(CarrierDriverTBL!$B:$B,MATCH(Table1[[#This Row],[DriverID]],CarrierDriverTBL!$A:$A,0))</f>
        <v>UBTrucking</v>
      </c>
      <c r="AN298" s="10" t="s">
        <v>948</v>
      </c>
      <c r="AO298" s="10" t="str">
        <f>INDEX(CarrierDriverTBL!$C:$C,MATCH(Table1[[#This Row],[DriverID]],CarrierDriverTBL!$A:$A,0))</f>
        <v>Wesley</v>
      </c>
      <c r="AP298" s="10" t="str">
        <f>INDEX(CarrierDriverTBL!$D:$D,MATCH(Table1[[#This Row],[DriverID]],CarrierDriverTBL!$A:$A,0))</f>
        <v>Cousain</v>
      </c>
      <c r="AQ298" s="10" t="str">
        <f>INDEX(CarrierDriverTBL!$X:$X,MATCH(Table1[[#This Row],[DriverID]],CarrierDriverTBL!$A:$A,0))</f>
        <v>D4903588</v>
      </c>
      <c r="AR298" s="11">
        <f>INDEX(CarrierDriverTBL!$Y:$Y,MATCH(Table1[[#This Row],[DriverID]],CarrierDriverTBL!$A:$A,0))</f>
        <v>43458</v>
      </c>
      <c r="AS298" s="142" t="str">
        <f t="shared" si="122"/>
        <v>GOOD</v>
      </c>
      <c r="AT298" s="11">
        <f>INDEX(CarrierDriverTBL!$E:$E,MATCH(Table1[[#This Row],[DriverID]],CarrierDriverTBL!$A:$A,0))</f>
        <v>31405</v>
      </c>
      <c r="AU298" s="163">
        <f ca="1">INDEX(CarrierDriverTBL!$F:$F,MATCH(Table1[[#This Row],[DriverID]],CarrierDriverTBL!$A:$A,0))</f>
        <v>30.605479452054794</v>
      </c>
      <c r="AV298" s="10" t="str">
        <f>INDEX(CarrierDriverTBL!$K:$K,MATCH(Table1[[#This Row],[DriverID]],CarrierDriverTBL!$A:$A,0))</f>
        <v>925-383-5364</v>
      </c>
      <c r="AW298" s="10" t="str">
        <f>INDEX(CarrierDriverTBL!$M:$M,MATCH(Table1[[#This Row],[DriverID]],CarrierDriverTBL!$A:$A,0))</f>
        <v>110 Cordova Ln</v>
      </c>
      <c r="AX298" s="10" t="str">
        <f>INDEX(CarrierDriverTBL!$N:$N,MATCH(Table1[[#This Row],[DriverID]],CarrierDriverTBL!$A:$A,0))</f>
        <v>Stockton</v>
      </c>
      <c r="AY298" s="10" t="str">
        <f>INDEX(CarrierDriverTBL!$O:$O,MATCH(Table1[[#This Row],[DriverID]],CarrierDriverTBL!$A:$A,0))</f>
        <v>CA</v>
      </c>
      <c r="AZ298" s="10">
        <f>INDEX(CarrierDriverTBL!$P:$P,MATCH(Table1[[#This Row],[DriverID]],CarrierDriverTBL!$A:$A,0))</f>
        <v>95207</v>
      </c>
      <c r="BA298" s="10" t="str">
        <f>INDEX(CarrierDriverTBL!$Q:$Q,MATCH(Table1[[#This Row],[DriverID]],CarrierDriverTBL!$A:$A,0))</f>
        <v>US</v>
      </c>
      <c r="BB298" s="173" t="str">
        <f>INDEX(CarrierDriverTBL!$R:$R,MATCH(Table1[[#This Row],[DriverID]],CarrierDriverTBL!$A:$A,0))</f>
        <v>wesleycousain1@gmail.com</v>
      </c>
      <c r="BC298" s="160">
        <f>INDEX(CarrierDriverTBL!$AB:$AB,MATCH(Table1[[#This Row],[DriverID]],CarrierDriverTBL!$A:$A,0))</f>
        <v>42271</v>
      </c>
      <c r="BD298" s="142" t="str">
        <f ca="1">INDEX(CarrierDriverTBL!$AD:$AD,MATCH(LoadMaster!$AN:$AN,CarrierDriverTBL!$A:$A,0))</f>
        <v>MISSING</v>
      </c>
      <c r="BE298" s="142">
        <f>INDEX(CarrierDriverTBL!$AE:$AE,MATCH(Table1[DriverID],CarrierDriverTBL!$A:$A,0))</f>
        <v>913971</v>
      </c>
      <c r="BF298" s="142">
        <f>INDEX(CarrierDriverTBL!$AF:$AF,MATCH(Table1[DriverID],CarrierDriverTBL!$A:$A,0))</f>
        <v>2627544</v>
      </c>
      <c r="BG298" s="142">
        <f>INDEX(CarrierDriverTBL!$AG:$AG,MATCH(Table1[DriverID],CarrierDriverTBL!$A:$A,0))</f>
        <v>466133</v>
      </c>
      <c r="BH298" s="142" t="str">
        <f>INDEX(CarrierDriverTBL!$AH:$AH,MATCH(Table1[DriverID],CarrierDriverTBL!$A:$A,0))</f>
        <v>GM Lawrence Ins</v>
      </c>
      <c r="BI298" s="142" t="str">
        <f>INDEX(CarrierDriverTBL!$AI:$AI,MATCH(Table1[DriverID],CarrierDriverTBL!$A:$A,0))</f>
        <v>DSK2842P160210</v>
      </c>
      <c r="BJ298" s="160">
        <f>INDEX(CarrierDriverTBL!$AJ:$AJ,MATCH(Table1[[#This Row],[DriverID]],CarrierDriverTBL!$A:$A,0))</f>
        <v>42778</v>
      </c>
      <c r="BK298" s="10">
        <f t="shared" si="123"/>
        <v>363</v>
      </c>
      <c r="BL298" s="59">
        <v>400</v>
      </c>
      <c r="BM298" s="144">
        <v>111</v>
      </c>
      <c r="BN298" s="159">
        <f t="shared" si="140"/>
        <v>3.6036036036036037</v>
      </c>
      <c r="BO298" s="174">
        <f>0.93*400</f>
        <v>372</v>
      </c>
      <c r="BP298" s="159">
        <f t="shared" si="141"/>
        <v>3.3513513513513513</v>
      </c>
      <c r="BQ298" s="133">
        <v>2.6</v>
      </c>
      <c r="BR298" s="166">
        <f t="shared" si="142"/>
        <v>0.1166666666666667</v>
      </c>
      <c r="BS298" s="167">
        <f t="shared" si="124"/>
        <v>3.2346846846846846</v>
      </c>
      <c r="BT298" s="159">
        <f t="shared" si="125"/>
        <v>12.950000000000003</v>
      </c>
      <c r="BU298" s="10" t="str">
        <f t="shared" si="126"/>
        <v>Matson Logistics</v>
      </c>
      <c r="BV298" s="15" t="s">
        <v>1973</v>
      </c>
      <c r="BW298" s="4" t="str">
        <f>Table1[[#This Row],[BrokerAddress]]</f>
        <v>4040 Embassy Parkway Suite 370</v>
      </c>
      <c r="BX298" s="4" t="str">
        <f t="shared" si="127"/>
        <v>Akron</v>
      </c>
      <c r="BY298" s="4" t="str">
        <f t="shared" si="128"/>
        <v>Ohio</v>
      </c>
      <c r="BZ298" s="4">
        <f t="shared" si="129"/>
        <v>44333</v>
      </c>
      <c r="CA298" s="10" t="str">
        <f t="shared" si="130"/>
        <v>US</v>
      </c>
      <c r="CB298" s="15" t="s">
        <v>131</v>
      </c>
      <c r="CC298" s="62"/>
      <c r="CD298" s="15" t="s">
        <v>132</v>
      </c>
      <c r="CE298" s="64">
        <v>0</v>
      </c>
      <c r="CF298" s="4">
        <v>0</v>
      </c>
      <c r="CG298" s="132">
        <f t="shared" si="131"/>
        <v>0</v>
      </c>
      <c r="CH298" s="4" t="s">
        <v>132</v>
      </c>
      <c r="CI298" s="5">
        <v>0</v>
      </c>
      <c r="CJ298" s="4">
        <v>0</v>
      </c>
      <c r="CK298" s="132">
        <f t="shared" si="132"/>
        <v>0</v>
      </c>
      <c r="CL298" s="4" t="s">
        <v>132</v>
      </c>
      <c r="CM298" s="5">
        <v>0</v>
      </c>
      <c r="CN298" s="4">
        <v>0</v>
      </c>
      <c r="CO298" s="132">
        <f t="shared" si="133"/>
        <v>0</v>
      </c>
      <c r="CP298" s="4" t="s">
        <v>132</v>
      </c>
      <c r="CQ298" s="5">
        <v>0</v>
      </c>
      <c r="CR298" s="4">
        <v>0</v>
      </c>
      <c r="CS298" s="132">
        <f t="shared" si="134"/>
        <v>0</v>
      </c>
      <c r="CT298" s="159">
        <f t="shared" si="135"/>
        <v>0</v>
      </c>
      <c r="CU298" s="168">
        <f t="shared" si="136"/>
        <v>400</v>
      </c>
      <c r="CV298" s="169">
        <f t="shared" si="119"/>
        <v>0</v>
      </c>
      <c r="CW298" s="82">
        <f t="shared" si="120"/>
        <v>372</v>
      </c>
      <c r="CX298" s="79">
        <f>IF(ISBLANK(E298),"AddQuickPay",IF(E298=2,CU298*0.98,IF(E298=2.4,CU298*0.976,IF(E298=3,CU298*0.97,IF(E298=5,CU298*0.95,IF(E298=1.5,CU298*0.985,IF(E298=2.5,CU298*0.975,IF(E298=1.3,CU298*0.987,IF(E298=1,CU298*0.99,IF(E298=4,CU298*0.96,CU298*1))))))))))-Table1[[#This Row],[ComCheck+QuickPayFee]]</f>
        <v>392</v>
      </c>
      <c r="CY298" s="5">
        <f t="shared" si="137"/>
        <v>28</v>
      </c>
      <c r="CZ298" s="5">
        <f t="shared" si="138"/>
        <v>8</v>
      </c>
      <c r="DA298" s="258">
        <f>Table1[[#This Row],[OriginalDispatch]]-Table1[[#This Row],[QuickPayCharge]]</f>
        <v>20</v>
      </c>
      <c r="DB298" s="5">
        <v>0</v>
      </c>
      <c r="DC298" s="5" t="s">
        <v>133</v>
      </c>
      <c r="DD298" s="104">
        <f t="shared" si="139"/>
        <v>42419</v>
      </c>
      <c r="DE298" s="15">
        <f>MONTH(Table1[[#This Row],[Weekending]])</f>
        <v>2</v>
      </c>
      <c r="DF298" s="15">
        <f>YEAR(Table1[[#This Row],[Weekending]])</f>
        <v>2016</v>
      </c>
      <c r="DG298" s="4"/>
    </row>
    <row r="299" spans="1:111">
      <c r="A299" s="20" t="str">
        <f t="shared" si="121"/>
        <v>49885449</v>
      </c>
      <c r="B299" s="146">
        <v>42415</v>
      </c>
      <c r="C299" s="144">
        <v>6924249</v>
      </c>
      <c r="D299" s="298" t="s">
        <v>445</v>
      </c>
      <c r="E299" s="298">
        <v>3</v>
      </c>
      <c r="F299" s="298" t="str">
        <f>INDEX(BrokerTBL!$B:$B,MATCH(D299,BrokerTBL!$A:$A,0))</f>
        <v>960 Northpoint Parkway Suite 150</v>
      </c>
      <c r="G299" s="144" t="str">
        <f>INDEX(BrokerTBL!$C:$C,MATCH(D299,BrokerTBL!$A:$A,0))</f>
        <v>Alpharetta</v>
      </c>
      <c r="H299" s="142" t="str">
        <f>INDEX(BrokerTBL!$D:$D,MATCH(D299,BrokerTBL!$A:$A,0))</f>
        <v>Ga</v>
      </c>
      <c r="I299" s="142" t="str">
        <f>INDEX(BrokerTBL!$E:$E,MATCH(D299,BrokerTBL!$A:$A,0))</f>
        <v>US</v>
      </c>
      <c r="J299" s="298">
        <f>INDEX(BrokerTBL!$F:$F,MATCH(D299,BrokerTBL!$A:$A,0))</f>
        <v>30005</v>
      </c>
      <c r="K299" s="298" t="s">
        <v>1888</v>
      </c>
      <c r="L299" s="145">
        <v>761888</v>
      </c>
      <c r="M299" s="146">
        <v>42415</v>
      </c>
      <c r="N299" s="144" t="s">
        <v>2138</v>
      </c>
      <c r="O299" s="298" t="s">
        <v>2139</v>
      </c>
      <c r="P299" s="298" t="s">
        <v>1642</v>
      </c>
      <c r="Q299" s="298" t="s">
        <v>139</v>
      </c>
      <c r="R299" s="298">
        <v>89706</v>
      </c>
      <c r="S299" s="298" t="s">
        <v>118</v>
      </c>
      <c r="T299" s="298" t="s">
        <v>2140</v>
      </c>
      <c r="U299" s="298" t="s">
        <v>120</v>
      </c>
      <c r="V299" s="298">
        <v>53</v>
      </c>
      <c r="W299" s="298" t="s">
        <v>2141</v>
      </c>
      <c r="X299" s="185">
        <v>45500</v>
      </c>
      <c r="Y299" s="298" t="s">
        <v>1537</v>
      </c>
      <c r="Z299" s="298" t="s">
        <v>123</v>
      </c>
      <c r="AA299" s="298">
        <v>22</v>
      </c>
      <c r="AB299" s="298" t="s">
        <v>123</v>
      </c>
      <c r="AC299" s="298" t="s">
        <v>2142</v>
      </c>
      <c r="AD299" s="145">
        <v>27092054</v>
      </c>
      <c r="AE299" s="146">
        <v>42416</v>
      </c>
      <c r="AF299" s="298" t="s">
        <v>1723</v>
      </c>
      <c r="AG299" s="298" t="s">
        <v>2143</v>
      </c>
      <c r="AH299" s="298" t="s">
        <v>184</v>
      </c>
      <c r="AI299" s="298" t="s">
        <v>139</v>
      </c>
      <c r="AJ299" s="298">
        <v>95201</v>
      </c>
      <c r="AK299" s="298" t="s">
        <v>118</v>
      </c>
      <c r="AL299" s="298" t="s">
        <v>2144</v>
      </c>
      <c r="AM299" s="142" t="str">
        <f>INDEX(CarrierDriverTBL!$B:$B,MATCH(Table1[[#This Row],[DriverID]],CarrierDriverTBL!$A:$A,0))</f>
        <v>UBTrucking</v>
      </c>
      <c r="AN299" s="10" t="s">
        <v>192</v>
      </c>
      <c r="AO299" s="10" t="str">
        <f>INDEX(CarrierDriverTBL!$C:$C,MATCH(Table1[[#This Row],[DriverID]],CarrierDriverTBL!$A:$A,0))</f>
        <v>Albel</v>
      </c>
      <c r="AP299" s="142" t="str">
        <f>INDEX(CarrierDriverTBL!$D:$D,MATCH(Table1[[#This Row],[DriverID]],CarrierDriverTBL!$A:$A,0))</f>
        <v>Chahil</v>
      </c>
      <c r="AQ299" s="142" t="str">
        <f>INDEX(CarrierDriverTBL!$X:$X,MATCH(Table1[[#This Row],[DriverID]],CarrierDriverTBL!$A:$A,0))</f>
        <v>A8390649</v>
      </c>
      <c r="AR299" s="160">
        <f>INDEX(CarrierDriverTBL!$Y:$Y,MATCH(Table1[[#This Row],[DriverID]],CarrierDriverTBL!$A:$A,0))</f>
        <v>42402</v>
      </c>
      <c r="AS299" s="142" t="str">
        <f t="shared" si="122"/>
        <v>EXPIRED</v>
      </c>
      <c r="AT299" s="160">
        <f>INDEX(CarrierDriverTBL!$E:$E,MATCH(Table1[[#This Row],[DriverID]],CarrierDriverTBL!$A:$A,0))</f>
        <v>22314</v>
      </c>
      <c r="AU299" s="163">
        <f ca="1">INDEX(CarrierDriverTBL!$F:$F,MATCH(Table1[[#This Row],[DriverID]],CarrierDriverTBL!$A:$A,0))</f>
        <v>55.512328767123286</v>
      </c>
      <c r="AV299" s="142" t="str">
        <f>INDEX(CarrierDriverTBL!$K:$K,MATCH(Table1[[#This Row],[DriverID]],CarrierDriverTBL!$A:$A,0))</f>
        <v>510-773-9450</v>
      </c>
      <c r="AW299" s="142" t="str">
        <f>INDEX(CarrierDriverTBL!$M:$M,MATCH(Table1[[#This Row],[DriverID]],CarrierDriverTBL!$A:$A,0))</f>
        <v>3124 Cynthia CT</v>
      </c>
      <c r="AX299" s="142" t="str">
        <f>INDEX(CarrierDriverTBL!$N:$N,MATCH(Table1[[#This Row],[DriverID]],CarrierDriverTBL!$A:$A,0))</f>
        <v>Tracy</v>
      </c>
      <c r="AY299" s="142" t="str">
        <f>INDEX(CarrierDriverTBL!$O:$O,MATCH(Table1[[#This Row],[DriverID]],CarrierDriverTBL!$A:$A,0))</f>
        <v>CA</v>
      </c>
      <c r="AZ299" s="142">
        <f>INDEX(CarrierDriverTBL!$P:$P,MATCH(Table1[[#This Row],[DriverID]],CarrierDriverTBL!$A:$A,0))</f>
        <v>95377</v>
      </c>
      <c r="BA299" s="142" t="str">
        <f>INDEX(CarrierDriverTBL!$Q:$Q,MATCH(Table1[[#This Row],[DriverID]],CarrierDriverTBL!$A:$A,0))</f>
        <v>US</v>
      </c>
      <c r="BB299" s="176" t="str">
        <f>INDEX(CarrierDriverTBL!$R:$R,MATCH(Table1[[#This Row],[DriverID]],CarrierDriverTBL!$A:$A,0))</f>
        <v>ubgollc@gmail.com</v>
      </c>
      <c r="BC299" s="160">
        <f>INDEX(CarrierDriverTBL!$AB:$AB,MATCH(Table1[[#This Row],[DriverID]],CarrierDriverTBL!$A:$A,0))</f>
        <v>42167</v>
      </c>
      <c r="BD299" s="142" t="str">
        <f ca="1">INDEX(CarrierDriverTBL!$AD:$AD,MATCH(LoadMaster!$AN:$AN,CarrierDriverTBL!$A:$A,0))</f>
        <v>MISSING</v>
      </c>
      <c r="BE299" s="142">
        <f>INDEX(CarrierDriverTBL!$AE:$AE,MATCH(Table1[DriverID],CarrierDriverTBL!$A:$A,0))</f>
        <v>913971</v>
      </c>
      <c r="BF299" s="142">
        <f>INDEX(CarrierDriverTBL!$AF:$AF,MATCH(Table1[DriverID],CarrierDriverTBL!$A:$A,0))</f>
        <v>2627544</v>
      </c>
      <c r="BG299" s="142">
        <f>INDEX(CarrierDriverTBL!$AG:$AG,MATCH(Table1[DriverID],CarrierDriverTBL!$A:$A,0))</f>
        <v>466133</v>
      </c>
      <c r="BH299" s="142" t="str">
        <f>INDEX(CarrierDriverTBL!$AH:$AH,MATCH(Table1[DriverID],CarrierDriverTBL!$A:$A,0))</f>
        <v>GM Lawrence Ins</v>
      </c>
      <c r="BI299" s="142" t="str">
        <f>INDEX(CarrierDriverTBL!$AI:$AI,MATCH(Table1[DriverID],CarrierDriverTBL!$A:$A,0))</f>
        <v>DSK2842P160210</v>
      </c>
      <c r="BJ299" s="160">
        <f>INDEX(CarrierDriverTBL!$AJ:$AJ,MATCH(Table1[[#This Row],[DriverID]],CarrierDriverTBL!$A:$A,0))</f>
        <v>42778</v>
      </c>
      <c r="BK299" s="10">
        <f t="shared" si="123"/>
        <v>363</v>
      </c>
      <c r="BL299" s="59">
        <v>500</v>
      </c>
      <c r="BM299" s="144">
        <v>212</v>
      </c>
      <c r="BN299" s="159">
        <f t="shared" si="140"/>
        <v>2.358490566037736</v>
      </c>
      <c r="BO299" s="174">
        <v>450</v>
      </c>
      <c r="BP299" s="159">
        <f t="shared" si="141"/>
        <v>2.1226415094339623</v>
      </c>
      <c r="BQ299" s="133">
        <v>2.6</v>
      </c>
      <c r="BR299" s="166">
        <f t="shared" si="142"/>
        <v>0.1166666666666667</v>
      </c>
      <c r="BS299" s="167">
        <f t="shared" si="124"/>
        <v>2.0059748427672957</v>
      </c>
      <c r="BT299" s="159">
        <f t="shared" si="125"/>
        <v>24.733333333333341</v>
      </c>
      <c r="BU299" s="10" t="str">
        <f t="shared" si="126"/>
        <v>Coyote</v>
      </c>
      <c r="BV299" s="15"/>
      <c r="BW299" s="4" t="str">
        <f>Table1[[#This Row],[BrokerAddress]]</f>
        <v>960 Northpoint Parkway Suite 150</v>
      </c>
      <c r="BX299" s="4" t="str">
        <f t="shared" si="127"/>
        <v>Alpharetta</v>
      </c>
      <c r="BY299" s="4" t="str">
        <f t="shared" si="128"/>
        <v>Ga</v>
      </c>
      <c r="BZ299" s="4">
        <f t="shared" si="129"/>
        <v>30005</v>
      </c>
      <c r="CA299" s="10" t="str">
        <f t="shared" si="130"/>
        <v>US</v>
      </c>
      <c r="CB299" s="15" t="s">
        <v>131</v>
      </c>
      <c r="CC299" s="62"/>
      <c r="CD299" s="15" t="s">
        <v>132</v>
      </c>
      <c r="CE299" s="64">
        <v>0</v>
      </c>
      <c r="CF299" s="4">
        <v>0</v>
      </c>
      <c r="CG299" s="132">
        <f t="shared" si="131"/>
        <v>0</v>
      </c>
      <c r="CH299" s="4" t="s">
        <v>132</v>
      </c>
      <c r="CI299" s="5">
        <v>0</v>
      </c>
      <c r="CJ299" s="4">
        <v>0</v>
      </c>
      <c r="CK299" s="132">
        <f t="shared" si="132"/>
        <v>0</v>
      </c>
      <c r="CL299" s="4" t="s">
        <v>132</v>
      </c>
      <c r="CM299" s="5">
        <v>0</v>
      </c>
      <c r="CN299" s="4">
        <v>0</v>
      </c>
      <c r="CO299" s="132">
        <f t="shared" si="133"/>
        <v>0</v>
      </c>
      <c r="CP299" s="4" t="s">
        <v>132</v>
      </c>
      <c r="CQ299" s="5">
        <v>0</v>
      </c>
      <c r="CR299" s="4">
        <v>0</v>
      </c>
      <c r="CS299" s="132">
        <f t="shared" si="134"/>
        <v>0</v>
      </c>
      <c r="CT299" s="159">
        <f t="shared" si="135"/>
        <v>0</v>
      </c>
      <c r="CU299" s="168">
        <f t="shared" si="136"/>
        <v>500</v>
      </c>
      <c r="CV299" s="169">
        <f t="shared" si="119"/>
        <v>0</v>
      </c>
      <c r="CW299" s="82">
        <f t="shared" si="120"/>
        <v>450</v>
      </c>
      <c r="CX299" s="79">
        <f>IF(ISBLANK(E299),"AddQuickPay",IF(E299=2,CU299*0.98,IF(E299=2.4,CU299*0.976,IF(E299=3,CU299*0.97,IF(E299=5,CU299*0.95,IF(E299=1.5,CU299*0.985,IF(E299=2.5,CU299*0.975,IF(E299=1.3,CU299*0.987,IF(E299=1,CU299*0.99,IF(E299=4,CU299*0.96,CU299*1))))))))))-Table1[[#This Row],[ComCheck+QuickPayFee]]</f>
        <v>485</v>
      </c>
      <c r="CY299" s="5">
        <f t="shared" si="137"/>
        <v>50</v>
      </c>
      <c r="CZ299" s="5">
        <f t="shared" si="138"/>
        <v>15</v>
      </c>
      <c r="DA299" s="258">
        <f>Table1[[#This Row],[OriginalDispatch]]-Table1[[#This Row],[QuickPayCharge]]</f>
        <v>35</v>
      </c>
      <c r="DB299" s="5">
        <v>0</v>
      </c>
      <c r="DC299" s="5" t="s">
        <v>133</v>
      </c>
      <c r="DD299" s="104">
        <f t="shared" si="139"/>
        <v>42419</v>
      </c>
      <c r="DE299" s="15">
        <f>MONTH(Table1[[#This Row],[Weekending]])</f>
        <v>2</v>
      </c>
      <c r="DF299" s="15">
        <f>YEAR(Table1[[#This Row],[Weekending]])</f>
        <v>2016</v>
      </c>
      <c r="DG299" s="4"/>
    </row>
    <row r="300" spans="1:111">
      <c r="A300" s="416" t="str">
        <f t="shared" si="121"/>
        <v>9417wn30</v>
      </c>
      <c r="B300" s="104">
        <v>42415</v>
      </c>
      <c r="C300" s="15">
        <v>194</v>
      </c>
      <c r="D300" s="416" t="s">
        <v>435</v>
      </c>
      <c r="E300" s="15">
        <v>0</v>
      </c>
      <c r="F300" s="298" t="str">
        <f>INDEX(BrokerTBL!$B:$B,MATCH(D300,BrokerTBL!$A:$A,0))</f>
        <v xml:space="preserve">920 Riverside Prkwy Suite #10 </v>
      </c>
      <c r="G300" s="416" t="str">
        <f>INDEX(BrokerTBL!$C:$C,MATCH(D300,BrokerTBL!$A:$A,0))</f>
        <v>West Sacramento</v>
      </c>
      <c r="H300" s="131" t="str">
        <f>INDEX(BrokerTBL!$D:$D,MATCH(D300,BrokerTBL!$A:$A,0))</f>
        <v>Ca</v>
      </c>
      <c r="I300" s="131" t="str">
        <f>INDEX(BrokerTBL!$E:$E,MATCH(D300,BrokerTBL!$A:$A,0))</f>
        <v>US</v>
      </c>
      <c r="J300" s="131">
        <f>INDEX(BrokerTBL!$F:$F,MATCH(D300,BrokerTBL!$A:$A,0))</f>
        <v>95605</v>
      </c>
      <c r="K300" s="416" t="s">
        <v>2145</v>
      </c>
      <c r="L300" s="81">
        <v>310016217</v>
      </c>
      <c r="M300" s="104">
        <v>42415</v>
      </c>
      <c r="N300" s="162" t="s">
        <v>123</v>
      </c>
      <c r="O300" s="15" t="s">
        <v>2146</v>
      </c>
      <c r="P300" s="416" t="s">
        <v>564</v>
      </c>
      <c r="Q300" s="416" t="s">
        <v>139</v>
      </c>
      <c r="R300" s="416">
        <v>94509</v>
      </c>
      <c r="S300" s="416" t="s">
        <v>118</v>
      </c>
      <c r="T300" s="298" t="s">
        <v>123</v>
      </c>
      <c r="U300" s="416" t="s">
        <v>120</v>
      </c>
      <c r="V300" s="416">
        <v>53</v>
      </c>
      <c r="W300" s="416" t="s">
        <v>1205</v>
      </c>
      <c r="X300" s="144" t="s">
        <v>123</v>
      </c>
      <c r="Y300" s="15" t="s">
        <v>123</v>
      </c>
      <c r="Z300" s="416" t="s">
        <v>123</v>
      </c>
      <c r="AA300" s="416" t="s">
        <v>123</v>
      </c>
      <c r="AB300" s="416" t="s">
        <v>123</v>
      </c>
      <c r="AC300" s="416" t="s">
        <v>2147</v>
      </c>
      <c r="AD300" s="81" t="s">
        <v>1205</v>
      </c>
      <c r="AE300" s="104">
        <v>42415</v>
      </c>
      <c r="AF300" s="416" t="s">
        <v>123</v>
      </c>
      <c r="AG300" s="416" t="s">
        <v>2148</v>
      </c>
      <c r="AH300" s="416" t="s">
        <v>689</v>
      </c>
      <c r="AI300" s="416" t="s">
        <v>139</v>
      </c>
      <c r="AJ300" s="416">
        <v>95605</v>
      </c>
      <c r="AK300" s="416" t="s">
        <v>118</v>
      </c>
      <c r="AL300" s="416" t="s">
        <v>123</v>
      </c>
      <c r="AM300" s="171" t="str">
        <f>INDEX(CarrierDriverTBL!$B:$B,MATCH(Table1[[#This Row],[DriverID]],CarrierDriverTBL!$A:$A,0))</f>
        <v>UBTrucking</v>
      </c>
      <c r="AN300" s="10" t="s">
        <v>2149</v>
      </c>
      <c r="AO300" s="171" t="str">
        <f>INDEX(CarrierDriverTBL!$C:$C,MATCH(Table1[[#This Row],[DriverID]],CarrierDriverTBL!$A:$A,0))</f>
        <v>Sukhpal</v>
      </c>
      <c r="AP300" s="171" t="str">
        <f>INDEX(CarrierDriverTBL!$D:$D,MATCH(Table1[[#This Row],[DriverID]],CarrierDriverTBL!$A:$A,0))</f>
        <v>Singh</v>
      </c>
      <c r="AQ300" s="171" t="str">
        <f>INDEX(CarrierDriverTBL!$X:$X,MATCH(Table1[[#This Row],[DriverID]],CarrierDriverTBL!$A:$A,0))</f>
        <v>B4532630</v>
      </c>
      <c r="AR300" s="172">
        <f>INDEX(CarrierDriverTBL!$Y:$Y,MATCH(Table1[[#This Row],[DriverID]],CarrierDriverTBL!$A:$A,0))</f>
        <v>42629</v>
      </c>
      <c r="AS300" s="142" t="str">
        <f t="shared" si="122"/>
        <v>GOOD</v>
      </c>
      <c r="AT300" s="172">
        <f>INDEX(CarrierDriverTBL!$E:$E,MATCH(Table1[[#This Row],[DriverID]],CarrierDriverTBL!$A:$A,0))</f>
        <v>29114</v>
      </c>
      <c r="AU300" s="163">
        <f ca="1">INDEX(CarrierDriverTBL!$F:$F,MATCH(Table1[[#This Row],[DriverID]],CarrierDriverTBL!$A:$A,0))</f>
        <v>36.88219178082192</v>
      </c>
      <c r="AV300" s="171" t="str">
        <f>INDEX(CarrierDriverTBL!$K:$K,MATCH(Table1[[#This Row],[DriverID]],CarrierDriverTBL!$A:$A,0))</f>
        <v>916-833-9981</v>
      </c>
      <c r="AW300" s="171" t="str">
        <f>INDEX(CarrierDriverTBL!$M:$M,MATCH(Table1[[#This Row],[DriverID]],CarrierDriverTBL!$A:$A,0))</f>
        <v>Missing</v>
      </c>
      <c r="AX300" s="171" t="str">
        <f>INDEX(CarrierDriverTBL!$N:$N,MATCH(Table1[[#This Row],[DriverID]],CarrierDriverTBL!$A:$A,0))</f>
        <v>Manteca</v>
      </c>
      <c r="AY300" s="171" t="str">
        <f>INDEX(CarrierDriverTBL!$O:$O,MATCH(Table1[[#This Row],[DriverID]],CarrierDriverTBL!$A:$A,0))</f>
        <v>CA</v>
      </c>
      <c r="AZ300" s="171">
        <f>INDEX(CarrierDriverTBL!$P:$P,MATCH(Table1[[#This Row],[DriverID]],CarrierDriverTBL!$A:$A,0))</f>
        <v>95337</v>
      </c>
      <c r="BA300" s="171" t="str">
        <f>INDEX(CarrierDriverTBL!$Q:$Q,MATCH(Table1[[#This Row],[DriverID]],CarrierDriverTBL!$A:$A,0))</f>
        <v>US</v>
      </c>
      <c r="BB300" s="224" t="str">
        <f>INDEX(CarrierDriverTBL!$R:$R,MATCH(Table1[[#This Row],[DriverID]],CarrierDriverTBL!$A:$A,0))</f>
        <v>htl0916@gmail.com</v>
      </c>
      <c r="BC300" s="160">
        <f>INDEX(CarrierDriverTBL!$AB:$AB,MATCH(Table1[[#This Row],[DriverID]],CarrierDriverTBL!$A:$A,0))</f>
        <v>42413</v>
      </c>
      <c r="BD300" s="142" t="str">
        <f ca="1">INDEX(CarrierDriverTBL!$AD:$AD,MATCH(LoadMaster!$AN:$AN,CarrierDriverTBL!$A:$A,0))</f>
        <v>MISSING</v>
      </c>
      <c r="BE300" s="142">
        <f>INDEX(CarrierDriverTBL!$AE:$AE,MATCH(Table1[DriverID],CarrierDriverTBL!$A:$A,0))</f>
        <v>913971</v>
      </c>
      <c r="BF300" s="142">
        <f>INDEX(CarrierDriverTBL!$AF:$AF,MATCH(Table1[DriverID],CarrierDriverTBL!$A:$A,0))</f>
        <v>2627544</v>
      </c>
      <c r="BG300" s="142">
        <f>INDEX(CarrierDriverTBL!$AG:$AG,MATCH(Table1[DriverID],CarrierDriverTBL!$A:$A,0))</f>
        <v>466133</v>
      </c>
      <c r="BH300" s="142" t="str">
        <f>INDEX(CarrierDriverTBL!$AH:$AH,MATCH(Table1[DriverID],CarrierDriverTBL!$A:$A,0))</f>
        <v>GM Lawrence Ins</v>
      </c>
      <c r="BI300" s="142" t="str">
        <f>INDEX(CarrierDriverTBL!$AI:$AI,MATCH(Table1[DriverID],CarrierDriverTBL!$A:$A,0))</f>
        <v>DSK2842P160210</v>
      </c>
      <c r="BJ300" s="160">
        <f>INDEX(CarrierDriverTBL!$AJ:$AJ,MATCH(Table1[[#This Row],[DriverID]],CarrierDriverTBL!$A:$A,0))</f>
        <v>42778</v>
      </c>
      <c r="BK300" s="10">
        <f t="shared" si="123"/>
        <v>363</v>
      </c>
      <c r="BL300" s="5">
        <v>200</v>
      </c>
      <c r="BM300" s="171">
        <v>58</v>
      </c>
      <c r="BN300" s="159">
        <f t="shared" si="140"/>
        <v>3.4482758620689653</v>
      </c>
      <c r="BO300" s="134">
        <f>0.93*200</f>
        <v>186</v>
      </c>
      <c r="BP300" s="133">
        <f t="shared" si="141"/>
        <v>3.2068965517241379</v>
      </c>
      <c r="BQ300" s="133">
        <v>2.6</v>
      </c>
      <c r="BR300" s="215">
        <f t="shared" si="142"/>
        <v>0.1166666666666667</v>
      </c>
      <c r="BS300" s="133">
        <f t="shared" si="124"/>
        <v>3.0902298850574712</v>
      </c>
      <c r="BT300" s="133">
        <f t="shared" si="125"/>
        <v>6.7666666666666684</v>
      </c>
      <c r="BU300" s="10" t="str">
        <f t="shared" si="126"/>
        <v>Global Freight Management</v>
      </c>
      <c r="BV300" s="15"/>
      <c r="BW300" s="4" t="str">
        <f>Table1[[#This Row],[BrokerAddress]]</f>
        <v xml:space="preserve">920 Riverside Prkwy Suite #10 </v>
      </c>
      <c r="BX300" s="4" t="str">
        <f t="shared" si="127"/>
        <v>West Sacramento</v>
      </c>
      <c r="BY300" s="4" t="str">
        <f t="shared" si="128"/>
        <v>Ca</v>
      </c>
      <c r="BZ300" s="4">
        <f t="shared" si="129"/>
        <v>95605</v>
      </c>
      <c r="CA300" s="10" t="str">
        <f t="shared" si="130"/>
        <v>US</v>
      </c>
      <c r="CB300" s="15" t="s">
        <v>131</v>
      </c>
      <c r="CC300" s="62"/>
      <c r="CD300" s="15" t="s">
        <v>132</v>
      </c>
      <c r="CE300" s="64">
        <v>0</v>
      </c>
      <c r="CF300" s="4">
        <v>0</v>
      </c>
      <c r="CG300" s="132">
        <f t="shared" si="131"/>
        <v>0</v>
      </c>
      <c r="CH300" s="4" t="s">
        <v>132</v>
      </c>
      <c r="CI300" s="5">
        <v>0</v>
      </c>
      <c r="CJ300" s="4">
        <v>0</v>
      </c>
      <c r="CK300" s="132">
        <f t="shared" si="132"/>
        <v>0</v>
      </c>
      <c r="CL300" s="4" t="s">
        <v>132</v>
      </c>
      <c r="CM300" s="5">
        <v>0</v>
      </c>
      <c r="CN300" s="4">
        <v>0</v>
      </c>
      <c r="CO300" s="132">
        <f t="shared" si="133"/>
        <v>0</v>
      </c>
      <c r="CP300" s="4" t="s">
        <v>132</v>
      </c>
      <c r="CQ300" s="5">
        <v>0</v>
      </c>
      <c r="CR300" s="4">
        <v>0</v>
      </c>
      <c r="CS300" s="132">
        <f t="shared" si="134"/>
        <v>0</v>
      </c>
      <c r="CT300" s="159">
        <f t="shared" si="135"/>
        <v>0</v>
      </c>
      <c r="CU300" s="168">
        <f t="shared" si="136"/>
        <v>200</v>
      </c>
      <c r="CV300" s="177">
        <f t="shared" si="119"/>
        <v>0</v>
      </c>
      <c r="CW300" s="82">
        <f t="shared" si="120"/>
        <v>186</v>
      </c>
      <c r="CX300" s="79">
        <f>IF(ISBLANK(E300),"AddQuickPay",IF(E300=2,CU300*0.98,IF(E300=2.4,CU300*0.976,IF(E300=3,CU300*0.97,IF(E300=5,CU300*0.95,IF(E300=1.5,CU300*0.985,IF(E300=2.5,CU300*0.975,IF(E300=1.3,CU300*0.987,IF(E300=1,CU300*0.99,IF(E300=4,CU300*0.96,CU300*1))))))))))-Table1[[#This Row],[ComCheck+QuickPayFee]]</f>
        <v>200</v>
      </c>
      <c r="CY300" s="5">
        <f t="shared" si="137"/>
        <v>14</v>
      </c>
      <c r="CZ300" s="5">
        <f t="shared" si="138"/>
        <v>0</v>
      </c>
      <c r="DA300" s="258">
        <f>Table1[[#This Row],[OriginalDispatch]]-Table1[[#This Row],[QuickPayCharge]]</f>
        <v>14</v>
      </c>
      <c r="DB300" s="5">
        <v>0</v>
      </c>
      <c r="DC300" s="5" t="s">
        <v>133</v>
      </c>
      <c r="DD300" s="172">
        <f t="shared" si="139"/>
        <v>42419</v>
      </c>
      <c r="DE300" s="171">
        <f>MONTH(Table1[[#This Row],[Weekending]])</f>
        <v>2</v>
      </c>
      <c r="DF300" s="171">
        <f>YEAR(Table1[[#This Row],[Weekending]])</f>
        <v>2016</v>
      </c>
      <c r="DG300" s="4"/>
    </row>
    <row r="301" spans="1:111">
      <c r="A301" s="20" t="str">
        <f t="shared" si="121"/>
        <v>6817an30</v>
      </c>
      <c r="B301" s="146">
        <v>42415</v>
      </c>
      <c r="C301" s="144">
        <v>47568</v>
      </c>
      <c r="D301" s="298" t="s">
        <v>1824</v>
      </c>
      <c r="E301" s="144">
        <v>3</v>
      </c>
      <c r="F301" s="298" t="str">
        <f>INDEX(BrokerTBL!$B:$B,MATCH(D301,BrokerTBL!$A:$A,0))</f>
        <v>2109 W Bullard Ave # 101</v>
      </c>
      <c r="G301" s="298" t="str">
        <f>INDEX(BrokerTBL!$C:$C,MATCH(D301,BrokerTBL!$A:$A,0))</f>
        <v>Fresno</v>
      </c>
      <c r="H301" s="142" t="str">
        <f>INDEX(BrokerTBL!$D:$D,MATCH(D301,BrokerTBL!$A:$A,0))</f>
        <v>Ca</v>
      </c>
      <c r="I301" s="142" t="str">
        <f>INDEX(BrokerTBL!$E:$E,MATCH(D301,BrokerTBL!$A:$A,0))</f>
        <v>US</v>
      </c>
      <c r="J301" s="142">
        <f>INDEX(BrokerTBL!$F:$F,MATCH(D301,BrokerTBL!$A:$A,0))</f>
        <v>93711</v>
      </c>
      <c r="K301" s="298" t="s">
        <v>1923</v>
      </c>
      <c r="L301" s="145">
        <v>351317</v>
      </c>
      <c r="M301" s="146">
        <v>42415</v>
      </c>
      <c r="N301" s="182">
        <v>0.33333333333333298</v>
      </c>
      <c r="O301" s="298" t="s">
        <v>2150</v>
      </c>
      <c r="P301" s="298" t="s">
        <v>479</v>
      </c>
      <c r="Q301" s="298" t="s">
        <v>139</v>
      </c>
      <c r="R301" s="298">
        <v>95363</v>
      </c>
      <c r="S301" s="298" t="s">
        <v>118</v>
      </c>
      <c r="T301" s="298" t="s">
        <v>123</v>
      </c>
      <c r="U301" s="298" t="s">
        <v>120</v>
      </c>
      <c r="V301" s="298">
        <v>53</v>
      </c>
      <c r="W301" s="298" t="s">
        <v>2151</v>
      </c>
      <c r="X301" s="185">
        <v>41800</v>
      </c>
      <c r="Y301" s="298" t="s">
        <v>123</v>
      </c>
      <c r="Z301" s="298" t="s">
        <v>123</v>
      </c>
      <c r="AA301" s="298" t="s">
        <v>123</v>
      </c>
      <c r="AB301" s="298" t="s">
        <v>123</v>
      </c>
      <c r="AC301" s="298" t="s">
        <v>1828</v>
      </c>
      <c r="AD301" s="145" t="s">
        <v>2152</v>
      </c>
      <c r="AE301" s="146">
        <v>42415</v>
      </c>
      <c r="AF301" s="298" t="s">
        <v>1316</v>
      </c>
      <c r="AG301" s="298" t="s">
        <v>1829</v>
      </c>
      <c r="AH301" s="298" t="s">
        <v>787</v>
      </c>
      <c r="AI301" s="298" t="s">
        <v>139</v>
      </c>
      <c r="AJ301" s="298">
        <v>94801</v>
      </c>
      <c r="AK301" s="298" t="s">
        <v>118</v>
      </c>
      <c r="AL301" s="298" t="s">
        <v>123</v>
      </c>
      <c r="AM301" s="171" t="str">
        <f>INDEX(CarrierDriverTBL!$B:$B,MATCH(Table1[[#This Row],[DriverID]],CarrierDriverTBL!$A:$A,0))</f>
        <v>UBTrucking</v>
      </c>
      <c r="AN301" s="10" t="s">
        <v>2149</v>
      </c>
      <c r="AO301" s="171" t="str">
        <f>INDEX(CarrierDriverTBL!$C:$C,MATCH(Table1[[#This Row],[DriverID]],CarrierDriverTBL!$A:$A,0))</f>
        <v>Sukhpal</v>
      </c>
      <c r="AP301" s="171" t="str">
        <f>INDEX(CarrierDriverTBL!$D:$D,MATCH(Table1[[#This Row],[DriverID]],CarrierDriverTBL!$A:$A,0))</f>
        <v>Singh</v>
      </c>
      <c r="AQ301" s="171" t="str">
        <f>INDEX(CarrierDriverTBL!$X:$X,MATCH(Table1[[#This Row],[DriverID]],CarrierDriverTBL!$A:$A,0))</f>
        <v>B4532630</v>
      </c>
      <c r="AR301" s="172">
        <f>INDEX(CarrierDriverTBL!$Y:$Y,MATCH(Table1[[#This Row],[DriverID]],CarrierDriverTBL!$A:$A,0))</f>
        <v>42629</v>
      </c>
      <c r="AS301" s="142" t="str">
        <f t="shared" si="122"/>
        <v>GOOD</v>
      </c>
      <c r="AT301" s="172">
        <f>INDEX(CarrierDriverTBL!$E:$E,MATCH(Table1[[#This Row],[DriverID]],CarrierDriverTBL!$A:$A,0))</f>
        <v>29114</v>
      </c>
      <c r="AU301" s="163">
        <f ca="1">INDEX(CarrierDriverTBL!$F:$F,MATCH(Table1[[#This Row],[DriverID]],CarrierDriverTBL!$A:$A,0))</f>
        <v>36.88219178082192</v>
      </c>
      <c r="AV301" s="171" t="str">
        <f>INDEX(CarrierDriverTBL!$K:$K,MATCH(Table1[[#This Row],[DriverID]],CarrierDriverTBL!$A:$A,0))</f>
        <v>916-833-9981</v>
      </c>
      <c r="AW301" s="171" t="str">
        <f>INDEX(CarrierDriverTBL!$M:$M,MATCH(Table1[[#This Row],[DriverID]],CarrierDriverTBL!$A:$A,0))</f>
        <v>Missing</v>
      </c>
      <c r="AX301" s="171" t="str">
        <f>INDEX(CarrierDriverTBL!$N:$N,MATCH(Table1[[#This Row],[DriverID]],CarrierDriverTBL!$A:$A,0))</f>
        <v>Manteca</v>
      </c>
      <c r="AY301" s="171" t="str">
        <f>INDEX(CarrierDriverTBL!$O:$O,MATCH(Table1[[#This Row],[DriverID]],CarrierDriverTBL!$A:$A,0))</f>
        <v>CA</v>
      </c>
      <c r="AZ301" s="171">
        <f>INDEX(CarrierDriverTBL!$P:$P,MATCH(Table1[[#This Row],[DriverID]],CarrierDriverTBL!$A:$A,0))</f>
        <v>95337</v>
      </c>
      <c r="BA301" s="171" t="str">
        <f>INDEX(CarrierDriverTBL!$Q:$Q,MATCH(Table1[[#This Row],[DriverID]],CarrierDriverTBL!$A:$A,0))</f>
        <v>US</v>
      </c>
      <c r="BB301" s="224" t="str">
        <f>INDEX(CarrierDriverTBL!$R:$R,MATCH(Table1[[#This Row],[DriverID]],CarrierDriverTBL!$A:$A,0))</f>
        <v>htl0916@gmail.com</v>
      </c>
      <c r="BC301" s="160">
        <f>INDEX(CarrierDriverTBL!$AB:$AB,MATCH(Table1[[#This Row],[DriverID]],CarrierDriverTBL!$A:$A,0))</f>
        <v>42413</v>
      </c>
      <c r="BD301" s="142" t="str">
        <f ca="1">INDEX(CarrierDriverTBL!$AD:$AD,MATCH(LoadMaster!$AN:$AN,CarrierDriverTBL!$A:$A,0))</f>
        <v>MISSING</v>
      </c>
      <c r="BE301" s="142">
        <f>INDEX(CarrierDriverTBL!$AE:$AE,MATCH(Table1[DriverID],CarrierDriverTBL!$A:$A,0))</f>
        <v>913971</v>
      </c>
      <c r="BF301" s="142">
        <f>INDEX(CarrierDriverTBL!$AF:$AF,MATCH(Table1[DriverID],CarrierDriverTBL!$A:$A,0))</f>
        <v>2627544</v>
      </c>
      <c r="BG301" s="142">
        <f>INDEX(CarrierDriverTBL!$AG:$AG,MATCH(Table1[DriverID],CarrierDriverTBL!$A:$A,0))</f>
        <v>466133</v>
      </c>
      <c r="BH301" s="142" t="str">
        <f>INDEX(CarrierDriverTBL!$AH:$AH,MATCH(Table1[DriverID],CarrierDriverTBL!$A:$A,0))</f>
        <v>GM Lawrence Ins</v>
      </c>
      <c r="BI301" s="142" t="str">
        <f>INDEX(CarrierDriverTBL!$AI:$AI,MATCH(Table1[DriverID],CarrierDriverTBL!$A:$A,0))</f>
        <v>DSK2842P160210</v>
      </c>
      <c r="BJ301" s="160">
        <f>INDEX(CarrierDriverTBL!$AJ:$AJ,MATCH(Table1[[#This Row],[DriverID]],CarrierDriverTBL!$A:$A,0))</f>
        <v>42778</v>
      </c>
      <c r="BK301" s="10">
        <f t="shared" si="123"/>
        <v>363</v>
      </c>
      <c r="BL301" s="59">
        <v>300</v>
      </c>
      <c r="BM301" s="144">
        <v>90</v>
      </c>
      <c r="BN301" s="159">
        <f t="shared" si="140"/>
        <v>3.3333333333333335</v>
      </c>
      <c r="BO301" s="174">
        <v>279</v>
      </c>
      <c r="BP301" s="159">
        <f t="shared" si="141"/>
        <v>3.1</v>
      </c>
      <c r="BQ301" s="133">
        <v>2.6</v>
      </c>
      <c r="BR301" s="166">
        <f t="shared" si="142"/>
        <v>0.1166666666666667</v>
      </c>
      <c r="BS301" s="167">
        <f t="shared" si="124"/>
        <v>2.9833333333333334</v>
      </c>
      <c r="BT301" s="159">
        <f t="shared" si="125"/>
        <v>10.500000000000004</v>
      </c>
      <c r="BU301" s="10" t="str">
        <f t="shared" si="126"/>
        <v>Cargobarn Inc.</v>
      </c>
      <c r="BV301" s="15"/>
      <c r="BW301" s="4" t="str">
        <f>Table1[[#This Row],[BrokerAddress]]</f>
        <v>2109 W Bullard Ave # 101</v>
      </c>
      <c r="BX301" s="4" t="str">
        <f t="shared" si="127"/>
        <v>Fresno</v>
      </c>
      <c r="BY301" s="4" t="str">
        <f t="shared" si="128"/>
        <v>Ca</v>
      </c>
      <c r="BZ301" s="4">
        <f t="shared" si="129"/>
        <v>93711</v>
      </c>
      <c r="CA301" s="10" t="str">
        <f t="shared" si="130"/>
        <v>US</v>
      </c>
      <c r="CB301" s="15" t="s">
        <v>131</v>
      </c>
      <c r="CC301" s="62"/>
      <c r="CD301" s="15" t="s">
        <v>132</v>
      </c>
      <c r="CE301" s="64">
        <v>0</v>
      </c>
      <c r="CF301" s="4">
        <v>0</v>
      </c>
      <c r="CG301" s="132">
        <f t="shared" si="131"/>
        <v>0</v>
      </c>
      <c r="CH301" s="4" t="s">
        <v>132</v>
      </c>
      <c r="CI301" s="5">
        <v>0</v>
      </c>
      <c r="CJ301" s="4">
        <v>0</v>
      </c>
      <c r="CK301" s="132">
        <f t="shared" si="132"/>
        <v>0</v>
      </c>
      <c r="CL301" s="4" t="s">
        <v>132</v>
      </c>
      <c r="CM301" s="5">
        <v>0</v>
      </c>
      <c r="CN301" s="4">
        <v>0</v>
      </c>
      <c r="CO301" s="132">
        <f t="shared" si="133"/>
        <v>0</v>
      </c>
      <c r="CP301" s="4" t="s">
        <v>132</v>
      </c>
      <c r="CQ301" s="5">
        <v>0</v>
      </c>
      <c r="CR301" s="4">
        <v>0</v>
      </c>
      <c r="CS301" s="132">
        <f t="shared" si="134"/>
        <v>0</v>
      </c>
      <c r="CT301" s="159">
        <f t="shared" si="135"/>
        <v>0</v>
      </c>
      <c r="CU301" s="168">
        <f t="shared" si="136"/>
        <v>300</v>
      </c>
      <c r="CV301" s="169">
        <f t="shared" si="119"/>
        <v>0</v>
      </c>
      <c r="CW301" s="82">
        <f t="shared" si="120"/>
        <v>279</v>
      </c>
      <c r="CX301" s="79">
        <f>IF(ISBLANK(E301),"AddQuickPay",IF(E301=2,CU301*0.98,IF(E301=2.4,CU301*0.976,IF(E301=3,CU301*0.97,IF(E301=5,CU301*0.95,IF(E301=1.5,CU301*0.985,IF(E301=2.5,CU301*0.975,IF(E301=1.3,CU301*0.987,IF(E301=1,CU301*0.99,IF(E301=4,CU301*0.96,CU301*1))))))))))-Table1[[#This Row],[ComCheck+QuickPayFee]]</f>
        <v>291</v>
      </c>
      <c r="CY301" s="5">
        <f t="shared" si="137"/>
        <v>21</v>
      </c>
      <c r="CZ301" s="5">
        <f t="shared" si="138"/>
        <v>9</v>
      </c>
      <c r="DA301" s="258">
        <f>Table1[[#This Row],[OriginalDispatch]]-Table1[[#This Row],[QuickPayCharge]]</f>
        <v>12</v>
      </c>
      <c r="DB301" s="5">
        <v>0</v>
      </c>
      <c r="DC301" s="5" t="s">
        <v>133</v>
      </c>
      <c r="DD301" s="104">
        <f t="shared" si="139"/>
        <v>42419</v>
      </c>
      <c r="DE301" s="15">
        <f>MONTH(Table1[[#This Row],[Weekending]])</f>
        <v>2</v>
      </c>
      <c r="DF301" s="15">
        <f>YEAR(Table1[[#This Row],[Weekending]])</f>
        <v>2016</v>
      </c>
      <c r="DG301" s="4"/>
    </row>
    <row r="302" spans="1:111">
      <c r="A302" s="416" t="str">
        <f t="shared" si="121"/>
        <v>49wnwn49</v>
      </c>
      <c r="B302" s="104">
        <v>42416</v>
      </c>
      <c r="C302" s="15">
        <v>61249</v>
      </c>
      <c r="D302" s="416" t="s">
        <v>2153</v>
      </c>
      <c r="E302" s="15">
        <v>0</v>
      </c>
      <c r="F302" s="298" t="str">
        <f>INDEX(BrokerTBL!$B:$B,MATCH(D302,BrokerTBL!$A:$A,0))</f>
        <v>241 Regency Parkway</v>
      </c>
      <c r="G302" s="416" t="str">
        <f>INDEX(BrokerTBL!$C:$C,MATCH(D302,BrokerTBL!$A:$A,0))</f>
        <v>Mansfield</v>
      </c>
      <c r="H302" s="131" t="str">
        <f>INDEX(BrokerTBL!$D:$D,MATCH(D302,BrokerTBL!$A:$A,0))</f>
        <v>Tx</v>
      </c>
      <c r="I302" s="131" t="str">
        <f>INDEX(BrokerTBL!$E:$E,MATCH(D302,BrokerTBL!$A:$A,0))</f>
        <v>US</v>
      </c>
      <c r="J302" s="131">
        <f>INDEX(BrokerTBL!$F:$F,MATCH(D302,BrokerTBL!$A:$A,0))</f>
        <v>76063</v>
      </c>
      <c r="K302" s="416" t="s">
        <v>2154</v>
      </c>
      <c r="L302" s="81" t="s">
        <v>1205</v>
      </c>
      <c r="M302" s="104">
        <v>42416</v>
      </c>
      <c r="N302" s="226">
        <v>0.47916666666666702</v>
      </c>
      <c r="O302" s="15" t="s">
        <v>2155</v>
      </c>
      <c r="P302" s="416" t="s">
        <v>299</v>
      </c>
      <c r="Q302" s="416" t="s">
        <v>139</v>
      </c>
      <c r="R302" s="416">
        <v>94607</v>
      </c>
      <c r="S302" s="416" t="s">
        <v>118</v>
      </c>
      <c r="T302" s="298" t="s">
        <v>123</v>
      </c>
      <c r="U302" s="416" t="s">
        <v>120</v>
      </c>
      <c r="V302" s="416">
        <v>53</v>
      </c>
      <c r="W302" s="416" t="s">
        <v>2156</v>
      </c>
      <c r="X302" s="225">
        <v>43726</v>
      </c>
      <c r="Y302" s="15" t="s">
        <v>123</v>
      </c>
      <c r="Z302" s="416">
        <v>19</v>
      </c>
      <c r="AA302" s="416" t="s">
        <v>123</v>
      </c>
      <c r="AB302" s="416" t="s">
        <v>123</v>
      </c>
      <c r="AC302" s="416" t="s">
        <v>2157</v>
      </c>
      <c r="AD302" s="81" t="s">
        <v>1205</v>
      </c>
      <c r="AE302" s="104">
        <v>42417</v>
      </c>
      <c r="AF302" s="226">
        <v>0.3125</v>
      </c>
      <c r="AG302" s="416" t="s">
        <v>2158</v>
      </c>
      <c r="AH302" s="416" t="s">
        <v>1920</v>
      </c>
      <c r="AI302" s="416" t="s">
        <v>264</v>
      </c>
      <c r="AJ302" s="416">
        <v>89434</v>
      </c>
      <c r="AK302" s="416" t="s">
        <v>118</v>
      </c>
      <c r="AL302" s="416" t="s">
        <v>123</v>
      </c>
      <c r="AM302" s="142" t="str">
        <f>INDEX(CarrierDriverTBL!$B:$B,MATCH(Table1[[#This Row],[DriverID]],CarrierDriverTBL!$A:$A,0))</f>
        <v>UBTrucking</v>
      </c>
      <c r="AN302" s="10" t="s">
        <v>192</v>
      </c>
      <c r="AO302" s="10" t="str">
        <f>INDEX(CarrierDriverTBL!$C:$C,MATCH(Table1[[#This Row],[DriverID]],CarrierDriverTBL!$A:$A,0))</f>
        <v>Albel</v>
      </c>
      <c r="AP302" s="142" t="str">
        <f>INDEX(CarrierDriverTBL!$D:$D,MATCH(Table1[[#This Row],[DriverID]],CarrierDriverTBL!$A:$A,0))</f>
        <v>Chahil</v>
      </c>
      <c r="AQ302" s="142" t="str">
        <f>INDEX(CarrierDriverTBL!$X:$X,MATCH(Table1[[#This Row],[DriverID]],CarrierDriverTBL!$A:$A,0))</f>
        <v>A8390649</v>
      </c>
      <c r="AR302" s="160">
        <f>INDEX(CarrierDriverTBL!$Y:$Y,MATCH(Table1[[#This Row],[DriverID]],CarrierDriverTBL!$A:$A,0))</f>
        <v>42402</v>
      </c>
      <c r="AS302" s="142" t="str">
        <f t="shared" si="122"/>
        <v>EXPIRED</v>
      </c>
      <c r="AT302" s="160">
        <f>INDEX(CarrierDriverTBL!$E:$E,MATCH(Table1[[#This Row],[DriverID]],CarrierDriverTBL!$A:$A,0))</f>
        <v>22314</v>
      </c>
      <c r="AU302" s="163">
        <f ca="1">INDEX(CarrierDriverTBL!$F:$F,MATCH(Table1[[#This Row],[DriverID]],CarrierDriverTBL!$A:$A,0))</f>
        <v>55.512328767123286</v>
      </c>
      <c r="AV302" s="142" t="str">
        <f>INDEX(CarrierDriverTBL!$K:$K,MATCH(Table1[[#This Row],[DriverID]],CarrierDriverTBL!$A:$A,0))</f>
        <v>510-773-9450</v>
      </c>
      <c r="AW302" s="142" t="str">
        <f>INDEX(CarrierDriverTBL!$M:$M,MATCH(Table1[[#This Row],[DriverID]],CarrierDriverTBL!$A:$A,0))</f>
        <v>3124 Cynthia CT</v>
      </c>
      <c r="AX302" s="142" t="str">
        <f>INDEX(CarrierDriverTBL!$N:$N,MATCH(Table1[[#This Row],[DriverID]],CarrierDriverTBL!$A:$A,0))</f>
        <v>Tracy</v>
      </c>
      <c r="AY302" s="142" t="str">
        <f>INDEX(CarrierDriverTBL!$O:$O,MATCH(Table1[[#This Row],[DriverID]],CarrierDriverTBL!$A:$A,0))</f>
        <v>CA</v>
      </c>
      <c r="AZ302" s="142">
        <f>INDEX(CarrierDriverTBL!$P:$P,MATCH(Table1[[#This Row],[DriverID]],CarrierDriverTBL!$A:$A,0))</f>
        <v>95377</v>
      </c>
      <c r="BA302" s="142" t="str">
        <f>INDEX(CarrierDriverTBL!$Q:$Q,MATCH(Table1[[#This Row],[DriverID]],CarrierDriverTBL!$A:$A,0))</f>
        <v>US</v>
      </c>
      <c r="BB302" s="176" t="str">
        <f>INDEX(CarrierDriverTBL!$R:$R,MATCH(Table1[[#This Row],[DriverID]],CarrierDriverTBL!$A:$A,0))</f>
        <v>ubgollc@gmail.com</v>
      </c>
      <c r="BC302" s="160">
        <f>INDEX(CarrierDriverTBL!$AB:$AB,MATCH(Table1[[#This Row],[DriverID]],CarrierDriverTBL!$A:$A,0))</f>
        <v>42167</v>
      </c>
      <c r="BD302" s="142" t="str">
        <f ca="1">INDEX(CarrierDriverTBL!$AD:$AD,MATCH(LoadMaster!$AN:$AN,CarrierDriverTBL!$A:$A,0))</f>
        <v>MISSING</v>
      </c>
      <c r="BE302" s="142">
        <f>INDEX(CarrierDriverTBL!$AE:$AE,MATCH(Table1[DriverID],CarrierDriverTBL!$A:$A,0))</f>
        <v>913971</v>
      </c>
      <c r="BF302" s="142">
        <f>INDEX(CarrierDriverTBL!$AF:$AF,MATCH(Table1[DriverID],CarrierDriverTBL!$A:$A,0))</f>
        <v>2627544</v>
      </c>
      <c r="BG302" s="142">
        <f>INDEX(CarrierDriverTBL!$AG:$AG,MATCH(Table1[DriverID],CarrierDriverTBL!$A:$A,0))</f>
        <v>466133</v>
      </c>
      <c r="BH302" s="142" t="str">
        <f>INDEX(CarrierDriverTBL!$AH:$AH,MATCH(Table1[DriverID],CarrierDriverTBL!$A:$A,0))</f>
        <v>GM Lawrence Ins</v>
      </c>
      <c r="BI302" s="142" t="str">
        <f>INDEX(CarrierDriverTBL!$AI:$AI,MATCH(Table1[DriverID],CarrierDriverTBL!$A:$A,0))</f>
        <v>DSK2842P160210</v>
      </c>
      <c r="BJ302" s="160">
        <f>INDEX(CarrierDriverTBL!$AJ:$AJ,MATCH(Table1[[#This Row],[DriverID]],CarrierDriverTBL!$A:$A,0))</f>
        <v>42778</v>
      </c>
      <c r="BK302" s="10">
        <f t="shared" si="123"/>
        <v>362</v>
      </c>
      <c r="BL302" s="5">
        <v>550</v>
      </c>
      <c r="BM302" s="171">
        <v>215</v>
      </c>
      <c r="BN302" s="159">
        <f t="shared" si="140"/>
        <v>2.558139534883721</v>
      </c>
      <c r="BO302" s="134">
        <v>500</v>
      </c>
      <c r="BP302" s="133">
        <f t="shared" si="141"/>
        <v>2.3255813953488373</v>
      </c>
      <c r="BQ302" s="133">
        <v>2.6</v>
      </c>
      <c r="BR302" s="215">
        <f t="shared" si="142"/>
        <v>0.1166666666666667</v>
      </c>
      <c r="BS302" s="133">
        <f t="shared" si="124"/>
        <v>2.2089147286821706</v>
      </c>
      <c r="BT302" s="133">
        <f t="shared" si="125"/>
        <v>25.083333333333339</v>
      </c>
      <c r="BU302" s="10" t="str">
        <f t="shared" si="126"/>
        <v>Ta Services Inc.</v>
      </c>
      <c r="BV302" s="15"/>
      <c r="BW302" s="4" t="str">
        <f>Table1[[#This Row],[BrokerAddress]]</f>
        <v>241 Regency Parkway</v>
      </c>
      <c r="BX302" s="4" t="str">
        <f t="shared" si="127"/>
        <v>Mansfield</v>
      </c>
      <c r="BY302" s="4" t="str">
        <f t="shared" si="128"/>
        <v>Tx</v>
      </c>
      <c r="BZ302" s="4">
        <f t="shared" si="129"/>
        <v>76063</v>
      </c>
      <c r="CA302" s="10" t="str">
        <f t="shared" si="130"/>
        <v>US</v>
      </c>
      <c r="CB302" s="15" t="s">
        <v>131</v>
      </c>
      <c r="CC302" s="62"/>
      <c r="CD302" s="15" t="s">
        <v>132</v>
      </c>
      <c r="CE302" s="64">
        <v>0</v>
      </c>
      <c r="CF302" s="4">
        <v>0</v>
      </c>
      <c r="CG302" s="132">
        <f t="shared" si="131"/>
        <v>0</v>
      </c>
      <c r="CH302" s="4" t="s">
        <v>132</v>
      </c>
      <c r="CI302" s="5">
        <v>0</v>
      </c>
      <c r="CJ302" s="4">
        <v>0</v>
      </c>
      <c r="CK302" s="132">
        <f t="shared" si="132"/>
        <v>0</v>
      </c>
      <c r="CL302" s="4" t="s">
        <v>132</v>
      </c>
      <c r="CM302" s="5">
        <v>0</v>
      </c>
      <c r="CN302" s="4">
        <v>0</v>
      </c>
      <c r="CO302" s="132">
        <f t="shared" si="133"/>
        <v>0</v>
      </c>
      <c r="CP302" s="4" t="s">
        <v>132</v>
      </c>
      <c r="CQ302" s="5">
        <v>0</v>
      </c>
      <c r="CR302" s="4">
        <v>0</v>
      </c>
      <c r="CS302" s="132">
        <f t="shared" si="134"/>
        <v>0</v>
      </c>
      <c r="CT302" s="159">
        <f t="shared" si="135"/>
        <v>0</v>
      </c>
      <c r="CU302" s="168">
        <f t="shared" si="136"/>
        <v>550</v>
      </c>
      <c r="CV302" s="177">
        <f t="shared" si="119"/>
        <v>0</v>
      </c>
      <c r="CW302" s="82">
        <f t="shared" si="120"/>
        <v>500</v>
      </c>
      <c r="CX302" s="79">
        <f>IF(ISBLANK(E302),"AddQuickPay",IF(E302=2,CU302*0.98,IF(E302=2.4,CU302*0.976,IF(E302=3,CU302*0.97,IF(E302=5,CU302*0.95,IF(E302=1.5,CU302*0.985,IF(E302=2.5,CU302*0.975,IF(E302=1.3,CU302*0.987,IF(E302=1,CU302*0.99,IF(E302=4,CU302*0.96,CU302*1))))))))))-Table1[[#This Row],[ComCheck+QuickPayFee]]</f>
        <v>550</v>
      </c>
      <c r="CY302" s="5">
        <f t="shared" si="137"/>
        <v>50</v>
      </c>
      <c r="CZ302" s="5">
        <f t="shared" si="138"/>
        <v>0</v>
      </c>
      <c r="DA302" s="258">
        <f>Table1[[#This Row],[OriginalDispatch]]-Table1[[#This Row],[QuickPayCharge]]</f>
        <v>50</v>
      </c>
      <c r="DB302" s="5">
        <v>0</v>
      </c>
      <c r="DC302" s="5" t="s">
        <v>133</v>
      </c>
      <c r="DD302" s="172">
        <f t="shared" si="139"/>
        <v>42419</v>
      </c>
      <c r="DE302" s="171">
        <f>MONTH(Table1[[#This Row],[Weekending]])</f>
        <v>2</v>
      </c>
      <c r="DF302" s="171">
        <f>YEAR(Table1[[#This Row],[Weekending]])</f>
        <v>2016</v>
      </c>
      <c r="DG302" s="4"/>
    </row>
    <row r="303" spans="1:111">
      <c r="A303" s="416" t="str">
        <f t="shared" si="121"/>
        <v>12icic30</v>
      </c>
      <c r="B303" s="104">
        <v>42416</v>
      </c>
      <c r="C303" s="15">
        <v>193145912</v>
      </c>
      <c r="D303" s="298" t="s">
        <v>111</v>
      </c>
      <c r="E303" s="298">
        <v>2</v>
      </c>
      <c r="F303" s="142" t="str">
        <f>INDEX(BrokerTBL!$B:$B,MATCH(D303,BrokerTBL!$A:$A,0))</f>
        <v>P.O. Box 3474</v>
      </c>
      <c r="G303" s="142" t="str">
        <f>INDEX(BrokerTBL!$C:$C,MATCH(D303,BrokerTBL!$A:$A,0))</f>
        <v>Chicago</v>
      </c>
      <c r="H303" s="142" t="str">
        <f>INDEX(BrokerTBL!$D:$D,MATCH(D303,BrokerTBL!$A:$A,0))</f>
        <v>Il</v>
      </c>
      <c r="I303" s="142" t="str">
        <f>INDEX(BrokerTBL!$E:$E,MATCH(D303,BrokerTBL!$A:$A,0))</f>
        <v>US</v>
      </c>
      <c r="J303" s="142">
        <f>INDEX(BrokerTBL!$F:$F,MATCH(D303,BrokerTBL!$A:$A,0))</f>
        <v>60654</v>
      </c>
      <c r="K303" s="416" t="s">
        <v>255</v>
      </c>
      <c r="L303" s="81" t="s">
        <v>2159</v>
      </c>
      <c r="M303" s="104">
        <v>42416</v>
      </c>
      <c r="N303" s="15" t="s">
        <v>2160</v>
      </c>
      <c r="O303" s="15" t="s">
        <v>2006</v>
      </c>
      <c r="P303" s="416" t="s">
        <v>160</v>
      </c>
      <c r="Q303" s="416" t="s">
        <v>139</v>
      </c>
      <c r="R303" s="416">
        <v>94533</v>
      </c>
      <c r="S303" s="416" t="s">
        <v>118</v>
      </c>
      <c r="T303" s="298" t="s">
        <v>123</v>
      </c>
      <c r="U303" s="416" t="s">
        <v>120</v>
      </c>
      <c r="V303" s="416">
        <v>53</v>
      </c>
      <c r="W303" s="416" t="s">
        <v>1847</v>
      </c>
      <c r="X303" s="225">
        <v>45000</v>
      </c>
      <c r="Y303" s="15" t="s">
        <v>1848</v>
      </c>
      <c r="Z303" s="416" t="s">
        <v>123</v>
      </c>
      <c r="AA303" s="416" t="s">
        <v>123</v>
      </c>
      <c r="AB303" s="416" t="s">
        <v>123</v>
      </c>
      <c r="AC303" s="416" t="s">
        <v>2161</v>
      </c>
      <c r="AD303" s="81" t="s">
        <v>1847</v>
      </c>
      <c r="AE303" s="104">
        <v>42417</v>
      </c>
      <c r="AF303" s="416" t="s">
        <v>123</v>
      </c>
      <c r="AG303" s="416" t="s">
        <v>2162</v>
      </c>
      <c r="AH303" s="416" t="s">
        <v>1420</v>
      </c>
      <c r="AI303" s="416" t="s">
        <v>264</v>
      </c>
      <c r="AJ303" s="416">
        <v>89408</v>
      </c>
      <c r="AK303" s="416" t="s">
        <v>118</v>
      </c>
      <c r="AL303" s="416" t="s">
        <v>123</v>
      </c>
      <c r="AM303" s="171" t="str">
        <f>INDEX(CarrierDriverTBL!$B:$B,MATCH(Table1[[#This Row],[DriverID]],CarrierDriverTBL!$A:$A,0))</f>
        <v>UBTrucking</v>
      </c>
      <c r="AN303" s="10" t="s">
        <v>2149</v>
      </c>
      <c r="AO303" s="171" t="str">
        <f>INDEX(CarrierDriverTBL!$C:$C,MATCH(Table1[[#This Row],[DriverID]],CarrierDriverTBL!$A:$A,0))</f>
        <v>Sukhpal</v>
      </c>
      <c r="AP303" s="171" t="str">
        <f>INDEX(CarrierDriverTBL!$D:$D,MATCH(Table1[[#This Row],[DriverID]],CarrierDriverTBL!$A:$A,0))</f>
        <v>Singh</v>
      </c>
      <c r="AQ303" s="171" t="str">
        <f>INDEX(CarrierDriverTBL!$X:$X,MATCH(Table1[[#This Row],[DriverID]],CarrierDriverTBL!$A:$A,0))</f>
        <v>B4532630</v>
      </c>
      <c r="AR303" s="172">
        <f>INDEX(CarrierDriverTBL!$Y:$Y,MATCH(Table1[[#This Row],[DriverID]],CarrierDriverTBL!$A:$A,0))</f>
        <v>42629</v>
      </c>
      <c r="AS303" s="142" t="str">
        <f t="shared" si="122"/>
        <v>GOOD</v>
      </c>
      <c r="AT303" s="172">
        <f>INDEX(CarrierDriverTBL!$E:$E,MATCH(Table1[[#This Row],[DriverID]],CarrierDriverTBL!$A:$A,0))</f>
        <v>29114</v>
      </c>
      <c r="AU303" s="163">
        <f ca="1">INDEX(CarrierDriverTBL!$F:$F,MATCH(Table1[[#This Row],[DriverID]],CarrierDriverTBL!$A:$A,0))</f>
        <v>36.88219178082192</v>
      </c>
      <c r="AV303" s="171" t="str">
        <f>INDEX(CarrierDriverTBL!$K:$K,MATCH(Table1[[#This Row],[DriverID]],CarrierDriverTBL!$A:$A,0))</f>
        <v>916-833-9981</v>
      </c>
      <c r="AW303" s="171" t="str">
        <f>INDEX(CarrierDriverTBL!$M:$M,MATCH(Table1[[#This Row],[DriverID]],CarrierDriverTBL!$A:$A,0))</f>
        <v>Missing</v>
      </c>
      <c r="AX303" s="171" t="str">
        <f>INDEX(CarrierDriverTBL!$N:$N,MATCH(Table1[[#This Row],[DriverID]],CarrierDriverTBL!$A:$A,0))</f>
        <v>Manteca</v>
      </c>
      <c r="AY303" s="171" t="str">
        <f>INDEX(CarrierDriverTBL!$O:$O,MATCH(Table1[[#This Row],[DriverID]],CarrierDriverTBL!$A:$A,0))</f>
        <v>CA</v>
      </c>
      <c r="AZ303" s="171">
        <f>INDEX(CarrierDriverTBL!$P:$P,MATCH(Table1[[#This Row],[DriverID]],CarrierDriverTBL!$A:$A,0))</f>
        <v>95337</v>
      </c>
      <c r="BA303" s="171" t="str">
        <f>INDEX(CarrierDriverTBL!$Q:$Q,MATCH(Table1[[#This Row],[DriverID]],CarrierDriverTBL!$A:$A,0))</f>
        <v>US</v>
      </c>
      <c r="BB303" s="224" t="str">
        <f>INDEX(CarrierDriverTBL!$R:$R,MATCH(Table1[[#This Row],[DriverID]],CarrierDriverTBL!$A:$A,0))</f>
        <v>htl0916@gmail.com</v>
      </c>
      <c r="BC303" s="160">
        <f>INDEX(CarrierDriverTBL!$AB:$AB,MATCH(Table1[[#This Row],[DriverID]],CarrierDriverTBL!$A:$A,0))</f>
        <v>42413</v>
      </c>
      <c r="BD303" s="142" t="str">
        <f ca="1">INDEX(CarrierDriverTBL!$AD:$AD,MATCH(LoadMaster!$AN:$AN,CarrierDriverTBL!$A:$A,0))</f>
        <v>MISSING</v>
      </c>
      <c r="BE303" s="142">
        <f>INDEX(CarrierDriverTBL!$AE:$AE,MATCH(Table1[DriverID],CarrierDriverTBL!$A:$A,0))</f>
        <v>913971</v>
      </c>
      <c r="BF303" s="142">
        <f>INDEX(CarrierDriverTBL!$AF:$AF,MATCH(Table1[DriverID],CarrierDriverTBL!$A:$A,0))</f>
        <v>2627544</v>
      </c>
      <c r="BG303" s="142">
        <f>INDEX(CarrierDriverTBL!$AG:$AG,MATCH(Table1[DriverID],CarrierDriverTBL!$A:$A,0))</f>
        <v>466133</v>
      </c>
      <c r="BH303" s="142" t="str">
        <f>INDEX(CarrierDriverTBL!$AH:$AH,MATCH(Table1[DriverID],CarrierDriverTBL!$A:$A,0))</f>
        <v>GM Lawrence Ins</v>
      </c>
      <c r="BI303" s="142" t="str">
        <f>INDEX(CarrierDriverTBL!$AI:$AI,MATCH(Table1[DriverID],CarrierDriverTBL!$A:$A,0))</f>
        <v>DSK2842P160210</v>
      </c>
      <c r="BJ303" s="160">
        <f>INDEX(CarrierDriverTBL!$AJ:$AJ,MATCH(Table1[[#This Row],[DriverID]],CarrierDriverTBL!$A:$A,0))</f>
        <v>42778</v>
      </c>
      <c r="BK303" s="10">
        <f t="shared" si="123"/>
        <v>362</v>
      </c>
      <c r="BL303" s="5">
        <v>500</v>
      </c>
      <c r="BM303" s="171">
        <v>208</v>
      </c>
      <c r="BN303" s="159">
        <f t="shared" si="140"/>
        <v>2.4038461538461537</v>
      </c>
      <c r="BO303" s="134">
        <f>0.93*500</f>
        <v>465</v>
      </c>
      <c r="BP303" s="133">
        <f t="shared" si="141"/>
        <v>2.2355769230769229</v>
      </c>
      <c r="BQ303" s="133">
        <v>2.6</v>
      </c>
      <c r="BR303" s="215">
        <f t="shared" si="142"/>
        <v>0.1166666666666667</v>
      </c>
      <c r="BS303" s="133">
        <f t="shared" si="124"/>
        <v>2.1189102564102562</v>
      </c>
      <c r="BT303" s="133">
        <f t="shared" si="125"/>
        <v>24.266666666666673</v>
      </c>
      <c r="BU303" s="10" t="str">
        <f t="shared" si="126"/>
        <v>Ch Robinson</v>
      </c>
      <c r="BV303" s="15"/>
      <c r="BW303" s="4" t="str">
        <f>Table1[[#This Row],[BrokerAddress]]</f>
        <v>P.O. Box 3474</v>
      </c>
      <c r="BX303" s="4" t="str">
        <f t="shared" si="127"/>
        <v>Chicago</v>
      </c>
      <c r="BY303" s="4" t="str">
        <f t="shared" si="128"/>
        <v>Il</v>
      </c>
      <c r="BZ303" s="4">
        <f t="shared" si="129"/>
        <v>60654</v>
      </c>
      <c r="CA303" s="10" t="str">
        <f t="shared" si="130"/>
        <v>US</v>
      </c>
      <c r="CB303" s="15" t="s">
        <v>131</v>
      </c>
      <c r="CC303" s="62"/>
      <c r="CD303" s="15" t="s">
        <v>132</v>
      </c>
      <c r="CE303" s="64">
        <v>0</v>
      </c>
      <c r="CF303" s="4">
        <v>0</v>
      </c>
      <c r="CG303" s="132">
        <f t="shared" si="131"/>
        <v>0</v>
      </c>
      <c r="CH303" s="4" t="s">
        <v>132</v>
      </c>
      <c r="CI303" s="5">
        <v>0</v>
      </c>
      <c r="CJ303" s="4">
        <v>0</v>
      </c>
      <c r="CK303" s="132">
        <f t="shared" si="132"/>
        <v>0</v>
      </c>
      <c r="CL303" s="4" t="s">
        <v>132</v>
      </c>
      <c r="CM303" s="5">
        <v>0</v>
      </c>
      <c r="CN303" s="4">
        <v>0</v>
      </c>
      <c r="CO303" s="132">
        <f t="shared" si="133"/>
        <v>0</v>
      </c>
      <c r="CP303" s="4" t="s">
        <v>132</v>
      </c>
      <c r="CQ303" s="5">
        <v>0</v>
      </c>
      <c r="CR303" s="4">
        <v>0</v>
      </c>
      <c r="CS303" s="132">
        <f t="shared" si="134"/>
        <v>0</v>
      </c>
      <c r="CT303" s="159">
        <f t="shared" si="135"/>
        <v>0</v>
      </c>
      <c r="CU303" s="168">
        <f t="shared" si="136"/>
        <v>500</v>
      </c>
      <c r="CV303" s="177">
        <f t="shared" si="119"/>
        <v>0</v>
      </c>
      <c r="CW303" s="82">
        <f t="shared" si="120"/>
        <v>465</v>
      </c>
      <c r="CX303" s="79">
        <f>IF(ISBLANK(E303),"AddQuickPay",IF(E303=2,CU303*0.98,IF(E303=2.4,CU303*0.976,IF(E303=3,CU303*0.97,IF(E303=5,CU303*0.95,IF(E303=1.5,CU303*0.985,IF(E303=2.5,CU303*0.975,IF(E303=1.3,CU303*0.987,IF(E303=1,CU303*0.99,IF(E303=4,CU303*0.96,CU303*1))))))))))-Table1[[#This Row],[ComCheck+QuickPayFee]]</f>
        <v>490</v>
      </c>
      <c r="CY303" s="5">
        <f t="shared" si="137"/>
        <v>35</v>
      </c>
      <c r="CZ303" s="5">
        <f t="shared" si="138"/>
        <v>10</v>
      </c>
      <c r="DA303" s="258">
        <f>Table1[[#This Row],[OriginalDispatch]]-Table1[[#This Row],[QuickPayCharge]]</f>
        <v>25</v>
      </c>
      <c r="DB303" s="5">
        <v>0</v>
      </c>
      <c r="DC303" s="5" t="s">
        <v>133</v>
      </c>
      <c r="DD303" s="172">
        <f t="shared" si="139"/>
        <v>42419</v>
      </c>
      <c r="DE303" s="171">
        <f>MONTH(Table1[[#This Row],[Weekending]])</f>
        <v>2</v>
      </c>
      <c r="DF303" s="171">
        <f>YEAR(Table1[[#This Row],[Weekending]])</f>
        <v>2016</v>
      </c>
      <c r="DG303" s="4"/>
    </row>
    <row r="304" spans="1:111">
      <c r="A304" s="416" t="str">
        <f t="shared" si="121"/>
        <v>77411030</v>
      </c>
      <c r="B304" s="104">
        <v>42415</v>
      </c>
      <c r="C304" s="15">
        <v>156977</v>
      </c>
      <c r="D304" s="416" t="s">
        <v>278</v>
      </c>
      <c r="E304" s="15">
        <v>5</v>
      </c>
      <c r="F304" s="298" t="str">
        <f>INDEX(BrokerTBL!$B:$B,MATCH(D304,BrokerTBL!$A:$A,0))</f>
        <v>P.O Box 94520</v>
      </c>
      <c r="G304" s="416" t="str">
        <f>INDEX(BrokerTBL!$C:$C,MATCH(D304,BrokerTBL!$A:$A,0))</f>
        <v>North Little Rock</v>
      </c>
      <c r="H304" s="131" t="str">
        <f>INDEX(BrokerTBL!$D:$D,MATCH(D304,BrokerTBL!$A:$A,0))</f>
        <v>Ar</v>
      </c>
      <c r="I304" s="131" t="str">
        <f>INDEX(BrokerTBL!$E:$E,MATCH(D304,BrokerTBL!$A:$A,0))</f>
        <v>US</v>
      </c>
      <c r="J304" s="131">
        <f>INDEX(BrokerTBL!$F:$F,MATCH(D304,BrokerTBL!$A:$A,0))</f>
        <v>72190</v>
      </c>
      <c r="K304" s="142" t="s">
        <v>279</v>
      </c>
      <c r="L304" s="142">
        <v>395341</v>
      </c>
      <c r="M304" s="104">
        <v>42416</v>
      </c>
      <c r="N304" s="226">
        <v>0.375</v>
      </c>
      <c r="O304" s="142" t="s">
        <v>281</v>
      </c>
      <c r="P304" s="416" t="s">
        <v>282</v>
      </c>
      <c r="Q304" s="416" t="s">
        <v>139</v>
      </c>
      <c r="R304" s="416">
        <v>94565</v>
      </c>
      <c r="S304" s="416" t="s">
        <v>118</v>
      </c>
      <c r="T304" s="298" t="s">
        <v>123</v>
      </c>
      <c r="U304" s="416" t="s">
        <v>120</v>
      </c>
      <c r="V304" s="416">
        <v>53</v>
      </c>
      <c r="W304" s="416" t="s">
        <v>1205</v>
      </c>
      <c r="X304" s="225">
        <v>30103</v>
      </c>
      <c r="Y304" s="15" t="s">
        <v>2163</v>
      </c>
      <c r="Z304" s="416">
        <v>20</v>
      </c>
      <c r="AA304" s="416" t="s">
        <v>123</v>
      </c>
      <c r="AB304" s="416" t="s">
        <v>123</v>
      </c>
      <c r="AC304" s="142" t="s">
        <v>284</v>
      </c>
      <c r="AD304" s="142">
        <v>4504952410</v>
      </c>
      <c r="AE304" s="104">
        <v>42416</v>
      </c>
      <c r="AF304" s="226">
        <v>0.47916666666666702</v>
      </c>
      <c r="AG304" s="142" t="s">
        <v>2164</v>
      </c>
      <c r="AH304" s="416" t="s">
        <v>160</v>
      </c>
      <c r="AI304" s="416" t="s">
        <v>139</v>
      </c>
      <c r="AJ304" s="416">
        <v>94533</v>
      </c>
      <c r="AK304" s="416" t="s">
        <v>118</v>
      </c>
      <c r="AL304" s="416" t="s">
        <v>287</v>
      </c>
      <c r="AM304" s="171" t="str">
        <f>INDEX(CarrierDriverTBL!$B:$B,MATCH(Table1[[#This Row],[DriverID]],CarrierDriverTBL!$A:$A,0))</f>
        <v>UBTrucking</v>
      </c>
      <c r="AN304" s="10" t="s">
        <v>2149</v>
      </c>
      <c r="AO304" s="171" t="str">
        <f>INDEX(CarrierDriverTBL!$C:$C,MATCH(Table1[[#This Row],[DriverID]],CarrierDriverTBL!$A:$A,0))</f>
        <v>Sukhpal</v>
      </c>
      <c r="AP304" s="171" t="str">
        <f>INDEX(CarrierDriverTBL!$D:$D,MATCH(Table1[[#This Row],[DriverID]],CarrierDriverTBL!$A:$A,0))</f>
        <v>Singh</v>
      </c>
      <c r="AQ304" s="171" t="str">
        <f>INDEX(CarrierDriverTBL!$X:$X,MATCH(Table1[[#This Row],[DriverID]],CarrierDriverTBL!$A:$A,0))</f>
        <v>B4532630</v>
      </c>
      <c r="AR304" s="172">
        <f>INDEX(CarrierDriverTBL!$Y:$Y,MATCH(Table1[[#This Row],[DriverID]],CarrierDriverTBL!$A:$A,0))</f>
        <v>42629</v>
      </c>
      <c r="AS304" s="142" t="str">
        <f t="shared" si="122"/>
        <v>GOOD</v>
      </c>
      <c r="AT304" s="172">
        <f>INDEX(CarrierDriverTBL!$E:$E,MATCH(Table1[[#This Row],[DriverID]],CarrierDriverTBL!$A:$A,0))</f>
        <v>29114</v>
      </c>
      <c r="AU304" s="163">
        <f ca="1">INDEX(CarrierDriverTBL!$F:$F,MATCH(Table1[[#This Row],[DriverID]],CarrierDriverTBL!$A:$A,0))</f>
        <v>36.88219178082192</v>
      </c>
      <c r="AV304" s="171" t="str">
        <f>INDEX(CarrierDriverTBL!$K:$K,MATCH(Table1[[#This Row],[DriverID]],CarrierDriverTBL!$A:$A,0))</f>
        <v>916-833-9981</v>
      </c>
      <c r="AW304" s="171" t="str">
        <f>INDEX(CarrierDriverTBL!$M:$M,MATCH(Table1[[#This Row],[DriverID]],CarrierDriverTBL!$A:$A,0))</f>
        <v>Missing</v>
      </c>
      <c r="AX304" s="171" t="str">
        <f>INDEX(CarrierDriverTBL!$N:$N,MATCH(Table1[[#This Row],[DriverID]],CarrierDriverTBL!$A:$A,0))</f>
        <v>Manteca</v>
      </c>
      <c r="AY304" s="171" t="str">
        <f>INDEX(CarrierDriverTBL!$O:$O,MATCH(Table1[[#This Row],[DriverID]],CarrierDriverTBL!$A:$A,0))</f>
        <v>CA</v>
      </c>
      <c r="AZ304" s="171">
        <f>INDEX(CarrierDriverTBL!$P:$P,MATCH(Table1[[#This Row],[DriverID]],CarrierDriverTBL!$A:$A,0))</f>
        <v>95337</v>
      </c>
      <c r="BA304" s="171" t="str">
        <f>INDEX(CarrierDriverTBL!$Q:$Q,MATCH(Table1[[#This Row],[DriverID]],CarrierDriverTBL!$A:$A,0))</f>
        <v>US</v>
      </c>
      <c r="BB304" s="224" t="str">
        <f>INDEX(CarrierDriverTBL!$R:$R,MATCH(Table1[[#This Row],[DriverID]],CarrierDriverTBL!$A:$A,0))</f>
        <v>htl0916@gmail.com</v>
      </c>
      <c r="BC304" s="160">
        <f>INDEX(CarrierDriverTBL!$AB:$AB,MATCH(Table1[[#This Row],[DriverID]],CarrierDriverTBL!$A:$A,0))</f>
        <v>42413</v>
      </c>
      <c r="BD304" s="142" t="str">
        <f ca="1">INDEX(CarrierDriverTBL!$AD:$AD,MATCH(LoadMaster!$AN:$AN,CarrierDriverTBL!$A:$A,0))</f>
        <v>MISSING</v>
      </c>
      <c r="BE304" s="142">
        <f>INDEX(CarrierDriverTBL!$AE:$AE,MATCH(Table1[DriverID],CarrierDriverTBL!$A:$A,0))</f>
        <v>913971</v>
      </c>
      <c r="BF304" s="142">
        <f>INDEX(CarrierDriverTBL!$AF:$AF,MATCH(Table1[DriverID],CarrierDriverTBL!$A:$A,0))</f>
        <v>2627544</v>
      </c>
      <c r="BG304" s="142">
        <f>INDEX(CarrierDriverTBL!$AG:$AG,MATCH(Table1[DriverID],CarrierDriverTBL!$A:$A,0))</f>
        <v>466133</v>
      </c>
      <c r="BH304" s="142" t="str">
        <f>INDEX(CarrierDriverTBL!$AH:$AH,MATCH(Table1[DriverID],CarrierDriverTBL!$A:$A,0))</f>
        <v>GM Lawrence Ins</v>
      </c>
      <c r="BI304" s="142" t="str">
        <f>INDEX(CarrierDriverTBL!$AI:$AI,MATCH(Table1[DriverID],CarrierDriverTBL!$A:$A,0))</f>
        <v>DSK2842P160210</v>
      </c>
      <c r="BJ304" s="160">
        <f>INDEX(CarrierDriverTBL!$AJ:$AJ,MATCH(Table1[[#This Row],[DriverID]],CarrierDriverTBL!$A:$A,0))</f>
        <v>42778</v>
      </c>
      <c r="BK304" s="10">
        <f t="shared" si="123"/>
        <v>362</v>
      </c>
      <c r="BL304" s="5">
        <v>275</v>
      </c>
      <c r="BM304" s="171">
        <v>30.5</v>
      </c>
      <c r="BN304" s="159">
        <f t="shared" si="140"/>
        <v>9.0163934426229506</v>
      </c>
      <c r="BO304" s="134">
        <f>0.93*275</f>
        <v>255.75</v>
      </c>
      <c r="BP304" s="133">
        <f t="shared" si="141"/>
        <v>8.3852459016393439</v>
      </c>
      <c r="BQ304" s="133">
        <v>2.6</v>
      </c>
      <c r="BR304" s="215">
        <f t="shared" si="142"/>
        <v>0.1166666666666667</v>
      </c>
      <c r="BS304" s="133">
        <f t="shared" si="124"/>
        <v>8.2685792349726768</v>
      </c>
      <c r="BT304" s="133">
        <f t="shared" si="125"/>
        <v>3.5583333333333345</v>
      </c>
      <c r="BU304" s="10" t="str">
        <f t="shared" si="126"/>
        <v>Pinnacle Transportation Logistics</v>
      </c>
      <c r="BV304" s="15"/>
      <c r="BW304" s="4" t="str">
        <f>Table1[[#This Row],[BrokerAddress]]</f>
        <v>P.O Box 94520</v>
      </c>
      <c r="BX304" s="4" t="str">
        <f t="shared" si="127"/>
        <v>North Little Rock</v>
      </c>
      <c r="BY304" s="4" t="str">
        <f t="shared" si="128"/>
        <v>Ar</v>
      </c>
      <c r="BZ304" s="4">
        <f t="shared" si="129"/>
        <v>72190</v>
      </c>
      <c r="CA304" s="10" t="str">
        <f t="shared" si="130"/>
        <v>US</v>
      </c>
      <c r="CB304" s="15" t="s">
        <v>131</v>
      </c>
      <c r="CC304" s="62"/>
      <c r="CD304" s="15" t="s">
        <v>132</v>
      </c>
      <c r="CE304" s="64">
        <v>0</v>
      </c>
      <c r="CF304" s="4">
        <v>0</v>
      </c>
      <c r="CG304" s="132">
        <f t="shared" si="131"/>
        <v>0</v>
      </c>
      <c r="CH304" s="4" t="s">
        <v>132</v>
      </c>
      <c r="CI304" s="5">
        <v>0</v>
      </c>
      <c r="CJ304" s="4">
        <v>0</v>
      </c>
      <c r="CK304" s="132">
        <f t="shared" si="132"/>
        <v>0</v>
      </c>
      <c r="CL304" s="4" t="s">
        <v>132</v>
      </c>
      <c r="CM304" s="5">
        <v>0</v>
      </c>
      <c r="CN304" s="4">
        <v>0</v>
      </c>
      <c r="CO304" s="132">
        <f t="shared" si="133"/>
        <v>0</v>
      </c>
      <c r="CP304" s="4" t="s">
        <v>132</v>
      </c>
      <c r="CQ304" s="5">
        <v>0</v>
      </c>
      <c r="CR304" s="4">
        <v>0</v>
      </c>
      <c r="CS304" s="132">
        <f t="shared" si="134"/>
        <v>0</v>
      </c>
      <c r="CT304" s="159">
        <f t="shared" si="135"/>
        <v>0</v>
      </c>
      <c r="CU304" s="168">
        <f t="shared" si="136"/>
        <v>275</v>
      </c>
      <c r="CV304" s="177">
        <f t="shared" si="119"/>
        <v>0</v>
      </c>
      <c r="CW304" s="82">
        <f t="shared" si="120"/>
        <v>255.75</v>
      </c>
      <c r="CX304" s="79">
        <f>IF(ISBLANK(E304),"AddQuickPay",IF(E304=2,CU304*0.98,IF(E304=2.4,CU304*0.976,IF(E304=3,CU304*0.97,IF(E304=5,CU304*0.95,IF(E304=1.5,CU304*0.985,IF(E304=2.5,CU304*0.975,IF(E304=1.3,CU304*0.987,IF(E304=1,CU304*0.99,IF(E304=4,CU304*0.96,CU304*1))))))))))-Table1[[#This Row],[ComCheck+QuickPayFee]]</f>
        <v>261.25</v>
      </c>
      <c r="CY304" s="5">
        <f t="shared" si="137"/>
        <v>19.25</v>
      </c>
      <c r="CZ304" s="5">
        <f t="shared" si="138"/>
        <v>13.75</v>
      </c>
      <c r="DA304" s="258">
        <f>Table1[[#This Row],[OriginalDispatch]]-Table1[[#This Row],[QuickPayCharge]]</f>
        <v>5.5</v>
      </c>
      <c r="DB304" s="5">
        <v>0</v>
      </c>
      <c r="DC304" s="5" t="s">
        <v>133</v>
      </c>
      <c r="DD304" s="172">
        <f t="shared" si="139"/>
        <v>42419</v>
      </c>
      <c r="DE304" s="171">
        <f>MONTH(Table1[[#This Row],[Weekending]])</f>
        <v>2</v>
      </c>
      <c r="DF304" s="171">
        <f>YEAR(Table1[[#This Row],[Weekending]])</f>
        <v>2016</v>
      </c>
      <c r="DG304" s="4"/>
    </row>
    <row r="305" spans="1:111">
      <c r="A305" s="416" t="str">
        <f t="shared" si="121"/>
        <v>7415wn49</v>
      </c>
      <c r="B305" s="104">
        <v>42417</v>
      </c>
      <c r="C305" s="15">
        <v>2391374</v>
      </c>
      <c r="D305" s="416" t="s">
        <v>1638</v>
      </c>
      <c r="E305" s="15">
        <v>2</v>
      </c>
      <c r="F305" s="298" t="str">
        <f>INDEX(BrokerTBL!$B:$B,MATCH(D305,BrokerTBL!$A:$A,0))</f>
        <v>4040 Embassy Parkway Suite 370</v>
      </c>
      <c r="G305" s="416" t="str">
        <f>INDEX(BrokerTBL!$C:$C,MATCH(D305,BrokerTBL!$A:$A,0))</f>
        <v>Akron</v>
      </c>
      <c r="H305" s="131" t="str">
        <f>INDEX(BrokerTBL!$D:$D,MATCH(D305,BrokerTBL!$A:$A,0))</f>
        <v>Ohio</v>
      </c>
      <c r="I305" s="131" t="str">
        <f>INDEX(BrokerTBL!$E:$E,MATCH(D305,BrokerTBL!$A:$A,0))</f>
        <v>US</v>
      </c>
      <c r="J305" s="131">
        <f>INDEX(BrokerTBL!$F:$F,MATCH(D305,BrokerTBL!$A:$A,0))</f>
        <v>44333</v>
      </c>
      <c r="K305" s="416" t="s">
        <v>1639</v>
      </c>
      <c r="L305" s="81" t="s">
        <v>2165</v>
      </c>
      <c r="M305" s="104">
        <v>42417</v>
      </c>
      <c r="N305" s="162" t="s">
        <v>123</v>
      </c>
      <c r="O305" s="15" t="s">
        <v>1641</v>
      </c>
      <c r="P305" s="416" t="s">
        <v>1642</v>
      </c>
      <c r="Q305" s="416" t="s">
        <v>264</v>
      </c>
      <c r="R305" s="416">
        <v>8706</v>
      </c>
      <c r="S305" s="416" t="s">
        <v>118</v>
      </c>
      <c r="T305" s="416" t="s">
        <v>1643</v>
      </c>
      <c r="U305" s="416" t="s">
        <v>120</v>
      </c>
      <c r="V305" s="416">
        <v>53</v>
      </c>
      <c r="W305" s="416" t="s">
        <v>1644</v>
      </c>
      <c r="X305" s="225">
        <v>44000</v>
      </c>
      <c r="Y305" s="15" t="s">
        <v>123</v>
      </c>
      <c r="Z305" s="416" t="s">
        <v>123</v>
      </c>
      <c r="AA305" s="416" t="s">
        <v>123</v>
      </c>
      <c r="AB305" s="416" t="s">
        <v>123</v>
      </c>
      <c r="AC305" s="416" t="s">
        <v>1645</v>
      </c>
      <c r="AD305" s="81" t="s">
        <v>1205</v>
      </c>
      <c r="AE305" s="104">
        <v>42418</v>
      </c>
      <c r="AF305" s="226" t="s">
        <v>2166</v>
      </c>
      <c r="AG305" s="416" t="s">
        <v>2167</v>
      </c>
      <c r="AH305" s="416" t="s">
        <v>2168</v>
      </c>
      <c r="AI305" s="416" t="s">
        <v>139</v>
      </c>
      <c r="AJ305" s="416">
        <v>93235</v>
      </c>
      <c r="AK305" s="416" t="s">
        <v>118</v>
      </c>
      <c r="AL305" s="416" t="s">
        <v>2169</v>
      </c>
      <c r="AM305" s="142" t="str">
        <f>INDEX(CarrierDriverTBL!$B:$B,MATCH(Table1[[#This Row],[DriverID]],CarrierDriverTBL!$A:$A,0))</f>
        <v>UBTrucking</v>
      </c>
      <c r="AN305" s="10" t="s">
        <v>192</v>
      </c>
      <c r="AO305" s="10" t="str">
        <f>INDEX(CarrierDriverTBL!$C:$C,MATCH(Table1[[#This Row],[DriverID]],CarrierDriverTBL!$A:$A,0))</f>
        <v>Albel</v>
      </c>
      <c r="AP305" s="142" t="str">
        <f>INDEX(CarrierDriverTBL!$D:$D,MATCH(Table1[[#This Row],[DriverID]],CarrierDriverTBL!$A:$A,0))</f>
        <v>Chahil</v>
      </c>
      <c r="AQ305" s="142" t="str">
        <f>INDEX(CarrierDriverTBL!$X:$X,MATCH(Table1[[#This Row],[DriverID]],CarrierDriverTBL!$A:$A,0))</f>
        <v>A8390649</v>
      </c>
      <c r="AR305" s="160">
        <f>INDEX(CarrierDriverTBL!$Y:$Y,MATCH(Table1[[#This Row],[DriverID]],CarrierDriverTBL!$A:$A,0))</f>
        <v>42402</v>
      </c>
      <c r="AS305" s="142" t="str">
        <f t="shared" si="122"/>
        <v>EXPIRED</v>
      </c>
      <c r="AT305" s="160">
        <f>INDEX(CarrierDriverTBL!$E:$E,MATCH(Table1[[#This Row],[DriverID]],CarrierDriverTBL!$A:$A,0))</f>
        <v>22314</v>
      </c>
      <c r="AU305" s="163">
        <f ca="1">INDEX(CarrierDriverTBL!$F:$F,MATCH(Table1[[#This Row],[DriverID]],CarrierDriverTBL!$A:$A,0))</f>
        <v>55.512328767123286</v>
      </c>
      <c r="AV305" s="142" t="str">
        <f>INDEX(CarrierDriverTBL!$K:$K,MATCH(Table1[[#This Row],[DriverID]],CarrierDriverTBL!$A:$A,0))</f>
        <v>510-773-9450</v>
      </c>
      <c r="AW305" s="142" t="str">
        <f>INDEX(CarrierDriverTBL!$M:$M,MATCH(Table1[[#This Row],[DriverID]],CarrierDriverTBL!$A:$A,0))</f>
        <v>3124 Cynthia CT</v>
      </c>
      <c r="AX305" s="142" t="str">
        <f>INDEX(CarrierDriverTBL!$N:$N,MATCH(Table1[[#This Row],[DriverID]],CarrierDriverTBL!$A:$A,0))</f>
        <v>Tracy</v>
      </c>
      <c r="AY305" s="142" t="str">
        <f>INDEX(CarrierDriverTBL!$O:$O,MATCH(Table1[[#This Row],[DriverID]],CarrierDriverTBL!$A:$A,0))</f>
        <v>CA</v>
      </c>
      <c r="AZ305" s="142">
        <f>INDEX(CarrierDriverTBL!$P:$P,MATCH(Table1[[#This Row],[DriverID]],CarrierDriverTBL!$A:$A,0))</f>
        <v>95377</v>
      </c>
      <c r="BA305" s="142" t="str">
        <f>INDEX(CarrierDriverTBL!$Q:$Q,MATCH(Table1[[#This Row],[DriverID]],CarrierDriverTBL!$A:$A,0))</f>
        <v>US</v>
      </c>
      <c r="BB305" s="176" t="str">
        <f>INDEX(CarrierDriverTBL!$R:$R,MATCH(Table1[[#This Row],[DriverID]],CarrierDriverTBL!$A:$A,0))</f>
        <v>ubgollc@gmail.com</v>
      </c>
      <c r="BC305" s="160">
        <f>INDEX(CarrierDriverTBL!$AB:$AB,MATCH(Table1[[#This Row],[DriverID]],CarrierDriverTBL!$A:$A,0))</f>
        <v>42167</v>
      </c>
      <c r="BD305" s="142" t="str">
        <f ca="1">INDEX(CarrierDriverTBL!$AD:$AD,MATCH(LoadMaster!$AN:$AN,CarrierDriverTBL!$A:$A,0))</f>
        <v>MISSING</v>
      </c>
      <c r="BE305" s="142">
        <f>INDEX(CarrierDriverTBL!$AE:$AE,MATCH(Table1[DriverID],CarrierDriverTBL!$A:$A,0))</f>
        <v>913971</v>
      </c>
      <c r="BF305" s="142">
        <f>INDEX(CarrierDriverTBL!$AF:$AF,MATCH(Table1[DriverID],CarrierDriverTBL!$A:$A,0))</f>
        <v>2627544</v>
      </c>
      <c r="BG305" s="142">
        <f>INDEX(CarrierDriverTBL!$AG:$AG,MATCH(Table1[DriverID],CarrierDriverTBL!$A:$A,0))</f>
        <v>466133</v>
      </c>
      <c r="BH305" s="142" t="str">
        <f>INDEX(CarrierDriverTBL!$AH:$AH,MATCH(Table1[DriverID],CarrierDriverTBL!$A:$A,0))</f>
        <v>GM Lawrence Ins</v>
      </c>
      <c r="BI305" s="142" t="str">
        <f>INDEX(CarrierDriverTBL!$AI:$AI,MATCH(Table1[DriverID],CarrierDriverTBL!$A:$A,0))</f>
        <v>DSK2842P160210</v>
      </c>
      <c r="BJ305" s="160">
        <f>INDEX(CarrierDriverTBL!$AJ:$AJ,MATCH(Table1[[#This Row],[DriverID]],CarrierDriverTBL!$A:$A,0))</f>
        <v>42778</v>
      </c>
      <c r="BK305" s="10">
        <f t="shared" si="123"/>
        <v>361</v>
      </c>
      <c r="BL305" s="5">
        <v>600</v>
      </c>
      <c r="BM305" s="171">
        <v>318</v>
      </c>
      <c r="BN305" s="133">
        <f t="shared" si="140"/>
        <v>1.8867924528301887</v>
      </c>
      <c r="BO305" s="134">
        <v>550</v>
      </c>
      <c r="BP305" s="133">
        <f t="shared" si="141"/>
        <v>1.729559748427673</v>
      </c>
      <c r="BQ305" s="133">
        <v>2.6</v>
      </c>
      <c r="BR305" s="215">
        <f t="shared" si="142"/>
        <v>0.1166666666666667</v>
      </c>
      <c r="BS305" s="133">
        <f t="shared" si="124"/>
        <v>1.6128930817610063</v>
      </c>
      <c r="BT305" s="133">
        <f t="shared" si="125"/>
        <v>37.100000000000009</v>
      </c>
      <c r="BU305" s="10" t="str">
        <f t="shared" si="126"/>
        <v>Matson Logistics</v>
      </c>
      <c r="BV305" s="15"/>
      <c r="BW305" s="4" t="str">
        <f>Table1[[#This Row],[BrokerAddress]]</f>
        <v>4040 Embassy Parkway Suite 370</v>
      </c>
      <c r="BX305" s="4" t="str">
        <f t="shared" si="127"/>
        <v>Akron</v>
      </c>
      <c r="BY305" s="4" t="str">
        <f t="shared" si="128"/>
        <v>Ohio</v>
      </c>
      <c r="BZ305" s="4">
        <f t="shared" si="129"/>
        <v>44333</v>
      </c>
      <c r="CA305" s="10" t="str">
        <f t="shared" si="130"/>
        <v>US</v>
      </c>
      <c r="CB305" s="15" t="s">
        <v>131</v>
      </c>
      <c r="CC305" s="62"/>
      <c r="CD305" s="15" t="s">
        <v>132</v>
      </c>
      <c r="CE305" s="64">
        <v>0</v>
      </c>
      <c r="CF305" s="4">
        <v>0</v>
      </c>
      <c r="CG305" s="132">
        <f t="shared" si="131"/>
        <v>0</v>
      </c>
      <c r="CH305" s="4" t="s">
        <v>132</v>
      </c>
      <c r="CI305" s="5">
        <v>0</v>
      </c>
      <c r="CJ305" s="4">
        <v>0</v>
      </c>
      <c r="CK305" s="132">
        <f t="shared" si="132"/>
        <v>0</v>
      </c>
      <c r="CL305" s="4" t="s">
        <v>132</v>
      </c>
      <c r="CM305" s="5">
        <v>0</v>
      </c>
      <c r="CN305" s="4">
        <v>0</v>
      </c>
      <c r="CO305" s="132">
        <f t="shared" si="133"/>
        <v>0</v>
      </c>
      <c r="CP305" s="4" t="s">
        <v>132</v>
      </c>
      <c r="CQ305" s="5">
        <v>0</v>
      </c>
      <c r="CR305" s="4">
        <v>0</v>
      </c>
      <c r="CS305" s="132">
        <f t="shared" si="134"/>
        <v>0</v>
      </c>
      <c r="CT305" s="132">
        <f t="shared" si="135"/>
        <v>0</v>
      </c>
      <c r="CU305" s="168">
        <f t="shared" si="136"/>
        <v>600</v>
      </c>
      <c r="CV305" s="177">
        <f t="shared" si="119"/>
        <v>0</v>
      </c>
      <c r="CW305" s="82">
        <f t="shared" si="120"/>
        <v>550</v>
      </c>
      <c r="CX305" s="79">
        <f>IF(ISBLANK(E305),"AddQuickPay",IF(E305=2,CU305*0.98,IF(E305=2.4,CU305*0.976,IF(E305=3,CU305*0.97,IF(E305=5,CU305*0.95,IF(E305=1.5,CU305*0.985,IF(E305=2.5,CU305*0.975,IF(E305=1.3,CU305*0.987,IF(E305=1,CU305*0.99,IF(E305=4,CU305*0.96,CU305*1))))))))))-Table1[[#This Row],[ComCheck+QuickPayFee]]</f>
        <v>588</v>
      </c>
      <c r="CY305" s="5">
        <f t="shared" si="137"/>
        <v>50</v>
      </c>
      <c r="CZ305" s="5">
        <f t="shared" si="138"/>
        <v>12</v>
      </c>
      <c r="DA305" s="258">
        <f>Table1[[#This Row],[OriginalDispatch]]-Table1[[#This Row],[QuickPayCharge]]</f>
        <v>38</v>
      </c>
      <c r="DB305" s="5">
        <v>0</v>
      </c>
      <c r="DC305" s="5" t="s">
        <v>133</v>
      </c>
      <c r="DD305" s="172">
        <f t="shared" si="139"/>
        <v>42419</v>
      </c>
      <c r="DE305" s="171">
        <f>MONTH(Table1[[#This Row],[Weekending]])</f>
        <v>2</v>
      </c>
      <c r="DF305" s="171">
        <f>YEAR(Table1[[#This Row],[Weekending]])</f>
        <v>2016</v>
      </c>
      <c r="DG305" s="4"/>
    </row>
    <row r="306" spans="1:111">
      <c r="A306" s="416" t="str">
        <f t="shared" si="121"/>
        <v>16wnwn88</v>
      </c>
      <c r="B306" s="104">
        <v>42417</v>
      </c>
      <c r="C306" s="15">
        <v>118416</v>
      </c>
      <c r="D306" s="416" t="s">
        <v>2170</v>
      </c>
      <c r="E306" s="15">
        <v>4</v>
      </c>
      <c r="F306" s="298" t="str">
        <f>INDEX(BrokerTBL!$B:$B,MATCH(D306,BrokerTBL!$A:$A,0))</f>
        <v>2511 St Johns Bluff Road, Suite 107</v>
      </c>
      <c r="G306" s="416" t="str">
        <f>INDEX(BrokerTBL!$C:$C,MATCH(D306,BrokerTBL!$A:$A,0))</f>
        <v>Jacksonville</v>
      </c>
      <c r="H306" s="131" t="str">
        <f>INDEX(BrokerTBL!$D:$D,MATCH(D306,BrokerTBL!$A:$A,0))</f>
        <v>Fl</v>
      </c>
      <c r="I306" s="131" t="str">
        <f>INDEX(BrokerTBL!$E:$E,MATCH(D306,BrokerTBL!$A:$A,0))</f>
        <v>US</v>
      </c>
      <c r="J306" s="131">
        <f>INDEX(BrokerTBL!$F:$F,MATCH(D306,BrokerTBL!$A:$A,0))</f>
        <v>32246</v>
      </c>
      <c r="K306" s="416" t="s">
        <v>2171</v>
      </c>
      <c r="L306" s="81" t="s">
        <v>1205</v>
      </c>
      <c r="M306" s="104">
        <v>42417</v>
      </c>
      <c r="N306" s="15" t="s">
        <v>1550</v>
      </c>
      <c r="O306" s="15" t="s">
        <v>2172</v>
      </c>
      <c r="P306" s="416" t="s">
        <v>787</v>
      </c>
      <c r="Q306" s="416" t="s">
        <v>139</v>
      </c>
      <c r="R306" s="416">
        <v>94804</v>
      </c>
      <c r="S306" s="416" t="s">
        <v>118</v>
      </c>
      <c r="T306" s="416" t="s">
        <v>2173</v>
      </c>
      <c r="U306" s="416" t="s">
        <v>120</v>
      </c>
      <c r="V306" s="416">
        <v>53</v>
      </c>
      <c r="W306" s="416" t="s">
        <v>2174</v>
      </c>
      <c r="X306" s="225">
        <v>23000</v>
      </c>
      <c r="Y306" s="15" t="s">
        <v>1537</v>
      </c>
      <c r="Z306" s="416">
        <v>30</v>
      </c>
      <c r="AA306" s="416" t="s">
        <v>123</v>
      </c>
      <c r="AB306" s="416" t="s">
        <v>123</v>
      </c>
      <c r="AC306" s="416" t="s">
        <v>2175</v>
      </c>
      <c r="AD306" s="81" t="s">
        <v>1205</v>
      </c>
      <c r="AE306" s="104">
        <v>42417</v>
      </c>
      <c r="AF306" s="104" t="s">
        <v>1951</v>
      </c>
      <c r="AG306" s="416" t="s">
        <v>2176</v>
      </c>
      <c r="AH306" s="416" t="s">
        <v>2177</v>
      </c>
      <c r="AI306" s="416" t="s">
        <v>139</v>
      </c>
      <c r="AJ306" s="416">
        <v>94063</v>
      </c>
      <c r="AK306" s="416" t="s">
        <v>118</v>
      </c>
      <c r="AL306" s="416" t="s">
        <v>2178</v>
      </c>
      <c r="AM306" s="142" t="str">
        <f>INDEX(CarrierDriverTBL!$B:$B,MATCH(Table1[[#This Row],[DriverID]],CarrierDriverTBL!$A:$A,0))</f>
        <v>UBTrucking</v>
      </c>
      <c r="AN306" s="10" t="s">
        <v>948</v>
      </c>
      <c r="AO306" s="10" t="str">
        <f>INDEX(CarrierDriverTBL!$C:$C,MATCH(Table1[[#This Row],[DriverID]],CarrierDriverTBL!$A:$A,0))</f>
        <v>Wesley</v>
      </c>
      <c r="AP306" s="10" t="str">
        <f>INDEX(CarrierDriverTBL!$D:$D,MATCH(Table1[[#This Row],[DriverID]],CarrierDriverTBL!$A:$A,0))</f>
        <v>Cousain</v>
      </c>
      <c r="AQ306" s="10" t="str">
        <f>INDEX(CarrierDriverTBL!$X:$X,MATCH(Table1[[#This Row],[DriverID]],CarrierDriverTBL!$A:$A,0))</f>
        <v>D4903588</v>
      </c>
      <c r="AR306" s="11">
        <f>INDEX(CarrierDriverTBL!$Y:$Y,MATCH(Table1[[#This Row],[DriverID]],CarrierDriverTBL!$A:$A,0))</f>
        <v>43458</v>
      </c>
      <c r="AS306" s="142" t="str">
        <f t="shared" si="122"/>
        <v>GOOD</v>
      </c>
      <c r="AT306" s="11">
        <f>INDEX(CarrierDriverTBL!$E:$E,MATCH(Table1[[#This Row],[DriverID]],CarrierDriverTBL!$A:$A,0))</f>
        <v>31405</v>
      </c>
      <c r="AU306" s="163">
        <f ca="1">INDEX(CarrierDriverTBL!$F:$F,MATCH(Table1[[#This Row],[DriverID]],CarrierDriverTBL!$A:$A,0))</f>
        <v>30.605479452054794</v>
      </c>
      <c r="AV306" s="10" t="str">
        <f>INDEX(CarrierDriverTBL!$K:$K,MATCH(Table1[[#This Row],[DriverID]],CarrierDriverTBL!$A:$A,0))</f>
        <v>925-383-5364</v>
      </c>
      <c r="AW306" s="10" t="str">
        <f>INDEX(CarrierDriverTBL!$M:$M,MATCH(Table1[[#This Row],[DriverID]],CarrierDriverTBL!$A:$A,0))</f>
        <v>110 Cordova Ln</v>
      </c>
      <c r="AX306" s="10" t="str">
        <f>INDEX(CarrierDriverTBL!$N:$N,MATCH(Table1[[#This Row],[DriverID]],CarrierDriverTBL!$A:$A,0))</f>
        <v>Stockton</v>
      </c>
      <c r="AY306" s="10" t="str">
        <f>INDEX(CarrierDriverTBL!$O:$O,MATCH(Table1[[#This Row],[DriverID]],CarrierDriverTBL!$A:$A,0))</f>
        <v>CA</v>
      </c>
      <c r="AZ306" s="10">
        <f>INDEX(CarrierDriverTBL!$P:$P,MATCH(Table1[[#This Row],[DriverID]],CarrierDriverTBL!$A:$A,0))</f>
        <v>95207</v>
      </c>
      <c r="BA306" s="10" t="str">
        <f>INDEX(CarrierDriverTBL!$Q:$Q,MATCH(Table1[[#This Row],[DriverID]],CarrierDriverTBL!$A:$A,0))</f>
        <v>US</v>
      </c>
      <c r="BB306" s="173" t="str">
        <f>INDEX(CarrierDriverTBL!$R:$R,MATCH(Table1[[#This Row],[DriverID]],CarrierDriverTBL!$A:$A,0))</f>
        <v>wesleycousain1@gmail.com</v>
      </c>
      <c r="BC306" s="160">
        <f>INDEX(CarrierDriverTBL!$AB:$AB,MATCH(Table1[[#This Row],[DriverID]],CarrierDriverTBL!$A:$A,0))</f>
        <v>42271</v>
      </c>
      <c r="BD306" s="142" t="str">
        <f ca="1">INDEX(CarrierDriverTBL!$AD:$AD,MATCH(LoadMaster!$AN:$AN,CarrierDriverTBL!$A:$A,0))</f>
        <v>MISSING</v>
      </c>
      <c r="BE306" s="142">
        <f>INDEX(CarrierDriverTBL!$AE:$AE,MATCH(Table1[DriverID],CarrierDriverTBL!$A:$A,0))</f>
        <v>913971</v>
      </c>
      <c r="BF306" s="142">
        <f>INDEX(CarrierDriverTBL!$AF:$AF,MATCH(Table1[DriverID],CarrierDriverTBL!$A:$A,0))</f>
        <v>2627544</v>
      </c>
      <c r="BG306" s="142">
        <f>INDEX(CarrierDriverTBL!$AG:$AG,MATCH(Table1[DriverID],CarrierDriverTBL!$A:$A,0))</f>
        <v>466133</v>
      </c>
      <c r="BH306" s="142" t="str">
        <f>INDEX(CarrierDriverTBL!$AH:$AH,MATCH(Table1[DriverID],CarrierDriverTBL!$A:$A,0))</f>
        <v>GM Lawrence Ins</v>
      </c>
      <c r="BI306" s="142" t="str">
        <f>INDEX(CarrierDriverTBL!$AI:$AI,MATCH(Table1[DriverID],CarrierDriverTBL!$A:$A,0))</f>
        <v>DSK2842P160210</v>
      </c>
      <c r="BJ306" s="160">
        <f>INDEX(CarrierDriverTBL!$AJ:$AJ,MATCH(Table1[[#This Row],[DriverID]],CarrierDriverTBL!$A:$A,0))</f>
        <v>42778</v>
      </c>
      <c r="BK306" s="10">
        <f t="shared" si="123"/>
        <v>361</v>
      </c>
      <c r="BL306" s="5">
        <v>500</v>
      </c>
      <c r="BM306" s="171">
        <v>41.7</v>
      </c>
      <c r="BN306" s="159">
        <f t="shared" si="140"/>
        <v>11.990407673860911</v>
      </c>
      <c r="BO306" s="134">
        <f>0.93*Table1[[#This Row],[ChargeBroker]]</f>
        <v>465</v>
      </c>
      <c r="BP306" s="133">
        <f t="shared" si="141"/>
        <v>11.151079136690647</v>
      </c>
      <c r="BQ306" s="133">
        <v>2.6</v>
      </c>
      <c r="BR306" s="215">
        <f t="shared" si="142"/>
        <v>0.1166666666666667</v>
      </c>
      <c r="BS306" s="133">
        <f t="shared" si="124"/>
        <v>11.03441247002398</v>
      </c>
      <c r="BT306" s="133">
        <f t="shared" si="125"/>
        <v>4.865000000000002</v>
      </c>
      <c r="BU306" s="10" t="str">
        <f t="shared" si="126"/>
        <v>Magellan Transport Logistics</v>
      </c>
      <c r="BV306" s="15"/>
      <c r="BW306" s="4" t="str">
        <f>Table1[[#This Row],[BrokerAddress]]</f>
        <v>2511 St Johns Bluff Road, Suite 107</v>
      </c>
      <c r="BX306" s="4" t="str">
        <f t="shared" si="127"/>
        <v>Jacksonville</v>
      </c>
      <c r="BY306" s="4" t="str">
        <f t="shared" si="128"/>
        <v>Fl</v>
      </c>
      <c r="BZ306" s="4">
        <f t="shared" si="129"/>
        <v>32246</v>
      </c>
      <c r="CA306" s="10" t="str">
        <f t="shared" si="130"/>
        <v>US</v>
      </c>
      <c r="CB306" s="15" t="s">
        <v>131</v>
      </c>
      <c r="CC306" s="62"/>
      <c r="CD306" s="15" t="s">
        <v>132</v>
      </c>
      <c r="CE306" s="64">
        <v>0</v>
      </c>
      <c r="CF306" s="4">
        <v>0</v>
      </c>
      <c r="CG306" s="132">
        <f t="shared" si="131"/>
        <v>0</v>
      </c>
      <c r="CH306" s="4" t="s">
        <v>132</v>
      </c>
      <c r="CI306" s="5">
        <v>0</v>
      </c>
      <c r="CJ306" s="4">
        <v>0</v>
      </c>
      <c r="CK306" s="132">
        <f t="shared" si="132"/>
        <v>0</v>
      </c>
      <c r="CL306" s="4" t="s">
        <v>132</v>
      </c>
      <c r="CM306" s="5">
        <v>0</v>
      </c>
      <c r="CN306" s="4">
        <v>0</v>
      </c>
      <c r="CO306" s="132">
        <f t="shared" si="133"/>
        <v>0</v>
      </c>
      <c r="CP306" s="4" t="s">
        <v>132</v>
      </c>
      <c r="CQ306" s="5">
        <v>0</v>
      </c>
      <c r="CR306" s="4">
        <v>0</v>
      </c>
      <c r="CS306" s="132">
        <f t="shared" si="134"/>
        <v>0</v>
      </c>
      <c r="CT306" s="159">
        <f t="shared" si="135"/>
        <v>0</v>
      </c>
      <c r="CU306" s="168">
        <f t="shared" si="136"/>
        <v>500</v>
      </c>
      <c r="CV306" s="177">
        <f t="shared" si="119"/>
        <v>0</v>
      </c>
      <c r="CW306" s="82">
        <f t="shared" si="120"/>
        <v>465</v>
      </c>
      <c r="CX306" s="79">
        <f>IF(ISBLANK(E306),"AddQuickPay",IF(E306=2,CU306*0.98,IF(E306=2.4,CU306*0.976,IF(E306=3,CU306*0.97,IF(E306=5,CU306*0.95,IF(E306=1.5,CU306*0.985,IF(E306=2.5,CU306*0.975,IF(E306=1.3,CU306*0.987,IF(E306=1,CU306*0.99,IF(E306=4,CU306*0.96,CU306*1))))))))))-Table1[[#This Row],[ComCheck+QuickPayFee]]</f>
        <v>480</v>
      </c>
      <c r="CY306" s="5">
        <f t="shared" si="137"/>
        <v>35</v>
      </c>
      <c r="CZ306" s="5">
        <f t="shared" si="138"/>
        <v>20</v>
      </c>
      <c r="DA306" s="258">
        <f>Table1[[#This Row],[OriginalDispatch]]-Table1[[#This Row],[QuickPayCharge]]</f>
        <v>15</v>
      </c>
      <c r="DB306" s="5">
        <v>0</v>
      </c>
      <c r="DC306" s="5" t="s">
        <v>133</v>
      </c>
      <c r="DD306" s="172">
        <f t="shared" si="139"/>
        <v>42419</v>
      </c>
      <c r="DE306" s="171">
        <f>MONTH(Table1[[#This Row],[Weekending]])</f>
        <v>2</v>
      </c>
      <c r="DF306" s="171">
        <f>YEAR(Table1[[#This Row],[Weekending]])</f>
        <v>2016</v>
      </c>
      <c r="DG306" s="4"/>
    </row>
    <row r="307" spans="1:111">
      <c r="A307" s="416" t="str">
        <f t="shared" si="121"/>
        <v>02067830</v>
      </c>
      <c r="B307" s="104">
        <v>42417</v>
      </c>
      <c r="C307" s="15">
        <v>125002</v>
      </c>
      <c r="D307" s="416" t="s">
        <v>455</v>
      </c>
      <c r="E307" s="15">
        <v>3</v>
      </c>
      <c r="F307" s="298" t="str">
        <f>INDEX(BrokerTBL!$B:$B,MATCH(D307,BrokerTBL!$A:$A,0))</f>
        <v>5600 Headquarters Drive C2D11</v>
      </c>
      <c r="G307" s="416" t="str">
        <f>INDEX(BrokerTBL!$C:$C,MATCH(D307,BrokerTBL!$A:$A,0))</f>
        <v>Plano</v>
      </c>
      <c r="H307" s="131" t="str">
        <f>INDEX(BrokerTBL!$D:$D,MATCH(D307,BrokerTBL!$A:$A,0))</f>
        <v>Tx</v>
      </c>
      <c r="I307" s="131" t="str">
        <f>INDEX(BrokerTBL!$E:$E,MATCH(D307,BrokerTBL!$A:$A,0))</f>
        <v>US</v>
      </c>
      <c r="J307" s="131">
        <f>INDEX(BrokerTBL!$F:$F,MATCH(D307,BrokerTBL!$A:$A,0))</f>
        <v>75024</v>
      </c>
      <c r="K307" s="416" t="s">
        <v>2179</v>
      </c>
      <c r="L307" s="81">
        <v>1018307406</v>
      </c>
      <c r="M307" s="104">
        <v>42417</v>
      </c>
      <c r="N307" s="15" t="s">
        <v>629</v>
      </c>
      <c r="O307" s="15" t="s">
        <v>723</v>
      </c>
      <c r="P307" s="416" t="s">
        <v>263</v>
      </c>
      <c r="Q307" s="416" t="s">
        <v>264</v>
      </c>
      <c r="R307" s="416">
        <v>89434</v>
      </c>
      <c r="S307" s="416" t="s">
        <v>118</v>
      </c>
      <c r="T307" s="416" t="s">
        <v>2180</v>
      </c>
      <c r="U307" s="416" t="s">
        <v>120</v>
      </c>
      <c r="V307" s="416">
        <v>53</v>
      </c>
      <c r="W307" s="416" t="s">
        <v>2181</v>
      </c>
      <c r="X307" s="144" t="s">
        <v>123</v>
      </c>
      <c r="Y307" s="15" t="s">
        <v>123</v>
      </c>
      <c r="Z307" s="416" t="s">
        <v>123</v>
      </c>
      <c r="AA307" s="416" t="s">
        <v>123</v>
      </c>
      <c r="AB307" s="416" t="s">
        <v>123</v>
      </c>
      <c r="AC307" s="416" t="s">
        <v>1394</v>
      </c>
      <c r="AD307" s="81">
        <v>828142278</v>
      </c>
      <c r="AE307" s="104">
        <v>42418</v>
      </c>
      <c r="AF307" s="226">
        <v>0.8125</v>
      </c>
      <c r="AG307" s="416" t="s">
        <v>2182</v>
      </c>
      <c r="AH307" s="416" t="s">
        <v>2183</v>
      </c>
      <c r="AI307" s="416" t="s">
        <v>202</v>
      </c>
      <c r="AJ307" s="416">
        <v>97015</v>
      </c>
      <c r="AK307" s="416" t="s">
        <v>118</v>
      </c>
      <c r="AL307" s="416" t="s">
        <v>2184</v>
      </c>
      <c r="AM307" s="171" t="str">
        <f>INDEX(CarrierDriverTBL!$B:$B,MATCH(Table1[[#This Row],[DriverID]],CarrierDriverTBL!$A:$A,0))</f>
        <v>UBTrucking</v>
      </c>
      <c r="AN307" s="10" t="s">
        <v>2149</v>
      </c>
      <c r="AO307" s="171" t="str">
        <f>INDEX(CarrierDriverTBL!$C:$C,MATCH(Table1[[#This Row],[DriverID]],CarrierDriverTBL!$A:$A,0))</f>
        <v>Sukhpal</v>
      </c>
      <c r="AP307" s="171" t="str">
        <f>INDEX(CarrierDriverTBL!$D:$D,MATCH(Table1[[#This Row],[DriverID]],CarrierDriverTBL!$A:$A,0))</f>
        <v>Singh</v>
      </c>
      <c r="AQ307" s="171" t="str">
        <f>INDEX(CarrierDriverTBL!$X:$X,MATCH(Table1[[#This Row],[DriverID]],CarrierDriverTBL!$A:$A,0))</f>
        <v>B4532630</v>
      </c>
      <c r="AR307" s="172">
        <f>INDEX(CarrierDriverTBL!$Y:$Y,MATCH(Table1[[#This Row],[DriverID]],CarrierDriverTBL!$A:$A,0))</f>
        <v>42629</v>
      </c>
      <c r="AS307" s="142" t="str">
        <f t="shared" si="122"/>
        <v>GOOD</v>
      </c>
      <c r="AT307" s="172">
        <f>INDEX(CarrierDriverTBL!$E:$E,MATCH(Table1[[#This Row],[DriverID]],CarrierDriverTBL!$A:$A,0))</f>
        <v>29114</v>
      </c>
      <c r="AU307" s="163">
        <f ca="1">INDEX(CarrierDriverTBL!$F:$F,MATCH(Table1[[#This Row],[DriverID]],CarrierDriverTBL!$A:$A,0))</f>
        <v>36.88219178082192</v>
      </c>
      <c r="AV307" s="171" t="str">
        <f>INDEX(CarrierDriverTBL!$K:$K,MATCH(Table1[[#This Row],[DriverID]],CarrierDriverTBL!$A:$A,0))</f>
        <v>916-833-9981</v>
      </c>
      <c r="AW307" s="171" t="str">
        <f>INDEX(CarrierDriverTBL!$M:$M,MATCH(Table1[[#This Row],[DriverID]],CarrierDriverTBL!$A:$A,0))</f>
        <v>Missing</v>
      </c>
      <c r="AX307" s="171" t="str">
        <f>INDEX(CarrierDriverTBL!$N:$N,MATCH(Table1[[#This Row],[DriverID]],CarrierDriverTBL!$A:$A,0))</f>
        <v>Manteca</v>
      </c>
      <c r="AY307" s="171" t="str">
        <f>INDEX(CarrierDriverTBL!$O:$O,MATCH(Table1[[#This Row],[DriverID]],CarrierDriverTBL!$A:$A,0))</f>
        <v>CA</v>
      </c>
      <c r="AZ307" s="171">
        <f>INDEX(CarrierDriverTBL!$P:$P,MATCH(Table1[[#This Row],[DriverID]],CarrierDriverTBL!$A:$A,0))</f>
        <v>95337</v>
      </c>
      <c r="BA307" s="171" t="str">
        <f>INDEX(CarrierDriverTBL!$Q:$Q,MATCH(Table1[[#This Row],[DriverID]],CarrierDriverTBL!$A:$A,0))</f>
        <v>US</v>
      </c>
      <c r="BB307" s="224" t="str">
        <f>INDEX(CarrierDriverTBL!$R:$R,MATCH(Table1[[#This Row],[DriverID]],CarrierDriverTBL!$A:$A,0))</f>
        <v>htl0916@gmail.com</v>
      </c>
      <c r="BC307" s="160">
        <f>INDEX(CarrierDriverTBL!$AB:$AB,MATCH(Table1[[#This Row],[DriverID]],CarrierDriverTBL!$A:$A,0))</f>
        <v>42413</v>
      </c>
      <c r="BD307" s="142" t="str">
        <f ca="1">INDEX(CarrierDriverTBL!$AD:$AD,MATCH(LoadMaster!$AN:$AN,CarrierDriverTBL!$A:$A,0))</f>
        <v>MISSING</v>
      </c>
      <c r="BE307" s="142">
        <f>INDEX(CarrierDriverTBL!$AE:$AE,MATCH(Table1[DriverID],CarrierDriverTBL!$A:$A,0))</f>
        <v>913971</v>
      </c>
      <c r="BF307" s="142">
        <f>INDEX(CarrierDriverTBL!$AF:$AF,MATCH(Table1[DriverID],CarrierDriverTBL!$A:$A,0))</f>
        <v>2627544</v>
      </c>
      <c r="BG307" s="142">
        <f>INDEX(CarrierDriverTBL!$AG:$AG,MATCH(Table1[DriverID],CarrierDriverTBL!$A:$A,0))</f>
        <v>466133</v>
      </c>
      <c r="BH307" s="142" t="str">
        <f>INDEX(CarrierDriverTBL!$AH:$AH,MATCH(Table1[DriverID],CarrierDriverTBL!$A:$A,0))</f>
        <v>GM Lawrence Ins</v>
      </c>
      <c r="BI307" s="142" t="str">
        <f>INDEX(CarrierDriverTBL!$AI:$AI,MATCH(Table1[DriverID],CarrierDriverTBL!$A:$A,0))</f>
        <v>DSK2842P160210</v>
      </c>
      <c r="BJ307" s="160">
        <f>INDEX(CarrierDriverTBL!$AJ:$AJ,MATCH(Table1[[#This Row],[DriverID]],CarrierDriverTBL!$A:$A,0))</f>
        <v>42778</v>
      </c>
      <c r="BK307" s="10">
        <f t="shared" si="123"/>
        <v>361</v>
      </c>
      <c r="BL307" s="5">
        <v>1100</v>
      </c>
      <c r="BM307" s="171">
        <v>577</v>
      </c>
      <c r="BN307" s="133">
        <f t="shared" si="140"/>
        <v>1.9064124783362217</v>
      </c>
      <c r="BO307" s="134">
        <f>0.93*1100</f>
        <v>1023</v>
      </c>
      <c r="BP307" s="133">
        <f t="shared" si="141"/>
        <v>1.7729636048526862</v>
      </c>
      <c r="BQ307" s="133">
        <v>2.6</v>
      </c>
      <c r="BR307" s="215">
        <f t="shared" si="142"/>
        <v>0.1166666666666667</v>
      </c>
      <c r="BS307" s="133">
        <f t="shared" si="124"/>
        <v>1.6562969381860195</v>
      </c>
      <c r="BT307" s="133">
        <f t="shared" si="125"/>
        <v>67.316666666666677</v>
      </c>
      <c r="BU307" s="10" t="str">
        <f t="shared" si="126"/>
        <v>Pepsi Logistics Company Inc</v>
      </c>
      <c r="BV307" s="15"/>
      <c r="BW307" s="4" t="str">
        <f>Table1[[#This Row],[BrokerAddress]]</f>
        <v>5600 Headquarters Drive C2D11</v>
      </c>
      <c r="BX307" s="4" t="str">
        <f t="shared" si="127"/>
        <v>Plano</v>
      </c>
      <c r="BY307" s="4" t="str">
        <f t="shared" si="128"/>
        <v>Tx</v>
      </c>
      <c r="BZ307" s="4">
        <f t="shared" si="129"/>
        <v>75024</v>
      </c>
      <c r="CA307" s="10" t="str">
        <f t="shared" si="130"/>
        <v>US</v>
      </c>
      <c r="CB307" s="15" t="s">
        <v>131</v>
      </c>
      <c r="CC307" s="62"/>
      <c r="CD307" s="15" t="s">
        <v>149</v>
      </c>
      <c r="CE307" s="64">
        <v>45</v>
      </c>
      <c r="CF307" s="4">
        <v>2</v>
      </c>
      <c r="CG307" s="132">
        <f t="shared" si="131"/>
        <v>90</v>
      </c>
      <c r="CH307" s="4" t="s">
        <v>132</v>
      </c>
      <c r="CI307" s="5">
        <v>0</v>
      </c>
      <c r="CJ307" s="4">
        <v>0</v>
      </c>
      <c r="CK307" s="132">
        <f t="shared" si="132"/>
        <v>0</v>
      </c>
      <c r="CL307" s="4" t="s">
        <v>132</v>
      </c>
      <c r="CM307" s="5">
        <v>0</v>
      </c>
      <c r="CN307" s="4">
        <v>0</v>
      </c>
      <c r="CO307" s="132">
        <f t="shared" si="133"/>
        <v>0</v>
      </c>
      <c r="CP307" s="4" t="s">
        <v>132</v>
      </c>
      <c r="CQ307" s="5">
        <v>0</v>
      </c>
      <c r="CR307" s="4">
        <v>0</v>
      </c>
      <c r="CS307" s="132">
        <f t="shared" si="134"/>
        <v>0</v>
      </c>
      <c r="CT307" s="132">
        <f t="shared" si="135"/>
        <v>90</v>
      </c>
      <c r="CU307" s="168">
        <f t="shared" si="136"/>
        <v>1190</v>
      </c>
      <c r="CV307" s="177">
        <f t="shared" si="119"/>
        <v>83.7</v>
      </c>
      <c r="CW307" s="82">
        <f t="shared" si="120"/>
        <v>1106.7</v>
      </c>
      <c r="CX307" s="79">
        <f>IF(ISBLANK(E307),"AddQuickPay",IF(E307=2,CU307*0.98,IF(E307=2.4,CU307*0.976,IF(E307=3,CU307*0.97,IF(E307=5,CU307*0.95,IF(E307=1.5,CU307*0.985,IF(E307=2.5,CU307*0.975,IF(E307=1.3,CU307*0.987,IF(E307=1,CU307*0.99,IF(E307=4,CU307*0.96,CU307*1))))))))))-Table1[[#This Row],[ComCheck+QuickPayFee]]</f>
        <v>1154.3</v>
      </c>
      <c r="CY307" s="5">
        <f t="shared" si="137"/>
        <v>83.299999999999955</v>
      </c>
      <c r="CZ307" s="5">
        <f t="shared" si="138"/>
        <v>35.699999999999996</v>
      </c>
      <c r="DA307" s="258">
        <f>Table1[[#This Row],[OriginalDispatch]]-Table1[[#This Row],[QuickPayCharge]]</f>
        <v>47.599999999999959</v>
      </c>
      <c r="DB307" s="5">
        <v>0</v>
      </c>
      <c r="DC307" s="5" t="s">
        <v>133</v>
      </c>
      <c r="DD307" s="172">
        <f t="shared" si="139"/>
        <v>42419</v>
      </c>
      <c r="DE307" s="171">
        <f>MONTH(Table1[[#This Row],[Weekending]])</f>
        <v>2</v>
      </c>
      <c r="DF307" s="171">
        <f>YEAR(Table1[[#This Row],[Weekending]])</f>
        <v>2016</v>
      </c>
      <c r="DG307" s="4"/>
    </row>
    <row r="308" spans="1:111">
      <c r="A308" s="416" t="str">
        <f t="shared" si="121"/>
        <v>16137349</v>
      </c>
      <c r="B308" s="104">
        <v>42418</v>
      </c>
      <c r="C308" s="15">
        <v>7391516</v>
      </c>
      <c r="D308" s="416" t="s">
        <v>2185</v>
      </c>
      <c r="E308" s="15">
        <v>4</v>
      </c>
      <c r="F308" s="298" t="str">
        <f>INDEX(BrokerTBL!$B:$B,MATCH(D308,BrokerTBL!$A:$A,0))</f>
        <v>PO Box 6348</v>
      </c>
      <c r="G308" s="416" t="str">
        <f>INDEX(BrokerTBL!$C:$C,MATCH(D308,BrokerTBL!$A:$A,0))</f>
        <v>Scottsdale</v>
      </c>
      <c r="H308" s="131" t="str">
        <f>INDEX(BrokerTBL!$D:$D,MATCH(D308,BrokerTBL!$A:$A,0))</f>
        <v>Az</v>
      </c>
      <c r="I308" s="131" t="str">
        <f>INDEX(BrokerTBL!$E:$E,MATCH(D308,BrokerTBL!$A:$A,0))</f>
        <v>US</v>
      </c>
      <c r="J308" s="131">
        <f>INDEX(BrokerTBL!$F:$F,MATCH(D308,BrokerTBL!$A:$A,0))</f>
        <v>85258</v>
      </c>
      <c r="K308" s="416" t="s">
        <v>2186</v>
      </c>
      <c r="L308" s="81" t="s">
        <v>2187</v>
      </c>
      <c r="M308" s="104">
        <v>42418</v>
      </c>
      <c r="N308" s="15" t="s">
        <v>2188</v>
      </c>
      <c r="O308" s="15" t="s">
        <v>2189</v>
      </c>
      <c r="P308" s="416" t="s">
        <v>2190</v>
      </c>
      <c r="Q308" s="416" t="s">
        <v>139</v>
      </c>
      <c r="R308" s="416">
        <v>93280</v>
      </c>
      <c r="S308" s="416" t="s">
        <v>118</v>
      </c>
      <c r="T308" s="298" t="s">
        <v>123</v>
      </c>
      <c r="U308" s="416" t="s">
        <v>120</v>
      </c>
      <c r="V308" s="416">
        <v>53</v>
      </c>
      <c r="W308" s="416" t="s">
        <v>2191</v>
      </c>
      <c r="X308" s="225">
        <v>9139</v>
      </c>
      <c r="Y308" s="15" t="s">
        <v>2163</v>
      </c>
      <c r="Z308" s="416" t="s">
        <v>123</v>
      </c>
      <c r="AA308" s="416">
        <v>5</v>
      </c>
      <c r="AB308" s="416" t="s">
        <v>123</v>
      </c>
      <c r="AC308" s="416" t="s">
        <v>2192</v>
      </c>
      <c r="AD308" s="81">
        <v>31095273</v>
      </c>
      <c r="AE308" s="104">
        <v>42419</v>
      </c>
      <c r="AF308" s="104" t="s">
        <v>1979</v>
      </c>
      <c r="AG308" s="416" t="s">
        <v>2193</v>
      </c>
      <c r="AH308" s="416" t="s">
        <v>470</v>
      </c>
      <c r="AI308" s="416" t="s">
        <v>139</v>
      </c>
      <c r="AJ308" s="416">
        <v>93902</v>
      </c>
      <c r="AK308" s="416" t="s">
        <v>118</v>
      </c>
      <c r="AL308" s="416" t="s">
        <v>123</v>
      </c>
      <c r="AM308" s="142" t="str">
        <f>INDEX(CarrierDriverTBL!$B:$B,MATCH(Table1[[#This Row],[DriverID]],CarrierDriverTBL!$A:$A,0))</f>
        <v>UBTrucking</v>
      </c>
      <c r="AN308" s="10" t="s">
        <v>192</v>
      </c>
      <c r="AO308" s="10" t="str">
        <f>INDEX(CarrierDriverTBL!$C:$C,MATCH(Table1[[#This Row],[DriverID]],CarrierDriverTBL!$A:$A,0))</f>
        <v>Albel</v>
      </c>
      <c r="AP308" s="142" t="str">
        <f>INDEX(CarrierDriverTBL!$D:$D,MATCH(Table1[[#This Row],[DriverID]],CarrierDriverTBL!$A:$A,0))</f>
        <v>Chahil</v>
      </c>
      <c r="AQ308" s="142" t="str">
        <f>INDEX(CarrierDriverTBL!$X:$X,MATCH(Table1[[#This Row],[DriverID]],CarrierDriverTBL!$A:$A,0))</f>
        <v>A8390649</v>
      </c>
      <c r="AR308" s="160">
        <f>INDEX(CarrierDriverTBL!$Y:$Y,MATCH(Table1[[#This Row],[DriverID]],CarrierDriverTBL!$A:$A,0))</f>
        <v>42402</v>
      </c>
      <c r="AS308" s="142" t="str">
        <f t="shared" si="122"/>
        <v>EXPIRED</v>
      </c>
      <c r="AT308" s="160">
        <f>INDEX(CarrierDriverTBL!$E:$E,MATCH(Table1[[#This Row],[DriverID]],CarrierDriverTBL!$A:$A,0))</f>
        <v>22314</v>
      </c>
      <c r="AU308" s="163">
        <f ca="1">INDEX(CarrierDriverTBL!$F:$F,MATCH(Table1[[#This Row],[DriverID]],CarrierDriverTBL!$A:$A,0))</f>
        <v>55.512328767123286</v>
      </c>
      <c r="AV308" s="142" t="str">
        <f>INDEX(CarrierDriverTBL!$K:$K,MATCH(Table1[[#This Row],[DriverID]],CarrierDriverTBL!$A:$A,0))</f>
        <v>510-773-9450</v>
      </c>
      <c r="AW308" s="142" t="str">
        <f>INDEX(CarrierDriverTBL!$M:$M,MATCH(Table1[[#This Row],[DriverID]],CarrierDriverTBL!$A:$A,0))</f>
        <v>3124 Cynthia CT</v>
      </c>
      <c r="AX308" s="142" t="str">
        <f>INDEX(CarrierDriverTBL!$N:$N,MATCH(Table1[[#This Row],[DriverID]],CarrierDriverTBL!$A:$A,0))</f>
        <v>Tracy</v>
      </c>
      <c r="AY308" s="142" t="str">
        <f>INDEX(CarrierDriverTBL!$O:$O,MATCH(Table1[[#This Row],[DriverID]],CarrierDriverTBL!$A:$A,0))</f>
        <v>CA</v>
      </c>
      <c r="AZ308" s="142">
        <f>INDEX(CarrierDriverTBL!$P:$P,MATCH(Table1[[#This Row],[DriverID]],CarrierDriverTBL!$A:$A,0))</f>
        <v>95377</v>
      </c>
      <c r="BA308" s="142" t="str">
        <f>INDEX(CarrierDriverTBL!$Q:$Q,MATCH(Table1[[#This Row],[DriverID]],CarrierDriverTBL!$A:$A,0))</f>
        <v>US</v>
      </c>
      <c r="BB308" s="176" t="str">
        <f>INDEX(CarrierDriverTBL!$R:$R,MATCH(Table1[[#This Row],[DriverID]],CarrierDriverTBL!$A:$A,0))</f>
        <v>ubgollc@gmail.com</v>
      </c>
      <c r="BC308" s="160">
        <f>INDEX(CarrierDriverTBL!$AB:$AB,MATCH(Table1[[#This Row],[DriverID]],CarrierDriverTBL!$A:$A,0))</f>
        <v>42167</v>
      </c>
      <c r="BD308" s="142" t="str">
        <f ca="1">INDEX(CarrierDriverTBL!$AD:$AD,MATCH(LoadMaster!$AN:$AN,CarrierDriverTBL!$A:$A,0))</f>
        <v>MISSING</v>
      </c>
      <c r="BE308" s="142">
        <f>INDEX(CarrierDriverTBL!$AE:$AE,MATCH(Table1[DriverID],CarrierDriverTBL!$A:$A,0))</f>
        <v>913971</v>
      </c>
      <c r="BF308" s="142">
        <f>INDEX(CarrierDriverTBL!$AF:$AF,MATCH(Table1[DriverID],CarrierDriverTBL!$A:$A,0))</f>
        <v>2627544</v>
      </c>
      <c r="BG308" s="142">
        <f>INDEX(CarrierDriverTBL!$AG:$AG,MATCH(Table1[DriverID],CarrierDriverTBL!$A:$A,0))</f>
        <v>466133</v>
      </c>
      <c r="BH308" s="142" t="str">
        <f>INDEX(CarrierDriverTBL!$AH:$AH,MATCH(Table1[DriverID],CarrierDriverTBL!$A:$A,0))</f>
        <v>GM Lawrence Ins</v>
      </c>
      <c r="BI308" s="142" t="str">
        <f>INDEX(CarrierDriverTBL!$AI:$AI,MATCH(Table1[DriverID],CarrierDriverTBL!$A:$A,0))</f>
        <v>DSK2842P160210</v>
      </c>
      <c r="BJ308" s="160">
        <f>INDEX(CarrierDriverTBL!$AJ:$AJ,MATCH(Table1[[#This Row],[DriverID]],CarrierDriverTBL!$A:$A,0))</f>
        <v>42778</v>
      </c>
      <c r="BK308" s="10">
        <f t="shared" si="123"/>
        <v>360</v>
      </c>
      <c r="BL308" s="5">
        <v>475</v>
      </c>
      <c r="BM308" s="171">
        <v>103</v>
      </c>
      <c r="BN308" s="133">
        <f t="shared" si="140"/>
        <v>4.6116504854368934</v>
      </c>
      <c r="BO308" s="134">
        <v>425</v>
      </c>
      <c r="BP308" s="133">
        <f t="shared" si="141"/>
        <v>4.1262135922330101</v>
      </c>
      <c r="BQ308" s="133">
        <v>2.6</v>
      </c>
      <c r="BR308" s="215">
        <f t="shared" si="142"/>
        <v>0.1166666666666667</v>
      </c>
      <c r="BS308" s="133">
        <f t="shared" si="124"/>
        <v>4.0095469255663438</v>
      </c>
      <c r="BT308" s="133">
        <f t="shared" si="125"/>
        <v>12.016666666666669</v>
      </c>
      <c r="BU308" s="10" t="str">
        <f t="shared" si="126"/>
        <v>Globaltranz</v>
      </c>
      <c r="BV308" s="15"/>
      <c r="BW308" s="4" t="str">
        <f>Table1[[#This Row],[BrokerAddress]]</f>
        <v>PO Box 6348</v>
      </c>
      <c r="BX308" s="4" t="str">
        <f t="shared" si="127"/>
        <v>Scottsdale</v>
      </c>
      <c r="BY308" s="4" t="str">
        <f t="shared" si="128"/>
        <v>Az</v>
      </c>
      <c r="BZ308" s="4">
        <f t="shared" si="129"/>
        <v>85258</v>
      </c>
      <c r="CA308" s="10" t="str">
        <f t="shared" si="130"/>
        <v>US</v>
      </c>
      <c r="CB308" s="15" t="s">
        <v>131</v>
      </c>
      <c r="CC308" s="62"/>
      <c r="CD308" s="15" t="s">
        <v>132</v>
      </c>
      <c r="CE308" s="64">
        <v>0</v>
      </c>
      <c r="CF308" s="4">
        <v>0</v>
      </c>
      <c r="CG308" s="132">
        <f t="shared" si="131"/>
        <v>0</v>
      </c>
      <c r="CH308" s="4" t="s">
        <v>132</v>
      </c>
      <c r="CI308" s="5">
        <v>0</v>
      </c>
      <c r="CJ308" s="4">
        <v>0</v>
      </c>
      <c r="CK308" s="132">
        <f t="shared" si="132"/>
        <v>0</v>
      </c>
      <c r="CL308" s="4" t="s">
        <v>132</v>
      </c>
      <c r="CM308" s="5">
        <v>0</v>
      </c>
      <c r="CN308" s="4">
        <v>0</v>
      </c>
      <c r="CO308" s="132">
        <f t="shared" si="133"/>
        <v>0</v>
      </c>
      <c r="CP308" s="4" t="s">
        <v>132</v>
      </c>
      <c r="CQ308" s="5">
        <v>0</v>
      </c>
      <c r="CR308" s="4">
        <v>0</v>
      </c>
      <c r="CS308" s="132">
        <f t="shared" si="134"/>
        <v>0</v>
      </c>
      <c r="CT308" s="132">
        <f t="shared" si="135"/>
        <v>0</v>
      </c>
      <c r="CU308" s="168">
        <f t="shared" si="136"/>
        <v>475</v>
      </c>
      <c r="CV308" s="177">
        <f t="shared" si="119"/>
        <v>0</v>
      </c>
      <c r="CW308" s="82">
        <f t="shared" si="120"/>
        <v>425</v>
      </c>
      <c r="CX308" s="79">
        <f>IF(ISBLANK(E308),"AddQuickPay",IF(E308=2,CU308*0.98,IF(E308=2.4,CU308*0.976,IF(E308=3,CU308*0.97,IF(E308=5,CU308*0.95,IF(E308=1.5,CU308*0.985,IF(E308=2.5,CU308*0.975,IF(E308=1.3,CU308*0.987,IF(E308=1,CU308*0.99,IF(E308=4,CU308*0.96,CU308*1))))))))))-Table1[[#This Row],[ComCheck+QuickPayFee]]</f>
        <v>456</v>
      </c>
      <c r="CY308" s="5">
        <f t="shared" si="137"/>
        <v>50</v>
      </c>
      <c r="CZ308" s="5">
        <f t="shared" si="138"/>
        <v>19</v>
      </c>
      <c r="DA308" s="258">
        <f>Table1[[#This Row],[OriginalDispatch]]-Table1[[#This Row],[QuickPayCharge]]</f>
        <v>31</v>
      </c>
      <c r="DB308" s="5">
        <v>0</v>
      </c>
      <c r="DC308" s="5" t="s">
        <v>133</v>
      </c>
      <c r="DD308" s="172">
        <f t="shared" si="139"/>
        <v>42419</v>
      </c>
      <c r="DE308" s="171">
        <f>MONTH(Table1[[#This Row],[Weekending]])</f>
        <v>2</v>
      </c>
      <c r="DF308" s="171">
        <f>YEAR(Table1[[#This Row],[Weekending]])</f>
        <v>2016</v>
      </c>
      <c r="DG308" s="4"/>
    </row>
    <row r="309" spans="1:111">
      <c r="A309" s="416" t="str">
        <f t="shared" si="121"/>
        <v>22464688</v>
      </c>
      <c r="B309" s="104">
        <v>42418</v>
      </c>
      <c r="C309" s="15">
        <v>47722</v>
      </c>
      <c r="D309" s="416" t="s">
        <v>1824</v>
      </c>
      <c r="E309" s="15">
        <v>3</v>
      </c>
      <c r="F309" s="298" t="str">
        <f>INDEX(BrokerTBL!$B:$B,MATCH(D309,BrokerTBL!$A:$A,0))</f>
        <v>2109 W Bullard Ave # 101</v>
      </c>
      <c r="G309" s="416" t="str">
        <f>INDEX(BrokerTBL!$C:$C,MATCH(D309,BrokerTBL!$A:$A,0))</f>
        <v>Fresno</v>
      </c>
      <c r="H309" s="131" t="str">
        <f>INDEX(BrokerTBL!$D:$D,MATCH(D309,BrokerTBL!$A:$A,0))</f>
        <v>Ca</v>
      </c>
      <c r="I309" s="131" t="str">
        <f>INDEX(BrokerTBL!$E:$E,MATCH(D309,BrokerTBL!$A:$A,0))</f>
        <v>US</v>
      </c>
      <c r="J309" s="131">
        <f>INDEX(BrokerTBL!$F:$F,MATCH(D309,BrokerTBL!$A:$A,0))</f>
        <v>93711</v>
      </c>
      <c r="K309" s="416" t="s">
        <v>2194</v>
      </c>
      <c r="L309" s="81">
        <v>487346</v>
      </c>
      <c r="M309" s="104">
        <v>42418</v>
      </c>
      <c r="N309" s="15" t="s">
        <v>2060</v>
      </c>
      <c r="O309" s="15" t="s">
        <v>2195</v>
      </c>
      <c r="P309" s="416" t="s">
        <v>983</v>
      </c>
      <c r="Q309" s="416" t="s">
        <v>139</v>
      </c>
      <c r="R309" s="416">
        <v>94503</v>
      </c>
      <c r="S309" s="416" t="s">
        <v>118</v>
      </c>
      <c r="T309" s="298" t="s">
        <v>123</v>
      </c>
      <c r="U309" s="416" t="s">
        <v>120</v>
      </c>
      <c r="V309" s="416">
        <v>53</v>
      </c>
      <c r="W309" s="416" t="s">
        <v>2196</v>
      </c>
      <c r="X309" s="225">
        <v>40000</v>
      </c>
      <c r="Y309" s="15" t="s">
        <v>123</v>
      </c>
      <c r="Z309" s="416" t="s">
        <v>123</v>
      </c>
      <c r="AA309" s="416" t="s">
        <v>123</v>
      </c>
      <c r="AB309" s="416" t="s">
        <v>123</v>
      </c>
      <c r="AC309" s="416" t="s">
        <v>2197</v>
      </c>
      <c r="AD309" s="81">
        <v>487346</v>
      </c>
      <c r="AE309" s="104">
        <v>42419</v>
      </c>
      <c r="AF309" s="226">
        <v>0.33333333333333298</v>
      </c>
      <c r="AG309" s="416" t="s">
        <v>2198</v>
      </c>
      <c r="AH309" s="416" t="s">
        <v>214</v>
      </c>
      <c r="AI309" s="416" t="s">
        <v>139</v>
      </c>
      <c r="AJ309" s="416">
        <v>93725</v>
      </c>
      <c r="AK309" s="416" t="s">
        <v>118</v>
      </c>
      <c r="AL309" s="416" t="s">
        <v>123</v>
      </c>
      <c r="AM309" s="142" t="str">
        <f>INDEX(CarrierDriverTBL!$B:$B,MATCH(Table1[[#This Row],[DriverID]],CarrierDriverTBL!$A:$A,0))</f>
        <v>UBTrucking</v>
      </c>
      <c r="AN309" s="10" t="s">
        <v>948</v>
      </c>
      <c r="AO309" s="10" t="str">
        <f>INDEX(CarrierDriverTBL!$C:$C,MATCH(Table1[[#This Row],[DriverID]],CarrierDriverTBL!$A:$A,0))</f>
        <v>Wesley</v>
      </c>
      <c r="AP309" s="10" t="str">
        <f>INDEX(CarrierDriverTBL!$D:$D,MATCH(Table1[[#This Row],[DriverID]],CarrierDriverTBL!$A:$A,0))</f>
        <v>Cousain</v>
      </c>
      <c r="AQ309" s="10" t="str">
        <f>INDEX(CarrierDriverTBL!$X:$X,MATCH(Table1[[#This Row],[DriverID]],CarrierDriverTBL!$A:$A,0))</f>
        <v>D4903588</v>
      </c>
      <c r="AR309" s="11">
        <f>INDEX(CarrierDriverTBL!$Y:$Y,MATCH(Table1[[#This Row],[DriverID]],CarrierDriverTBL!$A:$A,0))</f>
        <v>43458</v>
      </c>
      <c r="AS309" s="142" t="str">
        <f t="shared" si="122"/>
        <v>GOOD</v>
      </c>
      <c r="AT309" s="11">
        <f>INDEX(CarrierDriverTBL!$E:$E,MATCH(Table1[[#This Row],[DriverID]],CarrierDriverTBL!$A:$A,0))</f>
        <v>31405</v>
      </c>
      <c r="AU309" s="163">
        <f ca="1">INDEX(CarrierDriverTBL!$F:$F,MATCH(Table1[[#This Row],[DriverID]],CarrierDriverTBL!$A:$A,0))</f>
        <v>30.605479452054794</v>
      </c>
      <c r="AV309" s="10" t="str">
        <f>INDEX(CarrierDriverTBL!$K:$K,MATCH(Table1[[#This Row],[DriverID]],CarrierDriverTBL!$A:$A,0))</f>
        <v>925-383-5364</v>
      </c>
      <c r="AW309" s="10" t="str">
        <f>INDEX(CarrierDriverTBL!$M:$M,MATCH(Table1[[#This Row],[DriverID]],CarrierDriverTBL!$A:$A,0))</f>
        <v>110 Cordova Ln</v>
      </c>
      <c r="AX309" s="10" t="str">
        <f>INDEX(CarrierDriverTBL!$N:$N,MATCH(Table1[[#This Row],[DriverID]],CarrierDriverTBL!$A:$A,0))</f>
        <v>Stockton</v>
      </c>
      <c r="AY309" s="10" t="str">
        <f>INDEX(CarrierDriverTBL!$O:$O,MATCH(Table1[[#This Row],[DriverID]],CarrierDriverTBL!$A:$A,0))</f>
        <v>CA</v>
      </c>
      <c r="AZ309" s="10">
        <f>INDEX(CarrierDriverTBL!$P:$P,MATCH(Table1[[#This Row],[DriverID]],CarrierDriverTBL!$A:$A,0))</f>
        <v>95207</v>
      </c>
      <c r="BA309" s="10" t="str">
        <f>INDEX(CarrierDriverTBL!$Q:$Q,MATCH(Table1[[#This Row],[DriverID]],CarrierDriverTBL!$A:$A,0))</f>
        <v>US</v>
      </c>
      <c r="BB309" s="173" t="str">
        <f>INDEX(CarrierDriverTBL!$R:$R,MATCH(Table1[[#This Row],[DriverID]],CarrierDriverTBL!$A:$A,0))</f>
        <v>wesleycousain1@gmail.com</v>
      </c>
      <c r="BC309" s="160">
        <f>INDEX(CarrierDriverTBL!$AB:$AB,MATCH(Table1[[#This Row],[DriverID]],CarrierDriverTBL!$A:$A,0))</f>
        <v>42271</v>
      </c>
      <c r="BD309" s="142" t="str">
        <f ca="1">INDEX(CarrierDriverTBL!$AD:$AD,MATCH(LoadMaster!$AN:$AN,CarrierDriverTBL!$A:$A,0))</f>
        <v>MISSING</v>
      </c>
      <c r="BE309" s="142">
        <f>INDEX(CarrierDriverTBL!$AE:$AE,MATCH(Table1[DriverID],CarrierDriverTBL!$A:$A,0))</f>
        <v>913971</v>
      </c>
      <c r="BF309" s="142">
        <f>INDEX(CarrierDriverTBL!$AF:$AF,MATCH(Table1[DriverID],CarrierDriverTBL!$A:$A,0))</f>
        <v>2627544</v>
      </c>
      <c r="BG309" s="142">
        <f>INDEX(CarrierDriverTBL!$AG:$AG,MATCH(Table1[DriverID],CarrierDriverTBL!$A:$A,0))</f>
        <v>466133</v>
      </c>
      <c r="BH309" s="142" t="str">
        <f>INDEX(CarrierDriverTBL!$AH:$AH,MATCH(Table1[DriverID],CarrierDriverTBL!$A:$A,0))</f>
        <v>GM Lawrence Ins</v>
      </c>
      <c r="BI309" s="142" t="str">
        <f>INDEX(CarrierDriverTBL!$AI:$AI,MATCH(Table1[DriverID],CarrierDriverTBL!$A:$A,0))</f>
        <v>DSK2842P160210</v>
      </c>
      <c r="BJ309" s="160">
        <f>INDEX(CarrierDriverTBL!$AJ:$AJ,MATCH(Table1[[#This Row],[DriverID]],CarrierDriverTBL!$A:$A,0))</f>
        <v>42778</v>
      </c>
      <c r="BK309" s="10">
        <f t="shared" si="123"/>
        <v>360</v>
      </c>
      <c r="BL309" s="5">
        <v>375</v>
      </c>
      <c r="BM309" s="171">
        <v>193</v>
      </c>
      <c r="BN309" s="133">
        <f t="shared" si="140"/>
        <v>1.9430051813471503</v>
      </c>
      <c r="BO309" s="134">
        <f>0.93*375</f>
        <v>348.75</v>
      </c>
      <c r="BP309" s="133">
        <f t="shared" si="141"/>
        <v>1.8069948186528497</v>
      </c>
      <c r="BQ309" s="133">
        <v>2.6</v>
      </c>
      <c r="BR309" s="215">
        <f t="shared" si="142"/>
        <v>0.1166666666666667</v>
      </c>
      <c r="BS309" s="133">
        <f t="shared" si="124"/>
        <v>1.690328151986183</v>
      </c>
      <c r="BT309" s="133">
        <f t="shared" si="125"/>
        <v>22.516666666666673</v>
      </c>
      <c r="BU309" s="10" t="str">
        <f t="shared" si="126"/>
        <v>Cargobarn Inc.</v>
      </c>
      <c r="BV309" s="15"/>
      <c r="BW309" s="4" t="str">
        <f>Table1[[#This Row],[BrokerAddress]]</f>
        <v>2109 W Bullard Ave # 101</v>
      </c>
      <c r="BX309" s="4" t="str">
        <f t="shared" si="127"/>
        <v>Fresno</v>
      </c>
      <c r="BY309" s="4" t="str">
        <f t="shared" si="128"/>
        <v>Ca</v>
      </c>
      <c r="BZ309" s="4">
        <f t="shared" si="129"/>
        <v>93711</v>
      </c>
      <c r="CA309" s="10" t="str">
        <f t="shared" si="130"/>
        <v>US</v>
      </c>
      <c r="CB309" s="15" t="s">
        <v>453</v>
      </c>
      <c r="CC309" s="62"/>
      <c r="CD309" s="15" t="s">
        <v>149</v>
      </c>
      <c r="CE309" s="64">
        <v>50</v>
      </c>
      <c r="CF309" s="4">
        <v>1.5</v>
      </c>
      <c r="CG309" s="132">
        <f t="shared" si="131"/>
        <v>75</v>
      </c>
      <c r="CH309" s="4" t="s">
        <v>132</v>
      </c>
      <c r="CI309" s="5">
        <v>0</v>
      </c>
      <c r="CJ309" s="4">
        <v>0</v>
      </c>
      <c r="CK309" s="132">
        <f t="shared" si="132"/>
        <v>0</v>
      </c>
      <c r="CL309" s="4" t="s">
        <v>132</v>
      </c>
      <c r="CM309" s="5">
        <v>0</v>
      </c>
      <c r="CN309" s="4">
        <v>0</v>
      </c>
      <c r="CO309" s="132">
        <f t="shared" si="133"/>
        <v>0</v>
      </c>
      <c r="CP309" s="4" t="s">
        <v>132</v>
      </c>
      <c r="CQ309" s="5">
        <v>0</v>
      </c>
      <c r="CR309" s="4">
        <v>0</v>
      </c>
      <c r="CS309" s="132">
        <f t="shared" si="134"/>
        <v>0</v>
      </c>
      <c r="CT309" s="132">
        <f t="shared" si="135"/>
        <v>75</v>
      </c>
      <c r="CU309" s="168">
        <f t="shared" si="136"/>
        <v>450</v>
      </c>
      <c r="CV309" s="177">
        <f t="shared" si="119"/>
        <v>69.75</v>
      </c>
      <c r="CW309" s="82">
        <f t="shared" si="120"/>
        <v>418.5</v>
      </c>
      <c r="CX309" s="79">
        <f>IF(ISBLANK(E309),"AddQuickPay",IF(E309=2,CU309*0.98,IF(E309=2.4,CU309*0.976,IF(E309=3,CU309*0.97,IF(E309=5,CU309*0.95,IF(E309=1.5,CU309*0.985,IF(E309=2.5,CU309*0.975,IF(E309=1.3,CU309*0.987,IF(E309=1,CU309*0.99,IF(E309=4,CU309*0.96,CU309*1))))))))))-Table1[[#This Row],[ComCheck+QuickPayFee]]</f>
        <v>436.5</v>
      </c>
      <c r="CY309" s="5">
        <f t="shared" si="137"/>
        <v>31.5</v>
      </c>
      <c r="CZ309" s="5">
        <f t="shared" si="138"/>
        <v>13.5</v>
      </c>
      <c r="DA309" s="258">
        <f>Table1[[#This Row],[OriginalDispatch]]-Table1[[#This Row],[QuickPayCharge]]</f>
        <v>18</v>
      </c>
      <c r="DB309" s="5">
        <v>0</v>
      </c>
      <c r="DC309" s="5" t="s">
        <v>133</v>
      </c>
      <c r="DD309" s="172">
        <f t="shared" si="139"/>
        <v>42419</v>
      </c>
      <c r="DE309" s="171">
        <f>MONTH(Table1[[#This Row],[Weekending]])</f>
        <v>2</v>
      </c>
      <c r="DF309" s="171">
        <f>YEAR(Table1[[#This Row],[Weekending]])</f>
        <v>2016</v>
      </c>
      <c r="DG309" s="4"/>
    </row>
    <row r="310" spans="1:111">
      <c r="A310" s="416" t="str">
        <f t="shared" si="121"/>
        <v>61020249</v>
      </c>
      <c r="B310" s="104">
        <v>42423</v>
      </c>
      <c r="C310" s="15" t="s">
        <v>2199</v>
      </c>
      <c r="D310" s="227" t="s">
        <v>2200</v>
      </c>
      <c r="E310" s="15">
        <v>0</v>
      </c>
      <c r="F310" s="144" t="str">
        <f>INDEX(BrokerTBL!$B:$B,MATCH(D310,BrokerTBL!$A:$A,0))</f>
        <v>P.O. Box 747</v>
      </c>
      <c r="G310" s="15" t="str">
        <f>INDEX(BrokerTBL!$C:$C,MATCH(D310,BrokerTBL!$A:$A,0))</f>
        <v>Chino</v>
      </c>
      <c r="H310" s="4" t="str">
        <f>INDEX(BrokerTBL!$D:$D,MATCH(D310,BrokerTBL!$A:$A,0))</f>
        <v>Ca</v>
      </c>
      <c r="I310" s="4" t="str">
        <f>INDEX(BrokerTBL!$E:$E,MATCH(D310,BrokerTBL!$A:$A,0))</f>
        <v>US</v>
      </c>
      <c r="J310" s="4">
        <f>INDEX(BrokerTBL!$F:$F,MATCH(D310,BrokerTBL!$A:$A,0))</f>
        <v>91708</v>
      </c>
      <c r="K310" s="416" t="s">
        <v>2201</v>
      </c>
      <c r="L310" s="81" t="s">
        <v>2202</v>
      </c>
      <c r="M310" s="104">
        <v>42419</v>
      </c>
      <c r="N310" s="162" t="s">
        <v>123</v>
      </c>
      <c r="O310" s="15" t="s">
        <v>2203</v>
      </c>
      <c r="P310" s="416" t="s">
        <v>470</v>
      </c>
      <c r="Q310" s="416" t="s">
        <v>139</v>
      </c>
      <c r="R310" s="416">
        <v>93912</v>
      </c>
      <c r="S310" s="416" t="s">
        <v>118</v>
      </c>
      <c r="T310" s="298" t="s">
        <v>123</v>
      </c>
      <c r="U310" s="416" t="s">
        <v>120</v>
      </c>
      <c r="V310" s="416">
        <v>53</v>
      </c>
      <c r="W310" s="416" t="s">
        <v>1205</v>
      </c>
      <c r="X310" s="225">
        <v>35000</v>
      </c>
      <c r="Y310" s="15" t="s">
        <v>123</v>
      </c>
      <c r="Z310" s="416" t="s">
        <v>123</v>
      </c>
      <c r="AA310" s="416" t="s">
        <v>123</v>
      </c>
      <c r="AB310" s="416" t="s">
        <v>123</v>
      </c>
      <c r="AC310" s="416" t="s">
        <v>2204</v>
      </c>
      <c r="AD310" s="81" t="s">
        <v>2202</v>
      </c>
      <c r="AE310" s="104">
        <v>42422</v>
      </c>
      <c r="AF310" s="226">
        <v>0.33333333333333331</v>
      </c>
      <c r="AG310" s="416" t="s">
        <v>2205</v>
      </c>
      <c r="AH310" s="416" t="s">
        <v>738</v>
      </c>
      <c r="AI310" s="416" t="s">
        <v>2206</v>
      </c>
      <c r="AJ310" s="416">
        <v>89523</v>
      </c>
      <c r="AK310" s="416" t="s">
        <v>2207</v>
      </c>
      <c r="AL310" s="416" t="s">
        <v>123</v>
      </c>
      <c r="AM310" s="142" t="str">
        <f>INDEX(CarrierDriverTBL!$B:$B,MATCH(Table1[[#This Row],[DriverID]],CarrierDriverTBL!$A:$A,0))</f>
        <v>UBTrucking</v>
      </c>
      <c r="AN310" s="10" t="s">
        <v>192</v>
      </c>
      <c r="AO310" s="10" t="str">
        <f>INDEX(CarrierDriverTBL!$C:$C,MATCH(Table1[[#This Row],[DriverID]],CarrierDriverTBL!$A:$A,0))</f>
        <v>Albel</v>
      </c>
      <c r="AP310" s="142" t="str">
        <f>INDEX(CarrierDriverTBL!$D:$D,MATCH(Table1[[#This Row],[DriverID]],CarrierDriverTBL!$A:$A,0))</f>
        <v>Chahil</v>
      </c>
      <c r="AQ310" s="142" t="str">
        <f>INDEX(CarrierDriverTBL!$X:$X,MATCH(Table1[[#This Row],[DriverID]],CarrierDriverTBL!$A:$A,0))</f>
        <v>A8390649</v>
      </c>
      <c r="AR310" s="160">
        <f>INDEX(CarrierDriverTBL!$Y:$Y,MATCH(Table1[[#This Row],[DriverID]],CarrierDriverTBL!$A:$A,0))</f>
        <v>42402</v>
      </c>
      <c r="AS310" s="142" t="str">
        <f t="shared" si="122"/>
        <v>EXPIRED</v>
      </c>
      <c r="AT310" s="160">
        <f>INDEX(CarrierDriverTBL!$E:$E,MATCH(Table1[[#This Row],[DriverID]],CarrierDriverTBL!$A:$A,0))</f>
        <v>22314</v>
      </c>
      <c r="AU310" s="163">
        <f ca="1">INDEX(CarrierDriverTBL!$F:$F,MATCH(Table1[[#This Row],[DriverID]],CarrierDriverTBL!$A:$A,0))</f>
        <v>55.512328767123286</v>
      </c>
      <c r="AV310" s="142" t="str">
        <f>INDEX(CarrierDriverTBL!$K:$K,MATCH(Table1[[#This Row],[DriverID]],CarrierDriverTBL!$A:$A,0))</f>
        <v>510-773-9450</v>
      </c>
      <c r="AW310" s="142" t="str">
        <f>INDEX(CarrierDriverTBL!$M:$M,MATCH(Table1[[#This Row],[DriverID]],CarrierDriverTBL!$A:$A,0))</f>
        <v>3124 Cynthia CT</v>
      </c>
      <c r="AX310" s="142" t="str">
        <f>INDEX(CarrierDriverTBL!$N:$N,MATCH(Table1[[#This Row],[DriverID]],CarrierDriverTBL!$A:$A,0))</f>
        <v>Tracy</v>
      </c>
      <c r="AY310" s="142" t="str">
        <f>INDEX(CarrierDriverTBL!$O:$O,MATCH(Table1[[#This Row],[DriverID]],CarrierDriverTBL!$A:$A,0))</f>
        <v>CA</v>
      </c>
      <c r="AZ310" s="142">
        <f>INDEX(CarrierDriverTBL!$P:$P,MATCH(Table1[[#This Row],[DriverID]],CarrierDriverTBL!$A:$A,0))</f>
        <v>95377</v>
      </c>
      <c r="BA310" s="142" t="str">
        <f>INDEX(CarrierDriverTBL!$Q:$Q,MATCH(Table1[[#This Row],[DriverID]],CarrierDriverTBL!$A:$A,0))</f>
        <v>US</v>
      </c>
      <c r="BB310" s="176" t="str">
        <f>INDEX(CarrierDriverTBL!$R:$R,MATCH(Table1[[#This Row],[DriverID]],CarrierDriverTBL!$A:$A,0))</f>
        <v>ubgollc@gmail.com</v>
      </c>
      <c r="BC310" s="160">
        <f>INDEX(CarrierDriverTBL!$AB:$AB,MATCH(Table1[[#This Row],[DriverID]],CarrierDriverTBL!$A:$A,0))</f>
        <v>42167</v>
      </c>
      <c r="BD310" s="142" t="str">
        <f ca="1">INDEX(CarrierDriverTBL!$AD:$AD,MATCH(LoadMaster!$AN:$AN,CarrierDriverTBL!$A:$A,0))</f>
        <v>MISSING</v>
      </c>
      <c r="BE310" s="142">
        <f>INDEX(CarrierDriverTBL!$AE:$AE,MATCH(Table1[DriverID],CarrierDriverTBL!$A:$A,0))</f>
        <v>913971</v>
      </c>
      <c r="BF310" s="142">
        <f>INDEX(CarrierDriverTBL!$AF:$AF,MATCH(Table1[DriverID],CarrierDriverTBL!$A:$A,0))</f>
        <v>2627544</v>
      </c>
      <c r="BG310" s="142">
        <f>INDEX(CarrierDriverTBL!$AG:$AG,MATCH(Table1[DriverID],CarrierDriverTBL!$A:$A,0))</f>
        <v>466133</v>
      </c>
      <c r="BH310" s="142" t="str">
        <f>INDEX(CarrierDriverTBL!$AH:$AH,MATCH(Table1[DriverID],CarrierDriverTBL!$A:$A,0))</f>
        <v>GM Lawrence Ins</v>
      </c>
      <c r="BI310" s="142" t="str">
        <f>INDEX(CarrierDriverTBL!$AI:$AI,MATCH(Table1[DriverID],CarrierDriverTBL!$A:$A,0))</f>
        <v>DSK2842P160210</v>
      </c>
      <c r="BJ310" s="160">
        <f>INDEX(CarrierDriverTBL!$AJ:$AJ,MATCH(Table1[[#This Row],[DriverID]],CarrierDriverTBL!$A:$A,0))</f>
        <v>42778</v>
      </c>
      <c r="BK310" s="10">
        <f t="shared" si="123"/>
        <v>359</v>
      </c>
      <c r="BL310" s="5">
        <v>700</v>
      </c>
      <c r="BM310" s="171">
        <v>315</v>
      </c>
      <c r="BN310" s="133">
        <f t="shared" si="140"/>
        <v>2.2222222222222223</v>
      </c>
      <c r="BO310" s="134">
        <f>0.93*700</f>
        <v>651</v>
      </c>
      <c r="BP310" s="133">
        <f t="shared" si="141"/>
        <v>2.0666666666666669</v>
      </c>
      <c r="BQ310" s="133">
        <v>2.6</v>
      </c>
      <c r="BR310" s="215">
        <f t="shared" si="142"/>
        <v>0.1166666666666667</v>
      </c>
      <c r="BS310" s="133">
        <f t="shared" si="124"/>
        <v>1.9500000000000002</v>
      </c>
      <c r="BT310" s="133">
        <f t="shared" si="125"/>
        <v>36.750000000000007</v>
      </c>
      <c r="BU310" s="10" t="str">
        <f t="shared" si="126"/>
        <v>Gardner Global Logistics, Inc.</v>
      </c>
      <c r="BV310" s="15"/>
      <c r="BW310" s="4" t="str">
        <f>Table1[[#This Row],[BrokerAddress]]</f>
        <v>P.O. Box 747</v>
      </c>
      <c r="BX310" s="4" t="str">
        <f t="shared" si="127"/>
        <v>Chino</v>
      </c>
      <c r="BY310" s="4" t="str">
        <f t="shared" si="128"/>
        <v>Ca</v>
      </c>
      <c r="BZ310" s="4">
        <f t="shared" si="129"/>
        <v>91708</v>
      </c>
      <c r="CA310" s="10" t="str">
        <f t="shared" si="130"/>
        <v>US</v>
      </c>
      <c r="CB310" s="15" t="s">
        <v>453</v>
      </c>
      <c r="CC310" s="62"/>
      <c r="CD310" s="15" t="s">
        <v>132</v>
      </c>
      <c r="CE310" s="64">
        <v>0</v>
      </c>
      <c r="CF310" s="4">
        <v>0</v>
      </c>
      <c r="CG310" s="132">
        <f t="shared" si="131"/>
        <v>0</v>
      </c>
      <c r="CH310" s="4" t="s">
        <v>132</v>
      </c>
      <c r="CI310" s="5">
        <v>0</v>
      </c>
      <c r="CJ310" s="4">
        <v>0</v>
      </c>
      <c r="CK310" s="132">
        <f t="shared" si="132"/>
        <v>0</v>
      </c>
      <c r="CL310" s="4" t="s">
        <v>132</v>
      </c>
      <c r="CM310" s="5">
        <v>0</v>
      </c>
      <c r="CN310" s="4">
        <v>0</v>
      </c>
      <c r="CO310" s="132">
        <f t="shared" si="133"/>
        <v>0</v>
      </c>
      <c r="CP310" s="4" t="s">
        <v>132</v>
      </c>
      <c r="CQ310" s="5">
        <v>0</v>
      </c>
      <c r="CR310" s="4">
        <v>0</v>
      </c>
      <c r="CS310" s="132">
        <f t="shared" si="134"/>
        <v>0</v>
      </c>
      <c r="CT310" s="132">
        <f t="shared" si="135"/>
        <v>0</v>
      </c>
      <c r="CU310" s="168">
        <f t="shared" si="136"/>
        <v>700</v>
      </c>
      <c r="CV310" s="177">
        <f t="shared" si="119"/>
        <v>0</v>
      </c>
      <c r="CW310" s="82">
        <f t="shared" si="120"/>
        <v>651</v>
      </c>
      <c r="CX310" s="79">
        <f>IF(ISBLANK(E310),"AddQuickPay",IF(E310=2,CU310*0.98,IF(E310=2.4,CU310*0.976,IF(E310=3,CU310*0.97,IF(E310=5,CU310*0.95,IF(E310=1.5,CU310*0.985,IF(E310=2.5,CU310*0.975,IF(E310=1.3,CU310*0.987,IF(E310=1,CU310*0.99,IF(E310=4,CU310*0.96,CU310*1))))))))))-Table1[[#This Row],[ComCheck+QuickPayFee]]</f>
        <v>700</v>
      </c>
      <c r="CY310" s="5">
        <f t="shared" si="137"/>
        <v>49</v>
      </c>
      <c r="CZ310" s="5">
        <f t="shared" si="138"/>
        <v>0</v>
      </c>
      <c r="DA310" s="258">
        <f>Table1[[#This Row],[OriginalDispatch]]-Table1[[#This Row],[QuickPayCharge]]</f>
        <v>49</v>
      </c>
      <c r="DB310" s="5">
        <v>0</v>
      </c>
      <c r="DC310" s="5" t="s">
        <v>133</v>
      </c>
      <c r="DD310" s="172">
        <f t="shared" si="139"/>
        <v>42419</v>
      </c>
      <c r="DE310" s="171">
        <f>MONTH(Table1[[#This Row],[Weekending]])</f>
        <v>2</v>
      </c>
      <c r="DF310" s="171">
        <f>YEAR(Table1[[#This Row],[Weekending]])</f>
        <v>2016</v>
      </c>
      <c r="DG310" s="4"/>
    </row>
    <row r="311" spans="1:111">
      <c r="A311" s="416" t="str">
        <f t="shared" si="121"/>
        <v>72073588</v>
      </c>
      <c r="B311" s="104">
        <v>42419</v>
      </c>
      <c r="C311" s="15">
        <v>1681772</v>
      </c>
      <c r="D311" s="416" t="s">
        <v>384</v>
      </c>
      <c r="E311" s="15">
        <v>1.5</v>
      </c>
      <c r="F311" s="298" t="str">
        <f>INDEX(BrokerTBL!$B:$B,MATCH(D311,BrokerTBL!$A:$A,0))</f>
        <v>11707 21St Ave Ct So</v>
      </c>
      <c r="G311" s="416" t="str">
        <f>INDEX(BrokerTBL!$C:$C,MATCH(D311,BrokerTBL!$A:$A,0))</f>
        <v>Tacoma</v>
      </c>
      <c r="H311" s="131" t="str">
        <f>INDEX(BrokerTBL!$D:$D,MATCH(D311,BrokerTBL!$A:$A,0))</f>
        <v>Wa</v>
      </c>
      <c r="I311" s="131" t="str">
        <f>INDEX(BrokerTBL!$E:$E,MATCH(D311,BrokerTBL!$A:$A,0))</f>
        <v>US</v>
      </c>
      <c r="J311" s="131">
        <f>INDEX(BrokerTBL!$F:$F,MATCH(D311,BrokerTBL!$A:$A,0))</f>
        <v>98444</v>
      </c>
      <c r="K311" s="416" t="s">
        <v>2208</v>
      </c>
      <c r="L311" s="81">
        <v>192204707</v>
      </c>
      <c r="M311" s="104">
        <v>42419</v>
      </c>
      <c r="N311" s="226">
        <v>0.33333333333333298</v>
      </c>
      <c r="O311" s="15" t="s">
        <v>2209</v>
      </c>
      <c r="P311" s="416" t="s">
        <v>214</v>
      </c>
      <c r="Q311" s="416" t="s">
        <v>139</v>
      </c>
      <c r="R311" s="416">
        <v>93702</v>
      </c>
      <c r="S311" s="416" t="s">
        <v>118</v>
      </c>
      <c r="T311" s="298" t="s">
        <v>123</v>
      </c>
      <c r="U311" s="416" t="s">
        <v>120</v>
      </c>
      <c r="V311" s="416">
        <v>53</v>
      </c>
      <c r="W311" s="416" t="s">
        <v>1251</v>
      </c>
      <c r="X311" s="225">
        <v>38760</v>
      </c>
      <c r="Y311" s="15" t="s">
        <v>2163</v>
      </c>
      <c r="Z311" s="416">
        <v>6800</v>
      </c>
      <c r="AA311" s="416">
        <v>17</v>
      </c>
      <c r="AB311" s="416" t="s">
        <v>123</v>
      </c>
      <c r="AC311" s="416" t="s">
        <v>2210</v>
      </c>
      <c r="AD311" s="81">
        <v>163135435</v>
      </c>
      <c r="AE311" s="104">
        <v>42420</v>
      </c>
      <c r="AF311" s="226">
        <v>0.39583333333333298</v>
      </c>
      <c r="AG311" s="416" t="s">
        <v>1379</v>
      </c>
      <c r="AH311" s="416" t="s">
        <v>1380</v>
      </c>
      <c r="AI311" s="416" t="s">
        <v>264</v>
      </c>
      <c r="AJ311" s="416">
        <v>89423</v>
      </c>
      <c r="AK311" s="416" t="s">
        <v>118</v>
      </c>
      <c r="AL311" s="416" t="s">
        <v>123</v>
      </c>
      <c r="AM311" s="171" t="str">
        <f>INDEX(CarrierDriverTBL!$B:$B,MATCH(Table1[[#This Row],[DriverID]],CarrierDriverTBL!$A:$A,0))</f>
        <v>UBTrucking</v>
      </c>
      <c r="AN311" s="10" t="s">
        <v>948</v>
      </c>
      <c r="AO311" s="171" t="str">
        <f>INDEX(CarrierDriverTBL!$C:$C,MATCH(Table1[[#This Row],[DriverID]],CarrierDriverTBL!$A:$A,0))</f>
        <v>Wesley</v>
      </c>
      <c r="AP311" s="171" t="str">
        <f>INDEX(CarrierDriverTBL!$D:$D,MATCH(Table1[[#This Row],[DriverID]],CarrierDriverTBL!$A:$A,0))</f>
        <v>Cousain</v>
      </c>
      <c r="AQ311" s="10" t="str">
        <f>INDEX(CarrierDriverTBL!$X:$X,MATCH(Table1[[#This Row],[DriverID]],CarrierDriverTBL!$A:$A,0))</f>
        <v>D4903588</v>
      </c>
      <c r="AR311" s="11">
        <f>INDEX(CarrierDriverTBL!$Y:$Y,MATCH(Table1[[#This Row],[DriverID]],CarrierDriverTBL!$A:$A,0))</f>
        <v>43458</v>
      </c>
      <c r="AS311" s="142" t="str">
        <f t="shared" si="122"/>
        <v>GOOD</v>
      </c>
      <c r="AT311" s="11">
        <f>INDEX(CarrierDriverTBL!$E:$E,MATCH(Table1[[#This Row],[DriverID]],CarrierDriverTBL!$A:$A,0))</f>
        <v>31405</v>
      </c>
      <c r="AU311" s="163">
        <f ca="1">INDEX(CarrierDriverTBL!$F:$F,MATCH(Table1[[#This Row],[DriverID]],CarrierDriverTBL!$A:$A,0))</f>
        <v>30.605479452054794</v>
      </c>
      <c r="AV311" s="10" t="str">
        <f>INDEX(CarrierDriverTBL!$K:$K,MATCH(Table1[[#This Row],[DriverID]],CarrierDriverTBL!$A:$A,0))</f>
        <v>925-383-5364</v>
      </c>
      <c r="AW311" s="10" t="str">
        <f>INDEX(CarrierDriverTBL!$M:$M,MATCH(Table1[[#This Row],[DriverID]],CarrierDriverTBL!$A:$A,0))</f>
        <v>110 Cordova Ln</v>
      </c>
      <c r="AX311" s="10" t="str">
        <f>INDEX(CarrierDriverTBL!$N:$N,MATCH(Table1[[#This Row],[DriverID]],CarrierDriverTBL!$A:$A,0))</f>
        <v>Stockton</v>
      </c>
      <c r="AY311" s="10" t="str">
        <f>INDEX(CarrierDriverTBL!$O:$O,MATCH(Table1[[#This Row],[DriverID]],CarrierDriverTBL!$A:$A,0))</f>
        <v>CA</v>
      </c>
      <c r="AZ311" s="10">
        <f>INDEX(CarrierDriverTBL!$P:$P,MATCH(Table1[[#This Row],[DriverID]],CarrierDriverTBL!$A:$A,0))</f>
        <v>95207</v>
      </c>
      <c r="BA311" s="10" t="str">
        <f>INDEX(CarrierDriverTBL!$Q:$Q,MATCH(Table1[[#This Row],[DriverID]],CarrierDriverTBL!$A:$A,0))</f>
        <v>US</v>
      </c>
      <c r="BB311" s="173" t="str">
        <f>INDEX(CarrierDriverTBL!$R:$R,MATCH(Table1[[#This Row],[DriverID]],CarrierDriverTBL!$A:$A,0))</f>
        <v>wesleycousain1@gmail.com</v>
      </c>
      <c r="BC311" s="160">
        <f>INDEX(CarrierDriverTBL!$AB:$AB,MATCH(Table1[[#This Row],[DriverID]],CarrierDriverTBL!$A:$A,0))</f>
        <v>42271</v>
      </c>
      <c r="BD311" s="142" t="str">
        <f ca="1">INDEX(CarrierDriverTBL!$AD:$AD,MATCH(LoadMaster!$AN:$AN,CarrierDriverTBL!$A:$A,0))</f>
        <v>MISSING</v>
      </c>
      <c r="BE311" s="142">
        <f>INDEX(CarrierDriverTBL!$AE:$AE,MATCH(Table1[DriverID],CarrierDriverTBL!$A:$A,0))</f>
        <v>913971</v>
      </c>
      <c r="BF311" s="142">
        <f>INDEX(CarrierDriverTBL!$AF:$AF,MATCH(Table1[DriverID],CarrierDriverTBL!$A:$A,0))</f>
        <v>2627544</v>
      </c>
      <c r="BG311" s="142">
        <f>INDEX(CarrierDriverTBL!$AG:$AG,MATCH(Table1[DriverID],CarrierDriverTBL!$A:$A,0))</f>
        <v>466133</v>
      </c>
      <c r="BH311" s="142" t="str">
        <f>INDEX(CarrierDriverTBL!$AH:$AH,MATCH(Table1[DriverID],CarrierDriverTBL!$A:$A,0))</f>
        <v>GM Lawrence Ins</v>
      </c>
      <c r="BI311" s="142" t="str">
        <f>INDEX(CarrierDriverTBL!$AI:$AI,MATCH(Table1[DriverID],CarrierDriverTBL!$A:$A,0))</f>
        <v>DSK2842P160210</v>
      </c>
      <c r="BJ311" s="160">
        <f>INDEX(CarrierDriverTBL!$AJ:$AJ,MATCH(Table1[[#This Row],[DriverID]],CarrierDriverTBL!$A:$A,0))</f>
        <v>42778</v>
      </c>
      <c r="BK311" s="10">
        <f t="shared" si="123"/>
        <v>359</v>
      </c>
      <c r="BL311" s="5">
        <v>1000</v>
      </c>
      <c r="BM311" s="171">
        <v>333</v>
      </c>
      <c r="BN311" s="133">
        <f t="shared" si="140"/>
        <v>3.0030030030030028</v>
      </c>
      <c r="BO311" s="134">
        <f>0.97*Table1[[#This Row],[ChargeBroker]]</f>
        <v>970</v>
      </c>
      <c r="BP311" s="133">
        <f t="shared" si="141"/>
        <v>2.9129129129129128</v>
      </c>
      <c r="BQ311" s="133">
        <v>2.6</v>
      </c>
      <c r="BR311" s="215">
        <f t="shared" si="142"/>
        <v>0.1166666666666667</v>
      </c>
      <c r="BS311" s="133">
        <f t="shared" si="124"/>
        <v>2.7962462462462461</v>
      </c>
      <c r="BT311" s="133">
        <f t="shared" si="125"/>
        <v>38.850000000000009</v>
      </c>
      <c r="BU311" s="10" t="str">
        <f t="shared" si="126"/>
        <v>Interstate Distributor Co</v>
      </c>
      <c r="BV311" s="15"/>
      <c r="BW311" s="4" t="str">
        <f>Table1[[#This Row],[BrokerAddress]]</f>
        <v>11707 21St Ave Ct So</v>
      </c>
      <c r="BX311" s="4" t="str">
        <f t="shared" si="127"/>
        <v>Tacoma</v>
      </c>
      <c r="BY311" s="4" t="str">
        <f t="shared" si="128"/>
        <v>Wa</v>
      </c>
      <c r="BZ311" s="4">
        <f t="shared" si="129"/>
        <v>98444</v>
      </c>
      <c r="CA311" s="10" t="str">
        <f t="shared" si="130"/>
        <v>US</v>
      </c>
      <c r="CB311" s="15" t="s">
        <v>131</v>
      </c>
      <c r="CC311" s="62"/>
      <c r="CD311" s="15" t="s">
        <v>149</v>
      </c>
      <c r="CE311" s="64">
        <v>40</v>
      </c>
      <c r="CF311" s="4">
        <v>2</v>
      </c>
      <c r="CG311" s="132">
        <f t="shared" si="131"/>
        <v>80</v>
      </c>
      <c r="CH311" s="4" t="s">
        <v>132</v>
      </c>
      <c r="CI311" s="5">
        <v>0</v>
      </c>
      <c r="CJ311" s="4">
        <v>0</v>
      </c>
      <c r="CK311" s="132">
        <f t="shared" si="132"/>
        <v>0</v>
      </c>
      <c r="CL311" s="4" t="s">
        <v>132</v>
      </c>
      <c r="CM311" s="5">
        <v>0</v>
      </c>
      <c r="CN311" s="4">
        <v>0</v>
      </c>
      <c r="CO311" s="132">
        <f t="shared" si="133"/>
        <v>0</v>
      </c>
      <c r="CP311" s="4" t="s">
        <v>132</v>
      </c>
      <c r="CQ311" s="5">
        <v>0</v>
      </c>
      <c r="CR311" s="4">
        <v>0</v>
      </c>
      <c r="CS311" s="132">
        <f t="shared" si="134"/>
        <v>0</v>
      </c>
      <c r="CT311" s="132">
        <f t="shared" si="135"/>
        <v>80</v>
      </c>
      <c r="CU311" s="168">
        <f t="shared" si="136"/>
        <v>1080</v>
      </c>
      <c r="CV311" s="177">
        <f t="shared" si="119"/>
        <v>74.400000000000006</v>
      </c>
      <c r="CW311" s="82">
        <f t="shared" si="120"/>
        <v>1044.4000000000001</v>
      </c>
      <c r="CX311" s="79">
        <f>IF(ISBLANK(E311),"AddQuickPay",IF(E311=2,CU311*0.98,IF(E311=2.4,CU311*0.976,IF(E311=3,CU311*0.97,IF(E311=5,CU311*0.95,IF(E311=1.5,CU311*0.985,IF(E311=2.5,CU311*0.975,IF(E311=1.3,CU311*0.987,IF(E311=1,CU311*0.99,IF(E311=4,CU311*0.96,CU311*1))))))))))-Table1[[#This Row],[ComCheck+QuickPayFee]]</f>
        <v>1063.8</v>
      </c>
      <c r="CY311" s="5">
        <f t="shared" si="137"/>
        <v>35.599999999999909</v>
      </c>
      <c r="CZ311" s="5">
        <f t="shared" si="138"/>
        <v>16.2</v>
      </c>
      <c r="DA311" s="258">
        <f>Table1[[#This Row],[OriginalDispatch]]-Table1[[#This Row],[QuickPayCharge]]</f>
        <v>19.39999999999991</v>
      </c>
      <c r="DB311" s="5">
        <v>0</v>
      </c>
      <c r="DC311" s="5" t="s">
        <v>133</v>
      </c>
      <c r="DD311" s="172">
        <f t="shared" si="139"/>
        <v>42419</v>
      </c>
      <c r="DE311" s="171">
        <f>MONTH(Table1[[#This Row],[Weekending]])</f>
        <v>2</v>
      </c>
      <c r="DF311" s="171">
        <f>YEAR(Table1[[#This Row],[Weekending]])</f>
        <v>2016</v>
      </c>
      <c r="DG311" s="4" t="s">
        <v>2211</v>
      </c>
    </row>
    <row r="312" spans="1:111">
      <c r="A312" s="416" t="str">
        <f t="shared" si="121"/>
        <v>73272730</v>
      </c>
      <c r="B312" s="104">
        <v>42419</v>
      </c>
      <c r="C312" s="15">
        <v>6620573</v>
      </c>
      <c r="D312" s="416" t="s">
        <v>555</v>
      </c>
      <c r="E312" s="15">
        <v>3</v>
      </c>
      <c r="F312" s="298" t="str">
        <f>INDEX(BrokerTBL!$B:$B,MATCH(D312,BrokerTBL!$A:$A,0))</f>
        <v>P.O. Box 799</v>
      </c>
      <c r="G312" s="416" t="str">
        <f>INDEX(BrokerTBL!$C:$C,MATCH(D312,BrokerTBL!$A:$A,0))</f>
        <v>Milford</v>
      </c>
      <c r="H312" s="131" t="str">
        <f>INDEX(BrokerTBL!$D:$D,MATCH(D312,BrokerTBL!$A:$A,0))</f>
        <v>Ohio</v>
      </c>
      <c r="I312" s="131" t="str">
        <f>INDEX(BrokerTBL!$E:$E,MATCH(D312,BrokerTBL!$A:$A,0))</f>
        <v>US</v>
      </c>
      <c r="J312" s="131">
        <f>INDEX(BrokerTBL!$F:$F,MATCH(D312,BrokerTBL!$A:$A,0))</f>
        <v>45150</v>
      </c>
      <c r="K312" s="416" t="s">
        <v>2212</v>
      </c>
      <c r="L312" s="81">
        <v>3720084127</v>
      </c>
      <c r="M312" s="104">
        <v>42419</v>
      </c>
      <c r="N312" s="15" t="s">
        <v>1041</v>
      </c>
      <c r="O312" s="15" t="s">
        <v>2213</v>
      </c>
      <c r="P312" s="416" t="s">
        <v>2212</v>
      </c>
      <c r="Q312" s="416" t="s">
        <v>202</v>
      </c>
      <c r="R312" s="416">
        <v>97392</v>
      </c>
      <c r="S312" s="416" t="s">
        <v>118</v>
      </c>
      <c r="T312" s="298" t="s">
        <v>123</v>
      </c>
      <c r="U312" s="416" t="s">
        <v>120</v>
      </c>
      <c r="V312" s="416">
        <v>53</v>
      </c>
      <c r="W312" s="416" t="s">
        <v>2214</v>
      </c>
      <c r="X312" s="225">
        <v>44500</v>
      </c>
      <c r="Y312" s="15" t="s">
        <v>123</v>
      </c>
      <c r="Z312" s="416" t="s">
        <v>123</v>
      </c>
      <c r="AA312" s="416" t="s">
        <v>123</v>
      </c>
      <c r="AB312" s="416" t="s">
        <v>123</v>
      </c>
      <c r="AC312" s="416" t="s">
        <v>2215</v>
      </c>
      <c r="AD312" s="81">
        <v>3720084127</v>
      </c>
      <c r="AE312" s="104">
        <v>42422</v>
      </c>
      <c r="AF312" s="104" t="s">
        <v>364</v>
      </c>
      <c r="AG312" s="416" t="s">
        <v>2216</v>
      </c>
      <c r="AH312" s="416" t="s">
        <v>214</v>
      </c>
      <c r="AI312" s="416" t="s">
        <v>139</v>
      </c>
      <c r="AJ312" s="416">
        <v>93725</v>
      </c>
      <c r="AK312" s="416" t="s">
        <v>118</v>
      </c>
      <c r="AL312" s="416" t="s">
        <v>123</v>
      </c>
      <c r="AM312" s="171" t="str">
        <f>INDEX(CarrierDriverTBL!$B:$B,MATCH(Table1[[#This Row],[DriverID]],CarrierDriverTBL!$A:$A,0))</f>
        <v>UBTrucking</v>
      </c>
      <c r="AN312" s="10" t="s">
        <v>2149</v>
      </c>
      <c r="AO312" s="171" t="str">
        <f>INDEX(CarrierDriverTBL!$C:$C,MATCH(Table1[[#This Row],[DriverID]],CarrierDriverTBL!$A:$A,0))</f>
        <v>Sukhpal</v>
      </c>
      <c r="AP312" s="171" t="str">
        <f>INDEX(CarrierDriverTBL!$D:$D,MATCH(Table1[[#This Row],[DriverID]],CarrierDriverTBL!$A:$A,0))</f>
        <v>Singh</v>
      </c>
      <c r="AQ312" s="171" t="str">
        <f>INDEX(CarrierDriverTBL!$X:$X,MATCH(Table1[[#This Row],[DriverID]],CarrierDriverTBL!$A:$A,0))</f>
        <v>B4532630</v>
      </c>
      <c r="AR312" s="172">
        <f>INDEX(CarrierDriverTBL!$Y:$Y,MATCH(Table1[[#This Row],[DriverID]],CarrierDriverTBL!$A:$A,0))</f>
        <v>42629</v>
      </c>
      <c r="AS312" s="142" t="str">
        <f t="shared" si="122"/>
        <v>GOOD</v>
      </c>
      <c r="AT312" s="172">
        <f>INDEX(CarrierDriverTBL!$E:$E,MATCH(Table1[[#This Row],[DriverID]],CarrierDriverTBL!$A:$A,0))</f>
        <v>29114</v>
      </c>
      <c r="AU312" s="163">
        <f ca="1">INDEX(CarrierDriverTBL!$F:$F,MATCH(Table1[[#This Row],[DriverID]],CarrierDriverTBL!$A:$A,0))</f>
        <v>36.88219178082192</v>
      </c>
      <c r="AV312" s="171" t="str">
        <f>INDEX(CarrierDriverTBL!$K:$K,MATCH(Table1[[#This Row],[DriverID]],CarrierDriverTBL!$A:$A,0))</f>
        <v>916-833-9981</v>
      </c>
      <c r="AW312" s="171" t="str">
        <f>INDEX(CarrierDriverTBL!$M:$M,MATCH(Table1[[#This Row],[DriverID]],CarrierDriverTBL!$A:$A,0))</f>
        <v>Missing</v>
      </c>
      <c r="AX312" s="171" t="str">
        <f>INDEX(CarrierDriverTBL!$N:$N,MATCH(Table1[[#This Row],[DriverID]],CarrierDriverTBL!$A:$A,0))</f>
        <v>Manteca</v>
      </c>
      <c r="AY312" s="171" t="str">
        <f>INDEX(CarrierDriverTBL!$O:$O,MATCH(Table1[[#This Row],[DriverID]],CarrierDriverTBL!$A:$A,0))</f>
        <v>CA</v>
      </c>
      <c r="AZ312" s="171">
        <f>INDEX(CarrierDriverTBL!$P:$P,MATCH(Table1[[#This Row],[DriverID]],CarrierDriverTBL!$A:$A,0))</f>
        <v>95337</v>
      </c>
      <c r="BA312" s="171" t="str">
        <f>INDEX(CarrierDriverTBL!$Q:$Q,MATCH(Table1[[#This Row],[DriverID]],CarrierDriverTBL!$A:$A,0))</f>
        <v>US</v>
      </c>
      <c r="BB312" s="224" t="str">
        <f>INDEX(CarrierDriverTBL!$R:$R,MATCH(Table1[[#This Row],[DriverID]],CarrierDriverTBL!$A:$A,0))</f>
        <v>htl0916@gmail.com</v>
      </c>
      <c r="BC312" s="160">
        <f>INDEX(CarrierDriverTBL!$AB:$AB,MATCH(Table1[[#This Row],[DriverID]],CarrierDriverTBL!$A:$A,0))</f>
        <v>42413</v>
      </c>
      <c r="BD312" s="142" t="str">
        <f ca="1">INDEX(CarrierDriverTBL!$AD:$AD,MATCH(LoadMaster!$AN:$AN,CarrierDriverTBL!$A:$A,0))</f>
        <v>MISSING</v>
      </c>
      <c r="BE312" s="142">
        <f>INDEX(CarrierDriverTBL!$AE:$AE,MATCH(Table1[DriverID],CarrierDriverTBL!$A:$A,0))</f>
        <v>913971</v>
      </c>
      <c r="BF312" s="142">
        <f>INDEX(CarrierDriverTBL!$AF:$AF,MATCH(Table1[DriverID],CarrierDriverTBL!$A:$A,0))</f>
        <v>2627544</v>
      </c>
      <c r="BG312" s="142">
        <f>INDEX(CarrierDriverTBL!$AG:$AG,MATCH(Table1[DriverID],CarrierDriverTBL!$A:$A,0))</f>
        <v>466133</v>
      </c>
      <c r="BH312" s="142" t="str">
        <f>INDEX(CarrierDriverTBL!$AH:$AH,MATCH(Table1[DriverID],CarrierDriverTBL!$A:$A,0))</f>
        <v>GM Lawrence Ins</v>
      </c>
      <c r="BI312" s="142" t="str">
        <f>INDEX(CarrierDriverTBL!$AI:$AI,MATCH(Table1[DriverID],CarrierDriverTBL!$A:$A,0))</f>
        <v>DSK2842P160210</v>
      </c>
      <c r="BJ312" s="160">
        <f>INDEX(CarrierDriverTBL!$AJ:$AJ,MATCH(Table1[[#This Row],[DriverID]],CarrierDriverTBL!$A:$A,0))</f>
        <v>42778</v>
      </c>
      <c r="BK312" s="10">
        <f t="shared" si="123"/>
        <v>359</v>
      </c>
      <c r="BL312" s="5">
        <v>700</v>
      </c>
      <c r="BM312" s="171">
        <v>231</v>
      </c>
      <c r="BN312" s="133">
        <f t="shared" si="140"/>
        <v>3.0303030303030303</v>
      </c>
      <c r="BO312" s="134">
        <f>0.93*700</f>
        <v>651</v>
      </c>
      <c r="BP312" s="133">
        <f t="shared" si="141"/>
        <v>2.8181818181818183</v>
      </c>
      <c r="BQ312" s="133">
        <v>2.6</v>
      </c>
      <c r="BR312" s="215">
        <f t="shared" si="142"/>
        <v>0.1166666666666667</v>
      </c>
      <c r="BS312" s="133">
        <f t="shared" si="124"/>
        <v>2.7015151515151516</v>
      </c>
      <c r="BT312" s="133">
        <f t="shared" si="125"/>
        <v>26.950000000000006</v>
      </c>
      <c r="BU312" s="10" t="str">
        <f t="shared" si="126"/>
        <v>Tql</v>
      </c>
      <c r="BV312" s="15"/>
      <c r="BW312" s="4" t="str">
        <f>Table1[[#This Row],[BrokerAddress]]</f>
        <v>P.O. Box 799</v>
      </c>
      <c r="BX312" s="4" t="str">
        <f t="shared" si="127"/>
        <v>Milford</v>
      </c>
      <c r="BY312" s="4" t="str">
        <f t="shared" si="128"/>
        <v>Ohio</v>
      </c>
      <c r="BZ312" s="4">
        <f t="shared" si="129"/>
        <v>45150</v>
      </c>
      <c r="CA312" s="10" t="str">
        <f t="shared" si="130"/>
        <v>US</v>
      </c>
      <c r="CB312" s="15" t="s">
        <v>131</v>
      </c>
      <c r="CC312" s="62"/>
      <c r="CD312" s="15" t="s">
        <v>132</v>
      </c>
      <c r="CE312" s="64">
        <v>0</v>
      </c>
      <c r="CF312" s="4">
        <v>0</v>
      </c>
      <c r="CG312" s="132">
        <f t="shared" si="131"/>
        <v>0</v>
      </c>
      <c r="CH312" s="4" t="s">
        <v>132</v>
      </c>
      <c r="CI312" s="5">
        <v>0</v>
      </c>
      <c r="CJ312" s="4">
        <v>0</v>
      </c>
      <c r="CK312" s="132">
        <f t="shared" si="132"/>
        <v>0</v>
      </c>
      <c r="CL312" s="4" t="s">
        <v>132</v>
      </c>
      <c r="CM312" s="5">
        <v>0</v>
      </c>
      <c r="CN312" s="4">
        <v>0</v>
      </c>
      <c r="CO312" s="132">
        <f t="shared" si="133"/>
        <v>0</v>
      </c>
      <c r="CP312" s="4" t="s">
        <v>132</v>
      </c>
      <c r="CQ312" s="5">
        <v>0</v>
      </c>
      <c r="CR312" s="4">
        <v>0</v>
      </c>
      <c r="CS312" s="132">
        <f t="shared" si="134"/>
        <v>0</v>
      </c>
      <c r="CT312" s="132">
        <f t="shared" si="135"/>
        <v>0</v>
      </c>
      <c r="CU312" s="168">
        <f t="shared" si="136"/>
        <v>700</v>
      </c>
      <c r="CV312" s="177">
        <f t="shared" si="119"/>
        <v>0</v>
      </c>
      <c r="CW312" s="82">
        <f t="shared" si="120"/>
        <v>651</v>
      </c>
      <c r="CX312" s="79">
        <f>IF(ISBLANK(E312),"AddQuickPay",IF(E312=2,CU312*0.98,IF(E312=2.4,CU312*0.976,IF(E312=3,CU312*0.97,IF(E312=5,CU312*0.95,IF(E312=1.5,CU312*0.985,IF(E312=2.5,CU312*0.975,IF(E312=1.3,CU312*0.987,IF(E312=1,CU312*0.99,IF(E312=4,CU312*0.96,CU312*1))))))))))-Table1[[#This Row],[ComCheck+QuickPayFee]]</f>
        <v>679</v>
      </c>
      <c r="CY312" s="5">
        <f t="shared" si="137"/>
        <v>49</v>
      </c>
      <c r="CZ312" s="5">
        <f t="shared" si="138"/>
        <v>21</v>
      </c>
      <c r="DA312" s="258">
        <f>Table1[[#This Row],[OriginalDispatch]]-Table1[[#This Row],[QuickPayCharge]]</f>
        <v>28</v>
      </c>
      <c r="DB312" s="5">
        <v>0</v>
      </c>
      <c r="DC312" s="5" t="s">
        <v>133</v>
      </c>
      <c r="DD312" s="172">
        <f t="shared" si="139"/>
        <v>42419</v>
      </c>
      <c r="DE312" s="171">
        <f>MONTH(Table1[[#This Row],[Weekending]])</f>
        <v>2</v>
      </c>
      <c r="DF312" s="171">
        <f>YEAR(Table1[[#This Row],[Weekending]])</f>
        <v>2016</v>
      </c>
      <c r="DG312" s="4"/>
    </row>
    <row r="313" spans="1:111">
      <c r="A313" s="416" t="str">
        <f t="shared" si="121"/>
        <v>04505730</v>
      </c>
      <c r="B313" s="104">
        <v>42423</v>
      </c>
      <c r="C313" s="15">
        <v>6916104</v>
      </c>
      <c r="D313" s="144" t="s">
        <v>445</v>
      </c>
      <c r="E313" s="15">
        <v>3</v>
      </c>
      <c r="F313" s="144" t="str">
        <f>INDEX(BrokerTBL!$B:$B,MATCH(D313,BrokerTBL!$A:$A,0))</f>
        <v>960 Northpoint Parkway Suite 150</v>
      </c>
      <c r="G313" s="15" t="str">
        <f>INDEX(BrokerTBL!$C:$C,MATCH(D313,BrokerTBL!$A:$A,0))</f>
        <v>Alpharetta</v>
      </c>
      <c r="H313" s="4" t="str">
        <f>INDEX(BrokerTBL!$D:$D,MATCH(D313,BrokerTBL!$A:$A,0))</f>
        <v>Ga</v>
      </c>
      <c r="I313" s="4" t="str">
        <f>INDEX(BrokerTBL!$E:$E,MATCH(D313,BrokerTBL!$A:$A,0))</f>
        <v>US</v>
      </c>
      <c r="J313" s="4">
        <f>INDEX(BrokerTBL!$F:$F,MATCH(D313,BrokerTBL!$A:$A,0))</f>
        <v>30005</v>
      </c>
      <c r="K313" s="416" t="s">
        <v>2217</v>
      </c>
      <c r="L313" s="81">
        <v>2020193150</v>
      </c>
      <c r="M313" s="104">
        <v>42422</v>
      </c>
      <c r="N313" s="226">
        <v>0.625</v>
      </c>
      <c r="O313" s="15" t="s">
        <v>2218</v>
      </c>
      <c r="P313" s="416" t="s">
        <v>214</v>
      </c>
      <c r="Q313" s="416" t="s">
        <v>2206</v>
      </c>
      <c r="R313" s="416">
        <v>93725</v>
      </c>
      <c r="S313" s="416" t="s">
        <v>2207</v>
      </c>
      <c r="T313" s="298" t="s">
        <v>123</v>
      </c>
      <c r="U313" s="416" t="s">
        <v>120</v>
      </c>
      <c r="V313" s="416">
        <v>53</v>
      </c>
      <c r="W313" s="416" t="s">
        <v>2219</v>
      </c>
      <c r="X313" s="225">
        <v>42937</v>
      </c>
      <c r="Y313" s="15" t="s">
        <v>2220</v>
      </c>
      <c r="Z313" s="416">
        <v>2400</v>
      </c>
      <c r="AA313" s="416" t="s">
        <v>123</v>
      </c>
      <c r="AB313" s="416" t="s">
        <v>123</v>
      </c>
      <c r="AC313" s="416" t="s">
        <v>2221</v>
      </c>
      <c r="AD313" s="81" t="s">
        <v>2222</v>
      </c>
      <c r="AE313" s="104">
        <v>42423</v>
      </c>
      <c r="AF313" s="226">
        <v>0.3125</v>
      </c>
      <c r="AG313" s="416" t="s">
        <v>2223</v>
      </c>
      <c r="AH313" s="416" t="s">
        <v>1017</v>
      </c>
      <c r="AI313" s="416" t="s">
        <v>2206</v>
      </c>
      <c r="AJ313" s="416">
        <v>91752</v>
      </c>
      <c r="AK313" s="416" t="s">
        <v>2207</v>
      </c>
      <c r="AL313" s="416" t="s">
        <v>123</v>
      </c>
      <c r="AM313" s="171" t="str">
        <f>INDEX(CarrierDriverTBL!$B:$B,MATCH(Table1[[#This Row],[DriverID]],CarrierDriverTBL!$A:$A,0))</f>
        <v>UBTrucking</v>
      </c>
      <c r="AN313" s="10" t="s">
        <v>2149</v>
      </c>
      <c r="AO313" s="171" t="str">
        <f>INDEX(CarrierDriverTBL!$C:$C,MATCH(Table1[[#This Row],[DriverID]],CarrierDriverTBL!$A:$A,0))</f>
        <v>Sukhpal</v>
      </c>
      <c r="AP313" s="171" t="str">
        <f>INDEX(CarrierDriverTBL!$D:$D,MATCH(Table1[[#This Row],[DriverID]],CarrierDriverTBL!$A:$A,0))</f>
        <v>Singh</v>
      </c>
      <c r="AQ313" s="171" t="str">
        <f>INDEX(CarrierDriverTBL!$X:$X,MATCH(Table1[[#This Row],[DriverID]],CarrierDriverTBL!$A:$A,0))</f>
        <v>B4532630</v>
      </c>
      <c r="AR313" s="172">
        <f>INDEX(CarrierDriverTBL!$Y:$Y,MATCH(Table1[[#This Row],[DriverID]],CarrierDriverTBL!$A:$A,0))</f>
        <v>42629</v>
      </c>
      <c r="AS313" s="142" t="str">
        <f t="shared" si="122"/>
        <v>GOOD</v>
      </c>
      <c r="AT313" s="172">
        <f>INDEX(CarrierDriverTBL!$E:$E,MATCH(Table1[[#This Row],[DriverID]],CarrierDriverTBL!$A:$A,0))</f>
        <v>29114</v>
      </c>
      <c r="AU313" s="163">
        <f ca="1">INDEX(CarrierDriverTBL!$F:$F,MATCH(Table1[[#This Row],[DriverID]],CarrierDriverTBL!$A:$A,0))</f>
        <v>36.88219178082192</v>
      </c>
      <c r="AV313" s="171" t="str">
        <f>INDEX(CarrierDriverTBL!$K:$K,MATCH(Table1[[#This Row],[DriverID]],CarrierDriverTBL!$A:$A,0))</f>
        <v>916-833-9981</v>
      </c>
      <c r="AW313" s="171" t="str">
        <f>INDEX(CarrierDriverTBL!$M:$M,MATCH(Table1[[#This Row],[DriverID]],CarrierDriverTBL!$A:$A,0))</f>
        <v>Missing</v>
      </c>
      <c r="AX313" s="171" t="str">
        <f>INDEX(CarrierDriverTBL!$N:$N,MATCH(Table1[[#This Row],[DriverID]],CarrierDriverTBL!$A:$A,0))</f>
        <v>Manteca</v>
      </c>
      <c r="AY313" s="171" t="str">
        <f>INDEX(CarrierDriverTBL!$O:$O,MATCH(Table1[[#This Row],[DriverID]],CarrierDriverTBL!$A:$A,0))</f>
        <v>CA</v>
      </c>
      <c r="AZ313" s="171">
        <f>INDEX(CarrierDriverTBL!$P:$P,MATCH(Table1[[#This Row],[DriverID]],CarrierDriverTBL!$A:$A,0))</f>
        <v>95337</v>
      </c>
      <c r="BA313" s="171" t="str">
        <f>INDEX(CarrierDriverTBL!$Q:$Q,MATCH(Table1[[#This Row],[DriverID]],CarrierDriverTBL!$A:$A,0))</f>
        <v>US</v>
      </c>
      <c r="BB313" s="224" t="str">
        <f>INDEX(CarrierDriverTBL!$R:$R,MATCH(Table1[[#This Row],[DriverID]],CarrierDriverTBL!$A:$A,0))</f>
        <v>htl0916@gmail.com</v>
      </c>
      <c r="BC313" s="160">
        <f>INDEX(CarrierDriverTBL!$AB:$AB,MATCH(Table1[[#This Row],[DriverID]],CarrierDriverTBL!$A:$A,0))</f>
        <v>42413</v>
      </c>
      <c r="BD313" s="142" t="str">
        <f ca="1">INDEX(CarrierDriverTBL!$AD:$AD,MATCH(LoadMaster!$AN:$AN,CarrierDriverTBL!$A:$A,0))</f>
        <v>MISSING</v>
      </c>
      <c r="BE313" s="142">
        <f>INDEX(CarrierDriverTBL!$AE:$AE,MATCH(Table1[DriverID],CarrierDriverTBL!$A:$A,0))</f>
        <v>913971</v>
      </c>
      <c r="BF313" s="142">
        <f>INDEX(CarrierDriverTBL!$AF:$AF,MATCH(Table1[DriverID],CarrierDriverTBL!$A:$A,0))</f>
        <v>2627544</v>
      </c>
      <c r="BG313" s="142">
        <f>INDEX(CarrierDriverTBL!$AG:$AG,MATCH(Table1[DriverID],CarrierDriverTBL!$A:$A,0))</f>
        <v>466133</v>
      </c>
      <c r="BH313" s="142" t="str">
        <f>INDEX(CarrierDriverTBL!$AH:$AH,MATCH(Table1[DriverID],CarrierDriverTBL!$A:$A,0))</f>
        <v>GM Lawrence Ins</v>
      </c>
      <c r="BI313" s="142" t="str">
        <f>INDEX(CarrierDriverTBL!$AI:$AI,MATCH(Table1[DriverID],CarrierDriverTBL!$A:$A,0))</f>
        <v>DSK2842P160210</v>
      </c>
      <c r="BJ313" s="160">
        <f>INDEX(CarrierDriverTBL!$AJ:$AJ,MATCH(Table1[[#This Row],[DriverID]],CarrierDriverTBL!$A:$A,0))</f>
        <v>42778</v>
      </c>
      <c r="BK313" s="10">
        <f t="shared" si="123"/>
        <v>356</v>
      </c>
      <c r="BL313" s="5">
        <v>350</v>
      </c>
      <c r="BM313" s="171">
        <v>263</v>
      </c>
      <c r="BN313" s="133">
        <f t="shared" si="140"/>
        <v>1.3307984790874525</v>
      </c>
      <c r="BO313" s="134">
        <f>0.93*350</f>
        <v>325.5</v>
      </c>
      <c r="BP313" s="133">
        <f t="shared" si="141"/>
        <v>1.2376425855513309</v>
      </c>
      <c r="BQ313" s="133">
        <v>2.6</v>
      </c>
      <c r="BR313" s="215">
        <f t="shared" si="142"/>
        <v>0.1166666666666667</v>
      </c>
      <c r="BS313" s="133">
        <f t="shared" si="124"/>
        <v>1.1209759188846642</v>
      </c>
      <c r="BT313" s="133">
        <f t="shared" si="125"/>
        <v>30.683333333333341</v>
      </c>
      <c r="BU313" s="10" t="str">
        <f t="shared" si="126"/>
        <v>Coyote</v>
      </c>
      <c r="BV313" s="15"/>
      <c r="BW313" s="4" t="str">
        <f>Table1[[#This Row],[BrokerAddress]]</f>
        <v>960 Northpoint Parkway Suite 150</v>
      </c>
      <c r="BX313" s="4" t="str">
        <f t="shared" si="127"/>
        <v>Alpharetta</v>
      </c>
      <c r="BY313" s="4" t="str">
        <f t="shared" si="128"/>
        <v>Ga</v>
      </c>
      <c r="BZ313" s="4">
        <f t="shared" si="129"/>
        <v>30005</v>
      </c>
      <c r="CA313" s="10" t="str">
        <f t="shared" si="130"/>
        <v>US</v>
      </c>
      <c r="CB313" s="15" t="s">
        <v>131</v>
      </c>
      <c r="CC313" s="62"/>
      <c r="CD313" s="15" t="s">
        <v>132</v>
      </c>
      <c r="CE313" s="64">
        <v>0</v>
      </c>
      <c r="CF313" s="4">
        <v>0</v>
      </c>
      <c r="CG313" s="132">
        <f t="shared" si="131"/>
        <v>0</v>
      </c>
      <c r="CH313" s="4" t="s">
        <v>132</v>
      </c>
      <c r="CI313" s="5">
        <v>0</v>
      </c>
      <c r="CJ313" s="4">
        <v>0</v>
      </c>
      <c r="CK313" s="132">
        <f t="shared" si="132"/>
        <v>0</v>
      </c>
      <c r="CL313" s="4" t="s">
        <v>132</v>
      </c>
      <c r="CM313" s="5">
        <v>0</v>
      </c>
      <c r="CN313" s="4">
        <v>0</v>
      </c>
      <c r="CO313" s="132">
        <f t="shared" si="133"/>
        <v>0</v>
      </c>
      <c r="CP313" s="4" t="s">
        <v>132</v>
      </c>
      <c r="CQ313" s="5">
        <v>0</v>
      </c>
      <c r="CR313" s="4">
        <v>0</v>
      </c>
      <c r="CS313" s="132">
        <f t="shared" si="134"/>
        <v>0</v>
      </c>
      <c r="CT313" s="132">
        <f t="shared" si="135"/>
        <v>0</v>
      </c>
      <c r="CU313" s="168">
        <f t="shared" si="136"/>
        <v>350</v>
      </c>
      <c r="CV313" s="177">
        <f t="shared" si="119"/>
        <v>0</v>
      </c>
      <c r="CW313" s="82">
        <f t="shared" si="120"/>
        <v>325.5</v>
      </c>
      <c r="CX313" s="79">
        <f>IF(ISBLANK(E313),"AddQuickPay",IF(E313=2,CU313*0.98,IF(E313=2.4,CU313*0.976,IF(E313=3,CU313*0.97,IF(E313=5,CU313*0.95,IF(E313=1.5,CU313*0.985,IF(E313=2.5,CU313*0.975,IF(E313=1.3,CU313*0.987,IF(E313=1,CU313*0.99,IF(E313=4,CU313*0.96,CU313*1))))))))))-Table1[[#This Row],[ComCheck+QuickPayFee]]</f>
        <v>339.5</v>
      </c>
      <c r="CY313" s="5">
        <f t="shared" si="137"/>
        <v>24.5</v>
      </c>
      <c r="CZ313" s="5">
        <f t="shared" si="138"/>
        <v>10.5</v>
      </c>
      <c r="DA313" s="258">
        <f>Table1[[#This Row],[OriginalDispatch]]-Table1[[#This Row],[QuickPayCharge]]</f>
        <v>14</v>
      </c>
      <c r="DB313" s="5">
        <v>0</v>
      </c>
      <c r="DC313" s="5" t="s">
        <v>133</v>
      </c>
      <c r="DD313" s="172">
        <f t="shared" si="139"/>
        <v>42426</v>
      </c>
      <c r="DE313" s="171">
        <f>MONTH(Table1[[#This Row],[Weekending]])</f>
        <v>2</v>
      </c>
      <c r="DF313" s="171">
        <f>YEAR(Table1[[#This Row],[Weekending]])</f>
        <v>2016</v>
      </c>
      <c r="DG313" s="4"/>
    </row>
    <row r="314" spans="1:111">
      <c r="A314" s="416" t="str">
        <f t="shared" si="121"/>
        <v>95067993</v>
      </c>
      <c r="B314" s="104">
        <v>42423</v>
      </c>
      <c r="C314" s="413">
        <v>511395</v>
      </c>
      <c r="D314" s="416" t="s">
        <v>1997</v>
      </c>
      <c r="E314" s="15">
        <v>2</v>
      </c>
      <c r="F314" s="144" t="str">
        <f>INDEX(BrokerTBL!$B:$B,MATCH(D314,BrokerTBL!$A:$A,0))</f>
        <v>12755 East Nine Mile Road</v>
      </c>
      <c r="G314" s="15" t="str">
        <f>INDEX(BrokerTBL!$C:$C,MATCH(D314,BrokerTBL!$A:$A,0))</f>
        <v>Warren</v>
      </c>
      <c r="H314" s="4" t="str">
        <f>INDEX(BrokerTBL!$D:$D,MATCH(D314,BrokerTBL!$A:$A,0))</f>
        <v>Mi</v>
      </c>
      <c r="I314" s="4" t="str">
        <f>INDEX(BrokerTBL!$E:$E,MATCH(D314,BrokerTBL!$A:$A,0))</f>
        <v>US</v>
      </c>
      <c r="J314" s="4">
        <f>INDEX(BrokerTBL!$F:$F,MATCH(D314,BrokerTBL!$A:$A,0))</f>
        <v>48089</v>
      </c>
      <c r="K314" s="416" t="s">
        <v>2224</v>
      </c>
      <c r="L314" s="81" t="s">
        <v>2225</v>
      </c>
      <c r="M314" s="104">
        <v>42422</v>
      </c>
      <c r="N314" s="15" t="s">
        <v>2226</v>
      </c>
      <c r="O314" s="15" t="s">
        <v>2227</v>
      </c>
      <c r="P314" s="416" t="s">
        <v>184</v>
      </c>
      <c r="Q314" s="416" t="s">
        <v>2206</v>
      </c>
      <c r="R314" s="416">
        <v>95201</v>
      </c>
      <c r="S314" s="416" t="s">
        <v>2207</v>
      </c>
      <c r="T314" s="298" t="s">
        <v>123</v>
      </c>
      <c r="U314" s="416" t="s">
        <v>120</v>
      </c>
      <c r="V314" s="416">
        <v>53</v>
      </c>
      <c r="W314" s="416" t="s">
        <v>1205</v>
      </c>
      <c r="X314" s="225">
        <v>44000</v>
      </c>
      <c r="Y314" s="15" t="s">
        <v>123</v>
      </c>
      <c r="Z314" s="416" t="s">
        <v>123</v>
      </c>
      <c r="AA314" s="416" t="s">
        <v>123</v>
      </c>
      <c r="AB314" s="416" t="s">
        <v>123</v>
      </c>
      <c r="AC314" s="416" t="s">
        <v>2228</v>
      </c>
      <c r="AD314" s="81" t="s">
        <v>2229</v>
      </c>
      <c r="AE314" s="104">
        <v>42423</v>
      </c>
      <c r="AF314" s="104" t="s">
        <v>2230</v>
      </c>
      <c r="AG314" s="416" t="s">
        <v>2231</v>
      </c>
      <c r="AH314" s="416" t="s">
        <v>2232</v>
      </c>
      <c r="AI314" s="416" t="s">
        <v>2233</v>
      </c>
      <c r="AJ314" s="416">
        <v>89410</v>
      </c>
      <c r="AK314" s="416" t="s">
        <v>2207</v>
      </c>
      <c r="AL314" s="416" t="s">
        <v>123</v>
      </c>
      <c r="AM314" s="142" t="str">
        <f>INDEX(CarrierDriverTBL!$B:$B,MATCH(Table1[[#This Row],[DriverID]],CarrierDriverTBL!$A:$A,0))</f>
        <v>UBTrucking</v>
      </c>
      <c r="AN314" s="10" t="s">
        <v>2234</v>
      </c>
      <c r="AO314" s="142" t="str">
        <f>INDEX(CarrierDriverTBL!$C:$C,MATCH(Table1[[#This Row],[DriverID]],CarrierDriverTBL!$A:$A,0))</f>
        <v>Arturo</v>
      </c>
      <c r="AP314" s="216" t="str">
        <f>INDEX(CarrierDriverTBL!$D:$D,MATCH(Table1[[#This Row],[DriverID]],CarrierDriverTBL!$A:$A,0))</f>
        <v>Carrillo</v>
      </c>
      <c r="AQ314" s="10" t="str">
        <f>INDEX(CarrierDriverTBL!$X:$X,MATCH(Table1[[#This Row],[DriverID]],CarrierDriverTBL!$A:$A,0))</f>
        <v>C7056793</v>
      </c>
      <c r="AR314" s="160">
        <f>INDEX(CarrierDriverTBL!$Y:$Y,MATCH(Table1[[#This Row],[DriverID]],CarrierDriverTBL!$A:$A,0))</f>
        <v>43410</v>
      </c>
      <c r="AS314" s="142" t="str">
        <f t="shared" si="122"/>
        <v>GOOD</v>
      </c>
      <c r="AT314" s="160">
        <f>INDEX(CarrierDriverTBL!$E:$E,MATCH(Table1[[#This Row],[DriverID]],CarrierDriverTBL!$A:$A,0))</f>
        <v>24782</v>
      </c>
      <c r="AU314" s="163">
        <f ca="1">INDEX(CarrierDriverTBL!$F:$F,MATCH(Table1[[#This Row],[DriverID]],CarrierDriverTBL!$A:$A,0))</f>
        <v>48.750684931506846</v>
      </c>
      <c r="AV314" s="171" t="str">
        <f>INDEX(CarrierDriverTBL!$K:$K,MATCH(Table1[[#This Row],[DriverID]],CarrierDriverTBL!$A:$A,0))</f>
        <v>209-276-9785</v>
      </c>
      <c r="AW314" s="142" t="str">
        <f>INDEX(CarrierDriverTBL!$M:$M,MATCH(Table1[[#This Row],[DriverID]],CarrierDriverTBL!$A:$A,0))</f>
        <v>1685 Winthrop Ln</v>
      </c>
      <c r="AX314" s="142" t="str">
        <f>INDEX(CarrierDriverTBL!$N:$N,MATCH(Table1[[#This Row],[DriverID]],CarrierDriverTBL!$A:$A,0))</f>
        <v>Ceres</v>
      </c>
      <c r="AY314" s="142" t="str">
        <f>INDEX(CarrierDriverTBL!$O:$O,MATCH(Table1[[#This Row],[DriverID]],CarrierDriverTBL!$A:$A,0))</f>
        <v>CA</v>
      </c>
      <c r="AZ314" s="142">
        <f>INDEX(CarrierDriverTBL!$P:$P,MATCH(Table1[[#This Row],[DriverID]],CarrierDriverTBL!$A:$A,0))</f>
        <v>95307</v>
      </c>
      <c r="BA314" s="142" t="str">
        <f>INDEX(CarrierDriverTBL!$Q:$Q,MATCH(Table1[[#This Row],[DriverID]],CarrierDriverTBL!$A:$A,0))</f>
        <v>US</v>
      </c>
      <c r="BB314" s="217" t="str">
        <f>INDEX(CarrierDriverTBL!$R:$R,MATCH(Table1[[#This Row],[DriverID]],CarrierDriverTBL!$A:$A,0))</f>
        <v>arturocarr777@gmail.com</v>
      </c>
      <c r="BC314" s="160">
        <f>INDEX(CarrierDriverTBL!$AB:$AB,MATCH(Table1[[#This Row],[DriverID]],CarrierDriverTBL!$A:$A,0))</f>
        <v>42418</v>
      </c>
      <c r="BD314" s="142" t="str">
        <f ca="1">INDEX(CarrierDriverTBL!$AD:$AD,MATCH(LoadMaster!$AN:$AN,CarrierDriverTBL!$A:$A,0))</f>
        <v>MISSING</v>
      </c>
      <c r="BE314" s="142">
        <f>INDEX(CarrierDriverTBL!$AE:$AE,MATCH(Table1[DriverID],CarrierDriverTBL!$A:$A,0))</f>
        <v>913971</v>
      </c>
      <c r="BF314" s="142">
        <f>INDEX(CarrierDriverTBL!$AF:$AF,MATCH(Table1[DriverID],CarrierDriverTBL!$A:$A,0))</f>
        <v>2627544</v>
      </c>
      <c r="BG314" s="142">
        <f>INDEX(CarrierDriverTBL!$AG:$AG,MATCH(Table1[DriverID],CarrierDriverTBL!$A:$A,0))</f>
        <v>466133</v>
      </c>
      <c r="BH314" s="142" t="str">
        <f>INDEX(CarrierDriverTBL!$AH:$AH,MATCH(Table1[DriverID],CarrierDriverTBL!$A:$A,0))</f>
        <v>GM Lawrence Ins</v>
      </c>
      <c r="BI314" s="142" t="str">
        <f>INDEX(CarrierDriverTBL!$AI:$AI,MATCH(Table1[DriverID],CarrierDriverTBL!$A:$A,0))</f>
        <v>DSK2842P160210</v>
      </c>
      <c r="BJ314" s="160">
        <f>INDEX(CarrierDriverTBL!$AJ:$AJ,MATCH(Table1[[#This Row],[DriverID]],CarrierDriverTBL!$A:$A,0))</f>
        <v>42778</v>
      </c>
      <c r="BK314" s="10">
        <f t="shared" si="123"/>
        <v>356</v>
      </c>
      <c r="BL314" s="5">
        <v>529</v>
      </c>
      <c r="BM314" s="171">
        <v>135</v>
      </c>
      <c r="BN314" s="133">
        <f t="shared" si="140"/>
        <v>3.9185185185185185</v>
      </c>
      <c r="BO314" s="134">
        <f>0.93*529</f>
        <v>491.97</v>
      </c>
      <c r="BP314" s="133">
        <f t="shared" si="141"/>
        <v>3.6442222222222225</v>
      </c>
      <c r="BQ314" s="133">
        <v>2.6</v>
      </c>
      <c r="BR314" s="215">
        <f t="shared" si="142"/>
        <v>0.1166666666666667</v>
      </c>
      <c r="BS314" s="133">
        <f t="shared" si="124"/>
        <v>3.5275555555555558</v>
      </c>
      <c r="BT314" s="133">
        <f t="shared" si="125"/>
        <v>15.750000000000004</v>
      </c>
      <c r="BU314" s="10" t="str">
        <f t="shared" si="126"/>
        <v>Cavalry Logistics</v>
      </c>
      <c r="BV314" s="15"/>
      <c r="BW314" s="4" t="str">
        <f>Table1[[#This Row],[BrokerAddress]]</f>
        <v>12755 East Nine Mile Road</v>
      </c>
      <c r="BX314" s="4" t="str">
        <f t="shared" si="127"/>
        <v>Warren</v>
      </c>
      <c r="BY314" s="4" t="str">
        <f t="shared" si="128"/>
        <v>Mi</v>
      </c>
      <c r="BZ314" s="4">
        <f t="shared" si="129"/>
        <v>48089</v>
      </c>
      <c r="CA314" s="10" t="str">
        <f t="shared" si="130"/>
        <v>US</v>
      </c>
      <c r="CB314" s="15" t="s">
        <v>131</v>
      </c>
      <c r="CC314" s="62"/>
      <c r="CD314" s="15" t="s">
        <v>132</v>
      </c>
      <c r="CE314" s="64">
        <v>0</v>
      </c>
      <c r="CF314" s="4">
        <v>0</v>
      </c>
      <c r="CG314" s="132">
        <f t="shared" si="131"/>
        <v>0</v>
      </c>
      <c r="CH314" s="4" t="s">
        <v>132</v>
      </c>
      <c r="CI314" s="5">
        <v>0</v>
      </c>
      <c r="CJ314" s="4">
        <v>0</v>
      </c>
      <c r="CK314" s="132">
        <f t="shared" si="132"/>
        <v>0</v>
      </c>
      <c r="CL314" s="4" t="s">
        <v>132</v>
      </c>
      <c r="CM314" s="5">
        <v>0</v>
      </c>
      <c r="CN314" s="4">
        <v>0</v>
      </c>
      <c r="CO314" s="132">
        <f t="shared" si="133"/>
        <v>0</v>
      </c>
      <c r="CP314" s="4" t="s">
        <v>132</v>
      </c>
      <c r="CQ314" s="5">
        <v>0</v>
      </c>
      <c r="CR314" s="4">
        <v>0</v>
      </c>
      <c r="CS314" s="132">
        <f t="shared" si="134"/>
        <v>0</v>
      </c>
      <c r="CT314" s="132">
        <f t="shared" si="135"/>
        <v>0</v>
      </c>
      <c r="CU314" s="168">
        <f t="shared" si="136"/>
        <v>529</v>
      </c>
      <c r="CV314" s="177">
        <f t="shared" si="119"/>
        <v>0</v>
      </c>
      <c r="CW314" s="82">
        <f t="shared" si="120"/>
        <v>491.97</v>
      </c>
      <c r="CX314" s="79">
        <f>IF(ISBLANK(E314),"AddQuickPay",IF(E314=2,CU314*0.98,IF(E314=2.4,CU314*0.976,IF(E314=3,CU314*0.97,IF(E314=5,CU314*0.95,IF(E314=1.5,CU314*0.985,IF(E314=2.5,CU314*0.975,IF(E314=1.3,CU314*0.987,IF(E314=1,CU314*0.99,IF(E314=4,CU314*0.96,CU314*1))))))))))-Table1[[#This Row],[ComCheck+QuickPayFee]]</f>
        <v>518.41999999999996</v>
      </c>
      <c r="CY314" s="5">
        <f t="shared" si="137"/>
        <v>37.029999999999973</v>
      </c>
      <c r="CZ314" s="5">
        <f t="shared" si="138"/>
        <v>10.58</v>
      </c>
      <c r="DA314" s="258">
        <f>Table1[[#This Row],[OriginalDispatch]]-Table1[[#This Row],[QuickPayCharge]]</f>
        <v>26.449999999999974</v>
      </c>
      <c r="DB314" s="5">
        <v>0</v>
      </c>
      <c r="DC314" s="5" t="s">
        <v>133</v>
      </c>
      <c r="DD314" s="172">
        <f t="shared" si="139"/>
        <v>42426</v>
      </c>
      <c r="DE314" s="171">
        <f>MONTH(Table1[[#This Row],[Weekending]])</f>
        <v>2</v>
      </c>
      <c r="DF314" s="171">
        <f>YEAR(Table1[[#This Row],[Weekending]])</f>
        <v>2016</v>
      </c>
      <c r="DG314" s="4"/>
    </row>
    <row r="315" spans="1:111">
      <c r="A315" s="416" t="str">
        <f t="shared" si="121"/>
        <v>13151549</v>
      </c>
      <c r="B315" s="104">
        <v>42423</v>
      </c>
      <c r="C315" s="414">
        <v>193687213</v>
      </c>
      <c r="D315" s="144" t="s">
        <v>111</v>
      </c>
      <c r="E315" s="15">
        <v>2</v>
      </c>
      <c r="F315" s="144" t="str">
        <f>INDEX(BrokerTBL!$B:$B,MATCH(D315,BrokerTBL!$A:$A,0))</f>
        <v>P.O. Box 3474</v>
      </c>
      <c r="G315" s="15" t="str">
        <f>INDEX(BrokerTBL!$C:$C,MATCH(D315,BrokerTBL!$A:$A,0))</f>
        <v>Chicago</v>
      </c>
      <c r="H315" s="4" t="str">
        <f>INDEX(BrokerTBL!$D:$D,MATCH(D315,BrokerTBL!$A:$A,0))</f>
        <v>Il</v>
      </c>
      <c r="I315" s="4" t="str">
        <f>INDEX(BrokerTBL!$E:$E,MATCH(D315,BrokerTBL!$A:$A,0))</f>
        <v>US</v>
      </c>
      <c r="J315" s="4">
        <f>INDEX(BrokerTBL!$F:$F,MATCH(D315,BrokerTBL!$A:$A,0))</f>
        <v>60654</v>
      </c>
      <c r="K315" s="416" t="s">
        <v>2235</v>
      </c>
      <c r="L315" s="81">
        <v>151015</v>
      </c>
      <c r="M315" s="104">
        <v>42422</v>
      </c>
      <c r="N315" s="15" t="s">
        <v>2060</v>
      </c>
      <c r="O315" s="15" t="s">
        <v>2236</v>
      </c>
      <c r="P315" s="416" t="s">
        <v>1920</v>
      </c>
      <c r="Q315" s="416" t="s">
        <v>2233</v>
      </c>
      <c r="R315" s="416">
        <v>89434</v>
      </c>
      <c r="S315" s="416" t="s">
        <v>2207</v>
      </c>
      <c r="T315" s="298" t="s">
        <v>123</v>
      </c>
      <c r="U315" s="416" t="s">
        <v>120</v>
      </c>
      <c r="V315" s="416">
        <v>53</v>
      </c>
      <c r="W315" s="416" t="s">
        <v>691</v>
      </c>
      <c r="X315" s="225">
        <v>40000</v>
      </c>
      <c r="Y315" s="15" t="s">
        <v>2220</v>
      </c>
      <c r="Z315" s="416" t="s">
        <v>123</v>
      </c>
      <c r="AA315" s="416" t="s">
        <v>123</v>
      </c>
      <c r="AB315" s="416" t="s">
        <v>123</v>
      </c>
      <c r="AC315" s="416" t="s">
        <v>692</v>
      </c>
      <c r="AD315" s="81">
        <v>151015</v>
      </c>
      <c r="AE315" s="104">
        <v>42423</v>
      </c>
      <c r="AF315" s="226" t="s">
        <v>1121</v>
      </c>
      <c r="AG315" s="416" t="s">
        <v>693</v>
      </c>
      <c r="AH315" s="416" t="s">
        <v>2237</v>
      </c>
      <c r="AI315" s="416" t="s">
        <v>2206</v>
      </c>
      <c r="AJ315" s="416" t="s">
        <v>2238</v>
      </c>
      <c r="AK315" s="416" t="s">
        <v>2207</v>
      </c>
      <c r="AL315" s="416" t="s">
        <v>123</v>
      </c>
      <c r="AM315" s="142" t="str">
        <f>INDEX(CarrierDriverTBL!$B:$B,MATCH(Table1[[#This Row],[DriverID]],CarrierDriverTBL!$A:$A,0))</f>
        <v>UBTrucking</v>
      </c>
      <c r="AN315" s="10" t="s">
        <v>192</v>
      </c>
      <c r="AO315" s="10" t="str">
        <f>INDEX(CarrierDriverTBL!$C:$C,MATCH(Table1[[#This Row],[DriverID]],CarrierDriverTBL!$A:$A,0))</f>
        <v>Albel</v>
      </c>
      <c r="AP315" s="142" t="str">
        <f>INDEX(CarrierDriverTBL!$D:$D,MATCH(Table1[[#This Row],[DriverID]],CarrierDriverTBL!$A:$A,0))</f>
        <v>Chahil</v>
      </c>
      <c r="AQ315" s="142" t="str">
        <f>INDEX(CarrierDriverTBL!$X:$X,MATCH(Table1[[#This Row],[DriverID]],CarrierDriverTBL!$A:$A,0))</f>
        <v>A8390649</v>
      </c>
      <c r="AR315" s="160">
        <f>INDEX(CarrierDriverTBL!$Y:$Y,MATCH(Table1[[#This Row],[DriverID]],CarrierDriverTBL!$A:$A,0))</f>
        <v>42402</v>
      </c>
      <c r="AS315" s="142" t="str">
        <f t="shared" si="122"/>
        <v>EXPIRED</v>
      </c>
      <c r="AT315" s="160">
        <f>INDEX(CarrierDriverTBL!$E:$E,MATCH(Table1[[#This Row],[DriverID]],CarrierDriverTBL!$A:$A,0))</f>
        <v>22314</v>
      </c>
      <c r="AU315" s="163">
        <f ca="1">INDEX(CarrierDriverTBL!$F:$F,MATCH(Table1[[#This Row],[DriverID]],CarrierDriverTBL!$A:$A,0))</f>
        <v>55.512328767123286</v>
      </c>
      <c r="AV315" s="142" t="str">
        <f>INDEX(CarrierDriverTBL!$K:$K,MATCH(Table1[[#This Row],[DriverID]],CarrierDriverTBL!$A:$A,0))</f>
        <v>510-773-9450</v>
      </c>
      <c r="AW315" s="142" t="str">
        <f>INDEX(CarrierDriverTBL!$M:$M,MATCH(Table1[[#This Row],[DriverID]],CarrierDriverTBL!$A:$A,0))</f>
        <v>3124 Cynthia CT</v>
      </c>
      <c r="AX315" s="142" t="str">
        <f>INDEX(CarrierDriverTBL!$N:$N,MATCH(Table1[[#This Row],[DriverID]],CarrierDriverTBL!$A:$A,0))</f>
        <v>Tracy</v>
      </c>
      <c r="AY315" s="142" t="str">
        <f>INDEX(CarrierDriverTBL!$O:$O,MATCH(Table1[[#This Row],[DriverID]],CarrierDriverTBL!$A:$A,0))</f>
        <v>CA</v>
      </c>
      <c r="AZ315" s="142">
        <f>INDEX(CarrierDriverTBL!$P:$P,MATCH(Table1[[#This Row],[DriverID]],CarrierDriverTBL!$A:$A,0))</f>
        <v>95377</v>
      </c>
      <c r="BA315" s="142" t="str">
        <f>INDEX(CarrierDriverTBL!$Q:$Q,MATCH(Table1[[#This Row],[DriverID]],CarrierDriverTBL!$A:$A,0))</f>
        <v>US</v>
      </c>
      <c r="BB315" s="176" t="str">
        <f>INDEX(CarrierDriverTBL!$R:$R,MATCH(Table1[[#This Row],[DriverID]],CarrierDriverTBL!$A:$A,0))</f>
        <v>ubgollc@gmail.com</v>
      </c>
      <c r="BC315" s="160">
        <f>INDEX(CarrierDriverTBL!$AB:$AB,MATCH(Table1[[#This Row],[DriverID]],CarrierDriverTBL!$A:$A,0))</f>
        <v>42167</v>
      </c>
      <c r="BD315" s="142" t="str">
        <f ca="1">INDEX(CarrierDriverTBL!$AD:$AD,MATCH(LoadMaster!$AN:$AN,CarrierDriverTBL!$A:$A,0))</f>
        <v>MISSING</v>
      </c>
      <c r="BE315" s="142">
        <f>INDEX(CarrierDriverTBL!$AE:$AE,MATCH(Table1[DriverID],CarrierDriverTBL!$A:$A,0))</f>
        <v>913971</v>
      </c>
      <c r="BF315" s="142">
        <f>INDEX(CarrierDriverTBL!$AF:$AF,MATCH(Table1[DriverID],CarrierDriverTBL!$A:$A,0))</f>
        <v>2627544</v>
      </c>
      <c r="BG315" s="142">
        <f>INDEX(CarrierDriverTBL!$AG:$AG,MATCH(Table1[DriverID],CarrierDriverTBL!$A:$A,0))</f>
        <v>466133</v>
      </c>
      <c r="BH315" s="142" t="str">
        <f>INDEX(CarrierDriverTBL!$AH:$AH,MATCH(Table1[DriverID],CarrierDriverTBL!$A:$A,0))</f>
        <v>GM Lawrence Ins</v>
      </c>
      <c r="BI315" s="142" t="str">
        <f>INDEX(CarrierDriverTBL!$AI:$AI,MATCH(Table1[DriverID],CarrierDriverTBL!$A:$A,0))</f>
        <v>DSK2842P160210</v>
      </c>
      <c r="BJ315" s="160">
        <f>INDEX(CarrierDriverTBL!$AJ:$AJ,MATCH(Table1[[#This Row],[DriverID]],CarrierDriverTBL!$A:$A,0))</f>
        <v>42778</v>
      </c>
      <c r="BK315" s="10">
        <f t="shared" si="123"/>
        <v>356</v>
      </c>
      <c r="BL315" s="5">
        <v>675</v>
      </c>
      <c r="BM315" s="171">
        <v>486</v>
      </c>
      <c r="BN315" s="133">
        <f t="shared" si="140"/>
        <v>1.3888888888888888</v>
      </c>
      <c r="BO315" s="134">
        <f>0.93*675</f>
        <v>627.75</v>
      </c>
      <c r="BP315" s="133">
        <f t="shared" si="141"/>
        <v>1.2916666666666667</v>
      </c>
      <c r="BQ315" s="133">
        <v>2.6</v>
      </c>
      <c r="BR315" s="215">
        <f t="shared" si="142"/>
        <v>0.1166666666666667</v>
      </c>
      <c r="BS315" s="133">
        <f t="shared" si="124"/>
        <v>1.175</v>
      </c>
      <c r="BT315" s="133">
        <f t="shared" si="125"/>
        <v>56.700000000000017</v>
      </c>
      <c r="BU315" s="10" t="str">
        <f t="shared" si="126"/>
        <v>Ch Robinson</v>
      </c>
      <c r="BV315" s="15"/>
      <c r="BW315" s="4" t="str">
        <f>Table1[[#This Row],[BrokerAddress]]</f>
        <v>P.O. Box 3474</v>
      </c>
      <c r="BX315" s="4" t="str">
        <f t="shared" si="127"/>
        <v>Chicago</v>
      </c>
      <c r="BY315" s="4" t="str">
        <f t="shared" si="128"/>
        <v>Il</v>
      </c>
      <c r="BZ315" s="4">
        <f t="shared" si="129"/>
        <v>60654</v>
      </c>
      <c r="CA315" s="10" t="str">
        <f t="shared" si="130"/>
        <v>US</v>
      </c>
      <c r="CB315" s="15" t="s">
        <v>131</v>
      </c>
      <c r="CC315" s="62"/>
      <c r="CD315" s="15" t="s">
        <v>132</v>
      </c>
      <c r="CE315" s="64">
        <v>0</v>
      </c>
      <c r="CF315" s="4">
        <v>0</v>
      </c>
      <c r="CG315" s="132">
        <f t="shared" si="131"/>
        <v>0</v>
      </c>
      <c r="CH315" s="4" t="s">
        <v>132</v>
      </c>
      <c r="CI315" s="5">
        <v>0</v>
      </c>
      <c r="CJ315" s="4">
        <v>0</v>
      </c>
      <c r="CK315" s="132">
        <f t="shared" si="132"/>
        <v>0</v>
      </c>
      <c r="CL315" s="4" t="s">
        <v>132</v>
      </c>
      <c r="CM315" s="5">
        <v>0</v>
      </c>
      <c r="CN315" s="4">
        <v>0</v>
      </c>
      <c r="CO315" s="132">
        <f t="shared" si="133"/>
        <v>0</v>
      </c>
      <c r="CP315" s="4" t="s">
        <v>132</v>
      </c>
      <c r="CQ315" s="5">
        <v>0</v>
      </c>
      <c r="CR315" s="4">
        <v>0</v>
      </c>
      <c r="CS315" s="132">
        <f t="shared" si="134"/>
        <v>0</v>
      </c>
      <c r="CT315" s="132">
        <f t="shared" si="135"/>
        <v>0</v>
      </c>
      <c r="CU315" s="168">
        <f t="shared" si="136"/>
        <v>675</v>
      </c>
      <c r="CV315" s="177">
        <f t="shared" si="119"/>
        <v>0</v>
      </c>
      <c r="CW315" s="82">
        <f t="shared" si="120"/>
        <v>627.75</v>
      </c>
      <c r="CX315" s="79">
        <f>IF(ISBLANK(E315),"AddQuickPay",IF(E315=2,CU315*0.98,IF(E315=2.4,CU315*0.976,IF(E315=3,CU315*0.97,IF(E315=5,CU315*0.95,IF(E315=1.5,CU315*0.985,IF(E315=2.5,CU315*0.975,IF(E315=1.3,CU315*0.987,IF(E315=1,CU315*0.99,IF(E315=4,CU315*0.96,CU315*1))))))))))-Table1[[#This Row],[ComCheck+QuickPayFee]]</f>
        <v>661.5</v>
      </c>
      <c r="CY315" s="5">
        <f t="shared" si="137"/>
        <v>47.25</v>
      </c>
      <c r="CZ315" s="5">
        <f t="shared" si="138"/>
        <v>13.5</v>
      </c>
      <c r="DA315" s="258">
        <f>Table1[[#This Row],[OriginalDispatch]]-Table1[[#This Row],[QuickPayCharge]]</f>
        <v>33.75</v>
      </c>
      <c r="DB315" s="5">
        <v>0</v>
      </c>
      <c r="DC315" s="5" t="s">
        <v>133</v>
      </c>
      <c r="DD315" s="172">
        <f t="shared" si="139"/>
        <v>42426</v>
      </c>
      <c r="DE315" s="171">
        <f>MONTH(Table1[[#This Row],[Weekending]])</f>
        <v>2</v>
      </c>
      <c r="DF315" s="171">
        <f>YEAR(Table1[[#This Row],[Weekending]])</f>
        <v>2016</v>
      </c>
      <c r="DG315" s="4"/>
    </row>
    <row r="316" spans="1:111">
      <c r="A316" s="416" t="str">
        <f t="shared" si="121"/>
        <v>65-5wn93</v>
      </c>
      <c r="B316" s="104">
        <v>42423</v>
      </c>
      <c r="C316" s="414">
        <v>2394765</v>
      </c>
      <c r="D316" s="416" t="s">
        <v>1638</v>
      </c>
      <c r="E316" s="15">
        <v>2</v>
      </c>
      <c r="F316" s="144" t="str">
        <f>INDEX(BrokerTBL!$B:$B,MATCH(D316,BrokerTBL!$A:$A,0))</f>
        <v>4040 Embassy Parkway Suite 370</v>
      </c>
      <c r="G316" s="15" t="str">
        <f>INDEX(BrokerTBL!$C:$C,MATCH(D316,BrokerTBL!$A:$A,0))</f>
        <v>Akron</v>
      </c>
      <c r="H316" s="4" t="str">
        <f>INDEX(BrokerTBL!$D:$D,MATCH(D316,BrokerTBL!$A:$A,0))</f>
        <v>Ohio</v>
      </c>
      <c r="I316" s="4" t="str">
        <f>INDEX(BrokerTBL!$E:$E,MATCH(D316,BrokerTBL!$A:$A,0))</f>
        <v>US</v>
      </c>
      <c r="J316" s="4">
        <f>INDEX(BrokerTBL!$F:$F,MATCH(D316,BrokerTBL!$A:$A,0))</f>
        <v>44333</v>
      </c>
      <c r="K316" s="416" t="s">
        <v>2239</v>
      </c>
      <c r="L316" s="81" t="s">
        <v>2240</v>
      </c>
      <c r="M316" s="104">
        <v>42423</v>
      </c>
      <c r="N316" s="15" t="s">
        <v>2241</v>
      </c>
      <c r="O316" s="15" t="s">
        <v>2242</v>
      </c>
      <c r="P316" s="416" t="s">
        <v>2243</v>
      </c>
      <c r="Q316" s="416" t="s">
        <v>2233</v>
      </c>
      <c r="R316" s="416">
        <v>89706</v>
      </c>
      <c r="S316" s="416" t="s">
        <v>2207</v>
      </c>
      <c r="T316" s="298" t="s">
        <v>123</v>
      </c>
      <c r="U316" s="416" t="s">
        <v>120</v>
      </c>
      <c r="V316" s="416">
        <v>53</v>
      </c>
      <c r="W316" s="416" t="s">
        <v>2244</v>
      </c>
      <c r="X316" s="225">
        <v>44000</v>
      </c>
      <c r="Y316" s="15" t="s">
        <v>123</v>
      </c>
      <c r="Z316" s="416" t="s">
        <v>123</v>
      </c>
      <c r="AA316" s="416" t="s">
        <v>123</v>
      </c>
      <c r="AB316" s="416" t="s">
        <v>123</v>
      </c>
      <c r="AC316" s="416" t="s">
        <v>2245</v>
      </c>
      <c r="AD316" s="81" t="s">
        <v>1205</v>
      </c>
      <c r="AE316" s="104">
        <v>42424</v>
      </c>
      <c r="AF316" s="416" t="s">
        <v>123</v>
      </c>
      <c r="AG316" s="416" t="s">
        <v>2246</v>
      </c>
      <c r="AH316" s="416" t="s">
        <v>2247</v>
      </c>
      <c r="AI316" s="416" t="s">
        <v>2206</v>
      </c>
      <c r="AJ316" s="416">
        <v>93235</v>
      </c>
      <c r="AK316" s="416" t="s">
        <v>2207</v>
      </c>
      <c r="AL316" s="416" t="s">
        <v>2169</v>
      </c>
      <c r="AM316" s="142" t="str">
        <f>INDEX(CarrierDriverTBL!$B:$B,MATCH(Table1[[#This Row],[DriverID]],CarrierDriverTBL!$A:$A,0))</f>
        <v>UBTrucking</v>
      </c>
      <c r="AN316" s="10" t="s">
        <v>2234</v>
      </c>
      <c r="AO316" s="142" t="str">
        <f>INDEX(CarrierDriverTBL!$C:$C,MATCH(Table1[[#This Row],[DriverID]],CarrierDriverTBL!$A:$A,0))</f>
        <v>Arturo</v>
      </c>
      <c r="AP316" s="216" t="str">
        <f>INDEX(CarrierDriverTBL!$D:$D,MATCH(Table1[[#This Row],[DriverID]],CarrierDriverTBL!$A:$A,0))</f>
        <v>Carrillo</v>
      </c>
      <c r="AQ316" s="10" t="str">
        <f>INDEX(CarrierDriverTBL!$X:$X,MATCH(Table1[[#This Row],[DriverID]],CarrierDriverTBL!$A:$A,0))</f>
        <v>C7056793</v>
      </c>
      <c r="AR316" s="160">
        <f>INDEX(CarrierDriverTBL!$Y:$Y,MATCH(Table1[[#This Row],[DriverID]],CarrierDriverTBL!$A:$A,0))</f>
        <v>43410</v>
      </c>
      <c r="AS316" s="142" t="str">
        <f t="shared" si="122"/>
        <v>GOOD</v>
      </c>
      <c r="AT316" s="160">
        <f>INDEX(CarrierDriverTBL!$E:$E,MATCH(Table1[[#This Row],[DriverID]],CarrierDriverTBL!$A:$A,0))</f>
        <v>24782</v>
      </c>
      <c r="AU316" s="163">
        <f ca="1">INDEX(CarrierDriverTBL!$F:$F,MATCH(Table1[[#This Row],[DriverID]],CarrierDriverTBL!$A:$A,0))</f>
        <v>48.750684931506846</v>
      </c>
      <c r="AV316" s="171" t="str">
        <f>INDEX(CarrierDriverTBL!$K:$K,MATCH(Table1[[#This Row],[DriverID]],CarrierDriverTBL!$A:$A,0))</f>
        <v>209-276-9785</v>
      </c>
      <c r="AW316" s="142" t="str">
        <f>INDEX(CarrierDriverTBL!$M:$M,MATCH(Table1[[#This Row],[DriverID]],CarrierDriverTBL!$A:$A,0))</f>
        <v>1685 Winthrop Ln</v>
      </c>
      <c r="AX316" s="142" t="str">
        <f>INDEX(CarrierDriverTBL!$N:$N,MATCH(Table1[[#This Row],[DriverID]],CarrierDriverTBL!$A:$A,0))</f>
        <v>Ceres</v>
      </c>
      <c r="AY316" s="142" t="str">
        <f>INDEX(CarrierDriverTBL!$O:$O,MATCH(Table1[[#This Row],[DriverID]],CarrierDriverTBL!$A:$A,0))</f>
        <v>CA</v>
      </c>
      <c r="AZ316" s="142">
        <f>INDEX(CarrierDriverTBL!$P:$P,MATCH(Table1[[#This Row],[DriverID]],CarrierDriverTBL!$A:$A,0))</f>
        <v>95307</v>
      </c>
      <c r="BA316" s="142" t="str">
        <f>INDEX(CarrierDriverTBL!$Q:$Q,MATCH(Table1[[#This Row],[DriverID]],CarrierDriverTBL!$A:$A,0))</f>
        <v>US</v>
      </c>
      <c r="BB316" s="217" t="str">
        <f>INDEX(CarrierDriverTBL!$R:$R,MATCH(Table1[[#This Row],[DriverID]],CarrierDriverTBL!$A:$A,0))</f>
        <v>arturocarr777@gmail.com</v>
      </c>
      <c r="BC316" s="160">
        <f>INDEX(CarrierDriverTBL!$AB:$AB,MATCH(Table1[[#This Row],[DriverID]],CarrierDriverTBL!$A:$A,0))</f>
        <v>42418</v>
      </c>
      <c r="BD316" s="142" t="str">
        <f ca="1">INDEX(CarrierDriverTBL!$AD:$AD,MATCH(LoadMaster!$AN:$AN,CarrierDriverTBL!$A:$A,0))</f>
        <v>MISSING</v>
      </c>
      <c r="BE316" s="142">
        <f>INDEX(CarrierDriverTBL!$AE:$AE,MATCH(Table1[DriverID],CarrierDriverTBL!$A:$A,0))</f>
        <v>913971</v>
      </c>
      <c r="BF316" s="142">
        <f>INDEX(CarrierDriverTBL!$AF:$AF,MATCH(Table1[DriverID],CarrierDriverTBL!$A:$A,0))</f>
        <v>2627544</v>
      </c>
      <c r="BG316" s="142">
        <f>INDEX(CarrierDriverTBL!$AG:$AG,MATCH(Table1[DriverID],CarrierDriverTBL!$A:$A,0))</f>
        <v>466133</v>
      </c>
      <c r="BH316" s="142" t="str">
        <f>INDEX(CarrierDriverTBL!$AH:$AH,MATCH(Table1[DriverID],CarrierDriverTBL!$A:$A,0))</f>
        <v>GM Lawrence Ins</v>
      </c>
      <c r="BI316" s="142" t="str">
        <f>INDEX(CarrierDriverTBL!$AI:$AI,MATCH(Table1[DriverID],CarrierDriverTBL!$A:$A,0))</f>
        <v>DSK2842P160210</v>
      </c>
      <c r="BJ316" s="160">
        <f>INDEX(CarrierDriverTBL!$AJ:$AJ,MATCH(Table1[[#This Row],[DriverID]],CarrierDriverTBL!$A:$A,0))</f>
        <v>42778</v>
      </c>
      <c r="BK316" s="10">
        <f t="shared" si="123"/>
        <v>355</v>
      </c>
      <c r="BL316" s="5">
        <v>600</v>
      </c>
      <c r="BM316" s="171">
        <v>318</v>
      </c>
      <c r="BN316" s="133">
        <f t="shared" si="140"/>
        <v>1.8867924528301887</v>
      </c>
      <c r="BO316" s="134">
        <f>0.93*600</f>
        <v>558</v>
      </c>
      <c r="BP316" s="133">
        <f t="shared" si="141"/>
        <v>1.7547169811320755</v>
      </c>
      <c r="BQ316" s="133">
        <v>2.6</v>
      </c>
      <c r="BR316" s="215">
        <f t="shared" si="142"/>
        <v>0.1166666666666667</v>
      </c>
      <c r="BS316" s="133">
        <f t="shared" si="124"/>
        <v>1.6380503144654088</v>
      </c>
      <c r="BT316" s="133">
        <f t="shared" si="125"/>
        <v>37.100000000000009</v>
      </c>
      <c r="BU316" s="10" t="str">
        <f t="shared" si="126"/>
        <v>Matson Logistics</v>
      </c>
      <c r="BV316" s="15"/>
      <c r="BW316" s="4" t="str">
        <f>Table1[[#This Row],[BrokerAddress]]</f>
        <v>4040 Embassy Parkway Suite 370</v>
      </c>
      <c r="BX316" s="4" t="str">
        <f t="shared" si="127"/>
        <v>Akron</v>
      </c>
      <c r="BY316" s="4" t="str">
        <f t="shared" si="128"/>
        <v>Ohio</v>
      </c>
      <c r="BZ316" s="4">
        <f t="shared" si="129"/>
        <v>44333</v>
      </c>
      <c r="CA316" s="10" t="str">
        <f t="shared" si="130"/>
        <v>US</v>
      </c>
      <c r="CB316" s="15" t="s">
        <v>131</v>
      </c>
      <c r="CC316" s="62"/>
      <c r="CD316" s="15" t="s">
        <v>132</v>
      </c>
      <c r="CE316" s="64">
        <v>0</v>
      </c>
      <c r="CF316" s="4">
        <v>0</v>
      </c>
      <c r="CG316" s="132">
        <f t="shared" si="131"/>
        <v>0</v>
      </c>
      <c r="CH316" s="4" t="s">
        <v>132</v>
      </c>
      <c r="CI316" s="5">
        <v>0</v>
      </c>
      <c r="CJ316" s="4">
        <v>0</v>
      </c>
      <c r="CK316" s="132">
        <f t="shared" si="132"/>
        <v>0</v>
      </c>
      <c r="CL316" s="4" t="s">
        <v>132</v>
      </c>
      <c r="CM316" s="5">
        <v>0</v>
      </c>
      <c r="CN316" s="4">
        <v>0</v>
      </c>
      <c r="CO316" s="132">
        <f t="shared" si="133"/>
        <v>0</v>
      </c>
      <c r="CP316" s="4" t="s">
        <v>132</v>
      </c>
      <c r="CQ316" s="5">
        <v>0</v>
      </c>
      <c r="CR316" s="4">
        <v>0</v>
      </c>
      <c r="CS316" s="132">
        <f t="shared" si="134"/>
        <v>0</v>
      </c>
      <c r="CT316" s="132">
        <f t="shared" si="135"/>
        <v>0</v>
      </c>
      <c r="CU316" s="168">
        <f t="shared" si="136"/>
        <v>600</v>
      </c>
      <c r="CV316" s="177">
        <f t="shared" si="119"/>
        <v>0</v>
      </c>
      <c r="CW316" s="82">
        <f t="shared" si="120"/>
        <v>558</v>
      </c>
      <c r="CX316" s="79">
        <f>IF(ISBLANK(E316),"AddQuickPay",IF(E316=2,CU316*0.98,IF(E316=2.4,CU316*0.976,IF(E316=3,CU316*0.97,IF(E316=5,CU316*0.95,IF(E316=1.5,CU316*0.985,IF(E316=2.5,CU316*0.975,IF(E316=1.3,CU316*0.987,IF(E316=1,CU316*0.99,IF(E316=4,CU316*0.96,CU316*1))))))))))-Table1[[#This Row],[ComCheck+QuickPayFee]]</f>
        <v>588</v>
      </c>
      <c r="CY316" s="5">
        <f t="shared" si="137"/>
        <v>42</v>
      </c>
      <c r="CZ316" s="5">
        <f t="shared" si="138"/>
        <v>12</v>
      </c>
      <c r="DA316" s="258">
        <f>Table1[[#This Row],[OriginalDispatch]]-Table1[[#This Row],[QuickPayCharge]]</f>
        <v>30</v>
      </c>
      <c r="DB316" s="5">
        <v>0</v>
      </c>
      <c r="DC316" s="5" t="s">
        <v>133</v>
      </c>
      <c r="DD316" s="172">
        <f t="shared" si="139"/>
        <v>42426</v>
      </c>
      <c r="DE316" s="171">
        <f>MONTH(Table1[[#This Row],[Weekending]])</f>
        <v>2</v>
      </c>
      <c r="DF316" s="171">
        <f>YEAR(Table1[[#This Row],[Weekending]])</f>
        <v>2016</v>
      </c>
      <c r="DG316" s="4"/>
    </row>
    <row r="317" spans="1:111">
      <c r="A317" s="416" t="str">
        <f t="shared" si="121"/>
        <v>42686830</v>
      </c>
      <c r="B317" s="104">
        <v>42423</v>
      </c>
      <c r="C317" s="15">
        <v>6618842</v>
      </c>
      <c r="D317" s="416" t="s">
        <v>2248</v>
      </c>
      <c r="E317" s="15">
        <v>3</v>
      </c>
      <c r="F317" s="144" t="str">
        <f>INDEX(BrokerTBL!$B:$B,MATCH(D317,BrokerTBL!$A:$A,0))</f>
        <v>P.O. Box 799</v>
      </c>
      <c r="G317" s="15" t="str">
        <f>INDEX(BrokerTBL!$C:$C,MATCH(D317,BrokerTBL!$A:$A,0))</f>
        <v>Milford</v>
      </c>
      <c r="H317" s="4" t="str">
        <f>INDEX(BrokerTBL!$D:$D,MATCH(D317,BrokerTBL!$A:$A,0))</f>
        <v>Ohio</v>
      </c>
      <c r="I317" s="4" t="str">
        <f>INDEX(BrokerTBL!$E:$E,MATCH(D317,BrokerTBL!$A:$A,0))</f>
        <v>US</v>
      </c>
      <c r="J317" s="4">
        <f>INDEX(BrokerTBL!$F:$F,MATCH(D317,BrokerTBL!$A:$A,0))</f>
        <v>45150</v>
      </c>
      <c r="K317" s="416" t="s">
        <v>2249</v>
      </c>
      <c r="L317" s="81" t="s">
        <v>2250</v>
      </c>
      <c r="M317" s="104">
        <v>42423</v>
      </c>
      <c r="N317" s="15" t="s">
        <v>2251</v>
      </c>
      <c r="O317" s="15" t="s">
        <v>2252</v>
      </c>
      <c r="P317" s="416" t="s">
        <v>2253</v>
      </c>
      <c r="Q317" s="416" t="s">
        <v>2254</v>
      </c>
      <c r="R317" s="225" t="s">
        <v>2255</v>
      </c>
      <c r="S317" s="416" t="s">
        <v>2207</v>
      </c>
      <c r="T317" s="298" t="s">
        <v>123</v>
      </c>
      <c r="U317" s="416" t="s">
        <v>120</v>
      </c>
      <c r="V317" s="416">
        <v>53</v>
      </c>
      <c r="W317" s="416" t="s">
        <v>2256</v>
      </c>
      <c r="X317" s="144" t="s">
        <v>123</v>
      </c>
      <c r="Y317" s="15" t="s">
        <v>2220</v>
      </c>
      <c r="Z317" s="416">
        <v>11</v>
      </c>
      <c r="AA317" s="416">
        <v>535</v>
      </c>
      <c r="AB317" s="416" t="s">
        <v>123</v>
      </c>
      <c r="AC317" s="416" t="s">
        <v>2257</v>
      </c>
      <c r="AD317" s="81" t="s">
        <v>2250</v>
      </c>
      <c r="AE317" s="104">
        <v>42424</v>
      </c>
      <c r="AF317" s="104" t="s">
        <v>2258</v>
      </c>
      <c r="AG317" s="416" t="s">
        <v>2259</v>
      </c>
      <c r="AH317" s="416" t="s">
        <v>2260</v>
      </c>
      <c r="AI317" s="416" t="s">
        <v>2206</v>
      </c>
      <c r="AJ317" s="416">
        <v>95363</v>
      </c>
      <c r="AK317" s="416" t="s">
        <v>2207</v>
      </c>
      <c r="AL317" s="416" t="s">
        <v>123</v>
      </c>
      <c r="AM317" s="171" t="str">
        <f>INDEX(CarrierDriverTBL!$B:$B,MATCH(Table1[[#This Row],[DriverID]],CarrierDriverTBL!$A:$A,0))</f>
        <v>UBTrucking</v>
      </c>
      <c r="AN317" s="10" t="s">
        <v>2149</v>
      </c>
      <c r="AO317" s="171" t="str">
        <f>INDEX(CarrierDriverTBL!$C:$C,MATCH(Table1[[#This Row],[DriverID]],CarrierDriverTBL!$A:$A,0))</f>
        <v>Sukhpal</v>
      </c>
      <c r="AP317" s="171" t="str">
        <f>INDEX(CarrierDriverTBL!$D:$D,MATCH(Table1[[#This Row],[DriverID]],CarrierDriverTBL!$A:$A,0))</f>
        <v>Singh</v>
      </c>
      <c r="AQ317" s="171" t="str">
        <f>INDEX(CarrierDriverTBL!$X:$X,MATCH(Table1[[#This Row],[DriverID]],CarrierDriverTBL!$A:$A,0))</f>
        <v>B4532630</v>
      </c>
      <c r="AR317" s="172">
        <f>INDEX(CarrierDriverTBL!$Y:$Y,MATCH(Table1[[#This Row],[DriverID]],CarrierDriverTBL!$A:$A,0))</f>
        <v>42629</v>
      </c>
      <c r="AS317" s="142" t="str">
        <f t="shared" si="122"/>
        <v>GOOD</v>
      </c>
      <c r="AT317" s="172">
        <f>INDEX(CarrierDriverTBL!$E:$E,MATCH(Table1[[#This Row],[DriverID]],CarrierDriverTBL!$A:$A,0))</f>
        <v>29114</v>
      </c>
      <c r="AU317" s="163">
        <f ca="1">INDEX(CarrierDriverTBL!$F:$F,MATCH(Table1[[#This Row],[DriverID]],CarrierDriverTBL!$A:$A,0))</f>
        <v>36.88219178082192</v>
      </c>
      <c r="AV317" s="171" t="str">
        <f>INDEX(CarrierDriverTBL!$K:$K,MATCH(Table1[[#This Row],[DriverID]],CarrierDriverTBL!$A:$A,0))</f>
        <v>916-833-9981</v>
      </c>
      <c r="AW317" s="171" t="str">
        <f>INDEX(CarrierDriverTBL!$M:$M,MATCH(Table1[[#This Row],[DriverID]],CarrierDriverTBL!$A:$A,0))</f>
        <v>Missing</v>
      </c>
      <c r="AX317" s="171" t="str">
        <f>INDEX(CarrierDriverTBL!$N:$N,MATCH(Table1[[#This Row],[DriverID]],CarrierDriverTBL!$A:$A,0))</f>
        <v>Manteca</v>
      </c>
      <c r="AY317" s="171" t="str">
        <f>INDEX(CarrierDriverTBL!$O:$O,MATCH(Table1[[#This Row],[DriverID]],CarrierDriverTBL!$A:$A,0))</f>
        <v>CA</v>
      </c>
      <c r="AZ317" s="171">
        <f>INDEX(CarrierDriverTBL!$P:$P,MATCH(Table1[[#This Row],[DriverID]],CarrierDriverTBL!$A:$A,0))</f>
        <v>95337</v>
      </c>
      <c r="BA317" s="171" t="str">
        <f>INDEX(CarrierDriverTBL!$Q:$Q,MATCH(Table1[[#This Row],[DriverID]],CarrierDriverTBL!$A:$A,0))</f>
        <v>US</v>
      </c>
      <c r="BB317" s="224" t="str">
        <f>INDEX(CarrierDriverTBL!$R:$R,MATCH(Table1[[#This Row],[DriverID]],CarrierDriverTBL!$A:$A,0))</f>
        <v>htl0916@gmail.com</v>
      </c>
      <c r="BC317" s="160">
        <f>INDEX(CarrierDriverTBL!$AB:$AB,MATCH(Table1[[#This Row],[DriverID]],CarrierDriverTBL!$A:$A,0))</f>
        <v>42413</v>
      </c>
      <c r="BD317" s="142" t="str">
        <f ca="1">INDEX(CarrierDriverTBL!$AD:$AD,MATCH(LoadMaster!$AN:$AN,CarrierDriverTBL!$A:$A,0))</f>
        <v>MISSING</v>
      </c>
      <c r="BE317" s="142">
        <f>INDEX(CarrierDriverTBL!$AE:$AE,MATCH(Table1[DriverID],CarrierDriverTBL!$A:$A,0))</f>
        <v>913971</v>
      </c>
      <c r="BF317" s="142">
        <f>INDEX(CarrierDriverTBL!$AF:$AF,MATCH(Table1[DriverID],CarrierDriverTBL!$A:$A,0))</f>
        <v>2627544</v>
      </c>
      <c r="BG317" s="142">
        <f>INDEX(CarrierDriverTBL!$AG:$AG,MATCH(Table1[DriverID],CarrierDriverTBL!$A:$A,0))</f>
        <v>466133</v>
      </c>
      <c r="BH317" s="142" t="str">
        <f>INDEX(CarrierDriverTBL!$AH:$AH,MATCH(Table1[DriverID],CarrierDriverTBL!$A:$A,0))</f>
        <v>GM Lawrence Ins</v>
      </c>
      <c r="BI317" s="142" t="str">
        <f>INDEX(CarrierDriverTBL!$AI:$AI,MATCH(Table1[DriverID],CarrierDriverTBL!$A:$A,0))</f>
        <v>DSK2842P160210</v>
      </c>
      <c r="BJ317" s="160">
        <f>INDEX(CarrierDriverTBL!$AJ:$AJ,MATCH(Table1[[#This Row],[DriverID]],CarrierDriverTBL!$A:$A,0))</f>
        <v>42778</v>
      </c>
      <c r="BK317" s="10">
        <f t="shared" si="123"/>
        <v>355</v>
      </c>
      <c r="BL317" s="5">
        <v>800</v>
      </c>
      <c r="BM317" s="171">
        <v>368</v>
      </c>
      <c r="BN317" s="133">
        <f t="shared" si="140"/>
        <v>2.1739130434782608</v>
      </c>
      <c r="BO317" s="134">
        <f>0.93*800</f>
        <v>744</v>
      </c>
      <c r="BP317" s="133">
        <f t="shared" si="141"/>
        <v>2.0217391304347827</v>
      </c>
      <c r="BQ317" s="133">
        <v>2.6</v>
      </c>
      <c r="BR317" s="215">
        <f t="shared" si="142"/>
        <v>0.1166666666666667</v>
      </c>
      <c r="BS317" s="133">
        <f t="shared" si="124"/>
        <v>1.905072463768116</v>
      </c>
      <c r="BT317" s="133">
        <f t="shared" si="125"/>
        <v>42.933333333333344</v>
      </c>
      <c r="BU317" s="10" t="str">
        <f t="shared" si="126"/>
        <v>TQL</v>
      </c>
      <c r="BV317" s="15"/>
      <c r="BW317" s="4" t="str">
        <f>Table1[[#This Row],[BrokerAddress]]</f>
        <v>P.O. Box 799</v>
      </c>
      <c r="BX317" s="4" t="str">
        <f t="shared" si="127"/>
        <v>Milford</v>
      </c>
      <c r="BY317" s="4" t="str">
        <f t="shared" si="128"/>
        <v>Ohio</v>
      </c>
      <c r="BZ317" s="4">
        <f t="shared" si="129"/>
        <v>45150</v>
      </c>
      <c r="CA317" s="10" t="str">
        <f t="shared" si="130"/>
        <v>US</v>
      </c>
      <c r="CB317" s="15" t="s">
        <v>131</v>
      </c>
      <c r="CC317" s="62"/>
      <c r="CD317" s="15" t="s">
        <v>132</v>
      </c>
      <c r="CE317" s="64">
        <v>0</v>
      </c>
      <c r="CF317" s="4">
        <v>0</v>
      </c>
      <c r="CG317" s="132">
        <f t="shared" si="131"/>
        <v>0</v>
      </c>
      <c r="CH317" s="4" t="s">
        <v>132</v>
      </c>
      <c r="CI317" s="5">
        <v>0</v>
      </c>
      <c r="CJ317" s="4">
        <v>0</v>
      </c>
      <c r="CK317" s="132">
        <f t="shared" si="132"/>
        <v>0</v>
      </c>
      <c r="CL317" s="4" t="s">
        <v>132</v>
      </c>
      <c r="CM317" s="5">
        <v>0</v>
      </c>
      <c r="CN317" s="4">
        <v>0</v>
      </c>
      <c r="CO317" s="132">
        <f t="shared" si="133"/>
        <v>0</v>
      </c>
      <c r="CP317" s="4" t="s">
        <v>132</v>
      </c>
      <c r="CQ317" s="5">
        <v>0</v>
      </c>
      <c r="CR317" s="4">
        <v>0</v>
      </c>
      <c r="CS317" s="132">
        <f t="shared" si="134"/>
        <v>0</v>
      </c>
      <c r="CT317" s="132">
        <f t="shared" si="135"/>
        <v>0</v>
      </c>
      <c r="CU317" s="168">
        <f t="shared" si="136"/>
        <v>800</v>
      </c>
      <c r="CV317" s="177">
        <f t="shared" ref="CV317:CV380" si="143">IF(AO317="Albel",(CT317*1),(CT317*0.93))</f>
        <v>0</v>
      </c>
      <c r="CW317" s="82">
        <f t="shared" si="120"/>
        <v>744</v>
      </c>
      <c r="CX317" s="79">
        <f>IF(ISBLANK(E317),"AddQuickPay",IF(E317=2,CU317*0.98,IF(E317=2.4,CU317*0.976,IF(E317=3,CU317*0.97,IF(E317=5,CU317*0.95,IF(E317=1.5,CU317*0.985,IF(E317=2.5,CU317*0.975,IF(E317=1.3,CU317*0.987,IF(E317=1,CU317*0.99,IF(E317=4,CU317*0.96,CU317*1))))))))))-Table1[[#This Row],[ComCheck+QuickPayFee]]</f>
        <v>776</v>
      </c>
      <c r="CY317" s="5">
        <f t="shared" si="137"/>
        <v>56</v>
      </c>
      <c r="CZ317" s="5">
        <f t="shared" si="138"/>
        <v>24</v>
      </c>
      <c r="DA317" s="258">
        <f>Table1[[#This Row],[OriginalDispatch]]-Table1[[#This Row],[QuickPayCharge]]</f>
        <v>32</v>
      </c>
      <c r="DB317" s="5">
        <v>0</v>
      </c>
      <c r="DC317" s="5" t="s">
        <v>133</v>
      </c>
      <c r="DD317" s="172">
        <f t="shared" si="139"/>
        <v>42426</v>
      </c>
      <c r="DE317" s="171">
        <f>MONTH(Table1[[#This Row],[Weekending]])</f>
        <v>2</v>
      </c>
      <c r="DF317" s="171">
        <f>YEAR(Table1[[#This Row],[Weekending]])</f>
        <v>2016</v>
      </c>
      <c r="DG317" s="4"/>
    </row>
    <row r="318" spans="1:111">
      <c r="A318" s="416" t="str">
        <f t="shared" si="121"/>
        <v>34wnwn49</v>
      </c>
      <c r="B318" s="104">
        <v>42423</v>
      </c>
      <c r="C318" s="414">
        <v>47934</v>
      </c>
      <c r="D318" s="416" t="s">
        <v>1824</v>
      </c>
      <c r="E318" s="15">
        <v>3</v>
      </c>
      <c r="F318" s="144" t="str">
        <f>INDEX(BrokerTBL!$B:$B,MATCH(D318,BrokerTBL!$A:$A,0))</f>
        <v>2109 W Bullard Ave # 101</v>
      </c>
      <c r="G318" s="15" t="str">
        <f>INDEX(BrokerTBL!$C:$C,MATCH(D318,BrokerTBL!$A:$A,0))</f>
        <v>Fresno</v>
      </c>
      <c r="H318" s="4" t="str">
        <f>INDEX(BrokerTBL!$D:$D,MATCH(D318,BrokerTBL!$A:$A,0))</f>
        <v>Ca</v>
      </c>
      <c r="I318" s="4" t="str">
        <f>INDEX(BrokerTBL!$E:$E,MATCH(D318,BrokerTBL!$A:$A,0))</f>
        <v>US</v>
      </c>
      <c r="J318" s="4">
        <f>INDEX(BrokerTBL!$F:$F,MATCH(D318,BrokerTBL!$A:$A,0))</f>
        <v>93711</v>
      </c>
      <c r="K318" s="416" t="s">
        <v>2261</v>
      </c>
      <c r="L318" s="81" t="s">
        <v>1205</v>
      </c>
      <c r="M318" s="104">
        <v>42424</v>
      </c>
      <c r="N318" s="15" t="s">
        <v>218</v>
      </c>
      <c r="O318" s="15" t="s">
        <v>2262</v>
      </c>
      <c r="P318" s="416" t="s">
        <v>2263</v>
      </c>
      <c r="Q318" s="416" t="s">
        <v>2206</v>
      </c>
      <c r="R318" s="416">
        <v>95742</v>
      </c>
      <c r="S318" s="416" t="s">
        <v>2207</v>
      </c>
      <c r="T318" s="298" t="s">
        <v>123</v>
      </c>
      <c r="U318" s="416" t="s">
        <v>120</v>
      </c>
      <c r="V318" s="416">
        <v>53</v>
      </c>
      <c r="W318" s="416" t="s">
        <v>2264</v>
      </c>
      <c r="X318" s="225">
        <v>35000</v>
      </c>
      <c r="Y318" s="15" t="s">
        <v>123</v>
      </c>
      <c r="Z318" s="416" t="s">
        <v>123</v>
      </c>
      <c r="AA318" s="416" t="s">
        <v>123</v>
      </c>
      <c r="AB318" s="416" t="s">
        <v>123</v>
      </c>
      <c r="AC318" s="416" t="s">
        <v>2265</v>
      </c>
      <c r="AD318" s="81" t="s">
        <v>1205</v>
      </c>
      <c r="AE318" s="104">
        <v>42424</v>
      </c>
      <c r="AF318" s="226">
        <v>0.58333333333333337</v>
      </c>
      <c r="AG318" s="416" t="s">
        <v>2266</v>
      </c>
      <c r="AH318" s="416" t="s">
        <v>2267</v>
      </c>
      <c r="AI318" s="416" t="s">
        <v>2233</v>
      </c>
      <c r="AJ318" s="416">
        <v>89403</v>
      </c>
      <c r="AK318" s="416" t="s">
        <v>2207</v>
      </c>
      <c r="AL318" s="416" t="s">
        <v>123</v>
      </c>
      <c r="AM318" s="142" t="str">
        <f>INDEX(CarrierDriverTBL!$B:$B,MATCH(Table1[[#This Row],[DriverID]],CarrierDriverTBL!$A:$A,0))</f>
        <v>UBTrucking</v>
      </c>
      <c r="AN318" s="10" t="s">
        <v>192</v>
      </c>
      <c r="AO318" s="10" t="str">
        <f>INDEX(CarrierDriverTBL!$C:$C,MATCH(Table1[[#This Row],[DriverID]],CarrierDriverTBL!$A:$A,0))</f>
        <v>Albel</v>
      </c>
      <c r="AP318" s="142" t="str">
        <f>INDEX(CarrierDriverTBL!$D:$D,MATCH(Table1[[#This Row],[DriverID]],CarrierDriverTBL!$A:$A,0))</f>
        <v>Chahil</v>
      </c>
      <c r="AQ318" s="142" t="str">
        <f>INDEX(CarrierDriverTBL!$X:$X,MATCH(Table1[[#This Row],[DriverID]],CarrierDriverTBL!$A:$A,0))</f>
        <v>A8390649</v>
      </c>
      <c r="AR318" s="160">
        <f>INDEX(CarrierDriverTBL!$Y:$Y,MATCH(Table1[[#This Row],[DriverID]],CarrierDriverTBL!$A:$A,0))</f>
        <v>42402</v>
      </c>
      <c r="AS318" s="142" t="str">
        <f t="shared" si="122"/>
        <v>EXPIRED</v>
      </c>
      <c r="AT318" s="160">
        <f>INDEX(CarrierDriverTBL!$E:$E,MATCH(Table1[[#This Row],[DriverID]],CarrierDriverTBL!$A:$A,0))</f>
        <v>22314</v>
      </c>
      <c r="AU318" s="163">
        <f ca="1">INDEX(CarrierDriverTBL!$F:$F,MATCH(Table1[[#This Row],[DriverID]],CarrierDriverTBL!$A:$A,0))</f>
        <v>55.512328767123286</v>
      </c>
      <c r="AV318" s="142" t="str">
        <f>INDEX(CarrierDriverTBL!$K:$K,MATCH(Table1[[#This Row],[DriverID]],CarrierDriverTBL!$A:$A,0))</f>
        <v>510-773-9450</v>
      </c>
      <c r="AW318" s="142" t="str">
        <f>INDEX(CarrierDriverTBL!$M:$M,MATCH(Table1[[#This Row],[DriverID]],CarrierDriverTBL!$A:$A,0))</f>
        <v>3124 Cynthia CT</v>
      </c>
      <c r="AX318" s="142" t="str">
        <f>INDEX(CarrierDriverTBL!$N:$N,MATCH(Table1[[#This Row],[DriverID]],CarrierDriverTBL!$A:$A,0))</f>
        <v>Tracy</v>
      </c>
      <c r="AY318" s="142" t="str">
        <f>INDEX(CarrierDriverTBL!$O:$O,MATCH(Table1[[#This Row],[DriverID]],CarrierDriverTBL!$A:$A,0))</f>
        <v>CA</v>
      </c>
      <c r="AZ318" s="142">
        <f>INDEX(CarrierDriverTBL!$P:$P,MATCH(Table1[[#This Row],[DriverID]],CarrierDriverTBL!$A:$A,0))</f>
        <v>95377</v>
      </c>
      <c r="BA318" s="142" t="str">
        <f>INDEX(CarrierDriverTBL!$Q:$Q,MATCH(Table1[[#This Row],[DriverID]],CarrierDriverTBL!$A:$A,0))</f>
        <v>US</v>
      </c>
      <c r="BB318" s="176" t="str">
        <f>INDEX(CarrierDriverTBL!$R:$R,MATCH(Table1[[#This Row],[DriverID]],CarrierDriverTBL!$A:$A,0))</f>
        <v>ubgollc@gmail.com</v>
      </c>
      <c r="BC318" s="160">
        <f>INDEX(CarrierDriverTBL!$AB:$AB,MATCH(Table1[[#This Row],[DriverID]],CarrierDriverTBL!$A:$A,0))</f>
        <v>42167</v>
      </c>
      <c r="BD318" s="142" t="str">
        <f ca="1">INDEX(CarrierDriverTBL!$AD:$AD,MATCH(LoadMaster!$AN:$AN,CarrierDriverTBL!$A:$A,0))</f>
        <v>MISSING</v>
      </c>
      <c r="BE318" s="142">
        <f>INDEX(CarrierDriverTBL!$AE:$AE,MATCH(Table1[DriverID],CarrierDriverTBL!$A:$A,0))</f>
        <v>913971</v>
      </c>
      <c r="BF318" s="142">
        <f>INDEX(CarrierDriverTBL!$AF:$AF,MATCH(Table1[DriverID],CarrierDriverTBL!$A:$A,0))</f>
        <v>2627544</v>
      </c>
      <c r="BG318" s="142">
        <f>INDEX(CarrierDriverTBL!$AG:$AG,MATCH(Table1[DriverID],CarrierDriverTBL!$A:$A,0))</f>
        <v>466133</v>
      </c>
      <c r="BH318" s="142" t="str">
        <f>INDEX(CarrierDriverTBL!$AH:$AH,MATCH(Table1[DriverID],CarrierDriverTBL!$A:$A,0))</f>
        <v>GM Lawrence Ins</v>
      </c>
      <c r="BI318" s="142" t="str">
        <f>INDEX(CarrierDriverTBL!$AI:$AI,MATCH(Table1[DriverID],CarrierDriverTBL!$A:$A,0))</f>
        <v>DSK2842P160210</v>
      </c>
      <c r="BJ318" s="160">
        <f>INDEX(CarrierDriverTBL!$AJ:$AJ,MATCH(Table1[[#This Row],[DriverID]],CarrierDriverTBL!$A:$A,0))</f>
        <v>42778</v>
      </c>
      <c r="BK318" s="10">
        <f t="shared" si="123"/>
        <v>354</v>
      </c>
      <c r="BL318" s="5">
        <v>500</v>
      </c>
      <c r="BM318" s="171">
        <v>160</v>
      </c>
      <c r="BN318" s="133">
        <f t="shared" si="140"/>
        <v>3.125</v>
      </c>
      <c r="BO318" s="134">
        <f>0.93*500</f>
        <v>465</v>
      </c>
      <c r="BP318" s="133">
        <f t="shared" si="141"/>
        <v>2.90625</v>
      </c>
      <c r="BQ318" s="133">
        <v>2.6</v>
      </c>
      <c r="BR318" s="215">
        <f t="shared" si="142"/>
        <v>0.1166666666666667</v>
      </c>
      <c r="BS318" s="133">
        <f t="shared" si="124"/>
        <v>2.7895833333333333</v>
      </c>
      <c r="BT318" s="133">
        <f t="shared" si="125"/>
        <v>18.666666666666671</v>
      </c>
      <c r="BU318" s="10" t="str">
        <f t="shared" si="126"/>
        <v>Cargobarn Inc.</v>
      </c>
      <c r="BV318" s="15"/>
      <c r="BW318" s="4" t="str">
        <f>Table1[[#This Row],[BrokerAddress]]</f>
        <v>2109 W Bullard Ave # 101</v>
      </c>
      <c r="BX318" s="4" t="str">
        <f t="shared" si="127"/>
        <v>Fresno</v>
      </c>
      <c r="BY318" s="4" t="str">
        <f t="shared" si="128"/>
        <v>Ca</v>
      </c>
      <c r="BZ318" s="4">
        <f t="shared" si="129"/>
        <v>93711</v>
      </c>
      <c r="CA318" s="10" t="str">
        <f t="shared" si="130"/>
        <v>US</v>
      </c>
      <c r="CB318" s="15" t="s">
        <v>131</v>
      </c>
      <c r="CC318" s="62"/>
      <c r="CD318" s="15" t="s">
        <v>132</v>
      </c>
      <c r="CE318" s="64">
        <v>0</v>
      </c>
      <c r="CF318" s="4">
        <v>0</v>
      </c>
      <c r="CG318" s="132">
        <f t="shared" si="131"/>
        <v>0</v>
      </c>
      <c r="CH318" s="4" t="s">
        <v>132</v>
      </c>
      <c r="CI318" s="5">
        <v>0</v>
      </c>
      <c r="CJ318" s="4">
        <v>0</v>
      </c>
      <c r="CK318" s="132">
        <f t="shared" si="132"/>
        <v>0</v>
      </c>
      <c r="CL318" s="4" t="s">
        <v>132</v>
      </c>
      <c r="CM318" s="5">
        <v>0</v>
      </c>
      <c r="CN318" s="4">
        <v>0</v>
      </c>
      <c r="CO318" s="132">
        <f t="shared" si="133"/>
        <v>0</v>
      </c>
      <c r="CP318" s="4" t="s">
        <v>132</v>
      </c>
      <c r="CQ318" s="5">
        <v>0</v>
      </c>
      <c r="CR318" s="4">
        <v>0</v>
      </c>
      <c r="CS318" s="132">
        <f t="shared" si="134"/>
        <v>0</v>
      </c>
      <c r="CT318" s="132">
        <f t="shared" si="135"/>
        <v>0</v>
      </c>
      <c r="CU318" s="168">
        <f t="shared" si="136"/>
        <v>500</v>
      </c>
      <c r="CV318" s="177">
        <f t="shared" si="143"/>
        <v>0</v>
      </c>
      <c r="CW318" s="82">
        <f t="shared" si="120"/>
        <v>465</v>
      </c>
      <c r="CX318" s="79">
        <f>IF(ISBLANK(E318),"AddQuickPay",IF(E318=2,CU318*0.98,IF(E318=2.4,CU318*0.976,IF(E318=3,CU318*0.97,IF(E318=5,CU318*0.95,IF(E318=1.5,CU318*0.985,IF(E318=2.5,CU318*0.975,IF(E318=1.3,CU318*0.987,IF(E318=1,CU318*0.99,IF(E318=4,CU318*0.96,CU318*1))))))))))-Table1[[#This Row],[ComCheck+QuickPayFee]]</f>
        <v>485</v>
      </c>
      <c r="CY318" s="5">
        <f t="shared" si="137"/>
        <v>35</v>
      </c>
      <c r="CZ318" s="5">
        <f t="shared" si="138"/>
        <v>15</v>
      </c>
      <c r="DA318" s="258">
        <f>Table1[[#This Row],[OriginalDispatch]]-Table1[[#This Row],[QuickPayCharge]]</f>
        <v>20</v>
      </c>
      <c r="DB318" s="5">
        <v>0</v>
      </c>
      <c r="DC318" s="5" t="s">
        <v>133</v>
      </c>
      <c r="DD318" s="172">
        <f t="shared" si="139"/>
        <v>42426</v>
      </c>
      <c r="DE318" s="171">
        <f>MONTH(Table1[[#This Row],[Weekending]])</f>
        <v>2</v>
      </c>
      <c r="DF318" s="171">
        <f>YEAR(Table1[[#This Row],[Weekending]])</f>
        <v>2016</v>
      </c>
      <c r="DG318" s="4"/>
    </row>
    <row r="319" spans="1:111">
      <c r="A319" s="416" t="str">
        <f t="shared" si="121"/>
        <v>58-8wn49</v>
      </c>
      <c r="B319" s="104">
        <v>42424</v>
      </c>
      <c r="C319" s="414">
        <v>2395558</v>
      </c>
      <c r="D319" s="416" t="s">
        <v>1638</v>
      </c>
      <c r="E319" s="15">
        <v>2</v>
      </c>
      <c r="F319" s="144" t="str">
        <f>INDEX(BrokerTBL!$B:$B,MATCH(D319,BrokerTBL!$A:$A,0))</f>
        <v>4040 Embassy Parkway Suite 370</v>
      </c>
      <c r="G319" s="15" t="str">
        <f>INDEX(BrokerTBL!$C:$C,MATCH(D319,BrokerTBL!$A:$A,0))</f>
        <v>Akron</v>
      </c>
      <c r="H319" s="4" t="str">
        <f>INDEX(BrokerTBL!$D:$D,MATCH(D319,BrokerTBL!$A:$A,0))</f>
        <v>Ohio</v>
      </c>
      <c r="I319" s="4" t="str">
        <f>INDEX(BrokerTBL!$E:$E,MATCH(D319,BrokerTBL!$A:$A,0))</f>
        <v>US</v>
      </c>
      <c r="J319" s="4">
        <f>INDEX(BrokerTBL!$F:$F,MATCH(D319,BrokerTBL!$A:$A,0))</f>
        <v>44333</v>
      </c>
      <c r="K319" s="416" t="s">
        <v>1639</v>
      </c>
      <c r="L319" s="81" t="s">
        <v>2268</v>
      </c>
      <c r="M319" s="104">
        <v>42424</v>
      </c>
      <c r="N319" s="162" t="s">
        <v>123</v>
      </c>
      <c r="O319" s="15" t="s">
        <v>2242</v>
      </c>
      <c r="P319" s="416" t="s">
        <v>2243</v>
      </c>
      <c r="Q319" s="416" t="s">
        <v>2233</v>
      </c>
      <c r="R319" s="416">
        <v>89706</v>
      </c>
      <c r="S319" s="416" t="s">
        <v>2207</v>
      </c>
      <c r="T319" s="416" t="s">
        <v>1643</v>
      </c>
      <c r="U319" s="416" t="s">
        <v>120</v>
      </c>
      <c r="V319" s="416">
        <v>53</v>
      </c>
      <c r="W319" s="416" t="s">
        <v>1644</v>
      </c>
      <c r="X319" s="225">
        <v>44000</v>
      </c>
      <c r="Y319" s="15" t="s">
        <v>123</v>
      </c>
      <c r="Z319" s="416" t="s">
        <v>123</v>
      </c>
      <c r="AA319" s="416" t="s">
        <v>123</v>
      </c>
      <c r="AB319" s="416" t="s">
        <v>123</v>
      </c>
      <c r="AC319" s="416" t="s">
        <v>2245</v>
      </c>
      <c r="AD319" s="81" t="s">
        <v>1205</v>
      </c>
      <c r="AE319" s="104">
        <v>42425</v>
      </c>
      <c r="AF319" s="416" t="s">
        <v>123</v>
      </c>
      <c r="AG319" s="416" t="s">
        <v>2246</v>
      </c>
      <c r="AH319" s="416" t="s">
        <v>2247</v>
      </c>
      <c r="AI319" s="416" t="s">
        <v>2206</v>
      </c>
      <c r="AJ319" s="416">
        <v>93235</v>
      </c>
      <c r="AK319" s="416" t="s">
        <v>2207</v>
      </c>
      <c r="AL319" s="416" t="s">
        <v>2169</v>
      </c>
      <c r="AM319" s="142" t="str">
        <f>INDEX(CarrierDriverTBL!$B:$B,MATCH(Table1[[#This Row],[DriverID]],CarrierDriverTBL!$A:$A,0))</f>
        <v>UBTrucking</v>
      </c>
      <c r="AN319" s="10" t="s">
        <v>192</v>
      </c>
      <c r="AO319" s="10" t="str">
        <f>INDEX(CarrierDriverTBL!$C:$C,MATCH(Table1[[#This Row],[DriverID]],CarrierDriverTBL!$A:$A,0))</f>
        <v>Albel</v>
      </c>
      <c r="AP319" s="142" t="str">
        <f>INDEX(CarrierDriverTBL!$D:$D,MATCH(Table1[[#This Row],[DriverID]],CarrierDriverTBL!$A:$A,0))</f>
        <v>Chahil</v>
      </c>
      <c r="AQ319" s="142" t="str">
        <f>INDEX(CarrierDriverTBL!$X:$X,MATCH(Table1[[#This Row],[DriverID]],CarrierDriverTBL!$A:$A,0))</f>
        <v>A8390649</v>
      </c>
      <c r="AR319" s="160">
        <f>INDEX(CarrierDriverTBL!$Y:$Y,MATCH(Table1[[#This Row],[DriverID]],CarrierDriverTBL!$A:$A,0))</f>
        <v>42402</v>
      </c>
      <c r="AS319" s="142" t="str">
        <f t="shared" si="122"/>
        <v>EXPIRED</v>
      </c>
      <c r="AT319" s="160">
        <f>INDEX(CarrierDriverTBL!$E:$E,MATCH(Table1[[#This Row],[DriverID]],CarrierDriverTBL!$A:$A,0))</f>
        <v>22314</v>
      </c>
      <c r="AU319" s="163">
        <f ca="1">INDEX(CarrierDriverTBL!$F:$F,MATCH(Table1[[#This Row],[DriverID]],CarrierDriverTBL!$A:$A,0))</f>
        <v>55.512328767123286</v>
      </c>
      <c r="AV319" s="142" t="str">
        <f>INDEX(CarrierDriverTBL!$K:$K,MATCH(Table1[[#This Row],[DriverID]],CarrierDriverTBL!$A:$A,0))</f>
        <v>510-773-9450</v>
      </c>
      <c r="AW319" s="142" t="str">
        <f>INDEX(CarrierDriverTBL!$M:$M,MATCH(Table1[[#This Row],[DriverID]],CarrierDriverTBL!$A:$A,0))</f>
        <v>3124 Cynthia CT</v>
      </c>
      <c r="AX319" s="142" t="str">
        <f>INDEX(CarrierDriverTBL!$N:$N,MATCH(Table1[[#This Row],[DriverID]],CarrierDriverTBL!$A:$A,0))</f>
        <v>Tracy</v>
      </c>
      <c r="AY319" s="142" t="str">
        <f>INDEX(CarrierDriverTBL!$O:$O,MATCH(Table1[[#This Row],[DriverID]],CarrierDriverTBL!$A:$A,0))</f>
        <v>CA</v>
      </c>
      <c r="AZ319" s="142">
        <f>INDEX(CarrierDriverTBL!$P:$P,MATCH(Table1[[#This Row],[DriverID]],CarrierDriverTBL!$A:$A,0))</f>
        <v>95377</v>
      </c>
      <c r="BA319" s="142" t="str">
        <f>INDEX(CarrierDriverTBL!$Q:$Q,MATCH(Table1[[#This Row],[DriverID]],CarrierDriverTBL!$A:$A,0))</f>
        <v>US</v>
      </c>
      <c r="BB319" s="176" t="str">
        <f>INDEX(CarrierDriverTBL!$R:$R,MATCH(Table1[[#This Row],[DriverID]],CarrierDriverTBL!$A:$A,0))</f>
        <v>ubgollc@gmail.com</v>
      </c>
      <c r="BC319" s="160">
        <f>INDEX(CarrierDriverTBL!$AB:$AB,MATCH(Table1[[#This Row],[DriverID]],CarrierDriverTBL!$A:$A,0))</f>
        <v>42167</v>
      </c>
      <c r="BD319" s="142" t="str">
        <f ca="1">INDEX(CarrierDriverTBL!$AD:$AD,MATCH(LoadMaster!$AN:$AN,CarrierDriverTBL!$A:$A,0))</f>
        <v>MISSING</v>
      </c>
      <c r="BE319" s="142">
        <f>INDEX(CarrierDriverTBL!$AE:$AE,MATCH(Table1[DriverID],CarrierDriverTBL!$A:$A,0))</f>
        <v>913971</v>
      </c>
      <c r="BF319" s="142">
        <f>INDEX(CarrierDriverTBL!$AF:$AF,MATCH(Table1[DriverID],CarrierDriverTBL!$A:$A,0))</f>
        <v>2627544</v>
      </c>
      <c r="BG319" s="142">
        <f>INDEX(CarrierDriverTBL!$AG:$AG,MATCH(Table1[DriverID],CarrierDriverTBL!$A:$A,0))</f>
        <v>466133</v>
      </c>
      <c r="BH319" s="142" t="str">
        <f>INDEX(CarrierDriverTBL!$AH:$AH,MATCH(Table1[DriverID],CarrierDriverTBL!$A:$A,0))</f>
        <v>GM Lawrence Ins</v>
      </c>
      <c r="BI319" s="142" t="str">
        <f>INDEX(CarrierDriverTBL!$AI:$AI,MATCH(Table1[DriverID],CarrierDriverTBL!$A:$A,0))</f>
        <v>DSK2842P160210</v>
      </c>
      <c r="BJ319" s="160">
        <f>INDEX(CarrierDriverTBL!$AJ:$AJ,MATCH(Table1[[#This Row],[DriverID]],CarrierDriverTBL!$A:$A,0))</f>
        <v>42778</v>
      </c>
      <c r="BK319" s="10">
        <f t="shared" si="123"/>
        <v>354</v>
      </c>
      <c r="BL319" s="5">
        <v>600</v>
      </c>
      <c r="BM319" s="171">
        <v>318</v>
      </c>
      <c r="BN319" s="133">
        <f t="shared" si="140"/>
        <v>1.8867924528301887</v>
      </c>
      <c r="BO319" s="134">
        <f>0.93*Table1[[#This Row],[ChargeBroker]]</f>
        <v>558</v>
      </c>
      <c r="BP319" s="133">
        <f t="shared" si="141"/>
        <v>1.7547169811320755</v>
      </c>
      <c r="BQ319" s="133">
        <v>2.6</v>
      </c>
      <c r="BR319" s="215">
        <f t="shared" si="142"/>
        <v>0.1166666666666667</v>
      </c>
      <c r="BS319" s="133">
        <f t="shared" si="124"/>
        <v>1.6380503144654088</v>
      </c>
      <c r="BT319" s="133">
        <f t="shared" si="125"/>
        <v>37.100000000000009</v>
      </c>
      <c r="BU319" s="10" t="str">
        <f t="shared" si="126"/>
        <v>Matson Logistics</v>
      </c>
      <c r="BV319" s="15"/>
      <c r="BW319" s="4" t="str">
        <f>Table1[[#This Row],[BrokerAddress]]</f>
        <v>4040 Embassy Parkway Suite 370</v>
      </c>
      <c r="BX319" s="4" t="str">
        <f t="shared" si="127"/>
        <v>Akron</v>
      </c>
      <c r="BY319" s="4" t="str">
        <f t="shared" si="128"/>
        <v>Ohio</v>
      </c>
      <c r="BZ319" s="4">
        <f t="shared" si="129"/>
        <v>44333</v>
      </c>
      <c r="CA319" s="10" t="str">
        <f t="shared" si="130"/>
        <v>US</v>
      </c>
      <c r="CB319" s="15" t="s">
        <v>131</v>
      </c>
      <c r="CC319" s="62"/>
      <c r="CD319" s="15" t="s">
        <v>132</v>
      </c>
      <c r="CE319" s="64">
        <v>0</v>
      </c>
      <c r="CF319" s="4">
        <v>0</v>
      </c>
      <c r="CG319" s="132">
        <f t="shared" si="131"/>
        <v>0</v>
      </c>
      <c r="CH319" s="4" t="s">
        <v>132</v>
      </c>
      <c r="CI319" s="5">
        <v>0</v>
      </c>
      <c r="CJ319" s="4">
        <v>0</v>
      </c>
      <c r="CK319" s="132">
        <f t="shared" si="132"/>
        <v>0</v>
      </c>
      <c r="CL319" s="4" t="s">
        <v>132</v>
      </c>
      <c r="CM319" s="5">
        <v>0</v>
      </c>
      <c r="CN319" s="4">
        <v>0</v>
      </c>
      <c r="CO319" s="132">
        <f t="shared" si="133"/>
        <v>0</v>
      </c>
      <c r="CP319" s="4" t="s">
        <v>132</v>
      </c>
      <c r="CQ319" s="5">
        <v>0</v>
      </c>
      <c r="CR319" s="4">
        <v>0</v>
      </c>
      <c r="CS319" s="132">
        <f t="shared" si="134"/>
        <v>0</v>
      </c>
      <c r="CT319" s="132">
        <f t="shared" si="135"/>
        <v>0</v>
      </c>
      <c r="CU319" s="168">
        <f t="shared" si="136"/>
        <v>600</v>
      </c>
      <c r="CV319" s="177">
        <f t="shared" si="143"/>
        <v>0</v>
      </c>
      <c r="CW319" s="82">
        <f t="shared" si="120"/>
        <v>558</v>
      </c>
      <c r="CX319" s="79">
        <f>IF(ISBLANK(E319),"AddQuickPay",IF(E319=2,CU319*0.98,IF(E319=2.4,CU319*0.976,IF(E319=3,CU319*0.97,IF(E319=5,CU319*0.95,IF(E319=1.5,CU319*0.985,IF(E319=2.5,CU319*0.975,IF(E319=1.3,CU319*0.987,IF(E319=1,CU319*0.99,IF(E319=4,CU319*0.96,CU319*1))))))))))-Table1[[#This Row],[ComCheck+QuickPayFee]]</f>
        <v>588</v>
      </c>
      <c r="CY319" s="5">
        <f t="shared" si="137"/>
        <v>42</v>
      </c>
      <c r="CZ319" s="5">
        <f t="shared" si="138"/>
        <v>12</v>
      </c>
      <c r="DA319" s="258">
        <f>Table1[[#This Row],[OriginalDispatch]]-Table1[[#This Row],[QuickPayCharge]]</f>
        <v>30</v>
      </c>
      <c r="DB319" s="5">
        <v>0</v>
      </c>
      <c r="DC319" s="5" t="s">
        <v>133</v>
      </c>
      <c r="DD319" s="172">
        <f t="shared" si="139"/>
        <v>42426</v>
      </c>
      <c r="DE319" s="171">
        <f>MONTH(Table1[[#This Row],[Weekending]])</f>
        <v>2</v>
      </c>
      <c r="DF319" s="171">
        <f>YEAR(Table1[[#This Row],[Weekending]])</f>
        <v>2016</v>
      </c>
      <c r="DG319" s="4"/>
    </row>
    <row r="320" spans="1:111">
      <c r="A320" s="416" t="str">
        <f t="shared" si="121"/>
        <v>82259930</v>
      </c>
      <c r="B320" s="104">
        <v>42423</v>
      </c>
      <c r="C320" s="414">
        <v>510282</v>
      </c>
      <c r="D320" s="416" t="s">
        <v>1997</v>
      </c>
      <c r="E320" s="15">
        <v>2</v>
      </c>
      <c r="F320" s="144" t="str">
        <f>INDEX(BrokerTBL!$B:$B,MATCH(D320,BrokerTBL!$A:$A,0))</f>
        <v>12755 East Nine Mile Road</v>
      </c>
      <c r="G320" s="15" t="str">
        <f>INDEX(BrokerTBL!$C:$C,MATCH(D320,BrokerTBL!$A:$A,0))</f>
        <v>Warren</v>
      </c>
      <c r="H320" s="4" t="str">
        <f>INDEX(BrokerTBL!$D:$D,MATCH(D320,BrokerTBL!$A:$A,0))</f>
        <v>Mi</v>
      </c>
      <c r="I320" s="4" t="str">
        <f>INDEX(BrokerTBL!$E:$E,MATCH(D320,BrokerTBL!$A:$A,0))</f>
        <v>US</v>
      </c>
      <c r="J320" s="4">
        <f>INDEX(BrokerTBL!$F:$F,MATCH(D320,BrokerTBL!$A:$A,0))</f>
        <v>48089</v>
      </c>
      <c r="K320" s="416" t="s">
        <v>2269</v>
      </c>
      <c r="L320" s="81" t="s">
        <v>2270</v>
      </c>
      <c r="M320" s="104">
        <v>42424</v>
      </c>
      <c r="N320" s="226">
        <v>0.375</v>
      </c>
      <c r="O320" s="15" t="s">
        <v>2271</v>
      </c>
      <c r="P320" s="416" t="s">
        <v>605</v>
      </c>
      <c r="Q320" s="416" t="s">
        <v>2206</v>
      </c>
      <c r="R320" s="416">
        <v>95330</v>
      </c>
      <c r="S320" s="416" t="s">
        <v>2207</v>
      </c>
      <c r="T320" s="298" t="s">
        <v>123</v>
      </c>
      <c r="U320" s="416" t="s">
        <v>120</v>
      </c>
      <c r="V320" s="416">
        <v>53</v>
      </c>
      <c r="W320" s="416" t="s">
        <v>1205</v>
      </c>
      <c r="X320" s="225">
        <v>42327</v>
      </c>
      <c r="Y320" s="15" t="s">
        <v>123</v>
      </c>
      <c r="Z320" s="416" t="s">
        <v>123</v>
      </c>
      <c r="AA320" s="416" t="s">
        <v>123</v>
      </c>
      <c r="AB320" s="416" t="s">
        <v>123</v>
      </c>
      <c r="AC320" s="416" t="s">
        <v>2272</v>
      </c>
      <c r="AD320" s="81" t="s">
        <v>2273</v>
      </c>
      <c r="AE320" s="104">
        <v>42425</v>
      </c>
      <c r="AF320" s="226">
        <v>0.45833333333333331</v>
      </c>
      <c r="AG320" s="416" t="s">
        <v>2274</v>
      </c>
      <c r="AH320" s="416" t="s">
        <v>380</v>
      </c>
      <c r="AI320" s="416" t="s">
        <v>2206</v>
      </c>
      <c r="AJ320" s="416">
        <v>95377</v>
      </c>
      <c r="AK320" s="416" t="s">
        <v>2207</v>
      </c>
      <c r="AL320" s="416" t="s">
        <v>123</v>
      </c>
      <c r="AM320" s="171" t="str">
        <f>INDEX(CarrierDriverTBL!$B:$B,MATCH(Table1[[#This Row],[DriverID]],CarrierDriverTBL!$A:$A,0))</f>
        <v>UBTrucking</v>
      </c>
      <c r="AN320" s="10" t="s">
        <v>2149</v>
      </c>
      <c r="AO320" s="171" t="str">
        <f>INDEX(CarrierDriverTBL!$C:$C,MATCH(Table1[[#This Row],[DriverID]],CarrierDriverTBL!$A:$A,0))</f>
        <v>Sukhpal</v>
      </c>
      <c r="AP320" s="171" t="str">
        <f>INDEX(CarrierDriverTBL!$D:$D,MATCH(Table1[[#This Row],[DriverID]],CarrierDriverTBL!$A:$A,0))</f>
        <v>Singh</v>
      </c>
      <c r="AQ320" s="171" t="str">
        <f>INDEX(CarrierDriverTBL!$X:$X,MATCH(Table1[[#This Row],[DriverID]],CarrierDriverTBL!$A:$A,0))</f>
        <v>B4532630</v>
      </c>
      <c r="AR320" s="172">
        <f>INDEX(CarrierDriverTBL!$Y:$Y,MATCH(Table1[[#This Row],[DriverID]],CarrierDriverTBL!$A:$A,0))</f>
        <v>42629</v>
      </c>
      <c r="AS320" s="142" t="str">
        <f t="shared" si="122"/>
        <v>GOOD</v>
      </c>
      <c r="AT320" s="172">
        <f>INDEX(CarrierDriverTBL!$E:$E,MATCH(Table1[[#This Row],[DriverID]],CarrierDriverTBL!$A:$A,0))</f>
        <v>29114</v>
      </c>
      <c r="AU320" s="163">
        <f ca="1">INDEX(CarrierDriverTBL!$F:$F,MATCH(Table1[[#This Row],[DriverID]],CarrierDriverTBL!$A:$A,0))</f>
        <v>36.88219178082192</v>
      </c>
      <c r="AV320" s="171" t="str">
        <f>INDEX(CarrierDriverTBL!$K:$K,MATCH(Table1[[#This Row],[DriverID]],CarrierDriverTBL!$A:$A,0))</f>
        <v>916-833-9981</v>
      </c>
      <c r="AW320" s="171" t="str">
        <f>INDEX(CarrierDriverTBL!$M:$M,MATCH(Table1[[#This Row],[DriverID]],CarrierDriverTBL!$A:$A,0))</f>
        <v>Missing</v>
      </c>
      <c r="AX320" s="171" t="str">
        <f>INDEX(CarrierDriverTBL!$N:$N,MATCH(Table1[[#This Row],[DriverID]],CarrierDriverTBL!$A:$A,0))</f>
        <v>Manteca</v>
      </c>
      <c r="AY320" s="171" t="str">
        <f>INDEX(CarrierDriverTBL!$O:$O,MATCH(Table1[[#This Row],[DriverID]],CarrierDriverTBL!$A:$A,0))</f>
        <v>CA</v>
      </c>
      <c r="AZ320" s="171">
        <f>INDEX(CarrierDriverTBL!$P:$P,MATCH(Table1[[#This Row],[DriverID]],CarrierDriverTBL!$A:$A,0))</f>
        <v>95337</v>
      </c>
      <c r="BA320" s="171" t="str">
        <f>INDEX(CarrierDriverTBL!$Q:$Q,MATCH(Table1[[#This Row],[DriverID]],CarrierDriverTBL!$A:$A,0))</f>
        <v>US</v>
      </c>
      <c r="BB320" s="224" t="str">
        <f>INDEX(CarrierDriverTBL!$R:$R,MATCH(Table1[[#This Row],[DriverID]],CarrierDriverTBL!$A:$A,0))</f>
        <v>htl0916@gmail.com</v>
      </c>
      <c r="BC320" s="160">
        <f>INDEX(CarrierDriverTBL!$AB:$AB,MATCH(Table1[[#This Row],[DriverID]],CarrierDriverTBL!$A:$A,0))</f>
        <v>42413</v>
      </c>
      <c r="BD320" s="142" t="str">
        <f ca="1">INDEX(CarrierDriverTBL!$AD:$AD,MATCH(LoadMaster!$AN:$AN,CarrierDriverTBL!$A:$A,0))</f>
        <v>MISSING</v>
      </c>
      <c r="BE320" s="142">
        <f>INDEX(CarrierDriverTBL!$AE:$AE,MATCH(Table1[DriverID],CarrierDriverTBL!$A:$A,0))</f>
        <v>913971</v>
      </c>
      <c r="BF320" s="142">
        <f>INDEX(CarrierDriverTBL!$AF:$AF,MATCH(Table1[DriverID],CarrierDriverTBL!$A:$A,0))</f>
        <v>2627544</v>
      </c>
      <c r="BG320" s="142">
        <f>INDEX(CarrierDriverTBL!$AG:$AG,MATCH(Table1[DriverID],CarrierDriverTBL!$A:$A,0))</f>
        <v>466133</v>
      </c>
      <c r="BH320" s="142" t="str">
        <f>INDEX(CarrierDriverTBL!$AH:$AH,MATCH(Table1[DriverID],CarrierDriverTBL!$A:$A,0))</f>
        <v>GM Lawrence Ins</v>
      </c>
      <c r="BI320" s="142" t="str">
        <f>INDEX(CarrierDriverTBL!$AI:$AI,MATCH(Table1[DriverID],CarrierDriverTBL!$A:$A,0))</f>
        <v>DSK2842P160210</v>
      </c>
      <c r="BJ320" s="160">
        <f>INDEX(CarrierDriverTBL!$AJ:$AJ,MATCH(Table1[[#This Row],[DriverID]],CarrierDriverTBL!$A:$A,0))</f>
        <v>42778</v>
      </c>
      <c r="BK320" s="10">
        <f t="shared" si="123"/>
        <v>354</v>
      </c>
      <c r="BL320" s="5">
        <v>200</v>
      </c>
      <c r="BM320" s="171">
        <v>11.9</v>
      </c>
      <c r="BN320" s="133">
        <f t="shared" si="140"/>
        <v>16.806722689075631</v>
      </c>
      <c r="BO320" s="134">
        <f>0.93*200</f>
        <v>186</v>
      </c>
      <c r="BP320" s="133">
        <f t="shared" si="141"/>
        <v>15.630252100840336</v>
      </c>
      <c r="BQ320" s="133">
        <v>2.6</v>
      </c>
      <c r="BR320" s="215">
        <f t="shared" si="142"/>
        <v>0.1166666666666667</v>
      </c>
      <c r="BS320" s="133">
        <f t="shared" si="124"/>
        <v>15.513585434173669</v>
      </c>
      <c r="BT320" s="133">
        <f t="shared" si="125"/>
        <v>1.3883333333333336</v>
      </c>
      <c r="BU320" s="10" t="str">
        <f t="shared" si="126"/>
        <v>Cavalry Logistics</v>
      </c>
      <c r="BV320" s="15"/>
      <c r="BW320" s="4" t="str">
        <f>Table1[[#This Row],[BrokerAddress]]</f>
        <v>12755 East Nine Mile Road</v>
      </c>
      <c r="BX320" s="4" t="str">
        <f t="shared" si="127"/>
        <v>Warren</v>
      </c>
      <c r="BY320" s="4" t="str">
        <f t="shared" si="128"/>
        <v>Mi</v>
      </c>
      <c r="BZ320" s="4">
        <f t="shared" si="129"/>
        <v>48089</v>
      </c>
      <c r="CA320" s="10" t="str">
        <f t="shared" si="130"/>
        <v>US</v>
      </c>
      <c r="CB320" s="15" t="s">
        <v>131</v>
      </c>
      <c r="CC320" s="62"/>
      <c r="CD320" s="15" t="s">
        <v>132</v>
      </c>
      <c r="CE320" s="64">
        <v>0</v>
      </c>
      <c r="CF320" s="4">
        <v>0</v>
      </c>
      <c r="CG320" s="132">
        <f t="shared" si="131"/>
        <v>0</v>
      </c>
      <c r="CH320" s="4" t="s">
        <v>132</v>
      </c>
      <c r="CI320" s="5">
        <v>0</v>
      </c>
      <c r="CJ320" s="4">
        <v>0</v>
      </c>
      <c r="CK320" s="132">
        <f t="shared" si="132"/>
        <v>0</v>
      </c>
      <c r="CL320" s="4" t="s">
        <v>132</v>
      </c>
      <c r="CM320" s="5">
        <v>0</v>
      </c>
      <c r="CN320" s="4">
        <v>0</v>
      </c>
      <c r="CO320" s="132">
        <f t="shared" si="133"/>
        <v>0</v>
      </c>
      <c r="CP320" s="4" t="s">
        <v>132</v>
      </c>
      <c r="CQ320" s="5">
        <v>0</v>
      </c>
      <c r="CR320" s="4">
        <v>0</v>
      </c>
      <c r="CS320" s="132">
        <f t="shared" si="134"/>
        <v>0</v>
      </c>
      <c r="CT320" s="132">
        <f t="shared" si="135"/>
        <v>0</v>
      </c>
      <c r="CU320" s="168">
        <f t="shared" si="136"/>
        <v>200</v>
      </c>
      <c r="CV320" s="177">
        <f t="shared" si="143"/>
        <v>0</v>
      </c>
      <c r="CW320" s="82">
        <f t="shared" ref="CW320:CW383" si="144">BO320+CV320</f>
        <v>186</v>
      </c>
      <c r="CX320" s="79">
        <f>IF(ISBLANK(E320),"AddQuickPay",IF(E320=2,CU320*0.98,IF(E320=2.4,CU320*0.976,IF(E320=3,CU320*0.97,IF(E320=5,CU320*0.95,IF(E320=1.5,CU320*0.985,IF(E320=2.5,CU320*0.975,IF(E320=1.3,CU320*0.987,IF(E320=1,CU320*0.99,IF(E320=4,CU320*0.96,CU320*1))))))))))-Table1[[#This Row],[ComCheck+QuickPayFee]]</f>
        <v>196</v>
      </c>
      <c r="CY320" s="5">
        <f t="shared" si="137"/>
        <v>14</v>
      </c>
      <c r="CZ320" s="5">
        <f t="shared" si="138"/>
        <v>4</v>
      </c>
      <c r="DA320" s="258">
        <f>Table1[[#This Row],[OriginalDispatch]]-Table1[[#This Row],[QuickPayCharge]]</f>
        <v>10</v>
      </c>
      <c r="DB320" s="5">
        <v>0</v>
      </c>
      <c r="DC320" s="5" t="s">
        <v>133</v>
      </c>
      <c r="DD320" s="172">
        <f t="shared" si="139"/>
        <v>42426</v>
      </c>
      <c r="DE320" s="171">
        <f>MONTH(Table1[[#This Row],[Weekending]])</f>
        <v>2</v>
      </c>
      <c r="DF320" s="171">
        <f>YEAR(Table1[[#This Row],[Weekending]])</f>
        <v>2016</v>
      </c>
      <c r="DG320" s="4"/>
    </row>
    <row r="321" spans="1:111">
      <c r="A321" s="416" t="str">
        <f t="shared" si="121"/>
        <v>55421093</v>
      </c>
      <c r="B321" s="104">
        <v>42423</v>
      </c>
      <c r="C321" s="15">
        <v>1681455</v>
      </c>
      <c r="D321" s="416" t="s">
        <v>384</v>
      </c>
      <c r="E321" s="15">
        <v>1.5</v>
      </c>
      <c r="F321" s="144" t="str">
        <f>INDEX(BrokerTBL!$B:$B,MATCH(D321,BrokerTBL!$A:$A,0))</f>
        <v>11707 21St Ave Ct So</v>
      </c>
      <c r="G321" s="15" t="str">
        <f>INDEX(BrokerTBL!$C:$C,MATCH(D321,BrokerTBL!$A:$A,0))</f>
        <v>Tacoma</v>
      </c>
      <c r="H321" s="4" t="str">
        <f>INDEX(BrokerTBL!$D:$D,MATCH(D321,BrokerTBL!$A:$A,0))</f>
        <v>Wa</v>
      </c>
      <c r="I321" s="4" t="str">
        <f>INDEX(BrokerTBL!$E:$E,MATCH(D321,BrokerTBL!$A:$A,0))</f>
        <v>US</v>
      </c>
      <c r="J321" s="4">
        <f>INDEX(BrokerTBL!$F:$F,MATCH(D321,BrokerTBL!$A:$A,0))</f>
        <v>98444</v>
      </c>
      <c r="K321" s="416" t="s">
        <v>2275</v>
      </c>
      <c r="L321" s="81">
        <v>192750642</v>
      </c>
      <c r="M321" s="104">
        <v>42424</v>
      </c>
      <c r="N321" s="226">
        <v>0.375</v>
      </c>
      <c r="O321" s="15" t="s">
        <v>2276</v>
      </c>
      <c r="P321" s="416" t="s">
        <v>2277</v>
      </c>
      <c r="Q321" s="416" t="s">
        <v>2206</v>
      </c>
      <c r="R321" s="416">
        <v>93702</v>
      </c>
      <c r="S321" s="416" t="s">
        <v>2207</v>
      </c>
      <c r="T321" s="298" t="s">
        <v>123</v>
      </c>
      <c r="U321" s="416" t="s">
        <v>120</v>
      </c>
      <c r="V321" s="416">
        <v>53</v>
      </c>
      <c r="W321" s="416" t="s">
        <v>2278</v>
      </c>
      <c r="X321" s="225">
        <v>40819</v>
      </c>
      <c r="Y321" s="15" t="s">
        <v>2220</v>
      </c>
      <c r="Z321" s="416">
        <v>18</v>
      </c>
      <c r="AA321" s="416" t="s">
        <v>123</v>
      </c>
      <c r="AB321" s="416" t="s">
        <v>123</v>
      </c>
      <c r="AC321" s="416" t="s">
        <v>2279</v>
      </c>
      <c r="AD321" s="81">
        <v>163135310</v>
      </c>
      <c r="AE321" s="104">
        <v>42425</v>
      </c>
      <c r="AF321" s="226">
        <v>0.29166666666666669</v>
      </c>
      <c r="AG321" s="416" t="s">
        <v>2280</v>
      </c>
      <c r="AH321" s="416" t="s">
        <v>2281</v>
      </c>
      <c r="AI321" s="416" t="s">
        <v>2233</v>
      </c>
      <c r="AJ321" s="416">
        <v>89423</v>
      </c>
      <c r="AK321" s="416" t="s">
        <v>2207</v>
      </c>
      <c r="AL321" s="416" t="s">
        <v>123</v>
      </c>
      <c r="AM321" s="142" t="str">
        <f>INDEX(CarrierDriverTBL!$B:$B,MATCH(Table1[[#This Row],[DriverID]],CarrierDriverTBL!$A:$A,0))</f>
        <v>UBTrucking</v>
      </c>
      <c r="AN321" s="10" t="s">
        <v>2234</v>
      </c>
      <c r="AO321" s="142" t="str">
        <f>INDEX(CarrierDriverTBL!$C:$C,MATCH(Table1[[#This Row],[DriverID]],CarrierDriverTBL!$A:$A,0))</f>
        <v>Arturo</v>
      </c>
      <c r="AP321" s="216" t="str">
        <f>INDEX(CarrierDriverTBL!$D:$D,MATCH(Table1[[#This Row],[DriverID]],CarrierDriverTBL!$A:$A,0))</f>
        <v>Carrillo</v>
      </c>
      <c r="AQ321" s="10" t="str">
        <f>INDEX(CarrierDriverTBL!$X:$X,MATCH(Table1[[#This Row],[DriverID]],CarrierDriverTBL!$A:$A,0))</f>
        <v>C7056793</v>
      </c>
      <c r="AR321" s="160">
        <f>INDEX(CarrierDriverTBL!$Y:$Y,MATCH(Table1[[#This Row],[DriverID]],CarrierDriverTBL!$A:$A,0))</f>
        <v>43410</v>
      </c>
      <c r="AS321" s="142" t="str">
        <f t="shared" si="122"/>
        <v>GOOD</v>
      </c>
      <c r="AT321" s="160">
        <f>INDEX(CarrierDriverTBL!$E:$E,MATCH(Table1[[#This Row],[DriverID]],CarrierDriverTBL!$A:$A,0))</f>
        <v>24782</v>
      </c>
      <c r="AU321" s="163">
        <f ca="1">INDEX(CarrierDriverTBL!$F:$F,MATCH(Table1[[#This Row],[DriverID]],CarrierDriverTBL!$A:$A,0))</f>
        <v>48.750684931506846</v>
      </c>
      <c r="AV321" s="171" t="str">
        <f>INDEX(CarrierDriverTBL!$K:$K,MATCH(Table1[[#This Row],[DriverID]],CarrierDriverTBL!$A:$A,0))</f>
        <v>209-276-9785</v>
      </c>
      <c r="AW321" s="142" t="str">
        <f>INDEX(CarrierDriverTBL!$M:$M,MATCH(Table1[[#This Row],[DriverID]],CarrierDriverTBL!$A:$A,0))</f>
        <v>1685 Winthrop Ln</v>
      </c>
      <c r="AX321" s="142" t="str">
        <f>INDEX(CarrierDriverTBL!$N:$N,MATCH(Table1[[#This Row],[DriverID]],CarrierDriverTBL!$A:$A,0))</f>
        <v>Ceres</v>
      </c>
      <c r="AY321" s="142" t="str">
        <f>INDEX(CarrierDriverTBL!$O:$O,MATCH(Table1[[#This Row],[DriverID]],CarrierDriverTBL!$A:$A,0))</f>
        <v>CA</v>
      </c>
      <c r="AZ321" s="142">
        <f>INDEX(CarrierDriverTBL!$P:$P,MATCH(Table1[[#This Row],[DriverID]],CarrierDriverTBL!$A:$A,0))</f>
        <v>95307</v>
      </c>
      <c r="BA321" s="142" t="str">
        <f>INDEX(CarrierDriverTBL!$Q:$Q,MATCH(Table1[[#This Row],[DriverID]],CarrierDriverTBL!$A:$A,0))</f>
        <v>US</v>
      </c>
      <c r="BB321" s="217" t="str">
        <f>INDEX(CarrierDriverTBL!$R:$R,MATCH(Table1[[#This Row],[DriverID]],CarrierDriverTBL!$A:$A,0))</f>
        <v>arturocarr777@gmail.com</v>
      </c>
      <c r="BC321" s="160">
        <f>INDEX(CarrierDriverTBL!$AB:$AB,MATCH(Table1[[#This Row],[DriverID]],CarrierDriverTBL!$A:$A,0))</f>
        <v>42418</v>
      </c>
      <c r="BD321" s="142" t="str">
        <f ca="1">INDEX(CarrierDriverTBL!$AD:$AD,MATCH(LoadMaster!$AN:$AN,CarrierDriverTBL!$A:$A,0))</f>
        <v>MISSING</v>
      </c>
      <c r="BE321" s="142">
        <f>INDEX(CarrierDriverTBL!$AE:$AE,MATCH(Table1[DriverID],CarrierDriverTBL!$A:$A,0))</f>
        <v>913971</v>
      </c>
      <c r="BF321" s="142">
        <f>INDEX(CarrierDriverTBL!$AF:$AF,MATCH(Table1[DriverID],CarrierDriverTBL!$A:$A,0))</f>
        <v>2627544</v>
      </c>
      <c r="BG321" s="142">
        <f>INDEX(CarrierDriverTBL!$AG:$AG,MATCH(Table1[DriverID],CarrierDriverTBL!$A:$A,0))</f>
        <v>466133</v>
      </c>
      <c r="BH321" s="142" t="str">
        <f>INDEX(CarrierDriverTBL!$AH:$AH,MATCH(Table1[DriverID],CarrierDriverTBL!$A:$A,0))</f>
        <v>GM Lawrence Ins</v>
      </c>
      <c r="BI321" s="142" t="str">
        <f>INDEX(CarrierDriverTBL!$AI:$AI,MATCH(Table1[DriverID],CarrierDriverTBL!$A:$A,0))</f>
        <v>DSK2842P160210</v>
      </c>
      <c r="BJ321" s="160">
        <f>INDEX(CarrierDriverTBL!$AJ:$AJ,MATCH(Table1[[#This Row],[DriverID]],CarrierDriverTBL!$A:$A,0))</f>
        <v>42778</v>
      </c>
      <c r="BK321" s="10">
        <f t="shared" si="123"/>
        <v>354</v>
      </c>
      <c r="BL321" s="5">
        <v>650</v>
      </c>
      <c r="BM321" s="171">
        <v>256</v>
      </c>
      <c r="BN321" s="133">
        <f t="shared" si="140"/>
        <v>2.5390625</v>
      </c>
      <c r="BO321" s="134">
        <f>0.93*650</f>
        <v>604.5</v>
      </c>
      <c r="BP321" s="133">
        <f t="shared" si="141"/>
        <v>2.361328125</v>
      </c>
      <c r="BQ321" s="133">
        <v>2.6</v>
      </c>
      <c r="BR321" s="215">
        <f t="shared" si="142"/>
        <v>0.1166666666666667</v>
      </c>
      <c r="BS321" s="133">
        <f t="shared" si="124"/>
        <v>2.2446614583333333</v>
      </c>
      <c r="BT321" s="133">
        <f t="shared" si="125"/>
        <v>29.866666666666674</v>
      </c>
      <c r="BU321" s="10" t="str">
        <f t="shared" si="126"/>
        <v>Interstate Distributor Co</v>
      </c>
      <c r="BV321" s="15"/>
      <c r="BW321" s="4" t="str">
        <f>Table1[[#This Row],[BrokerAddress]]</f>
        <v>11707 21St Ave Ct So</v>
      </c>
      <c r="BX321" s="4" t="str">
        <f t="shared" si="127"/>
        <v>Tacoma</v>
      </c>
      <c r="BY321" s="4" t="str">
        <f t="shared" si="128"/>
        <v>Wa</v>
      </c>
      <c r="BZ321" s="4">
        <f t="shared" si="129"/>
        <v>98444</v>
      </c>
      <c r="CA321" s="10" t="str">
        <f t="shared" si="130"/>
        <v>US</v>
      </c>
      <c r="CB321" s="15" t="s">
        <v>131</v>
      </c>
      <c r="CC321" s="62"/>
      <c r="CD321" s="15" t="s">
        <v>132</v>
      </c>
      <c r="CE321" s="64">
        <v>0</v>
      </c>
      <c r="CF321" s="4">
        <v>0</v>
      </c>
      <c r="CG321" s="132">
        <f t="shared" si="131"/>
        <v>0</v>
      </c>
      <c r="CH321" s="4" t="s">
        <v>132</v>
      </c>
      <c r="CI321" s="5">
        <v>0</v>
      </c>
      <c r="CJ321" s="4">
        <v>0</v>
      </c>
      <c r="CK321" s="132">
        <f t="shared" si="132"/>
        <v>0</v>
      </c>
      <c r="CL321" s="4" t="s">
        <v>132</v>
      </c>
      <c r="CM321" s="5">
        <v>0</v>
      </c>
      <c r="CN321" s="4">
        <v>0</v>
      </c>
      <c r="CO321" s="132">
        <f t="shared" si="133"/>
        <v>0</v>
      </c>
      <c r="CP321" s="4" t="s">
        <v>132</v>
      </c>
      <c r="CQ321" s="5">
        <v>0</v>
      </c>
      <c r="CR321" s="4">
        <v>0</v>
      </c>
      <c r="CS321" s="132">
        <f t="shared" si="134"/>
        <v>0</v>
      </c>
      <c r="CT321" s="132">
        <f t="shared" si="135"/>
        <v>0</v>
      </c>
      <c r="CU321" s="168">
        <f t="shared" si="136"/>
        <v>650</v>
      </c>
      <c r="CV321" s="177">
        <f t="shared" si="143"/>
        <v>0</v>
      </c>
      <c r="CW321" s="82">
        <f t="shared" si="144"/>
        <v>604.5</v>
      </c>
      <c r="CX321" s="79">
        <f>IF(ISBLANK(E321),"AddQuickPay",IF(E321=2,CU321*0.98,IF(E321=2.4,CU321*0.976,IF(E321=3,CU321*0.97,IF(E321=5,CU321*0.95,IF(E321=1.5,CU321*0.985,IF(E321=2.5,CU321*0.975,IF(E321=1.3,CU321*0.987,IF(E321=1,CU321*0.99,IF(E321=4,CU321*0.96,CU321*1))))))))))-Table1[[#This Row],[ComCheck+QuickPayFee]]</f>
        <v>640.25</v>
      </c>
      <c r="CY321" s="5">
        <f t="shared" si="137"/>
        <v>45.5</v>
      </c>
      <c r="CZ321" s="5">
        <f t="shared" si="138"/>
        <v>9.75</v>
      </c>
      <c r="DA321" s="258">
        <f>Table1[[#This Row],[OriginalDispatch]]-Table1[[#This Row],[QuickPayCharge]]</f>
        <v>35.75</v>
      </c>
      <c r="DB321" s="5">
        <v>0</v>
      </c>
      <c r="DC321" s="5" t="s">
        <v>133</v>
      </c>
      <c r="DD321" s="172">
        <f t="shared" si="139"/>
        <v>42426</v>
      </c>
      <c r="DE321" s="171">
        <f>MONTH(Table1[[#This Row],[Weekending]])</f>
        <v>2</v>
      </c>
      <c r="DF321" s="171">
        <f>YEAR(Table1[[#This Row],[Weekending]])</f>
        <v>2016</v>
      </c>
      <c r="DG321" s="4"/>
    </row>
    <row r="322" spans="1:111">
      <c r="A322" s="416" t="str">
        <f t="shared" ref="A322:A385" si="145">RIGHT(C322,2)&amp;RIGHT(L322,2)&amp;RIGHT(AD322,2)&amp;RIGHT(AQ322,2)</f>
        <v>44newn93</v>
      </c>
      <c r="B322" s="104">
        <v>42425</v>
      </c>
      <c r="C322" s="15">
        <v>2396244</v>
      </c>
      <c r="D322" s="416" t="s">
        <v>1638</v>
      </c>
      <c r="E322" s="15">
        <v>2</v>
      </c>
      <c r="F322" s="144" t="str">
        <f>INDEX(BrokerTBL!$B:$B,MATCH(D322,BrokerTBL!$A:$A,0))</f>
        <v>4040 Embassy Parkway Suite 370</v>
      </c>
      <c r="G322" s="15" t="str">
        <f>INDEX(BrokerTBL!$C:$C,MATCH(D322,BrokerTBL!$A:$A,0))</f>
        <v>Akron</v>
      </c>
      <c r="H322" s="4" t="str">
        <f>INDEX(BrokerTBL!$D:$D,MATCH(D322,BrokerTBL!$A:$A,0))</f>
        <v>Ohio</v>
      </c>
      <c r="I322" s="4" t="str">
        <f>INDEX(BrokerTBL!$E:$E,MATCH(D322,BrokerTBL!$A:$A,0))</f>
        <v>US</v>
      </c>
      <c r="J322" s="4">
        <f>INDEX(BrokerTBL!$F:$F,MATCH(D322,BrokerTBL!$A:$A,0))</f>
        <v>44333</v>
      </c>
      <c r="K322" s="416" t="s">
        <v>2239</v>
      </c>
      <c r="L322" s="81" t="s">
        <v>132</v>
      </c>
      <c r="M322" s="104">
        <v>42425</v>
      </c>
      <c r="N322" s="162" t="s">
        <v>123</v>
      </c>
      <c r="O322" s="15" t="s">
        <v>2242</v>
      </c>
      <c r="P322" s="416" t="s">
        <v>2243</v>
      </c>
      <c r="Q322" s="416" t="s">
        <v>264</v>
      </c>
      <c r="R322" s="416">
        <v>89706</v>
      </c>
      <c r="S322" s="416" t="s">
        <v>2207</v>
      </c>
      <c r="T322" s="298" t="s">
        <v>123</v>
      </c>
      <c r="U322" s="416" t="s">
        <v>120</v>
      </c>
      <c r="V322" s="416">
        <v>53</v>
      </c>
      <c r="W322" s="416" t="s">
        <v>2244</v>
      </c>
      <c r="X322" s="225">
        <v>44000</v>
      </c>
      <c r="Y322" s="15" t="s">
        <v>2282</v>
      </c>
      <c r="Z322" s="416" t="s">
        <v>123</v>
      </c>
      <c r="AA322" s="416" t="s">
        <v>123</v>
      </c>
      <c r="AB322" s="416" t="s">
        <v>123</v>
      </c>
      <c r="AC322" s="416" t="s">
        <v>2245</v>
      </c>
      <c r="AD322" s="81" t="s">
        <v>1205</v>
      </c>
      <c r="AE322" s="104">
        <v>42426</v>
      </c>
      <c r="AF322" s="416" t="s">
        <v>123</v>
      </c>
      <c r="AG322" s="416" t="s">
        <v>2246</v>
      </c>
      <c r="AH322" s="416" t="s">
        <v>2247</v>
      </c>
      <c r="AI322" s="416" t="s">
        <v>139</v>
      </c>
      <c r="AJ322" s="416">
        <v>93235</v>
      </c>
      <c r="AK322" s="416" t="s">
        <v>118</v>
      </c>
      <c r="AL322" s="416" t="s">
        <v>2169</v>
      </c>
      <c r="AM322" s="171" t="str">
        <f>INDEX(CarrierDriverTBL!$B:$B,MATCH(Table1[[#This Row],[DriverID]],CarrierDriverTBL!$A:$A,0))</f>
        <v>UBTrucking</v>
      </c>
      <c r="AN322" s="10" t="s">
        <v>2234</v>
      </c>
      <c r="AO322" s="171" t="str">
        <f>INDEX(CarrierDriverTBL!$C:$C,MATCH(Table1[[#This Row],[DriverID]],CarrierDriverTBL!$A:$A,0))</f>
        <v>Arturo</v>
      </c>
      <c r="AP322" s="171" t="str">
        <f>INDEX(CarrierDriverTBL!$D:$D,MATCH(Table1[[#This Row],[DriverID]],CarrierDriverTBL!$A:$A,0))</f>
        <v>Carrillo</v>
      </c>
      <c r="AQ322" s="171" t="str">
        <f>INDEX(CarrierDriverTBL!$X:$X,MATCH(Table1[[#This Row],[DriverID]],CarrierDriverTBL!$A:$A,0))</f>
        <v>C7056793</v>
      </c>
      <c r="AR322" s="160">
        <f>INDEX(CarrierDriverTBL!$Y:$Y,MATCH(Table1[[#This Row],[DriverID]],CarrierDriverTBL!$A:$A,0))</f>
        <v>43410</v>
      </c>
      <c r="AS322" s="142" t="str">
        <f t="shared" ref="AS322:AS385" si="146">IF(AR322&gt;M322,"GOOD","EXPIRED")</f>
        <v>GOOD</v>
      </c>
      <c r="AT322" s="172">
        <f>INDEX(CarrierDriverTBL!$E:$E,MATCH(Table1[[#This Row],[DriverID]],CarrierDriverTBL!$A:$A,0))</f>
        <v>24782</v>
      </c>
      <c r="AU322" s="163">
        <f ca="1">INDEX(CarrierDriverTBL!$F:$F,MATCH(Table1[[#This Row],[DriverID]],CarrierDriverTBL!$A:$A,0))</f>
        <v>48.750684931506846</v>
      </c>
      <c r="AV322" s="171" t="str">
        <f>INDEX(CarrierDriverTBL!$K:$K,MATCH(Table1[[#This Row],[DriverID]],CarrierDriverTBL!$A:$A,0))</f>
        <v>209-276-9785</v>
      </c>
      <c r="AW322" s="171" t="str">
        <f>INDEX(CarrierDriverTBL!$M:$M,MATCH(Table1[[#This Row],[DriverID]],CarrierDriverTBL!$A:$A,0))</f>
        <v>1685 Winthrop Ln</v>
      </c>
      <c r="AX322" s="171" t="str">
        <f>INDEX(CarrierDriverTBL!$N:$N,MATCH(Table1[[#This Row],[DriverID]],CarrierDriverTBL!$A:$A,0))</f>
        <v>Ceres</v>
      </c>
      <c r="AY322" s="171" t="str">
        <f>INDEX(CarrierDriverTBL!$O:$O,MATCH(Table1[[#This Row],[DriverID]],CarrierDriverTBL!$A:$A,0))</f>
        <v>CA</v>
      </c>
      <c r="AZ322" s="171">
        <f>INDEX(CarrierDriverTBL!$P:$P,MATCH(Table1[[#This Row],[DriverID]],CarrierDriverTBL!$A:$A,0))</f>
        <v>95307</v>
      </c>
      <c r="BA322" s="171" t="str">
        <f>INDEX(CarrierDriverTBL!$Q:$Q,MATCH(Table1[[#This Row],[DriverID]],CarrierDriverTBL!$A:$A,0))</f>
        <v>US</v>
      </c>
      <c r="BB322" s="173" t="str">
        <f>INDEX(CarrierDriverTBL!$R:$R,MATCH(Table1[[#This Row],[DriverID]],CarrierDriverTBL!$A:$A,0))</f>
        <v>arturocarr777@gmail.com</v>
      </c>
      <c r="BC322" s="160">
        <f>INDEX(CarrierDriverTBL!$AB:$AB,MATCH(Table1[[#This Row],[DriverID]],CarrierDriverTBL!$A:$A,0))</f>
        <v>42418</v>
      </c>
      <c r="BD322" s="142" t="str">
        <f ca="1">INDEX(CarrierDriverTBL!$AD:$AD,MATCH(LoadMaster!$AN:$AN,CarrierDriverTBL!$A:$A,0))</f>
        <v>MISSING</v>
      </c>
      <c r="BE322" s="171">
        <f>INDEX(CarrierDriverTBL!$AE:$AE,MATCH(Table1[DriverID],CarrierDriverTBL!$A:$A,0))</f>
        <v>913971</v>
      </c>
      <c r="BF322" s="171">
        <f>INDEX(CarrierDriverTBL!$AF:$AF,MATCH(Table1[DriverID],CarrierDriverTBL!$A:$A,0))</f>
        <v>2627544</v>
      </c>
      <c r="BG322" s="10">
        <f>INDEX(CarrierDriverTBL!$AG:$AG,MATCH(Table1[DriverID],CarrierDriverTBL!$A:$A,0))</f>
        <v>466133</v>
      </c>
      <c r="BH322" s="171" t="str">
        <f>INDEX(CarrierDriverTBL!$AH:$AH,MATCH(Table1[DriverID],CarrierDriverTBL!$A:$A,0))</f>
        <v>GM Lawrence Ins</v>
      </c>
      <c r="BI322" s="171" t="str">
        <f>INDEX(CarrierDriverTBL!$AI:$AI,MATCH(Table1[DriverID],CarrierDriverTBL!$A:$A,0))</f>
        <v>DSK2842P160210</v>
      </c>
      <c r="BJ322" s="172">
        <f>INDEX(CarrierDriverTBL!$AJ:$AJ,MATCH(Table1[[#This Row],[DriverID]],CarrierDriverTBL!$A:$A,0))</f>
        <v>42778</v>
      </c>
      <c r="BK322" s="10">
        <f t="shared" ref="BK322:BK385" si="147">IFERROR(BJ322-M322,"MISSING")</f>
        <v>353</v>
      </c>
      <c r="BL322" s="5">
        <v>600</v>
      </c>
      <c r="BM322" s="171">
        <v>380</v>
      </c>
      <c r="BN322" s="133">
        <f t="shared" si="140"/>
        <v>1.5789473684210527</v>
      </c>
      <c r="BO322" s="134">
        <f>0.93*Table1[[#This Row],[ChargeBroker]]</f>
        <v>558</v>
      </c>
      <c r="BP322" s="133">
        <f t="shared" si="141"/>
        <v>1.4684210526315788</v>
      </c>
      <c r="BQ322" s="133">
        <v>2.6</v>
      </c>
      <c r="BR322" s="215">
        <f t="shared" si="142"/>
        <v>0.1166666666666667</v>
      </c>
      <c r="BS322" s="133">
        <f t="shared" ref="BS322:BS385" si="148">BP322-BR322</f>
        <v>1.3517543859649122</v>
      </c>
      <c r="BT322" s="133">
        <f t="shared" ref="BT322:BT385" si="149">BM322*BR322</f>
        <v>44.333333333333343</v>
      </c>
      <c r="BU322" s="10" t="str">
        <f t="shared" ref="BU322:BU385" si="150">D322</f>
        <v>Matson Logistics</v>
      </c>
      <c r="BV322" s="15"/>
      <c r="BW322" s="4" t="str">
        <f>Table1[[#This Row],[BrokerAddress]]</f>
        <v>4040 Embassy Parkway Suite 370</v>
      </c>
      <c r="BX322" s="4" t="str">
        <f t="shared" ref="BX322:BX385" si="151">G322</f>
        <v>Akron</v>
      </c>
      <c r="BY322" s="4" t="str">
        <f t="shared" ref="BY322:BY385" si="152">H322</f>
        <v>Ohio</v>
      </c>
      <c r="BZ322" s="4">
        <f t="shared" ref="BZ322:BZ385" si="153">J322</f>
        <v>44333</v>
      </c>
      <c r="CA322" s="10" t="str">
        <f t="shared" ref="CA322:CA385" si="154">I322</f>
        <v>US</v>
      </c>
      <c r="CB322" s="15" t="s">
        <v>131</v>
      </c>
      <c r="CC322" s="62"/>
      <c r="CD322" s="15" t="s">
        <v>132</v>
      </c>
      <c r="CE322" s="64">
        <v>0</v>
      </c>
      <c r="CF322" s="4">
        <v>0</v>
      </c>
      <c r="CG322" s="132">
        <f t="shared" ref="CG322:CG385" si="155">CE322*CF322</f>
        <v>0</v>
      </c>
      <c r="CH322" s="4" t="s">
        <v>132</v>
      </c>
      <c r="CI322" s="5">
        <v>0</v>
      </c>
      <c r="CJ322" s="4">
        <v>0</v>
      </c>
      <c r="CK322" s="132">
        <f t="shared" ref="CK322:CK385" si="156">CI322*CJ322</f>
        <v>0</v>
      </c>
      <c r="CL322" s="4" t="s">
        <v>132</v>
      </c>
      <c r="CM322" s="5">
        <v>0</v>
      </c>
      <c r="CN322" s="4">
        <v>0</v>
      </c>
      <c r="CO322" s="132">
        <f t="shared" ref="CO322:CO385" si="157">CM322*CN322</f>
        <v>0</v>
      </c>
      <c r="CP322" s="4" t="s">
        <v>132</v>
      </c>
      <c r="CQ322" s="5">
        <v>0</v>
      </c>
      <c r="CR322" s="4">
        <v>0</v>
      </c>
      <c r="CS322" s="132">
        <f t="shared" ref="CS322:CS385" si="158">CQ322*CR322</f>
        <v>0</v>
      </c>
      <c r="CT322" s="132">
        <f t="shared" ref="CT322:CT385" si="159">CG322+CK322+CO322+CS322</f>
        <v>0</v>
      </c>
      <c r="CU322" s="168">
        <f t="shared" ref="CU322:CU385" si="160">(CT322+BL322)-CC322</f>
        <v>600</v>
      </c>
      <c r="CV322" s="177">
        <f t="shared" si="143"/>
        <v>0</v>
      </c>
      <c r="CW322" s="82">
        <f t="shared" si="144"/>
        <v>558</v>
      </c>
      <c r="CX322" s="79">
        <f>IF(ISBLANK(E322),"AddQuickPay",IF(E322=2,CU322*0.98,IF(E322=2.4,CU322*0.976,IF(E322=3,CU322*0.97,IF(E322=5,CU322*0.95,IF(E322=1.5,CU322*0.985,IF(E322=2.5,CU322*0.975,IF(E322=1.3,CU322*0.987,IF(E322=1,CU322*0.99,IF(E322=4,CU322*0.96,CU322*1))))))))))-Table1[[#This Row],[ComCheck+QuickPayFee]]</f>
        <v>588</v>
      </c>
      <c r="CY322" s="5">
        <f t="shared" ref="CY322:CY385" si="161">CU322-CW322</f>
        <v>42</v>
      </c>
      <c r="CZ322" s="5">
        <f t="shared" ref="CZ322:CZ385" si="162">IF(ISBLANK(E322),"AddQuickPay",IF(E322=2,CU322*0.02,IF(E322=2.4,CU322*0.024,IF(E322=3,CU322*0.03,IF(E322=5,CU322*0.05,IF(E322=1.5,CU322*0.015,IF(E322=2.5,CU322*0.025,IF(E322=4,CU322*0.04,IF(E322=1.3,CU322*0.013,IF(E322=1,CU322*0.01,CU322*0))))))))))</f>
        <v>12</v>
      </c>
      <c r="DA322" s="258">
        <f>Table1[[#This Row],[OriginalDispatch]]-Table1[[#This Row],[QuickPayCharge]]</f>
        <v>30</v>
      </c>
      <c r="DB322" s="5">
        <v>0</v>
      </c>
      <c r="DC322" s="5" t="s">
        <v>133</v>
      </c>
      <c r="DD322" s="172">
        <f t="shared" ref="DD322:DD385" si="163">(5-WEEKDAY(M322,2))+M322</f>
        <v>42426</v>
      </c>
      <c r="DE322" s="171">
        <f>MONTH(Table1[[#This Row],[Weekending]])</f>
        <v>2</v>
      </c>
      <c r="DF322" s="171">
        <f>YEAR(Table1[[#This Row],[Weekending]])</f>
        <v>2016</v>
      </c>
      <c r="DG322" s="4"/>
    </row>
    <row r="323" spans="1:111">
      <c r="A323" s="416" t="str">
        <f t="shared" si="145"/>
        <v>95393949</v>
      </c>
      <c r="B323" s="104">
        <v>42424</v>
      </c>
      <c r="C323" s="414">
        <v>193605895</v>
      </c>
      <c r="D323" s="416" t="s">
        <v>111</v>
      </c>
      <c r="E323" s="15">
        <v>2</v>
      </c>
      <c r="F323" s="144" t="str">
        <f>INDEX(BrokerTBL!$B:$B,MATCH(D323,BrokerTBL!$A:$A,0))</f>
        <v>P.O. Box 3474</v>
      </c>
      <c r="G323" s="15" t="str">
        <f>INDEX(BrokerTBL!$C:$C,MATCH(D323,BrokerTBL!$A:$A,0))</f>
        <v>Chicago</v>
      </c>
      <c r="H323" s="4" t="str">
        <f>INDEX(BrokerTBL!$D:$D,MATCH(D323,BrokerTBL!$A:$A,0))</f>
        <v>Il</v>
      </c>
      <c r="I323" s="4" t="str">
        <f>INDEX(BrokerTBL!$E:$E,MATCH(D323,BrokerTBL!$A:$A,0))</f>
        <v>US</v>
      </c>
      <c r="J323" s="4">
        <f>INDEX(BrokerTBL!$F:$F,MATCH(D323,BrokerTBL!$A:$A,0))</f>
        <v>60654</v>
      </c>
      <c r="K323" s="416" t="s">
        <v>1954</v>
      </c>
      <c r="L323" s="81">
        <v>8920325139</v>
      </c>
      <c r="M323" s="104">
        <v>42425</v>
      </c>
      <c r="N323" s="15" t="s">
        <v>1398</v>
      </c>
      <c r="O323" s="298" t="s">
        <v>1955</v>
      </c>
      <c r="P323" s="416" t="s">
        <v>214</v>
      </c>
      <c r="Q323" s="416" t="s">
        <v>2206</v>
      </c>
      <c r="R323" s="416">
        <v>93725</v>
      </c>
      <c r="S323" s="416" t="s">
        <v>2207</v>
      </c>
      <c r="T323" s="298" t="s">
        <v>123</v>
      </c>
      <c r="U323" s="416" t="s">
        <v>120</v>
      </c>
      <c r="V323" s="416">
        <v>53</v>
      </c>
      <c r="W323" s="416" t="s">
        <v>2283</v>
      </c>
      <c r="X323" s="225">
        <v>38160</v>
      </c>
      <c r="Y323" s="15" t="s">
        <v>2220</v>
      </c>
      <c r="Z323" s="416" t="s">
        <v>123</v>
      </c>
      <c r="AA323" s="416" t="s">
        <v>123</v>
      </c>
      <c r="AB323" s="416" t="s">
        <v>123</v>
      </c>
      <c r="AC323" s="416" t="s">
        <v>2284</v>
      </c>
      <c r="AD323" s="81">
        <v>8920325139</v>
      </c>
      <c r="AE323" s="104">
        <v>42426</v>
      </c>
      <c r="AF323" s="104" t="s">
        <v>218</v>
      </c>
      <c r="AG323" s="416" t="s">
        <v>2285</v>
      </c>
      <c r="AH323" s="416" t="s">
        <v>2286</v>
      </c>
      <c r="AI323" s="416" t="s">
        <v>2206</v>
      </c>
      <c r="AJ323" s="416">
        <v>95987</v>
      </c>
      <c r="AK323" s="416" t="s">
        <v>2207</v>
      </c>
      <c r="AL323" s="416" t="s">
        <v>123</v>
      </c>
      <c r="AM323" s="142" t="str">
        <f>INDEX(CarrierDriverTBL!$B:$B,MATCH(Table1[[#This Row],[DriverID]],CarrierDriverTBL!$A:$A,0))</f>
        <v>UBTrucking</v>
      </c>
      <c r="AN323" s="10" t="s">
        <v>192</v>
      </c>
      <c r="AO323" s="10" t="str">
        <f>INDEX(CarrierDriverTBL!$C:$C,MATCH(Table1[[#This Row],[DriverID]],CarrierDriverTBL!$A:$A,0))</f>
        <v>Albel</v>
      </c>
      <c r="AP323" s="142" t="str">
        <f>INDEX(CarrierDriverTBL!$D:$D,MATCH(Table1[[#This Row],[DriverID]],CarrierDriverTBL!$A:$A,0))</f>
        <v>Chahil</v>
      </c>
      <c r="AQ323" s="142" t="str">
        <f>INDEX(CarrierDriverTBL!$X:$X,MATCH(Table1[[#This Row],[DriverID]],CarrierDriverTBL!$A:$A,0))</f>
        <v>A8390649</v>
      </c>
      <c r="AR323" s="160">
        <f>INDEX(CarrierDriverTBL!$Y:$Y,MATCH(Table1[[#This Row],[DriverID]],CarrierDriverTBL!$A:$A,0))</f>
        <v>42402</v>
      </c>
      <c r="AS323" s="142" t="str">
        <f t="shared" si="146"/>
        <v>EXPIRED</v>
      </c>
      <c r="AT323" s="160">
        <f>INDEX(CarrierDriverTBL!$E:$E,MATCH(Table1[[#This Row],[DriverID]],CarrierDriverTBL!$A:$A,0))</f>
        <v>22314</v>
      </c>
      <c r="AU323" s="163">
        <f ca="1">INDEX(CarrierDriverTBL!$F:$F,MATCH(Table1[[#This Row],[DriverID]],CarrierDriverTBL!$A:$A,0))</f>
        <v>55.512328767123286</v>
      </c>
      <c r="AV323" s="142" t="str">
        <f>INDEX(CarrierDriverTBL!$K:$K,MATCH(Table1[[#This Row],[DriverID]],CarrierDriverTBL!$A:$A,0))</f>
        <v>510-773-9450</v>
      </c>
      <c r="AW323" s="142" t="str">
        <f>INDEX(CarrierDriverTBL!$M:$M,MATCH(Table1[[#This Row],[DriverID]],CarrierDriverTBL!$A:$A,0))</f>
        <v>3124 Cynthia CT</v>
      </c>
      <c r="AX323" s="142" t="str">
        <f>INDEX(CarrierDriverTBL!$N:$N,MATCH(Table1[[#This Row],[DriverID]],CarrierDriverTBL!$A:$A,0))</f>
        <v>Tracy</v>
      </c>
      <c r="AY323" s="142" t="str">
        <f>INDEX(CarrierDriverTBL!$O:$O,MATCH(Table1[[#This Row],[DriverID]],CarrierDriverTBL!$A:$A,0))</f>
        <v>CA</v>
      </c>
      <c r="AZ323" s="142">
        <f>INDEX(CarrierDriverTBL!$P:$P,MATCH(Table1[[#This Row],[DriverID]],CarrierDriverTBL!$A:$A,0))</f>
        <v>95377</v>
      </c>
      <c r="BA323" s="142" t="str">
        <f>INDEX(CarrierDriverTBL!$Q:$Q,MATCH(Table1[[#This Row],[DriverID]],CarrierDriverTBL!$A:$A,0))</f>
        <v>US</v>
      </c>
      <c r="BB323" s="176" t="str">
        <f>INDEX(CarrierDriverTBL!$R:$R,MATCH(Table1[[#This Row],[DriverID]],CarrierDriverTBL!$A:$A,0))</f>
        <v>ubgollc@gmail.com</v>
      </c>
      <c r="BC323" s="160">
        <f>INDEX(CarrierDriverTBL!$AB:$AB,MATCH(Table1[[#This Row],[DriverID]],CarrierDriverTBL!$A:$A,0))</f>
        <v>42167</v>
      </c>
      <c r="BD323" s="142" t="str">
        <f ca="1">INDEX(CarrierDriverTBL!$AD:$AD,MATCH(LoadMaster!$AN:$AN,CarrierDriverTBL!$A:$A,0))</f>
        <v>MISSING</v>
      </c>
      <c r="BE323" s="142">
        <f>INDEX(CarrierDriverTBL!$AE:$AE,MATCH(Table1[DriverID],CarrierDriverTBL!$A:$A,0))</f>
        <v>913971</v>
      </c>
      <c r="BF323" s="142">
        <f>INDEX(CarrierDriverTBL!$AF:$AF,MATCH(Table1[DriverID],CarrierDriverTBL!$A:$A,0))</f>
        <v>2627544</v>
      </c>
      <c r="BG323" s="142">
        <f>INDEX(CarrierDriverTBL!$AG:$AG,MATCH(Table1[DriverID],CarrierDriverTBL!$A:$A,0))</f>
        <v>466133</v>
      </c>
      <c r="BH323" s="142" t="str">
        <f>INDEX(CarrierDriverTBL!$AH:$AH,MATCH(Table1[DriverID],CarrierDriverTBL!$A:$A,0))</f>
        <v>GM Lawrence Ins</v>
      </c>
      <c r="BI323" s="142" t="str">
        <f>INDEX(CarrierDriverTBL!$AI:$AI,MATCH(Table1[DriverID],CarrierDriverTBL!$A:$A,0))</f>
        <v>DSK2842P160210</v>
      </c>
      <c r="BJ323" s="160">
        <f>INDEX(CarrierDriverTBL!$AJ:$AJ,MATCH(Table1[[#This Row],[DriverID]],CarrierDriverTBL!$A:$A,0))</f>
        <v>42778</v>
      </c>
      <c r="BK323" s="10">
        <f t="shared" si="147"/>
        <v>353</v>
      </c>
      <c r="BL323" s="5">
        <v>450</v>
      </c>
      <c r="BM323" s="171">
        <v>230</v>
      </c>
      <c r="BN323" s="133">
        <f t="shared" si="140"/>
        <v>1.9565217391304348</v>
      </c>
      <c r="BO323" s="134">
        <f>0.93*Table1[[#This Row],[ChargeBroker]]</f>
        <v>418.5</v>
      </c>
      <c r="BP323" s="133">
        <f t="shared" si="141"/>
        <v>1.8195652173913044</v>
      </c>
      <c r="BQ323" s="133">
        <v>2.6</v>
      </c>
      <c r="BR323" s="215">
        <f t="shared" si="142"/>
        <v>0.1166666666666667</v>
      </c>
      <c r="BS323" s="133">
        <f t="shared" si="148"/>
        <v>1.7028985507246377</v>
      </c>
      <c r="BT323" s="133">
        <f t="shared" si="149"/>
        <v>26.833333333333339</v>
      </c>
      <c r="BU323" s="10" t="str">
        <f t="shared" si="150"/>
        <v>Ch Robinson</v>
      </c>
      <c r="BV323" s="15"/>
      <c r="BW323" s="4" t="str">
        <f>Table1[[#This Row],[BrokerAddress]]</f>
        <v>P.O. Box 3474</v>
      </c>
      <c r="BX323" s="4" t="str">
        <f t="shared" si="151"/>
        <v>Chicago</v>
      </c>
      <c r="BY323" s="4" t="str">
        <f t="shared" si="152"/>
        <v>Il</v>
      </c>
      <c r="BZ323" s="4">
        <f t="shared" si="153"/>
        <v>60654</v>
      </c>
      <c r="CA323" s="10" t="str">
        <f t="shared" si="154"/>
        <v>US</v>
      </c>
      <c r="CB323" s="15" t="s">
        <v>131</v>
      </c>
      <c r="CC323" s="62"/>
      <c r="CD323" s="15" t="s">
        <v>132</v>
      </c>
      <c r="CE323" s="64">
        <v>0</v>
      </c>
      <c r="CF323" s="4">
        <v>0</v>
      </c>
      <c r="CG323" s="132">
        <f t="shared" si="155"/>
        <v>0</v>
      </c>
      <c r="CH323" s="4" t="s">
        <v>132</v>
      </c>
      <c r="CI323" s="5">
        <v>0</v>
      </c>
      <c r="CJ323" s="4">
        <v>0</v>
      </c>
      <c r="CK323" s="132">
        <f t="shared" si="156"/>
        <v>0</v>
      </c>
      <c r="CL323" s="4" t="s">
        <v>132</v>
      </c>
      <c r="CM323" s="5">
        <v>0</v>
      </c>
      <c r="CN323" s="4">
        <v>0</v>
      </c>
      <c r="CO323" s="132">
        <f t="shared" si="157"/>
        <v>0</v>
      </c>
      <c r="CP323" s="4" t="s">
        <v>132</v>
      </c>
      <c r="CQ323" s="5">
        <v>0</v>
      </c>
      <c r="CR323" s="4">
        <v>0</v>
      </c>
      <c r="CS323" s="132">
        <f t="shared" si="158"/>
        <v>0</v>
      </c>
      <c r="CT323" s="132">
        <f t="shared" si="159"/>
        <v>0</v>
      </c>
      <c r="CU323" s="168">
        <f t="shared" si="160"/>
        <v>450</v>
      </c>
      <c r="CV323" s="177">
        <f t="shared" si="143"/>
        <v>0</v>
      </c>
      <c r="CW323" s="82">
        <f t="shared" si="144"/>
        <v>418.5</v>
      </c>
      <c r="CX323" s="79">
        <f>IF(ISBLANK(E323),"AddQuickPay",IF(E323=2,CU323*0.98,IF(E323=2.4,CU323*0.976,IF(E323=3,CU323*0.97,IF(E323=5,CU323*0.95,IF(E323=1.5,CU323*0.985,IF(E323=2.5,CU323*0.975,IF(E323=1.3,CU323*0.987,IF(E323=1,CU323*0.99,IF(E323=4,CU323*0.96,CU323*1))))))))))-Table1[[#This Row],[ComCheck+QuickPayFee]]</f>
        <v>441</v>
      </c>
      <c r="CY323" s="5">
        <f t="shared" si="161"/>
        <v>31.5</v>
      </c>
      <c r="CZ323" s="5">
        <f t="shared" si="162"/>
        <v>9</v>
      </c>
      <c r="DA323" s="258">
        <f>Table1[[#This Row],[OriginalDispatch]]-Table1[[#This Row],[QuickPayCharge]]</f>
        <v>22.5</v>
      </c>
      <c r="DB323" s="5">
        <v>0</v>
      </c>
      <c r="DC323" s="5" t="s">
        <v>133</v>
      </c>
      <c r="DD323" s="172">
        <f t="shared" si="163"/>
        <v>42426</v>
      </c>
      <c r="DE323" s="171">
        <f>MONTH(Table1[[#This Row],[Weekending]])</f>
        <v>2</v>
      </c>
      <c r="DF323" s="171">
        <f>YEAR(Table1[[#This Row],[Weekending]])</f>
        <v>2016</v>
      </c>
      <c r="DG323" s="4"/>
    </row>
    <row r="324" spans="1:111">
      <c r="A324" s="416" t="str">
        <f t="shared" si="145"/>
        <v>3983wn49</v>
      </c>
      <c r="B324" s="104">
        <v>42426</v>
      </c>
      <c r="C324" s="15">
        <v>225939</v>
      </c>
      <c r="D324" s="416" t="s">
        <v>2287</v>
      </c>
      <c r="E324" s="15">
        <v>0</v>
      </c>
      <c r="F324" s="144" t="str">
        <f>INDEX(BrokerTBL!$B:$B,MATCH(D324,BrokerTBL!$A:$A,0))</f>
        <v>10845 Rancho Bernardo Rd. Ste100</v>
      </c>
      <c r="G324" s="15" t="str">
        <f>INDEX(BrokerTBL!$C:$C,MATCH(D324,BrokerTBL!$A:$A,0))</f>
        <v>San Diego</v>
      </c>
      <c r="H324" s="4" t="str">
        <f>INDEX(BrokerTBL!$D:$D,MATCH(D324,BrokerTBL!$A:$A,0))</f>
        <v>CA</v>
      </c>
      <c r="I324" s="4" t="str">
        <f>INDEX(BrokerTBL!$E:$E,MATCH(D324,BrokerTBL!$A:$A,0))</f>
        <v>US</v>
      </c>
      <c r="J324" s="4">
        <f>INDEX(BrokerTBL!$F:$F,MATCH(D324,BrokerTBL!$A:$A,0))</f>
        <v>92127</v>
      </c>
      <c r="K324" s="416" t="s">
        <v>2288</v>
      </c>
      <c r="L324" s="81" t="s">
        <v>2289</v>
      </c>
      <c r="M324" s="104">
        <v>42426</v>
      </c>
      <c r="N324" s="15" t="s">
        <v>2290</v>
      </c>
      <c r="O324" s="15" t="s">
        <v>2291</v>
      </c>
      <c r="P324" s="416" t="s">
        <v>2292</v>
      </c>
      <c r="Q324" s="416" t="s">
        <v>2293</v>
      </c>
      <c r="R324" s="416" t="s">
        <v>2294</v>
      </c>
      <c r="S324" s="416" t="s">
        <v>2207</v>
      </c>
      <c r="T324" s="416" t="s">
        <v>2295</v>
      </c>
      <c r="U324" s="416" t="s">
        <v>120</v>
      </c>
      <c r="V324" s="416">
        <v>53</v>
      </c>
      <c r="W324" s="416" t="s">
        <v>1205</v>
      </c>
      <c r="X324" s="225">
        <v>42422</v>
      </c>
      <c r="Y324" s="15" t="s">
        <v>123</v>
      </c>
      <c r="Z324" s="416" t="s">
        <v>123</v>
      </c>
      <c r="AA324" s="416" t="s">
        <v>123</v>
      </c>
      <c r="AB324" s="416" t="s">
        <v>123</v>
      </c>
      <c r="AC324" s="416" t="s">
        <v>2296</v>
      </c>
      <c r="AD324" s="81" t="s">
        <v>1205</v>
      </c>
      <c r="AE324" s="104">
        <v>42426</v>
      </c>
      <c r="AF324" s="228">
        <v>0.66666666666666663</v>
      </c>
      <c r="AG324" s="416" t="s">
        <v>2297</v>
      </c>
      <c r="AH324" s="416" t="s">
        <v>208</v>
      </c>
      <c r="AI324" s="416" t="s">
        <v>2206</v>
      </c>
      <c r="AJ324" s="416">
        <v>95838</v>
      </c>
      <c r="AK324" s="416" t="s">
        <v>2207</v>
      </c>
      <c r="AL324" s="416" t="s">
        <v>2298</v>
      </c>
      <c r="AM324" s="171" t="str">
        <f>INDEX(CarrierDriverTBL!$B:$B,MATCH(Table1[[#This Row],[DriverID]],CarrierDriverTBL!$A:$A,0))</f>
        <v>UBTrucking</v>
      </c>
      <c r="AN324" s="10" t="s">
        <v>192</v>
      </c>
      <c r="AO324" s="171" t="str">
        <f>INDEX(CarrierDriverTBL!$C:$C,MATCH(Table1[[#This Row],[DriverID]],CarrierDriverTBL!$A:$A,0))</f>
        <v>Albel</v>
      </c>
      <c r="AP324" s="171" t="str">
        <f>INDEX(CarrierDriverTBL!$D:$D,MATCH(Table1[[#This Row],[DriverID]],CarrierDriverTBL!$A:$A,0))</f>
        <v>Chahil</v>
      </c>
      <c r="AQ324" s="171" t="str">
        <f>INDEX(CarrierDriverTBL!$X:$X,MATCH(Table1[[#This Row],[DriverID]],CarrierDriverTBL!$A:$A,0))</f>
        <v>A8390649</v>
      </c>
      <c r="AR324" s="172">
        <f>INDEX(CarrierDriverTBL!$Y:$Y,MATCH(Table1[[#This Row],[DriverID]],CarrierDriverTBL!$A:$A,0))</f>
        <v>42402</v>
      </c>
      <c r="AS324" s="142" t="str">
        <f t="shared" si="146"/>
        <v>EXPIRED</v>
      </c>
      <c r="AT324" s="172">
        <f>INDEX(CarrierDriverTBL!$E:$E,MATCH(Table1[[#This Row],[DriverID]],CarrierDriverTBL!$A:$A,0))</f>
        <v>22314</v>
      </c>
      <c r="AU324" s="163">
        <f ca="1">INDEX(CarrierDriverTBL!$F:$F,MATCH(Table1[[#This Row],[DriverID]],CarrierDriverTBL!$A:$A,0))</f>
        <v>55.512328767123286</v>
      </c>
      <c r="AV324" s="171" t="str">
        <f>INDEX(CarrierDriverTBL!$K:$K,MATCH(Table1[[#This Row],[DriverID]],CarrierDriverTBL!$A:$A,0))</f>
        <v>510-773-9450</v>
      </c>
      <c r="AW324" s="171" t="str">
        <f>INDEX(CarrierDriverTBL!$M:$M,MATCH(Table1[[#This Row],[DriverID]],CarrierDriverTBL!$A:$A,0))</f>
        <v>3124 Cynthia CT</v>
      </c>
      <c r="AX324" s="171" t="str">
        <f>INDEX(CarrierDriverTBL!$N:$N,MATCH(Table1[[#This Row],[DriverID]],CarrierDriverTBL!$A:$A,0))</f>
        <v>Tracy</v>
      </c>
      <c r="AY324" s="171" t="str">
        <f>INDEX(CarrierDriverTBL!$O:$O,MATCH(Table1[[#This Row],[DriverID]],CarrierDriverTBL!$A:$A,0))</f>
        <v>CA</v>
      </c>
      <c r="AZ324" s="171">
        <f>INDEX(CarrierDriverTBL!$P:$P,MATCH(Table1[[#This Row],[DriverID]],CarrierDriverTBL!$A:$A,0))</f>
        <v>95377</v>
      </c>
      <c r="BA324" s="171" t="str">
        <f>INDEX(CarrierDriverTBL!$Q:$Q,MATCH(Table1[[#This Row],[DriverID]],CarrierDriverTBL!$A:$A,0))</f>
        <v>US</v>
      </c>
      <c r="BB324" s="173" t="str">
        <f>INDEX(CarrierDriverTBL!$R:$R,MATCH(Table1[[#This Row],[DriverID]],CarrierDriverTBL!$A:$A,0))</f>
        <v>ubgollc@gmail.com</v>
      </c>
      <c r="BC324" s="160">
        <f>INDEX(CarrierDriverTBL!$AB:$AB,MATCH(Table1[[#This Row],[DriverID]],CarrierDriverTBL!$A:$A,0))</f>
        <v>42167</v>
      </c>
      <c r="BD324" s="142" t="str">
        <f ca="1">INDEX(CarrierDriverTBL!$AD:$AD,MATCH(LoadMaster!$AN:$AN,CarrierDriverTBL!$A:$A,0))</f>
        <v>MISSING</v>
      </c>
      <c r="BE324" s="171">
        <f>INDEX(CarrierDriverTBL!$AE:$AE,MATCH(Table1[DriverID],CarrierDriverTBL!$A:$A,0))</f>
        <v>913971</v>
      </c>
      <c r="BF324" s="171">
        <f>INDEX(CarrierDriverTBL!$AF:$AF,MATCH(Table1[DriverID],CarrierDriverTBL!$A:$A,0))</f>
        <v>2627544</v>
      </c>
      <c r="BG324" s="10">
        <f>INDEX(CarrierDriverTBL!$AG:$AG,MATCH(Table1[DriverID],CarrierDriverTBL!$A:$A,0))</f>
        <v>466133</v>
      </c>
      <c r="BH324" s="171" t="str">
        <f>INDEX(CarrierDriverTBL!$AH:$AH,MATCH(Table1[DriverID],CarrierDriverTBL!$A:$A,0))</f>
        <v>GM Lawrence Ins</v>
      </c>
      <c r="BI324" s="171" t="str">
        <f>INDEX(CarrierDriverTBL!$AI:$AI,MATCH(Table1[DriverID],CarrierDriverTBL!$A:$A,0))</f>
        <v>DSK2842P160210</v>
      </c>
      <c r="BJ324" s="172">
        <f>INDEX(CarrierDriverTBL!$AJ:$AJ,MATCH(Table1[[#This Row],[DriverID]],CarrierDriverTBL!$A:$A,0))</f>
        <v>42778</v>
      </c>
      <c r="BK324" s="10">
        <f t="shared" si="147"/>
        <v>352</v>
      </c>
      <c r="BL324" s="5">
        <v>300</v>
      </c>
      <c r="BM324" s="171">
        <v>48</v>
      </c>
      <c r="BN324" s="133">
        <f t="shared" si="140"/>
        <v>6.25</v>
      </c>
      <c r="BO324" s="134">
        <f>0.93*Table1[[#This Row],[ChargeBroker]]</f>
        <v>279</v>
      </c>
      <c r="BP324" s="133">
        <f t="shared" si="141"/>
        <v>5.8125</v>
      </c>
      <c r="BQ324" s="133">
        <v>2.6</v>
      </c>
      <c r="BR324" s="215">
        <f t="shared" si="142"/>
        <v>0.1166666666666667</v>
      </c>
      <c r="BS324" s="133">
        <f t="shared" si="148"/>
        <v>5.6958333333333329</v>
      </c>
      <c r="BT324" s="133">
        <f t="shared" si="149"/>
        <v>5.6000000000000014</v>
      </c>
      <c r="BU324" s="10" t="str">
        <f t="shared" si="150"/>
        <v>American Freightways</v>
      </c>
      <c r="BV324" s="15"/>
      <c r="BW324" s="4" t="str">
        <f>Table1[[#This Row],[BrokerAddress]]</f>
        <v>10845 Rancho Bernardo Rd. Ste100</v>
      </c>
      <c r="BX324" s="4" t="str">
        <f t="shared" si="151"/>
        <v>San Diego</v>
      </c>
      <c r="BY324" s="4" t="str">
        <f t="shared" si="152"/>
        <v>CA</v>
      </c>
      <c r="BZ324" s="4">
        <f t="shared" si="153"/>
        <v>92127</v>
      </c>
      <c r="CA324" s="10" t="str">
        <f t="shared" si="154"/>
        <v>US</v>
      </c>
      <c r="CB324" s="15" t="s">
        <v>131</v>
      </c>
      <c r="CC324" s="62"/>
      <c r="CD324" s="15" t="s">
        <v>132</v>
      </c>
      <c r="CE324" s="64">
        <v>0</v>
      </c>
      <c r="CF324" s="4">
        <v>0</v>
      </c>
      <c r="CG324" s="132">
        <f t="shared" si="155"/>
        <v>0</v>
      </c>
      <c r="CH324" s="4" t="s">
        <v>132</v>
      </c>
      <c r="CI324" s="5">
        <v>0</v>
      </c>
      <c r="CJ324" s="4">
        <v>0</v>
      </c>
      <c r="CK324" s="132">
        <f t="shared" si="156"/>
        <v>0</v>
      </c>
      <c r="CL324" s="4" t="s">
        <v>132</v>
      </c>
      <c r="CM324" s="5">
        <v>0</v>
      </c>
      <c r="CN324" s="4">
        <v>0</v>
      </c>
      <c r="CO324" s="132">
        <f t="shared" si="157"/>
        <v>0</v>
      </c>
      <c r="CP324" s="4" t="s">
        <v>132</v>
      </c>
      <c r="CQ324" s="5">
        <v>0</v>
      </c>
      <c r="CR324" s="4">
        <v>0</v>
      </c>
      <c r="CS324" s="132">
        <f t="shared" si="158"/>
        <v>0</v>
      </c>
      <c r="CT324" s="132">
        <f t="shared" si="159"/>
        <v>0</v>
      </c>
      <c r="CU324" s="168">
        <f t="shared" si="160"/>
        <v>300</v>
      </c>
      <c r="CV324" s="177">
        <f t="shared" si="143"/>
        <v>0</v>
      </c>
      <c r="CW324" s="82">
        <f t="shared" si="144"/>
        <v>279</v>
      </c>
      <c r="CX324" s="79">
        <f>IF(ISBLANK(E324),"AddQuickPay",IF(E324=2,CU324*0.98,IF(E324=2.4,CU324*0.976,IF(E324=3,CU324*0.97,IF(E324=5,CU324*0.95,IF(E324=1.5,CU324*0.985,IF(E324=2.5,CU324*0.975,IF(E324=1.3,CU324*0.987,IF(E324=1,CU324*0.99,IF(E324=4,CU324*0.96,CU324*1))))))))))-Table1[[#This Row],[ComCheck+QuickPayFee]]</f>
        <v>300</v>
      </c>
      <c r="CY324" s="5">
        <f t="shared" si="161"/>
        <v>21</v>
      </c>
      <c r="CZ324" s="5">
        <f t="shared" si="162"/>
        <v>0</v>
      </c>
      <c r="DA324" s="258">
        <f>Table1[[#This Row],[OriginalDispatch]]-Table1[[#This Row],[QuickPayCharge]]</f>
        <v>21</v>
      </c>
      <c r="DB324" s="5">
        <v>0</v>
      </c>
      <c r="DC324" s="5" t="s">
        <v>133</v>
      </c>
      <c r="DD324" s="172">
        <f t="shared" si="163"/>
        <v>42426</v>
      </c>
      <c r="DE324" s="171">
        <f>MONTH(Table1[[#This Row],[Weekending]])</f>
        <v>2</v>
      </c>
      <c r="DF324" s="171">
        <f>YEAR(Table1[[#This Row],[Weekending]])</f>
        <v>2016</v>
      </c>
      <c r="DG324" s="4" t="s">
        <v>2299</v>
      </c>
    </row>
    <row r="325" spans="1:111">
      <c r="A325" s="416" t="str">
        <f t="shared" si="145"/>
        <v>0511wn93</v>
      </c>
      <c r="B325" s="104">
        <v>42426</v>
      </c>
      <c r="C325" s="15">
        <v>194230905</v>
      </c>
      <c r="D325" s="416" t="s">
        <v>111</v>
      </c>
      <c r="E325" s="15">
        <v>2</v>
      </c>
      <c r="F325" s="144" t="str">
        <f>INDEX(BrokerTBL!$B:$B,MATCH(D325,BrokerTBL!$A:$A,0))</f>
        <v>P.O. Box 3474</v>
      </c>
      <c r="G325" s="15" t="str">
        <f>INDEX(BrokerTBL!$C:$C,MATCH(D325,BrokerTBL!$A:$A,0))</f>
        <v>Chicago</v>
      </c>
      <c r="H325" s="4" t="str">
        <f>INDEX(BrokerTBL!$D:$D,MATCH(D325,BrokerTBL!$A:$A,0))</f>
        <v>Il</v>
      </c>
      <c r="I325" s="4" t="str">
        <f>INDEX(BrokerTBL!$E:$E,MATCH(D325,BrokerTBL!$A:$A,0))</f>
        <v>US</v>
      </c>
      <c r="J325" s="4">
        <f>INDEX(BrokerTBL!$F:$F,MATCH(D325,BrokerTBL!$A:$A,0))</f>
        <v>60654</v>
      </c>
      <c r="K325" s="416" t="s">
        <v>2300</v>
      </c>
      <c r="L325" s="81" t="s">
        <v>2301</v>
      </c>
      <c r="M325" s="104">
        <v>42426</v>
      </c>
      <c r="N325" s="15" t="s">
        <v>2302</v>
      </c>
      <c r="O325" s="15" t="s">
        <v>2303</v>
      </c>
      <c r="P325" s="416" t="s">
        <v>2304</v>
      </c>
      <c r="Q325" s="416" t="s">
        <v>2206</v>
      </c>
      <c r="R325" s="416" t="s">
        <v>2305</v>
      </c>
      <c r="S325" s="416" t="s">
        <v>2207</v>
      </c>
      <c r="T325" s="298" t="s">
        <v>123</v>
      </c>
      <c r="U325" s="416" t="s">
        <v>120</v>
      </c>
      <c r="V325" s="416">
        <v>53</v>
      </c>
      <c r="W325" s="416" t="s">
        <v>2306</v>
      </c>
      <c r="X325" s="225" t="s">
        <v>2307</v>
      </c>
      <c r="Y325" s="15" t="s">
        <v>2308</v>
      </c>
      <c r="Z325" s="416">
        <v>78</v>
      </c>
      <c r="AA325" s="416" t="s">
        <v>123</v>
      </c>
      <c r="AB325" s="416" t="s">
        <v>123</v>
      </c>
      <c r="AC325" s="416" t="s">
        <v>2309</v>
      </c>
      <c r="AD325" s="81" t="s">
        <v>1205</v>
      </c>
      <c r="AE325" s="104">
        <v>42426</v>
      </c>
      <c r="AF325" s="228">
        <v>0.75</v>
      </c>
      <c r="AG325" s="416" t="s">
        <v>2310</v>
      </c>
      <c r="AH325" s="416" t="s">
        <v>380</v>
      </c>
      <c r="AI325" s="416" t="s">
        <v>2206</v>
      </c>
      <c r="AJ325" s="416" t="s">
        <v>1608</v>
      </c>
      <c r="AK325" s="416" t="s">
        <v>2207</v>
      </c>
      <c r="AL325" s="416" t="s">
        <v>123</v>
      </c>
      <c r="AM325" s="171" t="str">
        <f>INDEX(CarrierDriverTBL!$B:$B,MATCH(Table1[[#This Row],[DriverID]],CarrierDriverTBL!$A:$A,0))</f>
        <v>UBTrucking</v>
      </c>
      <c r="AN325" s="10" t="s">
        <v>2234</v>
      </c>
      <c r="AO325" s="171" t="str">
        <f>INDEX(CarrierDriverTBL!$C:$C,MATCH(Table1[[#This Row],[DriverID]],CarrierDriverTBL!$A:$A,0))</f>
        <v>Arturo</v>
      </c>
      <c r="AP325" s="171" t="str">
        <f>INDEX(CarrierDriverTBL!$D:$D,MATCH(Table1[[#This Row],[DriverID]],CarrierDriverTBL!$A:$A,0))</f>
        <v>Carrillo</v>
      </c>
      <c r="AQ325" s="171" t="str">
        <f>INDEX(CarrierDriverTBL!$X:$X,MATCH(Table1[[#This Row],[DriverID]],CarrierDriverTBL!$A:$A,0))</f>
        <v>C7056793</v>
      </c>
      <c r="AR325" s="160">
        <f>INDEX(CarrierDriverTBL!$Y:$Y,MATCH(Table1[[#This Row],[DriverID]],CarrierDriverTBL!$A:$A,0))</f>
        <v>43410</v>
      </c>
      <c r="AS325" s="142" t="str">
        <f t="shared" si="146"/>
        <v>GOOD</v>
      </c>
      <c r="AT325" s="172">
        <f>INDEX(CarrierDriverTBL!$E:$E,MATCH(Table1[[#This Row],[DriverID]],CarrierDriverTBL!$A:$A,0))</f>
        <v>24782</v>
      </c>
      <c r="AU325" s="163">
        <f ca="1">INDEX(CarrierDriverTBL!$F:$F,MATCH(Table1[[#This Row],[DriverID]],CarrierDriverTBL!$A:$A,0))</f>
        <v>48.750684931506846</v>
      </c>
      <c r="AV325" s="171" t="str">
        <f>INDEX(CarrierDriverTBL!$K:$K,MATCH(Table1[[#This Row],[DriverID]],CarrierDriverTBL!$A:$A,0))</f>
        <v>209-276-9785</v>
      </c>
      <c r="AW325" s="171" t="str">
        <f>INDEX(CarrierDriverTBL!$M:$M,MATCH(Table1[[#This Row],[DriverID]],CarrierDriverTBL!$A:$A,0))</f>
        <v>1685 Winthrop Ln</v>
      </c>
      <c r="AX325" s="171" t="str">
        <f>INDEX(CarrierDriverTBL!$N:$N,MATCH(Table1[[#This Row],[DriverID]],CarrierDriverTBL!$A:$A,0))</f>
        <v>Ceres</v>
      </c>
      <c r="AY325" s="171" t="str">
        <f>INDEX(CarrierDriverTBL!$O:$O,MATCH(Table1[[#This Row],[DriverID]],CarrierDriverTBL!$A:$A,0))</f>
        <v>CA</v>
      </c>
      <c r="AZ325" s="171">
        <f>INDEX(CarrierDriverTBL!$P:$P,MATCH(Table1[[#This Row],[DriverID]],CarrierDriverTBL!$A:$A,0))</f>
        <v>95307</v>
      </c>
      <c r="BA325" s="171" t="str">
        <f>INDEX(CarrierDriverTBL!$Q:$Q,MATCH(Table1[[#This Row],[DriverID]],CarrierDriverTBL!$A:$A,0))</f>
        <v>US</v>
      </c>
      <c r="BB325" s="173" t="str">
        <f>INDEX(CarrierDriverTBL!$R:$R,MATCH(Table1[[#This Row],[DriverID]],CarrierDriverTBL!$A:$A,0))</f>
        <v>arturocarr777@gmail.com</v>
      </c>
      <c r="BC325" s="160">
        <f>INDEX(CarrierDriverTBL!$AB:$AB,MATCH(Table1[[#This Row],[DriverID]],CarrierDriverTBL!$A:$A,0))</f>
        <v>42418</v>
      </c>
      <c r="BD325" s="142" t="str">
        <f ca="1">INDEX(CarrierDriverTBL!$AD:$AD,MATCH(LoadMaster!$AN:$AN,CarrierDriverTBL!$A:$A,0))</f>
        <v>MISSING</v>
      </c>
      <c r="BE325" s="171">
        <f>INDEX(CarrierDriverTBL!$AE:$AE,MATCH(Table1[DriverID],CarrierDriverTBL!$A:$A,0))</f>
        <v>913971</v>
      </c>
      <c r="BF325" s="171">
        <f>INDEX(CarrierDriverTBL!$AF:$AF,MATCH(Table1[DriverID],CarrierDriverTBL!$A:$A,0))</f>
        <v>2627544</v>
      </c>
      <c r="BG325" s="10">
        <f>INDEX(CarrierDriverTBL!$AG:$AG,MATCH(Table1[DriverID],CarrierDriverTBL!$A:$A,0))</f>
        <v>466133</v>
      </c>
      <c r="BH325" s="171" t="str">
        <f>INDEX(CarrierDriverTBL!$AH:$AH,MATCH(Table1[DriverID],CarrierDriverTBL!$A:$A,0))</f>
        <v>GM Lawrence Ins</v>
      </c>
      <c r="BI325" s="171" t="str">
        <f>INDEX(CarrierDriverTBL!$AI:$AI,MATCH(Table1[DriverID],CarrierDriverTBL!$A:$A,0))</f>
        <v>DSK2842P160210</v>
      </c>
      <c r="BJ325" s="172">
        <f>INDEX(CarrierDriverTBL!$AJ:$AJ,MATCH(Table1[[#This Row],[DriverID]],CarrierDriverTBL!$A:$A,0))</f>
        <v>42778</v>
      </c>
      <c r="BK325" s="10">
        <f t="shared" si="147"/>
        <v>352</v>
      </c>
      <c r="BL325" s="5">
        <v>450</v>
      </c>
      <c r="BM325" s="171">
        <v>183</v>
      </c>
      <c r="BN325" s="133">
        <f t="shared" si="140"/>
        <v>2.459016393442623</v>
      </c>
      <c r="BO325" s="134">
        <f>0.93*Table1[[#This Row],[ChargeBroker]]</f>
        <v>418.5</v>
      </c>
      <c r="BP325" s="133">
        <f t="shared" si="141"/>
        <v>2.2868852459016393</v>
      </c>
      <c r="BQ325" s="133">
        <v>2.6</v>
      </c>
      <c r="BR325" s="215">
        <f t="shared" si="142"/>
        <v>0.1166666666666667</v>
      </c>
      <c r="BS325" s="133">
        <f t="shared" si="148"/>
        <v>2.1702185792349726</v>
      </c>
      <c r="BT325" s="133">
        <f t="shared" si="149"/>
        <v>21.350000000000005</v>
      </c>
      <c r="BU325" s="10" t="str">
        <f t="shared" si="150"/>
        <v>Ch Robinson</v>
      </c>
      <c r="BV325" s="15"/>
      <c r="BW325" s="4" t="str">
        <f>Table1[[#This Row],[BrokerAddress]]</f>
        <v>P.O. Box 3474</v>
      </c>
      <c r="BX325" s="4" t="str">
        <f t="shared" si="151"/>
        <v>Chicago</v>
      </c>
      <c r="BY325" s="4" t="str">
        <f t="shared" si="152"/>
        <v>Il</v>
      </c>
      <c r="BZ325" s="4">
        <f t="shared" si="153"/>
        <v>60654</v>
      </c>
      <c r="CA325" s="10" t="str">
        <f t="shared" si="154"/>
        <v>US</v>
      </c>
      <c r="CB325" s="15" t="s">
        <v>131</v>
      </c>
      <c r="CC325" s="62"/>
      <c r="CD325" s="15" t="s">
        <v>132</v>
      </c>
      <c r="CE325" s="64">
        <v>0</v>
      </c>
      <c r="CF325" s="4">
        <v>0</v>
      </c>
      <c r="CG325" s="132">
        <f t="shared" si="155"/>
        <v>0</v>
      </c>
      <c r="CH325" s="4" t="s">
        <v>132</v>
      </c>
      <c r="CI325" s="5">
        <v>0</v>
      </c>
      <c r="CJ325" s="4">
        <v>0</v>
      </c>
      <c r="CK325" s="132">
        <f t="shared" si="156"/>
        <v>0</v>
      </c>
      <c r="CL325" s="4" t="s">
        <v>132</v>
      </c>
      <c r="CM325" s="5">
        <v>0</v>
      </c>
      <c r="CN325" s="4">
        <v>0</v>
      </c>
      <c r="CO325" s="132">
        <f t="shared" si="157"/>
        <v>0</v>
      </c>
      <c r="CP325" s="4" t="s">
        <v>132</v>
      </c>
      <c r="CQ325" s="5">
        <v>0</v>
      </c>
      <c r="CR325" s="4">
        <v>0</v>
      </c>
      <c r="CS325" s="132">
        <f t="shared" si="158"/>
        <v>0</v>
      </c>
      <c r="CT325" s="132">
        <f t="shared" si="159"/>
        <v>0</v>
      </c>
      <c r="CU325" s="168">
        <f t="shared" si="160"/>
        <v>450</v>
      </c>
      <c r="CV325" s="177">
        <f t="shared" si="143"/>
        <v>0</v>
      </c>
      <c r="CW325" s="82">
        <f t="shared" si="144"/>
        <v>418.5</v>
      </c>
      <c r="CX325" s="79">
        <f>IF(ISBLANK(E325),"AddQuickPay",IF(E325=2,CU325*0.98,IF(E325=2.4,CU325*0.976,IF(E325=3,CU325*0.97,IF(E325=5,CU325*0.95,IF(E325=1.5,CU325*0.985,IF(E325=2.5,CU325*0.975,IF(E325=1.3,CU325*0.987,IF(E325=1,CU325*0.99,IF(E325=4,CU325*0.96,CU325*1))))))))))-Table1[[#This Row],[ComCheck+QuickPayFee]]</f>
        <v>441</v>
      </c>
      <c r="CY325" s="5">
        <f t="shared" si="161"/>
        <v>31.5</v>
      </c>
      <c r="CZ325" s="5">
        <f t="shared" si="162"/>
        <v>9</v>
      </c>
      <c r="DA325" s="258">
        <f>Table1[[#This Row],[OriginalDispatch]]-Table1[[#This Row],[QuickPayCharge]]</f>
        <v>22.5</v>
      </c>
      <c r="DB325" s="5">
        <v>0</v>
      </c>
      <c r="DC325" s="5" t="s">
        <v>133</v>
      </c>
      <c r="DD325" s="172">
        <f t="shared" si="163"/>
        <v>42426</v>
      </c>
      <c r="DE325" s="171">
        <f>MONTH(Table1[[#This Row],[Weekending]])</f>
        <v>2</v>
      </c>
      <c r="DF325" s="171">
        <f>YEAR(Table1[[#This Row],[Weekending]])</f>
        <v>2016</v>
      </c>
      <c r="DG325" s="4"/>
    </row>
    <row r="326" spans="1:111">
      <c r="A326" s="416" t="str">
        <f t="shared" si="145"/>
        <v>10907593</v>
      </c>
      <c r="B326" s="104">
        <v>42430</v>
      </c>
      <c r="C326" s="414">
        <v>193390910</v>
      </c>
      <c r="D326" s="416" t="s">
        <v>111</v>
      </c>
      <c r="E326" s="15">
        <v>2</v>
      </c>
      <c r="F326" s="144" t="str">
        <f>INDEX(BrokerTBL!$B:$B,MATCH(D326,BrokerTBL!$A:$A,0))</f>
        <v>P.O. Box 3474</v>
      </c>
      <c r="G326" s="15" t="str">
        <f>INDEX(BrokerTBL!$C:$C,MATCH(D326,BrokerTBL!$A:$A,0))</f>
        <v>Chicago</v>
      </c>
      <c r="H326" s="4" t="str">
        <f>INDEX(BrokerTBL!$D:$D,MATCH(D326,BrokerTBL!$A:$A,0))</f>
        <v>Il</v>
      </c>
      <c r="I326" s="4" t="str">
        <f>INDEX(BrokerTBL!$E:$E,MATCH(D326,BrokerTBL!$A:$A,0))</f>
        <v>US</v>
      </c>
      <c r="J326" s="4">
        <f>INDEX(BrokerTBL!$F:$F,MATCH(D326,BrokerTBL!$A:$A,0))</f>
        <v>60654</v>
      </c>
      <c r="K326" s="416" t="s">
        <v>1437</v>
      </c>
      <c r="L326" s="81" t="s">
        <v>2311</v>
      </c>
      <c r="M326" s="104">
        <v>42429</v>
      </c>
      <c r="N326" s="15" t="s">
        <v>629</v>
      </c>
      <c r="O326" s="15" t="s">
        <v>1439</v>
      </c>
      <c r="P326" s="416" t="s">
        <v>1440</v>
      </c>
      <c r="Q326" s="416" t="s">
        <v>2206</v>
      </c>
      <c r="R326" s="416" t="s">
        <v>1879</v>
      </c>
      <c r="S326" s="416" t="s">
        <v>2207</v>
      </c>
      <c r="T326" s="416" t="s">
        <v>2312</v>
      </c>
      <c r="U326" s="416" t="s">
        <v>120</v>
      </c>
      <c r="V326" s="416">
        <v>53</v>
      </c>
      <c r="W326" s="416" t="s">
        <v>141</v>
      </c>
      <c r="X326" s="225">
        <v>31200</v>
      </c>
      <c r="Y326" s="15" t="s">
        <v>123</v>
      </c>
      <c r="Z326" s="416">
        <v>3</v>
      </c>
      <c r="AA326" s="416" t="s">
        <v>123</v>
      </c>
      <c r="AB326" s="416" t="s">
        <v>123</v>
      </c>
      <c r="AC326" s="416" t="s">
        <v>2313</v>
      </c>
      <c r="AD326" s="81" t="s">
        <v>2314</v>
      </c>
      <c r="AE326" s="104">
        <v>42430</v>
      </c>
      <c r="AF326" s="416" t="s">
        <v>123</v>
      </c>
      <c r="AG326" s="416" t="s">
        <v>2315</v>
      </c>
      <c r="AH326" s="416" t="s">
        <v>2316</v>
      </c>
      <c r="AI326" s="416" t="s">
        <v>2317</v>
      </c>
      <c r="AJ326" s="416" t="s">
        <v>2318</v>
      </c>
      <c r="AK326" s="416" t="s">
        <v>2207</v>
      </c>
      <c r="AL326" s="416" t="s">
        <v>123</v>
      </c>
      <c r="AM326" s="171" t="str">
        <f>INDEX(CarrierDriverTBL!$B:$B,MATCH(Table1[[#This Row],[DriverID]],CarrierDriverTBL!$A:$A,0))</f>
        <v>UBTrucking</v>
      </c>
      <c r="AN326" s="10" t="s">
        <v>2234</v>
      </c>
      <c r="AO326" s="171" t="str">
        <f>INDEX(CarrierDriverTBL!$C:$C,MATCH(Table1[[#This Row],[DriverID]],CarrierDriverTBL!$A:$A,0))</f>
        <v>Arturo</v>
      </c>
      <c r="AP326" s="171" t="str">
        <f>INDEX(CarrierDriverTBL!$D:$D,MATCH(Table1[[#This Row],[DriverID]],CarrierDriverTBL!$A:$A,0))</f>
        <v>Carrillo</v>
      </c>
      <c r="AQ326" s="171" t="str">
        <f>INDEX(CarrierDriverTBL!$X:$X,MATCH(Table1[[#This Row],[DriverID]],CarrierDriverTBL!$A:$A,0))</f>
        <v>C7056793</v>
      </c>
      <c r="AR326" s="160">
        <f>INDEX(CarrierDriverTBL!$Y:$Y,MATCH(Table1[[#This Row],[DriverID]],CarrierDriverTBL!$A:$A,0))</f>
        <v>43410</v>
      </c>
      <c r="AS326" s="142" t="str">
        <f t="shared" si="146"/>
        <v>GOOD</v>
      </c>
      <c r="AT326" s="172">
        <f>INDEX(CarrierDriverTBL!$E:$E,MATCH(Table1[[#This Row],[DriverID]],CarrierDriverTBL!$A:$A,0))</f>
        <v>24782</v>
      </c>
      <c r="AU326" s="163">
        <f ca="1">INDEX(CarrierDriverTBL!$F:$F,MATCH(Table1[[#This Row],[DriverID]],CarrierDriverTBL!$A:$A,0))</f>
        <v>48.750684931506846</v>
      </c>
      <c r="AV326" s="171" t="str">
        <f>INDEX(CarrierDriverTBL!$K:$K,MATCH(Table1[[#This Row],[DriverID]],CarrierDriverTBL!$A:$A,0))</f>
        <v>209-276-9785</v>
      </c>
      <c r="AW326" s="171" t="str">
        <f>INDEX(CarrierDriverTBL!$M:$M,MATCH(Table1[[#This Row],[DriverID]],CarrierDriverTBL!$A:$A,0))</f>
        <v>1685 Winthrop Ln</v>
      </c>
      <c r="AX326" s="171" t="str">
        <f>INDEX(CarrierDriverTBL!$N:$N,MATCH(Table1[[#This Row],[DriverID]],CarrierDriverTBL!$A:$A,0))</f>
        <v>Ceres</v>
      </c>
      <c r="AY326" s="171" t="str">
        <f>INDEX(CarrierDriverTBL!$O:$O,MATCH(Table1[[#This Row],[DriverID]],CarrierDriverTBL!$A:$A,0))</f>
        <v>CA</v>
      </c>
      <c r="AZ326" s="171">
        <f>INDEX(CarrierDriverTBL!$P:$P,MATCH(Table1[[#This Row],[DriverID]],CarrierDriverTBL!$A:$A,0))</f>
        <v>95307</v>
      </c>
      <c r="BA326" s="171" t="str">
        <f>INDEX(CarrierDriverTBL!$Q:$Q,MATCH(Table1[[#This Row],[DriverID]],CarrierDriverTBL!$A:$A,0))</f>
        <v>US</v>
      </c>
      <c r="BB326" s="173" t="str">
        <f>INDEX(CarrierDriverTBL!$R:$R,MATCH(Table1[[#This Row],[DriverID]],CarrierDriverTBL!$A:$A,0))</f>
        <v>arturocarr777@gmail.com</v>
      </c>
      <c r="BC326" s="160">
        <f>INDEX(CarrierDriverTBL!$AB:$AB,MATCH(Table1[[#This Row],[DriverID]],CarrierDriverTBL!$A:$A,0))</f>
        <v>42418</v>
      </c>
      <c r="BD326" s="142" t="str">
        <f ca="1">INDEX(CarrierDriverTBL!$AD:$AD,MATCH(LoadMaster!$AN:$AN,CarrierDriverTBL!$A:$A,0))</f>
        <v>MISSING</v>
      </c>
      <c r="BE326" s="171">
        <f>INDEX(CarrierDriverTBL!$AE:$AE,MATCH(Table1[DriverID],CarrierDriverTBL!$A:$A,0))</f>
        <v>913971</v>
      </c>
      <c r="BF326" s="171">
        <f>INDEX(CarrierDriverTBL!$AF:$AF,MATCH(Table1[DriverID],CarrierDriverTBL!$A:$A,0))</f>
        <v>2627544</v>
      </c>
      <c r="BG326" s="10">
        <f>INDEX(CarrierDriverTBL!$AG:$AG,MATCH(Table1[DriverID],CarrierDriverTBL!$A:$A,0))</f>
        <v>466133</v>
      </c>
      <c r="BH326" s="171" t="str">
        <f>INDEX(CarrierDriverTBL!$AH:$AH,MATCH(Table1[DriverID],CarrierDriverTBL!$A:$A,0))</f>
        <v>GM Lawrence Ins</v>
      </c>
      <c r="BI326" s="171" t="str">
        <f>INDEX(CarrierDriverTBL!$AI:$AI,MATCH(Table1[DriverID],CarrierDriverTBL!$A:$A,0))</f>
        <v>DSK2842P160210</v>
      </c>
      <c r="BJ326" s="172">
        <f>INDEX(CarrierDriverTBL!$AJ:$AJ,MATCH(Table1[[#This Row],[DriverID]],CarrierDriverTBL!$A:$A,0))</f>
        <v>42778</v>
      </c>
      <c r="BK326" s="10">
        <f t="shared" si="147"/>
        <v>349</v>
      </c>
      <c r="BL326" s="5">
        <v>800</v>
      </c>
      <c r="BM326" s="171">
        <v>162</v>
      </c>
      <c r="BN326" s="133">
        <f t="shared" ref="BN326:BN389" si="164">BL326/BM326</f>
        <v>4.9382716049382713</v>
      </c>
      <c r="BO326" s="134">
        <f>0.93*800</f>
        <v>744</v>
      </c>
      <c r="BP326" s="133">
        <f t="shared" ref="BP326:BP389" si="165">BO326/BM326</f>
        <v>4.5925925925925926</v>
      </c>
      <c r="BQ326" s="133">
        <v>2.6</v>
      </c>
      <c r="BR326" s="215">
        <f t="shared" ref="BR326:BR389" si="166">(BQ326-1.9)/6</f>
        <v>0.1166666666666667</v>
      </c>
      <c r="BS326" s="133">
        <f t="shared" si="148"/>
        <v>4.4759259259259263</v>
      </c>
      <c r="BT326" s="133">
        <f t="shared" si="149"/>
        <v>18.900000000000006</v>
      </c>
      <c r="BU326" s="10" t="str">
        <f t="shared" si="150"/>
        <v>Ch Robinson</v>
      </c>
      <c r="BV326" s="15"/>
      <c r="BW326" s="4" t="str">
        <f>Table1[[#This Row],[BrokerAddress]]</f>
        <v>P.O. Box 3474</v>
      </c>
      <c r="BX326" s="4" t="str">
        <f t="shared" si="151"/>
        <v>Chicago</v>
      </c>
      <c r="BY326" s="4" t="str">
        <f t="shared" si="152"/>
        <v>Il</v>
      </c>
      <c r="BZ326" s="4">
        <f t="shared" si="153"/>
        <v>60654</v>
      </c>
      <c r="CA326" s="10" t="str">
        <f t="shared" si="154"/>
        <v>US</v>
      </c>
      <c r="CB326" s="15" t="s">
        <v>131</v>
      </c>
      <c r="CC326" s="62"/>
      <c r="CD326" s="15" t="s">
        <v>132</v>
      </c>
      <c r="CE326" s="64">
        <v>0</v>
      </c>
      <c r="CF326" s="4">
        <v>0</v>
      </c>
      <c r="CG326" s="132">
        <f t="shared" si="155"/>
        <v>0</v>
      </c>
      <c r="CH326" s="4" t="s">
        <v>132</v>
      </c>
      <c r="CI326" s="5">
        <v>0</v>
      </c>
      <c r="CJ326" s="4">
        <v>0</v>
      </c>
      <c r="CK326" s="132">
        <f t="shared" si="156"/>
        <v>0</v>
      </c>
      <c r="CL326" s="4" t="s">
        <v>132</v>
      </c>
      <c r="CM326" s="5">
        <v>0</v>
      </c>
      <c r="CN326" s="4">
        <v>0</v>
      </c>
      <c r="CO326" s="132">
        <f t="shared" si="157"/>
        <v>0</v>
      </c>
      <c r="CP326" s="4" t="s">
        <v>132</v>
      </c>
      <c r="CQ326" s="5">
        <v>0</v>
      </c>
      <c r="CR326" s="4">
        <v>0</v>
      </c>
      <c r="CS326" s="132">
        <f t="shared" si="158"/>
        <v>0</v>
      </c>
      <c r="CT326" s="132">
        <f t="shared" si="159"/>
        <v>0</v>
      </c>
      <c r="CU326" s="168">
        <f t="shared" si="160"/>
        <v>800</v>
      </c>
      <c r="CV326" s="177">
        <f t="shared" si="143"/>
        <v>0</v>
      </c>
      <c r="CW326" s="82">
        <f t="shared" si="144"/>
        <v>744</v>
      </c>
      <c r="CX326" s="79">
        <f>IF(ISBLANK(E326),"AddQuickPay",IF(E326=2,CU326*0.98,IF(E326=2.4,CU326*0.976,IF(E326=3,CU326*0.97,IF(E326=5,CU326*0.95,IF(E326=1.5,CU326*0.985,IF(E326=2.5,CU326*0.975,IF(E326=1.3,CU326*0.987,IF(E326=1,CU326*0.99,IF(E326=4,CU326*0.96,CU326*1))))))))))-Table1[[#This Row],[ComCheck+QuickPayFee]]</f>
        <v>784</v>
      </c>
      <c r="CY326" s="5">
        <f t="shared" si="161"/>
        <v>56</v>
      </c>
      <c r="CZ326" s="5">
        <f t="shared" si="162"/>
        <v>16</v>
      </c>
      <c r="DA326" s="258">
        <f>Table1[[#This Row],[OriginalDispatch]]-Table1[[#This Row],[QuickPayCharge]]</f>
        <v>40</v>
      </c>
      <c r="DB326" s="5">
        <v>0</v>
      </c>
      <c r="DC326" s="5" t="s">
        <v>133</v>
      </c>
      <c r="DD326" s="172">
        <f t="shared" si="163"/>
        <v>42433</v>
      </c>
      <c r="DE326" s="171">
        <f>MONTH(Table1[[#This Row],[Weekending]])</f>
        <v>3</v>
      </c>
      <c r="DF326" s="171">
        <f>YEAR(Table1[[#This Row],[Weekending]])</f>
        <v>2016</v>
      </c>
      <c r="DG326" s="4"/>
    </row>
    <row r="327" spans="1:111">
      <c r="A327" s="416" t="str">
        <f t="shared" si="145"/>
        <v>33243349</v>
      </c>
      <c r="B327" s="104">
        <v>42430</v>
      </c>
      <c r="C327" s="414">
        <v>6991133</v>
      </c>
      <c r="D327" s="416" t="s">
        <v>445</v>
      </c>
      <c r="E327" s="15">
        <v>3</v>
      </c>
      <c r="F327" s="144" t="str">
        <f>INDEX(BrokerTBL!$B:$B,MATCH(D327,BrokerTBL!$A:$A,0))</f>
        <v>960 Northpoint Parkway Suite 150</v>
      </c>
      <c r="G327" s="15" t="str">
        <f>INDEX(BrokerTBL!$C:$C,MATCH(D327,BrokerTBL!$A:$A,0))</f>
        <v>Alpharetta</v>
      </c>
      <c r="H327" s="4" t="str">
        <f>INDEX(BrokerTBL!$D:$D,MATCH(D327,BrokerTBL!$A:$A,0))</f>
        <v>Ga</v>
      </c>
      <c r="I327" s="4" t="str">
        <f>INDEX(BrokerTBL!$E:$E,MATCH(D327,BrokerTBL!$A:$A,0))</f>
        <v>US</v>
      </c>
      <c r="J327" s="4">
        <f>INDEX(BrokerTBL!$F:$F,MATCH(D327,BrokerTBL!$A:$A,0))</f>
        <v>30005</v>
      </c>
      <c r="K327" s="416" t="s">
        <v>2319</v>
      </c>
      <c r="L327" s="81">
        <v>135424</v>
      </c>
      <c r="M327" s="104">
        <v>42429</v>
      </c>
      <c r="N327" s="15" t="s">
        <v>2320</v>
      </c>
      <c r="O327" s="15" t="s">
        <v>2321</v>
      </c>
      <c r="P327" s="416" t="s">
        <v>765</v>
      </c>
      <c r="Q327" s="416" t="s">
        <v>2206</v>
      </c>
      <c r="R327" s="416">
        <v>94536</v>
      </c>
      <c r="S327" s="416" t="s">
        <v>118</v>
      </c>
      <c r="T327" s="416" t="s">
        <v>2322</v>
      </c>
      <c r="U327" s="416" t="s">
        <v>120</v>
      </c>
      <c r="V327" s="416">
        <v>53</v>
      </c>
      <c r="W327" s="416" t="s">
        <v>2323</v>
      </c>
      <c r="X327" s="225">
        <v>44500</v>
      </c>
      <c r="Y327" s="15" t="s">
        <v>566</v>
      </c>
      <c r="Z327" s="416">
        <v>13</v>
      </c>
      <c r="AA327" s="416" t="s">
        <v>123</v>
      </c>
      <c r="AB327" s="416" t="s">
        <v>123</v>
      </c>
      <c r="AC327" s="416" t="s">
        <v>2324</v>
      </c>
      <c r="AD327" s="81">
        <v>13433</v>
      </c>
      <c r="AE327" s="104">
        <v>42429</v>
      </c>
      <c r="AF327" s="226">
        <v>0.5625</v>
      </c>
      <c r="AG327" s="416" t="s">
        <v>2325</v>
      </c>
      <c r="AH327" s="416" t="s">
        <v>2326</v>
      </c>
      <c r="AI327" s="416" t="s">
        <v>2206</v>
      </c>
      <c r="AJ327" s="416">
        <v>95313</v>
      </c>
      <c r="AK327" s="416" t="s">
        <v>2207</v>
      </c>
      <c r="AL327" s="416" t="s">
        <v>2327</v>
      </c>
      <c r="AM327" s="171" t="str">
        <f>INDEX(CarrierDriverTBL!$B:$B,MATCH(Table1[[#This Row],[DriverID]],CarrierDriverTBL!$A:$A,0))</f>
        <v>UBTrucking</v>
      </c>
      <c r="AN327" s="10" t="s">
        <v>192</v>
      </c>
      <c r="AO327" s="171" t="str">
        <f>INDEX(CarrierDriverTBL!$C:$C,MATCH(Table1[[#This Row],[DriverID]],CarrierDriverTBL!$A:$A,0))</f>
        <v>Albel</v>
      </c>
      <c r="AP327" s="171" t="str">
        <f>INDEX(CarrierDriverTBL!$D:$D,MATCH(Table1[[#This Row],[DriverID]],CarrierDriverTBL!$A:$A,0))</f>
        <v>Chahil</v>
      </c>
      <c r="AQ327" s="171" t="str">
        <f>INDEX(CarrierDriverTBL!$X:$X,MATCH(Table1[[#This Row],[DriverID]],CarrierDriverTBL!$A:$A,0))</f>
        <v>A8390649</v>
      </c>
      <c r="AR327" s="172">
        <f>INDEX(CarrierDriverTBL!$Y:$Y,MATCH(Table1[[#This Row],[DriverID]],CarrierDriverTBL!$A:$A,0))</f>
        <v>42402</v>
      </c>
      <c r="AS327" s="142" t="str">
        <f t="shared" si="146"/>
        <v>EXPIRED</v>
      </c>
      <c r="AT327" s="172">
        <f>INDEX(CarrierDriverTBL!$E:$E,MATCH(Table1[[#This Row],[DriverID]],CarrierDriverTBL!$A:$A,0))</f>
        <v>22314</v>
      </c>
      <c r="AU327" s="163">
        <f ca="1">INDEX(CarrierDriverTBL!$F:$F,MATCH(Table1[[#This Row],[DriverID]],CarrierDriverTBL!$A:$A,0))</f>
        <v>55.512328767123286</v>
      </c>
      <c r="AV327" s="171" t="str">
        <f>INDEX(CarrierDriverTBL!$K:$K,MATCH(Table1[[#This Row],[DriverID]],CarrierDriverTBL!$A:$A,0))</f>
        <v>510-773-9450</v>
      </c>
      <c r="AW327" s="171" t="str">
        <f>INDEX(CarrierDriverTBL!$M:$M,MATCH(Table1[[#This Row],[DriverID]],CarrierDriverTBL!$A:$A,0))</f>
        <v>3124 Cynthia CT</v>
      </c>
      <c r="AX327" s="171" t="str">
        <f>INDEX(CarrierDriverTBL!$N:$N,MATCH(Table1[[#This Row],[DriverID]],CarrierDriverTBL!$A:$A,0))</f>
        <v>Tracy</v>
      </c>
      <c r="AY327" s="171" t="str">
        <f>INDEX(CarrierDriverTBL!$O:$O,MATCH(Table1[[#This Row],[DriverID]],CarrierDriverTBL!$A:$A,0))</f>
        <v>CA</v>
      </c>
      <c r="AZ327" s="171">
        <f>INDEX(CarrierDriverTBL!$P:$P,MATCH(Table1[[#This Row],[DriverID]],CarrierDriverTBL!$A:$A,0))</f>
        <v>95377</v>
      </c>
      <c r="BA327" s="171" t="str">
        <f>INDEX(CarrierDriverTBL!$Q:$Q,MATCH(Table1[[#This Row],[DriverID]],CarrierDriverTBL!$A:$A,0))</f>
        <v>US</v>
      </c>
      <c r="BB327" s="173" t="str">
        <f>INDEX(CarrierDriverTBL!$R:$R,MATCH(Table1[[#This Row],[DriverID]],CarrierDriverTBL!$A:$A,0))</f>
        <v>ubgollc@gmail.com</v>
      </c>
      <c r="BC327" s="160">
        <f>INDEX(CarrierDriverTBL!$AB:$AB,MATCH(Table1[[#This Row],[DriverID]],CarrierDriverTBL!$A:$A,0))</f>
        <v>42167</v>
      </c>
      <c r="BD327" s="142" t="str">
        <f ca="1">INDEX(CarrierDriverTBL!$AD:$AD,MATCH(LoadMaster!$AN:$AN,CarrierDriverTBL!$A:$A,0))</f>
        <v>MISSING</v>
      </c>
      <c r="BE327" s="171">
        <f>INDEX(CarrierDriverTBL!$AE:$AE,MATCH(Table1[DriverID],CarrierDriverTBL!$A:$A,0))</f>
        <v>913971</v>
      </c>
      <c r="BF327" s="171">
        <f>INDEX(CarrierDriverTBL!$AF:$AF,MATCH(Table1[DriverID],CarrierDriverTBL!$A:$A,0))</f>
        <v>2627544</v>
      </c>
      <c r="BG327" s="10">
        <f>INDEX(CarrierDriverTBL!$AG:$AG,MATCH(Table1[DriverID],CarrierDriverTBL!$A:$A,0))</f>
        <v>466133</v>
      </c>
      <c r="BH327" s="171" t="str">
        <f>INDEX(CarrierDriverTBL!$AH:$AH,MATCH(Table1[DriverID],CarrierDriverTBL!$A:$A,0))</f>
        <v>GM Lawrence Ins</v>
      </c>
      <c r="BI327" s="171" t="str">
        <f>INDEX(CarrierDriverTBL!$AI:$AI,MATCH(Table1[DriverID],CarrierDriverTBL!$A:$A,0))</f>
        <v>DSK2842P160210</v>
      </c>
      <c r="BJ327" s="172">
        <f>INDEX(CarrierDriverTBL!$AJ:$AJ,MATCH(Table1[[#This Row],[DriverID]],CarrierDriverTBL!$A:$A,0))</f>
        <v>42778</v>
      </c>
      <c r="BK327" s="10">
        <f t="shared" si="147"/>
        <v>349</v>
      </c>
      <c r="BL327" s="5">
        <v>375</v>
      </c>
      <c r="BM327" s="171">
        <v>75.400000000000006</v>
      </c>
      <c r="BN327" s="133">
        <f t="shared" si="164"/>
        <v>4.9734748010610073</v>
      </c>
      <c r="BO327" s="134">
        <f>0.93*375</f>
        <v>348.75</v>
      </c>
      <c r="BP327" s="133">
        <f t="shared" si="165"/>
        <v>4.6253315649867375</v>
      </c>
      <c r="BQ327" s="133">
        <v>2.6</v>
      </c>
      <c r="BR327" s="215">
        <f t="shared" si="166"/>
        <v>0.1166666666666667</v>
      </c>
      <c r="BS327" s="133">
        <f t="shared" si="148"/>
        <v>4.5086648983200703</v>
      </c>
      <c r="BT327" s="133">
        <f t="shared" si="149"/>
        <v>8.7966666666666704</v>
      </c>
      <c r="BU327" s="10" t="str">
        <f t="shared" si="150"/>
        <v>Coyote</v>
      </c>
      <c r="BV327" s="15"/>
      <c r="BW327" s="4" t="str">
        <f>Table1[[#This Row],[BrokerAddress]]</f>
        <v>960 Northpoint Parkway Suite 150</v>
      </c>
      <c r="BX327" s="4" t="str">
        <f t="shared" si="151"/>
        <v>Alpharetta</v>
      </c>
      <c r="BY327" s="4" t="str">
        <f t="shared" si="152"/>
        <v>Ga</v>
      </c>
      <c r="BZ327" s="4">
        <f t="shared" si="153"/>
        <v>30005</v>
      </c>
      <c r="CA327" s="10" t="str">
        <f t="shared" si="154"/>
        <v>US</v>
      </c>
      <c r="CB327" s="15" t="s">
        <v>131</v>
      </c>
      <c r="CC327" s="62"/>
      <c r="CD327" s="15" t="s">
        <v>132</v>
      </c>
      <c r="CE327" s="64">
        <v>0</v>
      </c>
      <c r="CF327" s="4">
        <v>0</v>
      </c>
      <c r="CG327" s="132">
        <f t="shared" si="155"/>
        <v>0</v>
      </c>
      <c r="CH327" s="4" t="s">
        <v>132</v>
      </c>
      <c r="CI327" s="5">
        <v>0</v>
      </c>
      <c r="CJ327" s="4">
        <v>0</v>
      </c>
      <c r="CK327" s="132">
        <f t="shared" si="156"/>
        <v>0</v>
      </c>
      <c r="CL327" s="4" t="s">
        <v>132</v>
      </c>
      <c r="CM327" s="5">
        <v>0</v>
      </c>
      <c r="CN327" s="4">
        <v>0</v>
      </c>
      <c r="CO327" s="132">
        <f t="shared" si="157"/>
        <v>0</v>
      </c>
      <c r="CP327" s="4" t="s">
        <v>132</v>
      </c>
      <c r="CQ327" s="5">
        <v>0</v>
      </c>
      <c r="CR327" s="4">
        <v>0</v>
      </c>
      <c r="CS327" s="132">
        <f t="shared" si="158"/>
        <v>0</v>
      </c>
      <c r="CT327" s="132">
        <f t="shared" si="159"/>
        <v>0</v>
      </c>
      <c r="CU327" s="168">
        <f t="shared" si="160"/>
        <v>375</v>
      </c>
      <c r="CV327" s="177">
        <f t="shared" si="143"/>
        <v>0</v>
      </c>
      <c r="CW327" s="82">
        <f t="shared" si="144"/>
        <v>348.75</v>
      </c>
      <c r="CX327" s="79">
        <f>IF(ISBLANK(E327),"AddQuickPay",IF(E327=2,CU327*0.98,IF(E327=2.4,CU327*0.976,IF(E327=3,CU327*0.97,IF(E327=5,CU327*0.95,IF(E327=1.5,CU327*0.985,IF(E327=2.5,CU327*0.975,IF(E327=1.3,CU327*0.987,IF(E327=1,CU327*0.99,IF(E327=4,CU327*0.96,CU327*1))))))))))-Table1[[#This Row],[ComCheck+QuickPayFee]]</f>
        <v>363.75</v>
      </c>
      <c r="CY327" s="5">
        <f t="shared" si="161"/>
        <v>26.25</v>
      </c>
      <c r="CZ327" s="5">
        <f t="shared" si="162"/>
        <v>11.25</v>
      </c>
      <c r="DA327" s="258">
        <f>Table1[[#This Row],[OriginalDispatch]]-Table1[[#This Row],[QuickPayCharge]]</f>
        <v>15</v>
      </c>
      <c r="DB327" s="5">
        <v>0</v>
      </c>
      <c r="DC327" s="5" t="s">
        <v>133</v>
      </c>
      <c r="DD327" s="172">
        <f t="shared" si="163"/>
        <v>42433</v>
      </c>
      <c r="DE327" s="171">
        <f>MONTH(Table1[[#This Row],[Weekending]])</f>
        <v>3</v>
      </c>
      <c r="DF327" s="171">
        <f>YEAR(Table1[[#This Row],[Weekending]])</f>
        <v>2016</v>
      </c>
      <c r="DG327" s="4"/>
    </row>
    <row r="328" spans="1:111">
      <c r="A328" s="416" t="str">
        <f t="shared" si="145"/>
        <v>53wnwn93</v>
      </c>
      <c r="B328" s="104">
        <v>42430</v>
      </c>
      <c r="C328" s="414">
        <v>2398553</v>
      </c>
      <c r="D328" s="416" t="s">
        <v>1638</v>
      </c>
      <c r="E328" s="15">
        <v>2</v>
      </c>
      <c r="F328" s="144" t="str">
        <f>INDEX(BrokerTBL!$B:$B,MATCH(D328,BrokerTBL!$A:$A,0))</f>
        <v>4040 Embassy Parkway Suite 370</v>
      </c>
      <c r="G328" s="15" t="str">
        <f>INDEX(BrokerTBL!$C:$C,MATCH(D328,BrokerTBL!$A:$A,0))</f>
        <v>Akron</v>
      </c>
      <c r="H328" s="4" t="str">
        <f>INDEX(BrokerTBL!$D:$D,MATCH(D328,BrokerTBL!$A:$A,0))</f>
        <v>Ohio</v>
      </c>
      <c r="I328" s="4" t="str">
        <f>INDEX(BrokerTBL!$E:$E,MATCH(D328,BrokerTBL!$A:$A,0))</f>
        <v>US</v>
      </c>
      <c r="J328" s="4">
        <f>INDEX(BrokerTBL!$F:$F,MATCH(D328,BrokerTBL!$A:$A,0))</f>
        <v>44333</v>
      </c>
      <c r="K328" s="416" t="s">
        <v>2239</v>
      </c>
      <c r="L328" s="81" t="s">
        <v>1205</v>
      </c>
      <c r="M328" s="104">
        <v>42430</v>
      </c>
      <c r="N328" s="162" t="s">
        <v>123</v>
      </c>
      <c r="O328" s="15" t="s">
        <v>2242</v>
      </c>
      <c r="P328" s="416" t="s">
        <v>2243</v>
      </c>
      <c r="Q328" s="416" t="s">
        <v>2233</v>
      </c>
      <c r="R328" s="416">
        <v>89706</v>
      </c>
      <c r="S328" s="416" t="s">
        <v>2207</v>
      </c>
      <c r="T328" s="416" t="s">
        <v>1643</v>
      </c>
      <c r="U328" s="416" t="s">
        <v>120</v>
      </c>
      <c r="V328" s="416">
        <v>53</v>
      </c>
      <c r="W328" s="416" t="s">
        <v>2244</v>
      </c>
      <c r="X328" s="225">
        <v>44000</v>
      </c>
      <c r="Y328" s="15" t="s">
        <v>123</v>
      </c>
      <c r="Z328" s="416" t="s">
        <v>123</v>
      </c>
      <c r="AA328" s="416" t="s">
        <v>123</v>
      </c>
      <c r="AB328" s="416" t="s">
        <v>123</v>
      </c>
      <c r="AC328" s="416" t="s">
        <v>2245</v>
      </c>
      <c r="AD328" s="81" t="s">
        <v>1205</v>
      </c>
      <c r="AE328" s="104">
        <v>42431</v>
      </c>
      <c r="AF328" s="416" t="s">
        <v>123</v>
      </c>
      <c r="AG328" s="416" t="s">
        <v>2246</v>
      </c>
      <c r="AH328" s="416" t="s">
        <v>2247</v>
      </c>
      <c r="AI328" s="416" t="s">
        <v>2206</v>
      </c>
      <c r="AJ328" s="416">
        <v>93235</v>
      </c>
      <c r="AK328" s="416" t="s">
        <v>2207</v>
      </c>
      <c r="AL328" s="416" t="s">
        <v>2169</v>
      </c>
      <c r="AM328" s="171" t="str">
        <f>INDEX(CarrierDriverTBL!$B:$B,MATCH(Table1[[#This Row],[DriverID]],CarrierDriverTBL!$A:$A,0))</f>
        <v>UBTrucking</v>
      </c>
      <c r="AN328" s="10" t="s">
        <v>2234</v>
      </c>
      <c r="AO328" s="171" t="str">
        <f>INDEX(CarrierDriverTBL!$C:$C,MATCH(Table1[[#This Row],[DriverID]],CarrierDriverTBL!$A:$A,0))</f>
        <v>Arturo</v>
      </c>
      <c r="AP328" s="171" t="str">
        <f>INDEX(CarrierDriverTBL!$D:$D,MATCH(Table1[[#This Row],[DriverID]],CarrierDriverTBL!$A:$A,0))</f>
        <v>Carrillo</v>
      </c>
      <c r="AQ328" s="171" t="str">
        <f>INDEX(CarrierDriverTBL!$X:$X,MATCH(Table1[[#This Row],[DriverID]],CarrierDriverTBL!$A:$A,0))</f>
        <v>C7056793</v>
      </c>
      <c r="AR328" s="160">
        <f>INDEX(CarrierDriverTBL!$Y:$Y,MATCH(Table1[[#This Row],[DriverID]],CarrierDriverTBL!$A:$A,0))</f>
        <v>43410</v>
      </c>
      <c r="AS328" s="142" t="str">
        <f t="shared" si="146"/>
        <v>GOOD</v>
      </c>
      <c r="AT328" s="172">
        <f>INDEX(CarrierDriverTBL!$E:$E,MATCH(Table1[[#This Row],[DriverID]],CarrierDriverTBL!$A:$A,0))</f>
        <v>24782</v>
      </c>
      <c r="AU328" s="163">
        <f ca="1">INDEX(CarrierDriverTBL!$F:$F,MATCH(Table1[[#This Row],[DriverID]],CarrierDriverTBL!$A:$A,0))</f>
        <v>48.750684931506846</v>
      </c>
      <c r="AV328" s="171" t="str">
        <f>INDEX(CarrierDriverTBL!$K:$K,MATCH(Table1[[#This Row],[DriverID]],CarrierDriverTBL!$A:$A,0))</f>
        <v>209-276-9785</v>
      </c>
      <c r="AW328" s="171" t="str">
        <f>INDEX(CarrierDriverTBL!$M:$M,MATCH(Table1[[#This Row],[DriverID]],CarrierDriverTBL!$A:$A,0))</f>
        <v>1685 Winthrop Ln</v>
      </c>
      <c r="AX328" s="171" t="str">
        <f>INDEX(CarrierDriverTBL!$N:$N,MATCH(Table1[[#This Row],[DriverID]],CarrierDriverTBL!$A:$A,0))</f>
        <v>Ceres</v>
      </c>
      <c r="AY328" s="171" t="str">
        <f>INDEX(CarrierDriverTBL!$O:$O,MATCH(Table1[[#This Row],[DriverID]],CarrierDriverTBL!$A:$A,0))</f>
        <v>CA</v>
      </c>
      <c r="AZ328" s="171">
        <f>INDEX(CarrierDriverTBL!$P:$P,MATCH(Table1[[#This Row],[DriverID]],CarrierDriverTBL!$A:$A,0))</f>
        <v>95307</v>
      </c>
      <c r="BA328" s="171" t="str">
        <f>INDEX(CarrierDriverTBL!$Q:$Q,MATCH(Table1[[#This Row],[DriverID]],CarrierDriverTBL!$A:$A,0))</f>
        <v>US</v>
      </c>
      <c r="BB328" s="173" t="str">
        <f>INDEX(CarrierDriverTBL!$R:$R,MATCH(Table1[[#This Row],[DriverID]],CarrierDriverTBL!$A:$A,0))</f>
        <v>arturocarr777@gmail.com</v>
      </c>
      <c r="BC328" s="160">
        <f>INDEX(CarrierDriverTBL!$AB:$AB,MATCH(Table1[[#This Row],[DriverID]],CarrierDriverTBL!$A:$A,0))</f>
        <v>42418</v>
      </c>
      <c r="BD328" s="142" t="str">
        <f ca="1">INDEX(CarrierDriverTBL!$AD:$AD,MATCH(LoadMaster!$AN:$AN,CarrierDriverTBL!$A:$A,0))</f>
        <v>MISSING</v>
      </c>
      <c r="BE328" s="171">
        <f>INDEX(CarrierDriverTBL!$AE:$AE,MATCH(Table1[DriverID],CarrierDriverTBL!$A:$A,0))</f>
        <v>913971</v>
      </c>
      <c r="BF328" s="171">
        <f>INDEX(CarrierDriverTBL!$AF:$AF,MATCH(Table1[DriverID],CarrierDriverTBL!$A:$A,0))</f>
        <v>2627544</v>
      </c>
      <c r="BG328" s="10">
        <f>INDEX(CarrierDriverTBL!$AG:$AG,MATCH(Table1[DriverID],CarrierDriverTBL!$A:$A,0))</f>
        <v>466133</v>
      </c>
      <c r="BH328" s="171" t="str">
        <f>INDEX(CarrierDriverTBL!$AH:$AH,MATCH(Table1[DriverID],CarrierDriverTBL!$A:$A,0))</f>
        <v>GM Lawrence Ins</v>
      </c>
      <c r="BI328" s="171" t="str">
        <f>INDEX(CarrierDriverTBL!$AI:$AI,MATCH(Table1[DriverID],CarrierDriverTBL!$A:$A,0))</f>
        <v>DSK2842P160210</v>
      </c>
      <c r="BJ328" s="172">
        <f>INDEX(CarrierDriverTBL!$AJ:$AJ,MATCH(Table1[[#This Row],[DriverID]],CarrierDriverTBL!$A:$A,0))</f>
        <v>42778</v>
      </c>
      <c r="BK328" s="10">
        <f t="shared" si="147"/>
        <v>348</v>
      </c>
      <c r="BL328" s="5">
        <v>600</v>
      </c>
      <c r="BM328" s="171">
        <v>318</v>
      </c>
      <c r="BN328" s="133">
        <f t="shared" si="164"/>
        <v>1.8867924528301887</v>
      </c>
      <c r="BO328" s="134">
        <f>0.93*600</f>
        <v>558</v>
      </c>
      <c r="BP328" s="133">
        <f t="shared" si="165"/>
        <v>1.7547169811320755</v>
      </c>
      <c r="BQ328" s="133">
        <v>2.6</v>
      </c>
      <c r="BR328" s="215">
        <f t="shared" si="166"/>
        <v>0.1166666666666667</v>
      </c>
      <c r="BS328" s="133">
        <f t="shared" si="148"/>
        <v>1.6380503144654088</v>
      </c>
      <c r="BT328" s="133">
        <f t="shared" si="149"/>
        <v>37.100000000000009</v>
      </c>
      <c r="BU328" s="10" t="str">
        <f t="shared" si="150"/>
        <v>Matson Logistics</v>
      </c>
      <c r="BV328" s="15"/>
      <c r="BW328" s="4" t="str">
        <f>Table1[[#This Row],[BrokerAddress]]</f>
        <v>4040 Embassy Parkway Suite 370</v>
      </c>
      <c r="BX328" s="4" t="str">
        <f t="shared" si="151"/>
        <v>Akron</v>
      </c>
      <c r="BY328" s="4" t="str">
        <f t="shared" si="152"/>
        <v>Ohio</v>
      </c>
      <c r="BZ328" s="4">
        <f t="shared" si="153"/>
        <v>44333</v>
      </c>
      <c r="CA328" s="10" t="str">
        <f t="shared" si="154"/>
        <v>US</v>
      </c>
      <c r="CB328" s="15" t="s">
        <v>131</v>
      </c>
      <c r="CC328" s="62"/>
      <c r="CD328" s="15" t="s">
        <v>132</v>
      </c>
      <c r="CE328" s="64">
        <v>0</v>
      </c>
      <c r="CF328" s="4">
        <v>0</v>
      </c>
      <c r="CG328" s="132">
        <f t="shared" si="155"/>
        <v>0</v>
      </c>
      <c r="CH328" s="4" t="s">
        <v>132</v>
      </c>
      <c r="CI328" s="5">
        <v>0</v>
      </c>
      <c r="CJ328" s="4">
        <v>0</v>
      </c>
      <c r="CK328" s="132">
        <f t="shared" si="156"/>
        <v>0</v>
      </c>
      <c r="CL328" s="4" t="s">
        <v>132</v>
      </c>
      <c r="CM328" s="5">
        <v>0</v>
      </c>
      <c r="CN328" s="4">
        <v>0</v>
      </c>
      <c r="CO328" s="132">
        <f t="shared" si="157"/>
        <v>0</v>
      </c>
      <c r="CP328" s="4" t="s">
        <v>132</v>
      </c>
      <c r="CQ328" s="5">
        <v>0</v>
      </c>
      <c r="CR328" s="4">
        <v>0</v>
      </c>
      <c r="CS328" s="132">
        <f t="shared" si="158"/>
        <v>0</v>
      </c>
      <c r="CT328" s="132">
        <f t="shared" si="159"/>
        <v>0</v>
      </c>
      <c r="CU328" s="168">
        <f t="shared" si="160"/>
        <v>600</v>
      </c>
      <c r="CV328" s="177">
        <f t="shared" si="143"/>
        <v>0</v>
      </c>
      <c r="CW328" s="82">
        <f t="shared" si="144"/>
        <v>558</v>
      </c>
      <c r="CX328" s="79">
        <f>IF(ISBLANK(E328),"AddQuickPay",IF(E328=2,CU328*0.98,IF(E328=2.4,CU328*0.976,IF(E328=3,CU328*0.97,IF(E328=5,CU328*0.95,IF(E328=1.5,CU328*0.985,IF(E328=2.5,CU328*0.975,IF(E328=1.3,CU328*0.987,IF(E328=1,CU328*0.99,IF(E328=4,CU328*0.96,CU328*1))))))))))-Table1[[#This Row],[ComCheck+QuickPayFee]]</f>
        <v>588</v>
      </c>
      <c r="CY328" s="5">
        <f t="shared" si="161"/>
        <v>42</v>
      </c>
      <c r="CZ328" s="5">
        <f t="shared" si="162"/>
        <v>12</v>
      </c>
      <c r="DA328" s="258">
        <f>Table1[[#This Row],[OriginalDispatch]]-Table1[[#This Row],[QuickPayCharge]]</f>
        <v>30</v>
      </c>
      <c r="DB328" s="5">
        <v>0</v>
      </c>
      <c r="DC328" s="5" t="s">
        <v>133</v>
      </c>
      <c r="DD328" s="172">
        <f t="shared" si="163"/>
        <v>42433</v>
      </c>
      <c r="DE328" s="171">
        <f>MONTH(Table1[[#This Row],[Weekending]])</f>
        <v>3</v>
      </c>
      <c r="DF328" s="171">
        <f>YEAR(Table1[[#This Row],[Weekending]])</f>
        <v>2016</v>
      </c>
      <c r="DG328" s="4"/>
    </row>
    <row r="329" spans="1:111">
      <c r="A329" s="416" t="str">
        <f t="shared" si="145"/>
        <v>8810wn93</v>
      </c>
      <c r="B329" s="104">
        <v>42433</v>
      </c>
      <c r="C329" s="414">
        <v>194752488</v>
      </c>
      <c r="D329" s="416" t="s">
        <v>111</v>
      </c>
      <c r="E329" s="15">
        <v>2</v>
      </c>
      <c r="F329" s="144" t="str">
        <f>INDEX(BrokerTBL!$B:$B,MATCH(D329,BrokerTBL!$A:$A,0))</f>
        <v>P.O. Box 3474</v>
      </c>
      <c r="G329" s="15" t="str">
        <f>INDEX(BrokerTBL!$C:$C,MATCH(D329,BrokerTBL!$A:$A,0))</f>
        <v>Chicago</v>
      </c>
      <c r="H329" s="4" t="str">
        <f>INDEX(BrokerTBL!$D:$D,MATCH(D329,BrokerTBL!$A:$A,0))</f>
        <v>Il</v>
      </c>
      <c r="I329" s="4" t="str">
        <f>INDEX(BrokerTBL!$E:$E,MATCH(D329,BrokerTBL!$A:$A,0))</f>
        <v>US</v>
      </c>
      <c r="J329" s="4">
        <f>INDEX(BrokerTBL!$F:$F,MATCH(D329,BrokerTBL!$A:$A,0))</f>
        <v>60654</v>
      </c>
      <c r="K329" s="416" t="s">
        <v>150</v>
      </c>
      <c r="L329" s="81" t="s">
        <v>2328</v>
      </c>
      <c r="M329" s="104">
        <v>42431</v>
      </c>
      <c r="N329" s="15" t="s">
        <v>2329</v>
      </c>
      <c r="O329" s="15" t="s">
        <v>153</v>
      </c>
      <c r="P329" s="416" t="s">
        <v>154</v>
      </c>
      <c r="Q329" s="416" t="s">
        <v>2206</v>
      </c>
      <c r="R329" s="416">
        <v>93307</v>
      </c>
      <c r="S329" s="416" t="s">
        <v>2207</v>
      </c>
      <c r="T329" s="298" t="s">
        <v>123</v>
      </c>
      <c r="U329" s="416" t="s">
        <v>120</v>
      </c>
      <c r="V329" s="416">
        <v>53</v>
      </c>
      <c r="W329" s="416" t="s">
        <v>156</v>
      </c>
      <c r="X329" s="225">
        <v>43000</v>
      </c>
      <c r="Y329" s="15" t="s">
        <v>2220</v>
      </c>
      <c r="Z329" s="416">
        <v>1</v>
      </c>
      <c r="AA329" s="416" t="s">
        <v>123</v>
      </c>
      <c r="AB329" s="416" t="s">
        <v>123</v>
      </c>
      <c r="AC329" s="416" t="s">
        <v>157</v>
      </c>
      <c r="AD329" s="81" t="s">
        <v>1205</v>
      </c>
      <c r="AE329" s="104">
        <v>42432</v>
      </c>
      <c r="AF329" s="104" t="s">
        <v>218</v>
      </c>
      <c r="AG329" s="416" t="s">
        <v>159</v>
      </c>
      <c r="AH329" s="416" t="s">
        <v>2330</v>
      </c>
      <c r="AI329" s="416" t="s">
        <v>2206</v>
      </c>
      <c r="AJ329" s="416">
        <v>94533</v>
      </c>
      <c r="AK329" s="416" t="s">
        <v>2207</v>
      </c>
      <c r="AL329" s="416" t="s">
        <v>123</v>
      </c>
      <c r="AM329" s="171" t="str">
        <f>INDEX(CarrierDriverTBL!$B:$B,MATCH(Table1[[#This Row],[DriverID]],CarrierDriverTBL!$A:$A,0))</f>
        <v>UBTrucking</v>
      </c>
      <c r="AN329" s="10" t="s">
        <v>2234</v>
      </c>
      <c r="AO329" s="171" t="str">
        <f>INDEX(CarrierDriverTBL!$C:$C,MATCH(Table1[[#This Row],[DriverID]],CarrierDriverTBL!$A:$A,0))</f>
        <v>Arturo</v>
      </c>
      <c r="AP329" s="171" t="str">
        <f>INDEX(CarrierDriverTBL!$D:$D,MATCH(Table1[[#This Row],[DriverID]],CarrierDriverTBL!$A:$A,0))</f>
        <v>Carrillo</v>
      </c>
      <c r="AQ329" s="171" t="str">
        <f>INDEX(CarrierDriverTBL!$X:$X,MATCH(Table1[[#This Row],[DriverID]],CarrierDriverTBL!$A:$A,0))</f>
        <v>C7056793</v>
      </c>
      <c r="AR329" s="160">
        <f>INDEX(CarrierDriverTBL!$Y:$Y,MATCH(Table1[[#This Row],[DriverID]],CarrierDriverTBL!$A:$A,0))</f>
        <v>43410</v>
      </c>
      <c r="AS329" s="142" t="str">
        <f t="shared" si="146"/>
        <v>GOOD</v>
      </c>
      <c r="AT329" s="172">
        <f>INDEX(CarrierDriverTBL!$E:$E,MATCH(Table1[[#This Row],[DriverID]],CarrierDriverTBL!$A:$A,0))</f>
        <v>24782</v>
      </c>
      <c r="AU329" s="163">
        <f ca="1">INDEX(CarrierDriverTBL!$F:$F,MATCH(Table1[[#This Row],[DriverID]],CarrierDriverTBL!$A:$A,0))</f>
        <v>48.750684931506846</v>
      </c>
      <c r="AV329" s="171" t="str">
        <f>INDEX(CarrierDriverTBL!$K:$K,MATCH(Table1[[#This Row],[DriverID]],CarrierDriverTBL!$A:$A,0))</f>
        <v>209-276-9785</v>
      </c>
      <c r="AW329" s="171" t="str">
        <f>INDEX(CarrierDriverTBL!$M:$M,MATCH(Table1[[#This Row],[DriverID]],CarrierDriverTBL!$A:$A,0))</f>
        <v>1685 Winthrop Ln</v>
      </c>
      <c r="AX329" s="171" t="str">
        <f>INDEX(CarrierDriverTBL!$N:$N,MATCH(Table1[[#This Row],[DriverID]],CarrierDriverTBL!$A:$A,0))</f>
        <v>Ceres</v>
      </c>
      <c r="AY329" s="171" t="str">
        <f>INDEX(CarrierDriverTBL!$O:$O,MATCH(Table1[[#This Row],[DriverID]],CarrierDriverTBL!$A:$A,0))</f>
        <v>CA</v>
      </c>
      <c r="AZ329" s="171">
        <f>INDEX(CarrierDriverTBL!$P:$P,MATCH(Table1[[#This Row],[DriverID]],CarrierDriverTBL!$A:$A,0))</f>
        <v>95307</v>
      </c>
      <c r="BA329" s="171" t="str">
        <f>INDEX(CarrierDriverTBL!$Q:$Q,MATCH(Table1[[#This Row],[DriverID]],CarrierDriverTBL!$A:$A,0))</f>
        <v>US</v>
      </c>
      <c r="BB329" s="173" t="str">
        <f>INDEX(CarrierDriverTBL!$R:$R,MATCH(Table1[[#This Row],[DriverID]],CarrierDriverTBL!$A:$A,0))</f>
        <v>arturocarr777@gmail.com</v>
      </c>
      <c r="BC329" s="160">
        <f>INDEX(CarrierDriverTBL!$AB:$AB,MATCH(Table1[[#This Row],[DriverID]],CarrierDriverTBL!$A:$A,0))</f>
        <v>42418</v>
      </c>
      <c r="BD329" s="142" t="str">
        <f ca="1">INDEX(CarrierDriverTBL!$AD:$AD,MATCH(LoadMaster!$AN:$AN,CarrierDriverTBL!$A:$A,0))</f>
        <v>MISSING</v>
      </c>
      <c r="BE329" s="171">
        <f>INDEX(CarrierDriverTBL!$AE:$AE,MATCH(Table1[DriverID],CarrierDriverTBL!$A:$A,0))</f>
        <v>913971</v>
      </c>
      <c r="BF329" s="171">
        <f>INDEX(CarrierDriverTBL!$AF:$AF,MATCH(Table1[DriverID],CarrierDriverTBL!$A:$A,0))</f>
        <v>2627544</v>
      </c>
      <c r="BG329" s="10">
        <f>INDEX(CarrierDriverTBL!$AG:$AG,MATCH(Table1[DriverID],CarrierDriverTBL!$A:$A,0))</f>
        <v>466133</v>
      </c>
      <c r="BH329" s="171" t="str">
        <f>INDEX(CarrierDriverTBL!$AH:$AH,MATCH(Table1[DriverID],CarrierDriverTBL!$A:$A,0))</f>
        <v>GM Lawrence Ins</v>
      </c>
      <c r="BI329" s="171" t="str">
        <f>INDEX(CarrierDriverTBL!$AI:$AI,MATCH(Table1[DriverID],CarrierDriverTBL!$A:$A,0))</f>
        <v>DSK2842P160210</v>
      </c>
      <c r="BJ329" s="172">
        <f>INDEX(CarrierDriverTBL!$AJ:$AJ,MATCH(Table1[[#This Row],[DriverID]],CarrierDriverTBL!$A:$A,0))</f>
        <v>42778</v>
      </c>
      <c r="BK329" s="10">
        <f t="shared" si="147"/>
        <v>347</v>
      </c>
      <c r="BL329" s="5">
        <v>525</v>
      </c>
      <c r="BM329" s="171">
        <v>295</v>
      </c>
      <c r="BN329" s="133">
        <f t="shared" si="164"/>
        <v>1.7796610169491525</v>
      </c>
      <c r="BO329" s="134">
        <f>0.93*525</f>
        <v>488.25</v>
      </c>
      <c r="BP329" s="133">
        <f t="shared" si="165"/>
        <v>1.6550847457627118</v>
      </c>
      <c r="BQ329" s="133">
        <v>2.6</v>
      </c>
      <c r="BR329" s="215">
        <f t="shared" si="166"/>
        <v>0.1166666666666667</v>
      </c>
      <c r="BS329" s="133">
        <f t="shared" si="148"/>
        <v>1.5384180790960451</v>
      </c>
      <c r="BT329" s="133">
        <f t="shared" si="149"/>
        <v>34.416666666666679</v>
      </c>
      <c r="BU329" s="10" t="str">
        <f t="shared" si="150"/>
        <v>Ch Robinson</v>
      </c>
      <c r="BV329" s="15"/>
      <c r="BW329" s="4" t="str">
        <f>Table1[[#This Row],[BrokerAddress]]</f>
        <v>P.O. Box 3474</v>
      </c>
      <c r="BX329" s="4" t="str">
        <f t="shared" si="151"/>
        <v>Chicago</v>
      </c>
      <c r="BY329" s="4" t="str">
        <f t="shared" si="152"/>
        <v>Il</v>
      </c>
      <c r="BZ329" s="4">
        <f t="shared" si="153"/>
        <v>60654</v>
      </c>
      <c r="CA329" s="10" t="str">
        <f t="shared" si="154"/>
        <v>US</v>
      </c>
      <c r="CB329" s="15" t="s">
        <v>131</v>
      </c>
      <c r="CC329" s="62"/>
      <c r="CD329" s="15" t="s">
        <v>132</v>
      </c>
      <c r="CE329" s="64">
        <v>0</v>
      </c>
      <c r="CF329" s="4">
        <v>0</v>
      </c>
      <c r="CG329" s="132">
        <f t="shared" si="155"/>
        <v>0</v>
      </c>
      <c r="CH329" s="4" t="s">
        <v>132</v>
      </c>
      <c r="CI329" s="5">
        <v>0</v>
      </c>
      <c r="CJ329" s="4">
        <v>0</v>
      </c>
      <c r="CK329" s="132">
        <f t="shared" si="156"/>
        <v>0</v>
      </c>
      <c r="CL329" s="4" t="s">
        <v>132</v>
      </c>
      <c r="CM329" s="5">
        <v>0</v>
      </c>
      <c r="CN329" s="4">
        <v>0</v>
      </c>
      <c r="CO329" s="132">
        <f t="shared" si="157"/>
        <v>0</v>
      </c>
      <c r="CP329" s="4" t="s">
        <v>132</v>
      </c>
      <c r="CQ329" s="5">
        <v>0</v>
      </c>
      <c r="CR329" s="4">
        <v>0</v>
      </c>
      <c r="CS329" s="132">
        <f t="shared" si="158"/>
        <v>0</v>
      </c>
      <c r="CT329" s="132">
        <f t="shared" si="159"/>
        <v>0</v>
      </c>
      <c r="CU329" s="168">
        <f t="shared" si="160"/>
        <v>525</v>
      </c>
      <c r="CV329" s="177">
        <f t="shared" si="143"/>
        <v>0</v>
      </c>
      <c r="CW329" s="82">
        <f t="shared" si="144"/>
        <v>488.25</v>
      </c>
      <c r="CX329" s="79">
        <f>IF(ISBLANK(E329),"AddQuickPay",IF(E329=2,CU329*0.98,IF(E329=2.4,CU329*0.976,IF(E329=3,CU329*0.97,IF(E329=5,CU329*0.95,IF(E329=1.5,CU329*0.985,IF(E329=2.5,CU329*0.975,IF(E329=1.3,CU329*0.987,IF(E329=1,CU329*0.99,IF(E329=4,CU329*0.96,CU329*1))))))))))-Table1[[#This Row],[ComCheck+QuickPayFee]]</f>
        <v>514.5</v>
      </c>
      <c r="CY329" s="5">
        <f t="shared" si="161"/>
        <v>36.75</v>
      </c>
      <c r="CZ329" s="5">
        <f t="shared" si="162"/>
        <v>10.5</v>
      </c>
      <c r="DA329" s="258">
        <f>Table1[[#This Row],[OriginalDispatch]]-Table1[[#This Row],[QuickPayCharge]]</f>
        <v>26.25</v>
      </c>
      <c r="DB329" s="5">
        <v>0</v>
      </c>
      <c r="DC329" s="5" t="s">
        <v>1287</v>
      </c>
      <c r="DD329" s="172">
        <f t="shared" si="163"/>
        <v>42433</v>
      </c>
      <c r="DE329" s="171">
        <f>MONTH(Table1[[#This Row],[Weekending]])</f>
        <v>3</v>
      </c>
      <c r="DF329" s="171">
        <f>YEAR(Table1[[#This Row],[Weekending]])</f>
        <v>2016</v>
      </c>
      <c r="DG329" s="4"/>
    </row>
    <row r="330" spans="1:111">
      <c r="A330" s="416" t="str">
        <f t="shared" si="145"/>
        <v>17wnwn59</v>
      </c>
      <c r="B330" s="104">
        <v>42433</v>
      </c>
      <c r="C330" s="15">
        <v>8472517</v>
      </c>
      <c r="D330" s="416" t="s">
        <v>2107</v>
      </c>
      <c r="E330" s="15">
        <v>2.5</v>
      </c>
      <c r="F330" s="144" t="str">
        <f>INDEX(BrokerTBL!$B:$B,MATCH(D330,BrokerTBL!$A:$A,0))</f>
        <v>6413 Congress Ave., Suite 260</v>
      </c>
      <c r="G330" s="15" t="str">
        <f>INDEX(BrokerTBL!$C:$C,MATCH(D330,BrokerTBL!$A:$A,0))</f>
        <v>Boca Raton</v>
      </c>
      <c r="H330" s="4" t="str">
        <f>INDEX(BrokerTBL!$D:$D,MATCH(D330,BrokerTBL!$A:$A,0))</f>
        <v>Fl</v>
      </c>
      <c r="I330" s="4" t="str">
        <f>INDEX(BrokerTBL!$E:$E,MATCH(D330,BrokerTBL!$A:$A,0))</f>
        <v>US</v>
      </c>
      <c r="J330" s="4">
        <f>INDEX(BrokerTBL!$F:$F,MATCH(D330,BrokerTBL!$A:$A,0))</f>
        <v>33487</v>
      </c>
      <c r="K330" s="416" t="s">
        <v>2331</v>
      </c>
      <c r="L330" s="81" t="s">
        <v>1205</v>
      </c>
      <c r="M330" s="104">
        <v>42432</v>
      </c>
      <c r="N330" s="15" t="s">
        <v>1942</v>
      </c>
      <c r="O330" s="15" t="s">
        <v>2332</v>
      </c>
      <c r="P330" s="416" t="s">
        <v>2333</v>
      </c>
      <c r="Q330" s="416" t="s">
        <v>2206</v>
      </c>
      <c r="R330" s="416">
        <v>94572</v>
      </c>
      <c r="S330" s="416" t="s">
        <v>2207</v>
      </c>
      <c r="T330" s="298" t="s">
        <v>123</v>
      </c>
      <c r="U330" s="416" t="s">
        <v>120</v>
      </c>
      <c r="V330" s="416">
        <v>53</v>
      </c>
      <c r="W330" s="416" t="s">
        <v>1205</v>
      </c>
      <c r="X330" s="225">
        <v>41500</v>
      </c>
      <c r="Y330" s="15" t="s">
        <v>123</v>
      </c>
      <c r="Z330" s="416" t="s">
        <v>123</v>
      </c>
      <c r="AA330" s="416" t="s">
        <v>123</v>
      </c>
      <c r="AB330" s="416" t="s">
        <v>123</v>
      </c>
      <c r="AC330" s="416" t="s">
        <v>2334</v>
      </c>
      <c r="AD330" s="81" t="s">
        <v>1205</v>
      </c>
      <c r="AE330" s="104">
        <v>42433</v>
      </c>
      <c r="AF330" s="104" t="s">
        <v>422</v>
      </c>
      <c r="AG330" s="416" t="s">
        <v>2335</v>
      </c>
      <c r="AH330" s="416" t="s">
        <v>2336</v>
      </c>
      <c r="AI330" s="416" t="s">
        <v>2233</v>
      </c>
      <c r="AJ330" s="416">
        <v>89406</v>
      </c>
      <c r="AK330" s="416" t="s">
        <v>2207</v>
      </c>
      <c r="AL330" s="416" t="s">
        <v>123</v>
      </c>
      <c r="AM330" s="171" t="str">
        <f>INDEX(CarrierDriverTBL!$B:$B,MATCH(Table1[[#This Row],[DriverID]],CarrierDriverTBL!$A:$A,0))</f>
        <v>UBTrucking</v>
      </c>
      <c r="AN330" s="10" t="s">
        <v>2337</v>
      </c>
      <c r="AO330" s="171" t="str">
        <f>INDEX(CarrierDriverTBL!$C:$C,MATCH(Table1[[#This Row],[DriverID]],CarrierDriverTBL!$A:$A,0))</f>
        <v>Asim</v>
      </c>
      <c r="AP330" s="171" t="str">
        <f>INDEX(CarrierDriverTBL!$D:$D,MATCH(Table1[[#This Row],[DriverID]],CarrierDriverTBL!$A:$A,0))</f>
        <v>Khan</v>
      </c>
      <c r="AQ330" s="171">
        <f>INDEX(CarrierDriverTBL!$X:$X,MATCH(Table1[[#This Row],[DriverID]],CarrierDriverTBL!$A:$A,0))</f>
        <v>29063559</v>
      </c>
      <c r="AR330" s="172">
        <f>INDEX(CarrierDriverTBL!$Y:$Y,MATCH(Table1[[#This Row],[DriverID]],CarrierDriverTBL!$A:$A,0))</f>
        <v>44441</v>
      </c>
      <c r="AS330" s="142" t="str">
        <f t="shared" si="146"/>
        <v>GOOD</v>
      </c>
      <c r="AT330" s="172">
        <f>INDEX(CarrierDriverTBL!$E:$E,MATCH(Table1[[#This Row],[DriverID]],CarrierDriverTBL!$A:$A,0))</f>
        <v>22891</v>
      </c>
      <c r="AU330" s="218">
        <f ca="1">INDEX(CarrierDriverTBL!$F:$F,MATCH(Table1[[#This Row],[DriverID]],CarrierDriverTBL!$A:$A,0))</f>
        <v>53.93150684931507</v>
      </c>
      <c r="AV330" s="142" t="str">
        <f>INDEX(CarrierDriverTBL!$K:$K,MATCH(Table1[[#This Row],[DriverID]],CarrierDriverTBL!$A:$A,0))</f>
        <v>408-489-2377</v>
      </c>
      <c r="AW330" s="171" t="str">
        <f>INDEX(CarrierDriverTBL!$M:$M,MATCH(Table1[[#This Row],[DriverID]],CarrierDriverTBL!$A:$A,0))</f>
        <v>1502 Village Cir #137</v>
      </c>
      <c r="AX330" s="171" t="str">
        <f>INDEX(CarrierDriverTBL!$N:$N,MATCH(Table1[[#This Row],[DriverID]],CarrierDriverTBL!$A:$A,0))</f>
        <v>Arlington</v>
      </c>
      <c r="AY330" s="171" t="str">
        <f>INDEX(CarrierDriverTBL!$O:$O,MATCH(Table1[[#This Row],[DriverID]],CarrierDriverTBL!$A:$A,0))</f>
        <v>TX</v>
      </c>
      <c r="AZ330" s="171">
        <f>INDEX(CarrierDriverTBL!$P:$P,MATCH(Table1[[#This Row],[DriverID]],CarrierDriverTBL!$A:$A,0))</f>
        <v>76012</v>
      </c>
      <c r="BA330" s="171" t="str">
        <f>INDEX(CarrierDriverTBL!$Q:$Q,MATCH(Table1[[#This Row],[DriverID]],CarrierDriverTBL!$A:$A,0))</f>
        <v>US</v>
      </c>
      <c r="BB330" s="219" t="str">
        <f>INDEX(CarrierDriverTBL!$R:$R,MATCH(Table1[[#This Row],[DriverID]],CarrierDriverTBL!$A:$A,0))</f>
        <v>aokhan1@gmail.com</v>
      </c>
      <c r="BC330" s="160" t="str">
        <f>INDEX(CarrierDriverTBL!$AB:$AB,MATCH(Table1[[#This Row],[DriverID]],CarrierDriverTBL!$A:$A,0))</f>
        <v>Missing</v>
      </c>
      <c r="BD330" s="142" t="str">
        <f ca="1">INDEX(CarrierDriverTBL!$AD:$AD,MATCH(LoadMaster!$AN:$AN,CarrierDriverTBL!$A:$A,0))</f>
        <v>MISSING</v>
      </c>
      <c r="BE330" s="171">
        <f>INDEX(CarrierDriverTBL!$AE:$AE,MATCH(Table1[DriverID],CarrierDriverTBL!$A:$A,0))</f>
        <v>913971</v>
      </c>
      <c r="BF330" s="171">
        <f>INDEX(CarrierDriverTBL!$AF:$AF,MATCH(Table1[DriverID],CarrierDriverTBL!$A:$A,0))</f>
        <v>2627544</v>
      </c>
      <c r="BG330" s="10">
        <f>INDEX(CarrierDriverTBL!$AG:$AG,MATCH(Table1[DriverID],CarrierDriverTBL!$A:$A,0))</f>
        <v>466133</v>
      </c>
      <c r="BH330" s="171" t="str">
        <f>INDEX(CarrierDriverTBL!$AH:$AH,MATCH(Table1[DriverID],CarrierDriverTBL!$A:$A,0))</f>
        <v>GM Lawrence Ins</v>
      </c>
      <c r="BI330" s="171" t="str">
        <f>INDEX(CarrierDriverTBL!$AI:$AI,MATCH(Table1[DriverID],CarrierDriverTBL!$A:$A,0))</f>
        <v>DSK2842P160210</v>
      </c>
      <c r="BJ330" s="172">
        <f>INDEX(CarrierDriverTBL!$AJ:$AJ,MATCH(Table1[[#This Row],[DriverID]],CarrierDriverTBL!$A:$A,0))</f>
        <v>42778</v>
      </c>
      <c r="BK330" s="10">
        <f t="shared" si="147"/>
        <v>346</v>
      </c>
      <c r="BL330" s="5">
        <v>600</v>
      </c>
      <c r="BM330" s="171">
        <v>257</v>
      </c>
      <c r="BN330" s="133">
        <f t="shared" si="164"/>
        <v>2.3346303501945527</v>
      </c>
      <c r="BO330" s="134">
        <f>0.93*600</f>
        <v>558</v>
      </c>
      <c r="BP330" s="133">
        <f t="shared" si="165"/>
        <v>2.1712062256809337</v>
      </c>
      <c r="BQ330" s="133">
        <v>2.6</v>
      </c>
      <c r="BR330" s="215">
        <f t="shared" si="166"/>
        <v>0.1166666666666667</v>
      </c>
      <c r="BS330" s="133">
        <f t="shared" si="148"/>
        <v>2.054539559014267</v>
      </c>
      <c r="BT330" s="133">
        <f t="shared" si="149"/>
        <v>29.983333333333341</v>
      </c>
      <c r="BU330" s="10" t="str">
        <f t="shared" si="150"/>
        <v>Sunteck Transport Co. Inc</v>
      </c>
      <c r="BV330" s="15"/>
      <c r="BW330" s="4" t="str">
        <f>Table1[[#This Row],[BrokerAddress]]</f>
        <v>6413 Congress Ave., Suite 260</v>
      </c>
      <c r="BX330" s="4" t="str">
        <f t="shared" si="151"/>
        <v>Boca Raton</v>
      </c>
      <c r="BY330" s="4" t="str">
        <f t="shared" si="152"/>
        <v>Fl</v>
      </c>
      <c r="BZ330" s="4">
        <f t="shared" si="153"/>
        <v>33487</v>
      </c>
      <c r="CA330" s="10" t="str">
        <f t="shared" si="154"/>
        <v>US</v>
      </c>
      <c r="CB330" s="15" t="s">
        <v>131</v>
      </c>
      <c r="CC330" s="62"/>
      <c r="CD330" s="15" t="s">
        <v>132</v>
      </c>
      <c r="CE330" s="64">
        <v>0</v>
      </c>
      <c r="CF330" s="4">
        <v>0</v>
      </c>
      <c r="CG330" s="132">
        <f t="shared" si="155"/>
        <v>0</v>
      </c>
      <c r="CH330" s="4" t="s">
        <v>132</v>
      </c>
      <c r="CI330" s="5">
        <v>0</v>
      </c>
      <c r="CJ330" s="4">
        <v>0</v>
      </c>
      <c r="CK330" s="132">
        <f t="shared" si="156"/>
        <v>0</v>
      </c>
      <c r="CL330" s="4" t="s">
        <v>132</v>
      </c>
      <c r="CM330" s="5">
        <v>0</v>
      </c>
      <c r="CN330" s="4">
        <v>0</v>
      </c>
      <c r="CO330" s="132">
        <f t="shared" si="157"/>
        <v>0</v>
      </c>
      <c r="CP330" s="4" t="s">
        <v>132</v>
      </c>
      <c r="CQ330" s="5">
        <v>0</v>
      </c>
      <c r="CR330" s="4">
        <v>0</v>
      </c>
      <c r="CS330" s="132">
        <f t="shared" si="158"/>
        <v>0</v>
      </c>
      <c r="CT330" s="132">
        <f t="shared" si="159"/>
        <v>0</v>
      </c>
      <c r="CU330" s="168">
        <f t="shared" si="160"/>
        <v>600</v>
      </c>
      <c r="CV330" s="177">
        <f t="shared" si="143"/>
        <v>0</v>
      </c>
      <c r="CW330" s="82">
        <f t="shared" si="144"/>
        <v>558</v>
      </c>
      <c r="CX330" s="79">
        <f>IF(ISBLANK(E330),"AddQuickPay",IF(E330=2,CU330*0.98,IF(E330=2.4,CU330*0.976,IF(E330=3,CU330*0.97,IF(E330=5,CU330*0.95,IF(E330=1.5,CU330*0.985,IF(E330=2.5,CU330*0.975,IF(E330=1.3,CU330*0.987,IF(E330=1,CU330*0.99,IF(E330=4,CU330*0.96,CU330*1))))))))))-Table1[[#This Row],[ComCheck+QuickPayFee]]</f>
        <v>585</v>
      </c>
      <c r="CY330" s="5">
        <f t="shared" si="161"/>
        <v>42</v>
      </c>
      <c r="CZ330" s="5">
        <f t="shared" si="162"/>
        <v>15</v>
      </c>
      <c r="DA330" s="258">
        <f>Table1[[#This Row],[OriginalDispatch]]-Table1[[#This Row],[QuickPayCharge]]</f>
        <v>27</v>
      </c>
      <c r="DB330" s="5">
        <v>0</v>
      </c>
      <c r="DC330" s="5" t="s">
        <v>1287</v>
      </c>
      <c r="DD330" s="172">
        <f t="shared" si="163"/>
        <v>42433</v>
      </c>
      <c r="DE330" s="171">
        <f>MONTH(Table1[[#This Row],[Weekending]])</f>
        <v>3</v>
      </c>
      <c r="DF330" s="171">
        <f>YEAR(Table1[[#This Row],[Weekending]])</f>
        <v>2016</v>
      </c>
      <c r="DG330" s="4"/>
    </row>
    <row r="331" spans="1:111">
      <c r="A331" s="416" t="str">
        <f t="shared" si="145"/>
        <v>8079wn93</v>
      </c>
      <c r="B331" s="104">
        <v>42433</v>
      </c>
      <c r="C331" s="414">
        <v>194773380</v>
      </c>
      <c r="D331" s="416" t="s">
        <v>111</v>
      </c>
      <c r="E331" s="15">
        <v>2</v>
      </c>
      <c r="F331" s="144" t="str">
        <f>INDEX(BrokerTBL!$B:$B,MATCH(D331,BrokerTBL!$A:$A,0))</f>
        <v>P.O. Box 3474</v>
      </c>
      <c r="G331" s="15" t="str">
        <f>INDEX(BrokerTBL!$C:$C,MATCH(D331,BrokerTBL!$A:$A,0))</f>
        <v>Chicago</v>
      </c>
      <c r="H331" s="4" t="str">
        <f>INDEX(BrokerTBL!$D:$D,MATCH(D331,BrokerTBL!$A:$A,0))</f>
        <v>Il</v>
      </c>
      <c r="I331" s="4" t="str">
        <f>INDEX(BrokerTBL!$E:$E,MATCH(D331,BrokerTBL!$A:$A,0))</f>
        <v>US</v>
      </c>
      <c r="J331" s="4">
        <f>INDEX(BrokerTBL!$F:$F,MATCH(D331,BrokerTBL!$A:$A,0))</f>
        <v>60654</v>
      </c>
      <c r="K331" s="416" t="s">
        <v>2338</v>
      </c>
      <c r="L331" s="81">
        <v>240128479</v>
      </c>
      <c r="M331" s="104">
        <v>42433</v>
      </c>
      <c r="N331" s="15" t="s">
        <v>2339</v>
      </c>
      <c r="O331" s="15" t="s">
        <v>2340</v>
      </c>
      <c r="P331" s="416" t="s">
        <v>2341</v>
      </c>
      <c r="Q331" s="416" t="s">
        <v>2206</v>
      </c>
      <c r="R331" s="416">
        <v>95405</v>
      </c>
      <c r="S331" s="416" t="s">
        <v>2207</v>
      </c>
      <c r="T331" s="298" t="s">
        <v>123</v>
      </c>
      <c r="U331" s="416" t="s">
        <v>120</v>
      </c>
      <c r="V331" s="416">
        <v>53</v>
      </c>
      <c r="W331" s="416" t="s">
        <v>2342</v>
      </c>
      <c r="X331" s="225">
        <v>8000</v>
      </c>
      <c r="Y331" s="15" t="s">
        <v>2220</v>
      </c>
      <c r="Z331" s="416" t="s">
        <v>123</v>
      </c>
      <c r="AA331" s="416" t="s">
        <v>123</v>
      </c>
      <c r="AB331" s="416" t="s">
        <v>123</v>
      </c>
      <c r="AC331" s="416" t="s">
        <v>2343</v>
      </c>
      <c r="AD331" s="81" t="s">
        <v>1205</v>
      </c>
      <c r="AE331" s="104">
        <v>42433</v>
      </c>
      <c r="AF331" s="104" t="s">
        <v>2085</v>
      </c>
      <c r="AG331" s="416" t="s">
        <v>2344</v>
      </c>
      <c r="AH331" s="416" t="s">
        <v>2345</v>
      </c>
      <c r="AI331" s="416" t="s">
        <v>2206</v>
      </c>
      <c r="AJ331" s="416">
        <v>95357</v>
      </c>
      <c r="AK331" s="416" t="s">
        <v>2207</v>
      </c>
      <c r="AL331" s="416" t="s">
        <v>123</v>
      </c>
      <c r="AM331" s="171" t="str">
        <f>INDEX(CarrierDriverTBL!$B:$B,MATCH(Table1[[#This Row],[DriverID]],CarrierDriverTBL!$A:$A,0))</f>
        <v>UBTrucking</v>
      </c>
      <c r="AN331" s="10" t="s">
        <v>2234</v>
      </c>
      <c r="AO331" s="171" t="str">
        <f>INDEX(CarrierDriverTBL!$C:$C,MATCH(Table1[[#This Row],[DriverID]],CarrierDriverTBL!$A:$A,0))</f>
        <v>Arturo</v>
      </c>
      <c r="AP331" s="171" t="str">
        <f>INDEX(CarrierDriverTBL!$D:$D,MATCH(Table1[[#This Row],[DriverID]],CarrierDriverTBL!$A:$A,0))</f>
        <v>Carrillo</v>
      </c>
      <c r="AQ331" s="171" t="str">
        <f>INDEX(CarrierDriverTBL!$X:$X,MATCH(Table1[[#This Row],[DriverID]],CarrierDriverTBL!$A:$A,0))</f>
        <v>C7056793</v>
      </c>
      <c r="AR331" s="160">
        <f>INDEX(CarrierDriverTBL!$Y:$Y,MATCH(Table1[[#This Row],[DriverID]],CarrierDriverTBL!$A:$A,0))</f>
        <v>43410</v>
      </c>
      <c r="AS331" s="142" t="str">
        <f t="shared" si="146"/>
        <v>GOOD</v>
      </c>
      <c r="AT331" s="172">
        <f>INDEX(CarrierDriverTBL!$E:$E,MATCH(Table1[[#This Row],[DriverID]],CarrierDriverTBL!$A:$A,0))</f>
        <v>24782</v>
      </c>
      <c r="AU331" s="163">
        <f ca="1">INDEX(CarrierDriverTBL!$F:$F,MATCH(Table1[[#This Row],[DriverID]],CarrierDriverTBL!$A:$A,0))</f>
        <v>48.750684931506846</v>
      </c>
      <c r="AV331" s="171" t="str">
        <f>INDEX(CarrierDriverTBL!$K:$K,MATCH(Table1[[#This Row],[DriverID]],CarrierDriverTBL!$A:$A,0))</f>
        <v>209-276-9785</v>
      </c>
      <c r="AW331" s="171" t="str">
        <f>INDEX(CarrierDriverTBL!$M:$M,MATCH(Table1[[#This Row],[DriverID]],CarrierDriverTBL!$A:$A,0))</f>
        <v>1685 Winthrop Ln</v>
      </c>
      <c r="AX331" s="171" t="str">
        <f>INDEX(CarrierDriverTBL!$N:$N,MATCH(Table1[[#This Row],[DriverID]],CarrierDriverTBL!$A:$A,0))</f>
        <v>Ceres</v>
      </c>
      <c r="AY331" s="171" t="str">
        <f>INDEX(CarrierDriverTBL!$O:$O,MATCH(Table1[[#This Row],[DriverID]],CarrierDriverTBL!$A:$A,0))</f>
        <v>CA</v>
      </c>
      <c r="AZ331" s="171">
        <f>INDEX(CarrierDriverTBL!$P:$P,MATCH(Table1[[#This Row],[DriverID]],CarrierDriverTBL!$A:$A,0))</f>
        <v>95307</v>
      </c>
      <c r="BA331" s="171" t="str">
        <f>INDEX(CarrierDriverTBL!$Q:$Q,MATCH(Table1[[#This Row],[DriverID]],CarrierDriverTBL!$A:$A,0))</f>
        <v>US</v>
      </c>
      <c r="BB331" s="173" t="str">
        <f>INDEX(CarrierDriverTBL!$R:$R,MATCH(Table1[[#This Row],[DriverID]],CarrierDriverTBL!$A:$A,0))</f>
        <v>arturocarr777@gmail.com</v>
      </c>
      <c r="BC331" s="160">
        <f>INDEX(CarrierDriverTBL!$AB:$AB,MATCH(Table1[[#This Row],[DriverID]],CarrierDriverTBL!$A:$A,0))</f>
        <v>42418</v>
      </c>
      <c r="BD331" s="142" t="str">
        <f ca="1">INDEX(CarrierDriverTBL!$AD:$AD,MATCH(LoadMaster!$AN:$AN,CarrierDriverTBL!$A:$A,0))</f>
        <v>MISSING</v>
      </c>
      <c r="BE331" s="171">
        <f>INDEX(CarrierDriverTBL!$AE:$AE,MATCH(Table1[DriverID],CarrierDriverTBL!$A:$A,0))</f>
        <v>913971</v>
      </c>
      <c r="BF331" s="171">
        <f>INDEX(CarrierDriverTBL!$AF:$AF,MATCH(Table1[DriverID],CarrierDriverTBL!$A:$A,0))</f>
        <v>2627544</v>
      </c>
      <c r="BG331" s="10">
        <f>INDEX(CarrierDriverTBL!$AG:$AG,MATCH(Table1[DriverID],CarrierDriverTBL!$A:$A,0))</f>
        <v>466133</v>
      </c>
      <c r="BH331" s="171" t="str">
        <f>INDEX(CarrierDriverTBL!$AH:$AH,MATCH(Table1[DriverID],CarrierDriverTBL!$A:$A,0))</f>
        <v>GM Lawrence Ins</v>
      </c>
      <c r="BI331" s="171" t="str">
        <f>INDEX(CarrierDriverTBL!$AI:$AI,MATCH(Table1[DriverID],CarrierDriverTBL!$A:$A,0))</f>
        <v>DSK2842P160210</v>
      </c>
      <c r="BJ331" s="172">
        <f>INDEX(CarrierDriverTBL!$AJ:$AJ,MATCH(Table1[[#This Row],[DriverID]],CarrierDriverTBL!$A:$A,0))</f>
        <v>42778</v>
      </c>
      <c r="BK331" s="10">
        <f t="shared" si="147"/>
        <v>345</v>
      </c>
      <c r="BL331" s="5">
        <v>400</v>
      </c>
      <c r="BM331" s="171">
        <v>138</v>
      </c>
      <c r="BN331" s="133">
        <f t="shared" si="164"/>
        <v>2.8985507246376812</v>
      </c>
      <c r="BO331" s="134">
        <f>0.93*400</f>
        <v>372</v>
      </c>
      <c r="BP331" s="133">
        <f t="shared" si="165"/>
        <v>2.6956521739130435</v>
      </c>
      <c r="BQ331" s="133">
        <v>2.6</v>
      </c>
      <c r="BR331" s="215">
        <f t="shared" si="166"/>
        <v>0.1166666666666667</v>
      </c>
      <c r="BS331" s="133">
        <f t="shared" si="148"/>
        <v>2.5789855072463768</v>
      </c>
      <c r="BT331" s="133">
        <f t="shared" si="149"/>
        <v>16.100000000000005</v>
      </c>
      <c r="BU331" s="10" t="str">
        <f t="shared" si="150"/>
        <v>Ch Robinson</v>
      </c>
      <c r="BV331" s="15"/>
      <c r="BW331" s="4" t="str">
        <f>Table1[[#This Row],[BrokerAddress]]</f>
        <v>P.O. Box 3474</v>
      </c>
      <c r="BX331" s="4" t="str">
        <f t="shared" si="151"/>
        <v>Chicago</v>
      </c>
      <c r="BY331" s="4" t="str">
        <f t="shared" si="152"/>
        <v>Il</v>
      </c>
      <c r="BZ331" s="4">
        <f t="shared" si="153"/>
        <v>60654</v>
      </c>
      <c r="CA331" s="10" t="str">
        <f t="shared" si="154"/>
        <v>US</v>
      </c>
      <c r="CB331" s="15" t="s">
        <v>131</v>
      </c>
      <c r="CC331" s="62"/>
      <c r="CD331" s="15" t="s">
        <v>132</v>
      </c>
      <c r="CE331" s="64">
        <v>0</v>
      </c>
      <c r="CF331" s="4">
        <v>0</v>
      </c>
      <c r="CG331" s="132">
        <f t="shared" si="155"/>
        <v>0</v>
      </c>
      <c r="CH331" s="4" t="s">
        <v>132</v>
      </c>
      <c r="CI331" s="5">
        <v>0</v>
      </c>
      <c r="CJ331" s="4">
        <v>0</v>
      </c>
      <c r="CK331" s="132">
        <f t="shared" si="156"/>
        <v>0</v>
      </c>
      <c r="CL331" s="4" t="s">
        <v>132</v>
      </c>
      <c r="CM331" s="5">
        <v>0</v>
      </c>
      <c r="CN331" s="4">
        <v>0</v>
      </c>
      <c r="CO331" s="132">
        <f t="shared" si="157"/>
        <v>0</v>
      </c>
      <c r="CP331" s="4" t="s">
        <v>132</v>
      </c>
      <c r="CQ331" s="5">
        <v>0</v>
      </c>
      <c r="CR331" s="4">
        <v>0</v>
      </c>
      <c r="CS331" s="132">
        <f t="shared" si="158"/>
        <v>0</v>
      </c>
      <c r="CT331" s="132">
        <f t="shared" si="159"/>
        <v>0</v>
      </c>
      <c r="CU331" s="168">
        <f t="shared" si="160"/>
        <v>400</v>
      </c>
      <c r="CV331" s="177">
        <f t="shared" si="143"/>
        <v>0</v>
      </c>
      <c r="CW331" s="82">
        <f t="shared" si="144"/>
        <v>372</v>
      </c>
      <c r="CX331" s="79">
        <f>IF(ISBLANK(E331),"AddQuickPay",IF(E331=2,CU331*0.98,IF(E331=2.4,CU331*0.976,IF(E331=3,CU331*0.97,IF(E331=5,CU331*0.95,IF(E331=1.5,CU331*0.985,IF(E331=2.5,CU331*0.975,IF(E331=1.3,CU331*0.987,IF(E331=1,CU331*0.99,IF(E331=4,CU331*0.96,CU331*1))))))))))-Table1[[#This Row],[ComCheck+QuickPayFee]]</f>
        <v>392</v>
      </c>
      <c r="CY331" s="5">
        <f t="shared" si="161"/>
        <v>28</v>
      </c>
      <c r="CZ331" s="5">
        <f t="shared" si="162"/>
        <v>8</v>
      </c>
      <c r="DA331" s="258">
        <f>Table1[[#This Row],[OriginalDispatch]]-Table1[[#This Row],[QuickPayCharge]]</f>
        <v>20</v>
      </c>
      <c r="DB331" s="5">
        <v>0</v>
      </c>
      <c r="DC331" s="5" t="s">
        <v>1287</v>
      </c>
      <c r="DD331" s="172">
        <f t="shared" si="163"/>
        <v>42433</v>
      </c>
      <c r="DE331" s="171">
        <f>MONTH(Table1[[#This Row],[Weekending]])</f>
        <v>3</v>
      </c>
      <c r="DF331" s="171">
        <f>YEAR(Table1[[#This Row],[Weekending]])</f>
        <v>2016</v>
      </c>
      <c r="DG331" s="4"/>
    </row>
    <row r="332" spans="1:111">
      <c r="A332" s="416" t="str">
        <f t="shared" si="145"/>
        <v>02CAsa93</v>
      </c>
      <c r="B332" s="104">
        <v>42437</v>
      </c>
      <c r="C332" s="414">
        <v>48302</v>
      </c>
      <c r="D332" s="416" t="s">
        <v>1824</v>
      </c>
      <c r="E332" s="15">
        <v>3</v>
      </c>
      <c r="F332" s="144" t="str">
        <f>INDEX(BrokerTBL!$B:$B,MATCH(D332,BrokerTBL!$A:$A,0))</f>
        <v>2109 W Bullard Ave # 101</v>
      </c>
      <c r="G332" s="15" t="str">
        <f>INDEX(BrokerTBL!$C:$C,MATCH(D332,BrokerTBL!$A:$A,0))</f>
        <v>Fresno</v>
      </c>
      <c r="H332" s="4" t="str">
        <f>INDEX(BrokerTBL!$D:$D,MATCH(D332,BrokerTBL!$A:$A,0))</f>
        <v>Ca</v>
      </c>
      <c r="I332" s="4" t="str">
        <f>INDEX(BrokerTBL!$E:$E,MATCH(D332,BrokerTBL!$A:$A,0))</f>
        <v>US</v>
      </c>
      <c r="J332" s="4">
        <f>INDEX(BrokerTBL!$F:$F,MATCH(D332,BrokerTBL!$A:$A,0))</f>
        <v>93711</v>
      </c>
      <c r="K332" s="416" t="s">
        <v>2346</v>
      </c>
      <c r="L332" s="81" t="s">
        <v>2347</v>
      </c>
      <c r="M332" s="104">
        <v>42436</v>
      </c>
      <c r="N332" s="15" t="s">
        <v>218</v>
      </c>
      <c r="O332" s="15" t="s">
        <v>2348</v>
      </c>
      <c r="P332" s="416" t="s">
        <v>2277</v>
      </c>
      <c r="Q332" s="416" t="s">
        <v>2206</v>
      </c>
      <c r="R332" s="416">
        <v>93703</v>
      </c>
      <c r="S332" s="416" t="s">
        <v>2207</v>
      </c>
      <c r="T332" s="298" t="s">
        <v>123</v>
      </c>
      <c r="U332" s="416" t="s">
        <v>120</v>
      </c>
      <c r="V332" s="416">
        <v>53</v>
      </c>
      <c r="W332" s="416" t="s">
        <v>2349</v>
      </c>
      <c r="X332" s="225">
        <v>35000</v>
      </c>
      <c r="Y332" s="15" t="s">
        <v>123</v>
      </c>
      <c r="Z332" s="416" t="s">
        <v>123</v>
      </c>
      <c r="AA332" s="416" t="s">
        <v>123</v>
      </c>
      <c r="AB332" s="416" t="s">
        <v>123</v>
      </c>
      <c r="AC332" s="416" t="s">
        <v>2350</v>
      </c>
      <c r="AD332" s="81" t="s">
        <v>2351</v>
      </c>
      <c r="AE332" s="104">
        <v>42437</v>
      </c>
      <c r="AF332" s="226" t="s">
        <v>2352</v>
      </c>
      <c r="AG332" s="416" t="s">
        <v>2353</v>
      </c>
      <c r="AH332" s="416" t="s">
        <v>2354</v>
      </c>
      <c r="AI332" s="416" t="s">
        <v>2206</v>
      </c>
      <c r="AJ332" s="416">
        <v>95490</v>
      </c>
      <c r="AK332" s="416" t="s">
        <v>2207</v>
      </c>
      <c r="AL332" s="416" t="s">
        <v>123</v>
      </c>
      <c r="AM332" s="171" t="str">
        <f>INDEX(CarrierDriverTBL!$B:$B,MATCH(Table1[[#This Row],[DriverID]],CarrierDriverTBL!$A:$A,0))</f>
        <v>UBTrucking</v>
      </c>
      <c r="AN332" s="10" t="s">
        <v>2234</v>
      </c>
      <c r="AO332" s="171" t="str">
        <f>INDEX(CarrierDriverTBL!$C:$C,MATCH(Table1[[#This Row],[DriverID]],CarrierDriverTBL!$A:$A,0))</f>
        <v>Arturo</v>
      </c>
      <c r="AP332" s="171" t="str">
        <f>INDEX(CarrierDriverTBL!$D:$D,MATCH(Table1[[#This Row],[DriverID]],CarrierDriverTBL!$A:$A,0))</f>
        <v>Carrillo</v>
      </c>
      <c r="AQ332" s="171" t="str">
        <f>INDEX(CarrierDriverTBL!$X:$X,MATCH(Table1[[#This Row],[DriverID]],CarrierDriverTBL!$A:$A,0))</f>
        <v>C7056793</v>
      </c>
      <c r="AR332" s="160">
        <f>INDEX(CarrierDriverTBL!$Y:$Y,MATCH(Table1[[#This Row],[DriverID]],CarrierDriverTBL!$A:$A,0))</f>
        <v>43410</v>
      </c>
      <c r="AS332" s="142" t="str">
        <f t="shared" si="146"/>
        <v>GOOD</v>
      </c>
      <c r="AT332" s="172">
        <f>INDEX(CarrierDriverTBL!$E:$E,MATCH(Table1[[#This Row],[DriverID]],CarrierDriverTBL!$A:$A,0))</f>
        <v>24782</v>
      </c>
      <c r="AU332" s="163">
        <f ca="1">INDEX(CarrierDriverTBL!$F:$F,MATCH(Table1[[#This Row],[DriverID]],CarrierDriverTBL!$A:$A,0))</f>
        <v>48.750684931506846</v>
      </c>
      <c r="AV332" s="171" t="str">
        <f>INDEX(CarrierDriverTBL!$K:$K,MATCH(Table1[[#This Row],[DriverID]],CarrierDriverTBL!$A:$A,0))</f>
        <v>209-276-9785</v>
      </c>
      <c r="AW332" s="171" t="str">
        <f>INDEX(CarrierDriverTBL!$M:$M,MATCH(Table1[[#This Row],[DriverID]],CarrierDriverTBL!$A:$A,0))</f>
        <v>1685 Winthrop Ln</v>
      </c>
      <c r="AX332" s="171" t="str">
        <f>INDEX(CarrierDriverTBL!$N:$N,MATCH(Table1[[#This Row],[DriverID]],CarrierDriverTBL!$A:$A,0))</f>
        <v>Ceres</v>
      </c>
      <c r="AY332" s="171" t="str">
        <f>INDEX(CarrierDriverTBL!$O:$O,MATCH(Table1[[#This Row],[DriverID]],CarrierDriverTBL!$A:$A,0))</f>
        <v>CA</v>
      </c>
      <c r="AZ332" s="171">
        <f>INDEX(CarrierDriverTBL!$P:$P,MATCH(Table1[[#This Row],[DriverID]],CarrierDriverTBL!$A:$A,0))</f>
        <v>95307</v>
      </c>
      <c r="BA332" s="171" t="str">
        <f>INDEX(CarrierDriverTBL!$Q:$Q,MATCH(Table1[[#This Row],[DriverID]],CarrierDriverTBL!$A:$A,0))</f>
        <v>US</v>
      </c>
      <c r="BB332" s="173" t="str">
        <f>INDEX(CarrierDriverTBL!$R:$R,MATCH(Table1[[#This Row],[DriverID]],CarrierDriverTBL!$A:$A,0))</f>
        <v>arturocarr777@gmail.com</v>
      </c>
      <c r="BC332" s="160">
        <f>INDEX(CarrierDriverTBL!$AB:$AB,MATCH(Table1[[#This Row],[DriverID]],CarrierDriverTBL!$A:$A,0))</f>
        <v>42418</v>
      </c>
      <c r="BD332" s="142" t="str">
        <f ca="1">INDEX(CarrierDriverTBL!$AD:$AD,MATCH(LoadMaster!$AN:$AN,CarrierDriverTBL!$A:$A,0))</f>
        <v>MISSING</v>
      </c>
      <c r="BE332" s="171">
        <f>INDEX(CarrierDriverTBL!$AE:$AE,MATCH(Table1[DriverID],CarrierDriverTBL!$A:$A,0))</f>
        <v>913971</v>
      </c>
      <c r="BF332" s="171">
        <f>INDEX(CarrierDriverTBL!$AF:$AF,MATCH(Table1[DriverID],CarrierDriverTBL!$A:$A,0))</f>
        <v>2627544</v>
      </c>
      <c r="BG332" s="10">
        <f>INDEX(CarrierDriverTBL!$AG:$AG,MATCH(Table1[DriverID],CarrierDriverTBL!$A:$A,0))</f>
        <v>466133</v>
      </c>
      <c r="BH332" s="171" t="str">
        <f>INDEX(CarrierDriverTBL!$AH:$AH,MATCH(Table1[DriverID],CarrierDriverTBL!$A:$A,0))</f>
        <v>GM Lawrence Ins</v>
      </c>
      <c r="BI332" s="171" t="str">
        <f>INDEX(CarrierDriverTBL!$AI:$AI,MATCH(Table1[DriverID],CarrierDriverTBL!$A:$A,0))</f>
        <v>DSK2842P160210</v>
      </c>
      <c r="BJ332" s="172">
        <f>INDEX(CarrierDriverTBL!$AJ:$AJ,MATCH(Table1[[#This Row],[DriverID]],CarrierDriverTBL!$A:$A,0))</f>
        <v>42778</v>
      </c>
      <c r="BK332" s="10">
        <f t="shared" si="147"/>
        <v>342</v>
      </c>
      <c r="BL332" s="5">
        <v>800</v>
      </c>
      <c r="BM332" s="171">
        <v>315</v>
      </c>
      <c r="BN332" s="133">
        <f t="shared" si="164"/>
        <v>2.5396825396825395</v>
      </c>
      <c r="BO332" s="134">
        <f>0.93*800</f>
        <v>744</v>
      </c>
      <c r="BP332" s="133">
        <f t="shared" si="165"/>
        <v>2.361904761904762</v>
      </c>
      <c r="BQ332" s="133">
        <v>2.6</v>
      </c>
      <c r="BR332" s="215">
        <f t="shared" si="166"/>
        <v>0.1166666666666667</v>
      </c>
      <c r="BS332" s="133">
        <f t="shared" si="148"/>
        <v>2.2452380952380953</v>
      </c>
      <c r="BT332" s="133">
        <f t="shared" si="149"/>
        <v>36.750000000000007</v>
      </c>
      <c r="BU332" s="10" t="str">
        <f t="shared" si="150"/>
        <v>Cargobarn Inc.</v>
      </c>
      <c r="BV332" s="15"/>
      <c r="BW332" s="4" t="str">
        <f>Table1[[#This Row],[BrokerAddress]]</f>
        <v>2109 W Bullard Ave # 101</v>
      </c>
      <c r="BX332" s="4" t="str">
        <f t="shared" si="151"/>
        <v>Fresno</v>
      </c>
      <c r="BY332" s="4" t="str">
        <f t="shared" si="152"/>
        <v>Ca</v>
      </c>
      <c r="BZ332" s="4">
        <f t="shared" si="153"/>
        <v>93711</v>
      </c>
      <c r="CA332" s="10" t="str">
        <f t="shared" si="154"/>
        <v>US</v>
      </c>
      <c r="CB332" s="15" t="s">
        <v>131</v>
      </c>
      <c r="CC332" s="62"/>
      <c r="CD332" s="15" t="s">
        <v>132</v>
      </c>
      <c r="CE332" s="64">
        <v>0</v>
      </c>
      <c r="CF332" s="4">
        <v>0</v>
      </c>
      <c r="CG332" s="132">
        <f t="shared" si="155"/>
        <v>0</v>
      </c>
      <c r="CH332" s="4" t="s">
        <v>132</v>
      </c>
      <c r="CI332" s="5">
        <v>0</v>
      </c>
      <c r="CJ332" s="4">
        <v>0</v>
      </c>
      <c r="CK332" s="132">
        <f t="shared" si="156"/>
        <v>0</v>
      </c>
      <c r="CL332" s="4" t="s">
        <v>132</v>
      </c>
      <c r="CM332" s="5">
        <v>0</v>
      </c>
      <c r="CN332" s="4">
        <v>0</v>
      </c>
      <c r="CO332" s="132">
        <f t="shared" si="157"/>
        <v>0</v>
      </c>
      <c r="CP332" s="4" t="s">
        <v>132</v>
      </c>
      <c r="CQ332" s="5">
        <v>0</v>
      </c>
      <c r="CR332" s="4">
        <v>0</v>
      </c>
      <c r="CS332" s="132">
        <f t="shared" si="158"/>
        <v>0</v>
      </c>
      <c r="CT332" s="132">
        <f t="shared" si="159"/>
        <v>0</v>
      </c>
      <c r="CU332" s="168">
        <f t="shared" si="160"/>
        <v>800</v>
      </c>
      <c r="CV332" s="177">
        <f t="shared" si="143"/>
        <v>0</v>
      </c>
      <c r="CW332" s="82">
        <f t="shared" si="144"/>
        <v>744</v>
      </c>
      <c r="CX332" s="79">
        <f>IF(ISBLANK(E332),"AddQuickPay",IF(E332=2,CU332*0.98,IF(E332=2.4,CU332*0.976,IF(E332=3,CU332*0.97,IF(E332=5,CU332*0.95,IF(E332=1.5,CU332*0.985,IF(E332=2.5,CU332*0.975,IF(E332=1.3,CU332*0.987,IF(E332=1,CU332*0.99,IF(E332=4,CU332*0.96,CU332*1))))))))))-Table1[[#This Row],[ComCheck+QuickPayFee]]</f>
        <v>776</v>
      </c>
      <c r="CY332" s="5">
        <f t="shared" si="161"/>
        <v>56</v>
      </c>
      <c r="CZ332" s="5">
        <f t="shared" si="162"/>
        <v>24</v>
      </c>
      <c r="DA332" s="258">
        <f>Table1[[#This Row],[OriginalDispatch]]-Table1[[#This Row],[QuickPayCharge]]</f>
        <v>32</v>
      </c>
      <c r="DB332" s="5">
        <v>0</v>
      </c>
      <c r="DC332" s="5" t="s">
        <v>1287</v>
      </c>
      <c r="DD332" s="172">
        <f t="shared" si="163"/>
        <v>42440</v>
      </c>
      <c r="DE332" s="171">
        <f>MONTH(Table1[[#This Row],[Weekending]])</f>
        <v>3</v>
      </c>
      <c r="DF332" s="171">
        <f>YEAR(Table1[[#This Row],[Weekending]])</f>
        <v>2016</v>
      </c>
      <c r="DG332" s="4"/>
    </row>
    <row r="333" spans="1:111">
      <c r="A333" s="416" t="str">
        <f t="shared" si="145"/>
        <v>6964wn59</v>
      </c>
      <c r="B333" s="104">
        <v>42433</v>
      </c>
      <c r="C333" s="414">
        <v>2397969</v>
      </c>
      <c r="D333" s="416" t="s">
        <v>1638</v>
      </c>
      <c r="E333" s="15">
        <v>2</v>
      </c>
      <c r="F333" s="144" t="str">
        <f>INDEX(BrokerTBL!$B:$B,MATCH(D333,BrokerTBL!$A:$A,0))</f>
        <v>4040 Embassy Parkway Suite 370</v>
      </c>
      <c r="G333" s="15" t="str">
        <f>INDEX(BrokerTBL!$C:$C,MATCH(D333,BrokerTBL!$A:$A,0))</f>
        <v>Akron</v>
      </c>
      <c r="H333" s="4" t="str">
        <f>INDEX(BrokerTBL!$D:$D,MATCH(D333,BrokerTBL!$A:$A,0))</f>
        <v>Ohio</v>
      </c>
      <c r="I333" s="4" t="str">
        <f>INDEX(BrokerTBL!$E:$E,MATCH(D333,BrokerTBL!$A:$A,0))</f>
        <v>US</v>
      </c>
      <c r="J333" s="4">
        <f>INDEX(BrokerTBL!$F:$F,MATCH(D333,BrokerTBL!$A:$A,0))</f>
        <v>44333</v>
      </c>
      <c r="K333" s="416" t="s">
        <v>1639</v>
      </c>
      <c r="L333" s="81">
        <v>27164</v>
      </c>
      <c r="M333" s="104">
        <v>42436</v>
      </c>
      <c r="N333" s="162" t="s">
        <v>123</v>
      </c>
      <c r="O333" s="15" t="s">
        <v>2242</v>
      </c>
      <c r="P333" s="416" t="s">
        <v>2243</v>
      </c>
      <c r="Q333" s="416" t="s">
        <v>2233</v>
      </c>
      <c r="R333" s="416">
        <v>89706</v>
      </c>
      <c r="S333" s="416" t="s">
        <v>2207</v>
      </c>
      <c r="T333" s="416" t="s">
        <v>1643</v>
      </c>
      <c r="U333" s="416" t="s">
        <v>120</v>
      </c>
      <c r="V333" s="416">
        <v>53</v>
      </c>
      <c r="W333" s="416" t="s">
        <v>2244</v>
      </c>
      <c r="X333" s="225">
        <v>44000</v>
      </c>
      <c r="Y333" s="15" t="s">
        <v>123</v>
      </c>
      <c r="Z333" s="416" t="s">
        <v>123</v>
      </c>
      <c r="AA333" s="416" t="s">
        <v>123</v>
      </c>
      <c r="AB333" s="416" t="s">
        <v>123</v>
      </c>
      <c r="AC333" s="416" t="s">
        <v>1645</v>
      </c>
      <c r="AD333" s="81" t="s">
        <v>1205</v>
      </c>
      <c r="AE333" s="104">
        <v>42436</v>
      </c>
      <c r="AF333" s="104" t="s">
        <v>1316</v>
      </c>
      <c r="AG333" s="416" t="s">
        <v>2355</v>
      </c>
      <c r="AH333" s="416" t="s">
        <v>138</v>
      </c>
      <c r="AI333" s="416" t="s">
        <v>2206</v>
      </c>
      <c r="AJ333" s="416">
        <v>93232</v>
      </c>
      <c r="AK333" s="416" t="s">
        <v>2207</v>
      </c>
      <c r="AL333" s="416" t="s">
        <v>2356</v>
      </c>
      <c r="AM333" s="171" t="str">
        <f>INDEX(CarrierDriverTBL!$B:$B,MATCH(Table1[[#This Row],[DriverID]],CarrierDriverTBL!$A:$A,0))</f>
        <v>UBTrucking</v>
      </c>
      <c r="AN333" s="10" t="s">
        <v>2337</v>
      </c>
      <c r="AO333" s="171" t="str">
        <f>INDEX(CarrierDriverTBL!$C:$C,MATCH(Table1[[#This Row],[DriverID]],CarrierDriverTBL!$A:$A,0))</f>
        <v>Asim</v>
      </c>
      <c r="AP333" s="171" t="str">
        <f>INDEX(CarrierDriverTBL!$D:$D,MATCH(Table1[[#This Row],[DriverID]],CarrierDriverTBL!$A:$A,0))</f>
        <v>Khan</v>
      </c>
      <c r="AQ333" s="171">
        <f>INDEX(CarrierDriverTBL!$X:$X,MATCH(Table1[[#This Row],[DriverID]],CarrierDriverTBL!$A:$A,0))</f>
        <v>29063559</v>
      </c>
      <c r="AR333" s="172">
        <f>INDEX(CarrierDriverTBL!$Y:$Y,MATCH(Table1[[#This Row],[DriverID]],CarrierDriverTBL!$A:$A,0))</f>
        <v>44441</v>
      </c>
      <c r="AS333" s="142" t="str">
        <f t="shared" si="146"/>
        <v>GOOD</v>
      </c>
      <c r="AT333" s="172">
        <f>INDEX(CarrierDriverTBL!$E:$E,MATCH(Table1[[#This Row],[DriverID]],CarrierDriverTBL!$A:$A,0))</f>
        <v>22891</v>
      </c>
      <c r="AU333" s="218">
        <f ca="1">INDEX(CarrierDriverTBL!$F:$F,MATCH(Table1[[#This Row],[DriverID]],CarrierDriverTBL!$A:$A,0))</f>
        <v>53.93150684931507</v>
      </c>
      <c r="AV333" s="142" t="str">
        <f>INDEX(CarrierDriverTBL!$K:$K,MATCH(Table1[[#This Row],[DriverID]],CarrierDriverTBL!$A:$A,0))</f>
        <v>408-489-2377</v>
      </c>
      <c r="AW333" s="171" t="str">
        <f>INDEX(CarrierDriverTBL!$M:$M,MATCH(Table1[[#This Row],[DriverID]],CarrierDriverTBL!$A:$A,0))</f>
        <v>1502 Village Cir #137</v>
      </c>
      <c r="AX333" s="171" t="str">
        <f>INDEX(CarrierDriverTBL!$N:$N,MATCH(Table1[[#This Row],[DriverID]],CarrierDriverTBL!$A:$A,0))</f>
        <v>Arlington</v>
      </c>
      <c r="AY333" s="171" t="str">
        <f>INDEX(CarrierDriverTBL!$O:$O,MATCH(Table1[[#This Row],[DriverID]],CarrierDriverTBL!$A:$A,0))</f>
        <v>TX</v>
      </c>
      <c r="AZ333" s="171">
        <f>INDEX(CarrierDriverTBL!$P:$P,MATCH(Table1[[#This Row],[DriverID]],CarrierDriverTBL!$A:$A,0))</f>
        <v>76012</v>
      </c>
      <c r="BA333" s="171" t="str">
        <f>INDEX(CarrierDriverTBL!$Q:$Q,MATCH(Table1[[#This Row],[DriverID]],CarrierDriverTBL!$A:$A,0))</f>
        <v>US</v>
      </c>
      <c r="BB333" s="219" t="str">
        <f>INDEX(CarrierDriverTBL!$R:$R,MATCH(Table1[[#This Row],[DriverID]],CarrierDriverTBL!$A:$A,0))</f>
        <v>aokhan1@gmail.com</v>
      </c>
      <c r="BC333" s="160" t="str">
        <f>INDEX(CarrierDriverTBL!$AB:$AB,MATCH(Table1[[#This Row],[DriverID]],CarrierDriverTBL!$A:$A,0))</f>
        <v>Missing</v>
      </c>
      <c r="BD333" s="142" t="str">
        <f ca="1">INDEX(CarrierDriverTBL!$AD:$AD,MATCH(LoadMaster!$AN:$AN,CarrierDriverTBL!$A:$A,0))</f>
        <v>MISSING</v>
      </c>
      <c r="BE333" s="171">
        <f>INDEX(CarrierDriverTBL!$AE:$AE,MATCH(Table1[DriverID],CarrierDriverTBL!$A:$A,0))</f>
        <v>913971</v>
      </c>
      <c r="BF333" s="171">
        <f>INDEX(CarrierDriverTBL!$AF:$AF,MATCH(Table1[DriverID],CarrierDriverTBL!$A:$A,0))</f>
        <v>2627544</v>
      </c>
      <c r="BG333" s="10">
        <f>INDEX(CarrierDriverTBL!$AG:$AG,MATCH(Table1[DriverID],CarrierDriverTBL!$A:$A,0))</f>
        <v>466133</v>
      </c>
      <c r="BH333" s="171" t="str">
        <f>INDEX(CarrierDriverTBL!$AH:$AH,MATCH(Table1[DriverID],CarrierDriverTBL!$A:$A,0))</f>
        <v>GM Lawrence Ins</v>
      </c>
      <c r="BI333" s="171" t="str">
        <f>INDEX(CarrierDriverTBL!$AI:$AI,MATCH(Table1[DriverID],CarrierDriverTBL!$A:$A,0))</f>
        <v>DSK2842P160210</v>
      </c>
      <c r="BJ333" s="172">
        <f>INDEX(CarrierDriverTBL!$AJ:$AJ,MATCH(Table1[[#This Row],[DriverID]],CarrierDriverTBL!$A:$A,0))</f>
        <v>42778</v>
      </c>
      <c r="BK333" s="10">
        <f t="shared" si="147"/>
        <v>342</v>
      </c>
      <c r="BL333" s="5">
        <v>600</v>
      </c>
      <c r="BM333" s="171">
        <v>318</v>
      </c>
      <c r="BN333" s="133">
        <f t="shared" si="164"/>
        <v>1.8867924528301887</v>
      </c>
      <c r="BO333" s="134">
        <f>0.93*600</f>
        <v>558</v>
      </c>
      <c r="BP333" s="133">
        <f t="shared" si="165"/>
        <v>1.7547169811320755</v>
      </c>
      <c r="BQ333" s="133">
        <v>2.6</v>
      </c>
      <c r="BR333" s="215">
        <f t="shared" si="166"/>
        <v>0.1166666666666667</v>
      </c>
      <c r="BS333" s="133">
        <f t="shared" si="148"/>
        <v>1.6380503144654088</v>
      </c>
      <c r="BT333" s="133">
        <f t="shared" si="149"/>
        <v>37.100000000000009</v>
      </c>
      <c r="BU333" s="10" t="str">
        <f t="shared" si="150"/>
        <v>Matson Logistics</v>
      </c>
      <c r="BV333" s="15"/>
      <c r="BW333" s="4" t="str">
        <f>Table1[[#This Row],[BrokerAddress]]</f>
        <v>4040 Embassy Parkway Suite 370</v>
      </c>
      <c r="BX333" s="4" t="str">
        <f t="shared" si="151"/>
        <v>Akron</v>
      </c>
      <c r="BY333" s="4" t="str">
        <f t="shared" si="152"/>
        <v>Ohio</v>
      </c>
      <c r="BZ333" s="4">
        <f t="shared" si="153"/>
        <v>44333</v>
      </c>
      <c r="CA333" s="10" t="str">
        <f t="shared" si="154"/>
        <v>US</v>
      </c>
      <c r="CB333" s="15" t="s">
        <v>131</v>
      </c>
      <c r="CC333" s="62"/>
      <c r="CD333" s="15" t="s">
        <v>132</v>
      </c>
      <c r="CE333" s="64">
        <v>0</v>
      </c>
      <c r="CF333" s="4">
        <v>0</v>
      </c>
      <c r="CG333" s="132">
        <f t="shared" si="155"/>
        <v>0</v>
      </c>
      <c r="CH333" s="4" t="s">
        <v>132</v>
      </c>
      <c r="CI333" s="5">
        <v>0</v>
      </c>
      <c r="CJ333" s="4">
        <v>0</v>
      </c>
      <c r="CK333" s="132">
        <f t="shared" si="156"/>
        <v>0</v>
      </c>
      <c r="CL333" s="4" t="s">
        <v>132</v>
      </c>
      <c r="CM333" s="5">
        <v>0</v>
      </c>
      <c r="CN333" s="4">
        <v>0</v>
      </c>
      <c r="CO333" s="132">
        <f t="shared" si="157"/>
        <v>0</v>
      </c>
      <c r="CP333" s="4" t="s">
        <v>132</v>
      </c>
      <c r="CQ333" s="5">
        <v>0</v>
      </c>
      <c r="CR333" s="4">
        <v>0</v>
      </c>
      <c r="CS333" s="132">
        <f t="shared" si="158"/>
        <v>0</v>
      </c>
      <c r="CT333" s="132">
        <f t="shared" si="159"/>
        <v>0</v>
      </c>
      <c r="CU333" s="168">
        <f t="shared" si="160"/>
        <v>600</v>
      </c>
      <c r="CV333" s="177">
        <f t="shared" si="143"/>
        <v>0</v>
      </c>
      <c r="CW333" s="82">
        <f t="shared" si="144"/>
        <v>558</v>
      </c>
      <c r="CX333" s="79">
        <f>IF(ISBLANK(E333),"AddQuickPay",IF(E333=2,CU333*0.98,IF(E333=2.4,CU333*0.976,IF(E333=3,CU333*0.97,IF(E333=5,CU333*0.95,IF(E333=1.5,CU333*0.985,IF(E333=2.5,CU333*0.975,IF(E333=1.3,CU333*0.987,IF(E333=1,CU333*0.99,IF(E333=4,CU333*0.96,CU333*1))))))))))-Table1[[#This Row],[ComCheck+QuickPayFee]]</f>
        <v>588</v>
      </c>
      <c r="CY333" s="5">
        <f t="shared" si="161"/>
        <v>42</v>
      </c>
      <c r="CZ333" s="5">
        <f t="shared" si="162"/>
        <v>12</v>
      </c>
      <c r="DA333" s="258">
        <f>Table1[[#This Row],[OriginalDispatch]]-Table1[[#This Row],[QuickPayCharge]]</f>
        <v>30</v>
      </c>
      <c r="DB333" s="5">
        <v>0</v>
      </c>
      <c r="DC333" s="5" t="s">
        <v>1287</v>
      </c>
      <c r="DD333" s="172">
        <f t="shared" si="163"/>
        <v>42440</v>
      </c>
      <c r="DE333" s="171">
        <f>MONTH(Table1[[#This Row],[Weekending]])</f>
        <v>3</v>
      </c>
      <c r="DF333" s="171">
        <f>YEAR(Table1[[#This Row],[Weekending]])</f>
        <v>2016</v>
      </c>
      <c r="DG333" s="4"/>
    </row>
    <row r="334" spans="1:111">
      <c r="A334" s="416" t="str">
        <f t="shared" si="145"/>
        <v>70ONwn93</v>
      </c>
      <c r="B334" s="104">
        <v>42439</v>
      </c>
      <c r="C334" s="414">
        <v>48370</v>
      </c>
      <c r="D334" s="416" t="s">
        <v>1824</v>
      </c>
      <c r="E334" s="15">
        <v>3</v>
      </c>
      <c r="F334" s="144" t="str">
        <f>INDEX(BrokerTBL!$B:$B,MATCH(D334,BrokerTBL!$A:$A,0))</f>
        <v>2109 W Bullard Ave # 101</v>
      </c>
      <c r="G334" s="15" t="str">
        <f>INDEX(BrokerTBL!$C:$C,MATCH(D334,BrokerTBL!$A:$A,0))</f>
        <v>Fresno</v>
      </c>
      <c r="H334" s="4" t="str">
        <f>INDEX(BrokerTBL!$D:$D,MATCH(D334,BrokerTBL!$A:$A,0))</f>
        <v>Ca</v>
      </c>
      <c r="I334" s="4" t="str">
        <f>INDEX(BrokerTBL!$E:$E,MATCH(D334,BrokerTBL!$A:$A,0))</f>
        <v>US</v>
      </c>
      <c r="J334" s="4">
        <f>INDEX(BrokerTBL!$F:$F,MATCH(D334,BrokerTBL!$A:$A,0))</f>
        <v>93711</v>
      </c>
      <c r="K334" s="416" t="s">
        <v>2357</v>
      </c>
      <c r="L334" s="81" t="s">
        <v>2358</v>
      </c>
      <c r="M334" s="104">
        <v>42437</v>
      </c>
      <c r="N334" s="15" t="s">
        <v>2359</v>
      </c>
      <c r="O334" s="15" t="s">
        <v>2360</v>
      </c>
      <c r="P334" s="416" t="s">
        <v>2361</v>
      </c>
      <c r="Q334" s="416" t="s">
        <v>2206</v>
      </c>
      <c r="R334" s="416">
        <v>94562</v>
      </c>
      <c r="S334" s="416" t="s">
        <v>2207</v>
      </c>
      <c r="T334" s="298" t="s">
        <v>123</v>
      </c>
      <c r="U334" s="416" t="s">
        <v>120</v>
      </c>
      <c r="V334" s="416">
        <v>53</v>
      </c>
      <c r="W334" s="416" t="s">
        <v>2362</v>
      </c>
      <c r="X334" s="225">
        <v>11200</v>
      </c>
      <c r="Y334" s="15" t="s">
        <v>123</v>
      </c>
      <c r="Z334" s="416" t="s">
        <v>123</v>
      </c>
      <c r="AA334" s="416" t="s">
        <v>123</v>
      </c>
      <c r="AB334" s="416" t="s">
        <v>123</v>
      </c>
      <c r="AC334" s="416" t="s">
        <v>2363</v>
      </c>
      <c r="AD334" s="81" t="s">
        <v>1205</v>
      </c>
      <c r="AE334" s="104">
        <v>42438</v>
      </c>
      <c r="AF334" s="226">
        <v>0.29166666666666669</v>
      </c>
      <c r="AG334" s="416" t="s">
        <v>2364</v>
      </c>
      <c r="AH334" s="416" t="s">
        <v>2365</v>
      </c>
      <c r="AI334" s="416" t="s">
        <v>2206</v>
      </c>
      <c r="AJ334" s="416">
        <v>93657</v>
      </c>
      <c r="AK334" s="416" t="s">
        <v>2207</v>
      </c>
      <c r="AL334" s="416" t="s">
        <v>123</v>
      </c>
      <c r="AM334" s="171" t="str">
        <f>INDEX(CarrierDriverTBL!$B:$B,MATCH(Table1[[#This Row],[DriverID]],CarrierDriverTBL!$A:$A,0))</f>
        <v>UBTrucking</v>
      </c>
      <c r="AN334" s="10" t="s">
        <v>2234</v>
      </c>
      <c r="AO334" s="171" t="str">
        <f>INDEX(CarrierDriverTBL!$C:$C,MATCH(Table1[[#This Row],[DriverID]],CarrierDriverTBL!$A:$A,0))</f>
        <v>Arturo</v>
      </c>
      <c r="AP334" s="171" t="str">
        <f>INDEX(CarrierDriverTBL!$D:$D,MATCH(Table1[[#This Row],[DriverID]],CarrierDriverTBL!$A:$A,0))</f>
        <v>Carrillo</v>
      </c>
      <c r="AQ334" s="171" t="str">
        <f>INDEX(CarrierDriverTBL!$X:$X,MATCH(Table1[[#This Row],[DriverID]],CarrierDriverTBL!$A:$A,0))</f>
        <v>C7056793</v>
      </c>
      <c r="AR334" s="160">
        <f>INDEX(CarrierDriverTBL!$Y:$Y,MATCH(Table1[[#This Row],[DriverID]],CarrierDriverTBL!$A:$A,0))</f>
        <v>43410</v>
      </c>
      <c r="AS334" s="142" t="str">
        <f t="shared" si="146"/>
        <v>GOOD</v>
      </c>
      <c r="AT334" s="172">
        <f>INDEX(CarrierDriverTBL!$E:$E,MATCH(Table1[[#This Row],[DriverID]],CarrierDriverTBL!$A:$A,0))</f>
        <v>24782</v>
      </c>
      <c r="AU334" s="163">
        <f ca="1">INDEX(CarrierDriverTBL!$F:$F,MATCH(Table1[[#This Row],[DriverID]],CarrierDriverTBL!$A:$A,0))</f>
        <v>48.750684931506846</v>
      </c>
      <c r="AV334" s="171" t="str">
        <f>INDEX(CarrierDriverTBL!$K:$K,MATCH(Table1[[#This Row],[DriverID]],CarrierDriverTBL!$A:$A,0))</f>
        <v>209-276-9785</v>
      </c>
      <c r="AW334" s="171" t="str">
        <f>INDEX(CarrierDriverTBL!$M:$M,MATCH(Table1[[#This Row],[DriverID]],CarrierDriverTBL!$A:$A,0))</f>
        <v>1685 Winthrop Ln</v>
      </c>
      <c r="AX334" s="171" t="str">
        <f>INDEX(CarrierDriverTBL!$N:$N,MATCH(Table1[[#This Row],[DriverID]],CarrierDriverTBL!$A:$A,0))</f>
        <v>Ceres</v>
      </c>
      <c r="AY334" s="171" t="str">
        <f>INDEX(CarrierDriverTBL!$O:$O,MATCH(Table1[[#This Row],[DriverID]],CarrierDriverTBL!$A:$A,0))</f>
        <v>CA</v>
      </c>
      <c r="AZ334" s="171">
        <f>INDEX(CarrierDriverTBL!$P:$P,MATCH(Table1[[#This Row],[DriverID]],CarrierDriverTBL!$A:$A,0))</f>
        <v>95307</v>
      </c>
      <c r="BA334" s="171" t="str">
        <f>INDEX(CarrierDriverTBL!$Q:$Q,MATCH(Table1[[#This Row],[DriverID]],CarrierDriverTBL!$A:$A,0))</f>
        <v>US</v>
      </c>
      <c r="BB334" s="173" t="str">
        <f>INDEX(CarrierDriverTBL!$R:$R,MATCH(Table1[[#This Row],[DriverID]],CarrierDriverTBL!$A:$A,0))</f>
        <v>arturocarr777@gmail.com</v>
      </c>
      <c r="BC334" s="160">
        <f>INDEX(CarrierDriverTBL!$AB:$AB,MATCH(Table1[[#This Row],[DriverID]],CarrierDriverTBL!$A:$A,0))</f>
        <v>42418</v>
      </c>
      <c r="BD334" s="142" t="str">
        <f ca="1">INDEX(CarrierDriverTBL!$AD:$AD,MATCH(LoadMaster!$AN:$AN,CarrierDriverTBL!$A:$A,0))</f>
        <v>MISSING</v>
      </c>
      <c r="BE334" s="171">
        <f>INDEX(CarrierDriverTBL!$AE:$AE,MATCH(Table1[DriverID],CarrierDriverTBL!$A:$A,0))</f>
        <v>913971</v>
      </c>
      <c r="BF334" s="171">
        <f>INDEX(CarrierDriverTBL!$AF:$AF,MATCH(Table1[DriverID],CarrierDriverTBL!$A:$A,0))</f>
        <v>2627544</v>
      </c>
      <c r="BG334" s="10">
        <f>INDEX(CarrierDriverTBL!$AG:$AG,MATCH(Table1[DriverID],CarrierDriverTBL!$A:$A,0))</f>
        <v>466133</v>
      </c>
      <c r="BH334" s="171" t="str">
        <f>INDEX(CarrierDriverTBL!$AH:$AH,MATCH(Table1[DriverID],CarrierDriverTBL!$A:$A,0))</f>
        <v>GM Lawrence Ins</v>
      </c>
      <c r="BI334" s="171" t="str">
        <f>INDEX(CarrierDriverTBL!$AI:$AI,MATCH(Table1[DriverID],CarrierDriverTBL!$A:$A,0))</f>
        <v>DSK2842P160210</v>
      </c>
      <c r="BJ334" s="172">
        <f>INDEX(CarrierDriverTBL!$AJ:$AJ,MATCH(Table1[[#This Row],[DriverID]],CarrierDriverTBL!$A:$A,0))</f>
        <v>42778</v>
      </c>
      <c r="BK334" s="10">
        <f t="shared" si="147"/>
        <v>341</v>
      </c>
      <c r="BL334" s="5">
        <v>500</v>
      </c>
      <c r="BM334" s="171">
        <v>228</v>
      </c>
      <c r="BN334" s="133">
        <f t="shared" si="164"/>
        <v>2.192982456140351</v>
      </c>
      <c r="BO334" s="134">
        <f>0.93*500</f>
        <v>465</v>
      </c>
      <c r="BP334" s="133">
        <f t="shared" si="165"/>
        <v>2.0394736842105261</v>
      </c>
      <c r="BQ334" s="133">
        <v>2.6</v>
      </c>
      <c r="BR334" s="215">
        <f t="shared" si="166"/>
        <v>0.1166666666666667</v>
      </c>
      <c r="BS334" s="133">
        <f t="shared" si="148"/>
        <v>1.9228070175438594</v>
      </c>
      <c r="BT334" s="133">
        <f t="shared" si="149"/>
        <v>26.600000000000009</v>
      </c>
      <c r="BU334" s="10" t="str">
        <f t="shared" si="150"/>
        <v>Cargobarn Inc.</v>
      </c>
      <c r="BV334" s="15"/>
      <c r="BW334" s="4" t="str">
        <f>Table1[[#This Row],[BrokerAddress]]</f>
        <v>2109 W Bullard Ave # 101</v>
      </c>
      <c r="BX334" s="4" t="str">
        <f t="shared" si="151"/>
        <v>Fresno</v>
      </c>
      <c r="BY334" s="4" t="str">
        <f t="shared" si="152"/>
        <v>Ca</v>
      </c>
      <c r="BZ334" s="4">
        <f t="shared" si="153"/>
        <v>93711</v>
      </c>
      <c r="CA334" s="10" t="str">
        <f t="shared" si="154"/>
        <v>US</v>
      </c>
      <c r="CB334" s="15" t="s">
        <v>131</v>
      </c>
      <c r="CC334" s="62"/>
      <c r="CD334" s="15" t="s">
        <v>132</v>
      </c>
      <c r="CE334" s="64">
        <v>0</v>
      </c>
      <c r="CF334" s="4">
        <v>0</v>
      </c>
      <c r="CG334" s="132">
        <f t="shared" si="155"/>
        <v>0</v>
      </c>
      <c r="CH334" s="4" t="s">
        <v>132</v>
      </c>
      <c r="CI334" s="5">
        <v>0</v>
      </c>
      <c r="CJ334" s="4">
        <v>0</v>
      </c>
      <c r="CK334" s="132">
        <f t="shared" si="156"/>
        <v>0</v>
      </c>
      <c r="CL334" s="4" t="s">
        <v>132</v>
      </c>
      <c r="CM334" s="5">
        <v>0</v>
      </c>
      <c r="CN334" s="4">
        <v>0</v>
      </c>
      <c r="CO334" s="132">
        <f t="shared" si="157"/>
        <v>0</v>
      </c>
      <c r="CP334" s="4" t="s">
        <v>132</v>
      </c>
      <c r="CQ334" s="5">
        <v>0</v>
      </c>
      <c r="CR334" s="4">
        <v>0</v>
      </c>
      <c r="CS334" s="132">
        <f t="shared" si="158"/>
        <v>0</v>
      </c>
      <c r="CT334" s="132">
        <f t="shared" si="159"/>
        <v>0</v>
      </c>
      <c r="CU334" s="168">
        <f t="shared" si="160"/>
        <v>500</v>
      </c>
      <c r="CV334" s="177">
        <f t="shared" si="143"/>
        <v>0</v>
      </c>
      <c r="CW334" s="82">
        <f t="shared" si="144"/>
        <v>465</v>
      </c>
      <c r="CX334" s="79">
        <f>IF(ISBLANK(E334),"AddQuickPay",IF(E334=2,CU334*0.98,IF(E334=2.4,CU334*0.976,IF(E334=3,CU334*0.97,IF(E334=5,CU334*0.95,IF(E334=1.5,CU334*0.985,IF(E334=2.5,CU334*0.975,IF(E334=1.3,CU334*0.987,IF(E334=1,CU334*0.99,IF(E334=4,CU334*0.96,CU334*1))))))))))-Table1[[#This Row],[ComCheck+QuickPayFee]]</f>
        <v>485</v>
      </c>
      <c r="CY334" s="5">
        <f t="shared" si="161"/>
        <v>35</v>
      </c>
      <c r="CZ334" s="5">
        <f t="shared" si="162"/>
        <v>15</v>
      </c>
      <c r="DA334" s="258">
        <f>Table1[[#This Row],[OriginalDispatch]]-Table1[[#This Row],[QuickPayCharge]]</f>
        <v>20</v>
      </c>
      <c r="DB334" s="5">
        <v>0</v>
      </c>
      <c r="DC334" s="5" t="s">
        <v>1287</v>
      </c>
      <c r="DD334" s="172">
        <f t="shared" si="163"/>
        <v>42440</v>
      </c>
      <c r="DE334" s="171">
        <f>MONTH(Table1[[#This Row],[Weekending]])</f>
        <v>3</v>
      </c>
      <c r="DF334" s="171">
        <f>YEAR(Table1[[#This Row],[Weekending]])</f>
        <v>2016</v>
      </c>
      <c r="DG334" s="4"/>
    </row>
    <row r="335" spans="1:111">
      <c r="A335" s="416" t="str">
        <f t="shared" si="145"/>
        <v>11505059</v>
      </c>
      <c r="B335" s="104">
        <v>42437</v>
      </c>
      <c r="C335" s="414">
        <v>6693511</v>
      </c>
      <c r="D335" s="416" t="s">
        <v>555</v>
      </c>
      <c r="E335" s="15">
        <v>3</v>
      </c>
      <c r="F335" s="144" t="str">
        <f>INDEX(BrokerTBL!$B:$B,MATCH(D335,BrokerTBL!$A:$A,0))</f>
        <v>P.O. Box 799</v>
      </c>
      <c r="G335" s="15" t="str">
        <f>INDEX(BrokerTBL!$C:$C,MATCH(D335,BrokerTBL!$A:$A,0))</f>
        <v>Milford</v>
      </c>
      <c r="H335" s="4" t="str">
        <f>INDEX(BrokerTBL!$D:$D,MATCH(D335,BrokerTBL!$A:$A,0))</f>
        <v>Ohio</v>
      </c>
      <c r="I335" s="4" t="str">
        <f>INDEX(BrokerTBL!$E:$E,MATCH(D335,BrokerTBL!$A:$A,0))</f>
        <v>US</v>
      </c>
      <c r="J335" s="4">
        <f>INDEX(BrokerTBL!$F:$F,MATCH(D335,BrokerTBL!$A:$A,0))</f>
        <v>45150</v>
      </c>
      <c r="K335" s="416" t="s">
        <v>2366</v>
      </c>
      <c r="L335" s="81">
        <v>4500279050</v>
      </c>
      <c r="M335" s="104">
        <v>42437</v>
      </c>
      <c r="N335" s="15" t="s">
        <v>1979</v>
      </c>
      <c r="O335" s="15" t="s">
        <v>2367</v>
      </c>
      <c r="P335" s="416" t="s">
        <v>2368</v>
      </c>
      <c r="Q335" s="416" t="s">
        <v>2206</v>
      </c>
      <c r="R335" s="416">
        <v>95206</v>
      </c>
      <c r="S335" s="416" t="s">
        <v>2207</v>
      </c>
      <c r="T335" s="298" t="s">
        <v>123</v>
      </c>
      <c r="U335" s="416" t="s">
        <v>120</v>
      </c>
      <c r="V335" s="416">
        <v>53</v>
      </c>
      <c r="W335" s="416" t="s">
        <v>1205</v>
      </c>
      <c r="X335" s="225">
        <v>2375</v>
      </c>
      <c r="Y335" s="15" t="s">
        <v>2220</v>
      </c>
      <c r="Z335" s="416">
        <v>2</v>
      </c>
      <c r="AA335" s="416" t="s">
        <v>123</v>
      </c>
      <c r="AB335" s="416" t="s">
        <v>123</v>
      </c>
      <c r="AC335" s="416" t="s">
        <v>2369</v>
      </c>
      <c r="AD335" s="81">
        <v>4500279050</v>
      </c>
      <c r="AE335" s="104">
        <v>42438</v>
      </c>
      <c r="AF335" s="104" t="s">
        <v>2370</v>
      </c>
      <c r="AG335" s="416" t="s">
        <v>2371</v>
      </c>
      <c r="AH335" s="416" t="s">
        <v>2372</v>
      </c>
      <c r="AI335" s="416" t="s">
        <v>2373</v>
      </c>
      <c r="AJ335" s="416">
        <v>97402</v>
      </c>
      <c r="AK335" s="416" t="s">
        <v>2207</v>
      </c>
      <c r="AL335" s="416" t="s">
        <v>123</v>
      </c>
      <c r="AM335" s="171" t="str">
        <f>INDEX(CarrierDriverTBL!$B:$B,MATCH(Table1[[#This Row],[DriverID]],CarrierDriverTBL!$A:$A,0))</f>
        <v>UBTrucking</v>
      </c>
      <c r="AN335" s="10" t="s">
        <v>2337</v>
      </c>
      <c r="AO335" s="171" t="str">
        <f>INDEX(CarrierDriverTBL!$C:$C,MATCH(Table1[[#This Row],[DriverID]],CarrierDriverTBL!$A:$A,0))</f>
        <v>Asim</v>
      </c>
      <c r="AP335" s="171" t="str">
        <f>INDEX(CarrierDriverTBL!$D:$D,MATCH(Table1[[#This Row],[DriverID]],CarrierDriverTBL!$A:$A,0))</f>
        <v>Khan</v>
      </c>
      <c r="AQ335" s="171">
        <f>INDEX(CarrierDriverTBL!$X:$X,MATCH(Table1[[#This Row],[DriverID]],CarrierDriverTBL!$A:$A,0))</f>
        <v>29063559</v>
      </c>
      <c r="AR335" s="172">
        <f>INDEX(CarrierDriverTBL!$Y:$Y,MATCH(Table1[[#This Row],[DriverID]],CarrierDriverTBL!$A:$A,0))</f>
        <v>44441</v>
      </c>
      <c r="AS335" s="142" t="str">
        <f t="shared" si="146"/>
        <v>GOOD</v>
      </c>
      <c r="AT335" s="172">
        <f>INDEX(CarrierDriverTBL!$E:$E,MATCH(Table1[[#This Row],[DriverID]],CarrierDriverTBL!$A:$A,0))</f>
        <v>22891</v>
      </c>
      <c r="AU335" s="218">
        <f ca="1">INDEX(CarrierDriverTBL!$F:$F,MATCH(Table1[[#This Row],[DriverID]],CarrierDriverTBL!$A:$A,0))</f>
        <v>53.93150684931507</v>
      </c>
      <c r="AV335" s="142" t="str">
        <f>INDEX(CarrierDriverTBL!$K:$K,MATCH(Table1[[#This Row],[DriverID]],CarrierDriverTBL!$A:$A,0))</f>
        <v>408-489-2377</v>
      </c>
      <c r="AW335" s="171" t="str">
        <f>INDEX(CarrierDriverTBL!$M:$M,MATCH(Table1[[#This Row],[DriverID]],CarrierDriverTBL!$A:$A,0))</f>
        <v>1502 Village Cir #137</v>
      </c>
      <c r="AX335" s="171" t="str">
        <f>INDEX(CarrierDriverTBL!$N:$N,MATCH(Table1[[#This Row],[DriverID]],CarrierDriverTBL!$A:$A,0))</f>
        <v>Arlington</v>
      </c>
      <c r="AY335" s="171" t="str">
        <f>INDEX(CarrierDriverTBL!$O:$O,MATCH(Table1[[#This Row],[DriverID]],CarrierDriverTBL!$A:$A,0))</f>
        <v>TX</v>
      </c>
      <c r="AZ335" s="171">
        <f>INDEX(CarrierDriverTBL!$P:$P,MATCH(Table1[[#This Row],[DriverID]],CarrierDriverTBL!$A:$A,0))</f>
        <v>76012</v>
      </c>
      <c r="BA335" s="171" t="str">
        <f>INDEX(CarrierDriverTBL!$Q:$Q,MATCH(Table1[[#This Row],[DriverID]],CarrierDriverTBL!$A:$A,0))</f>
        <v>US</v>
      </c>
      <c r="BB335" s="219" t="str">
        <f>INDEX(CarrierDriverTBL!$R:$R,MATCH(Table1[[#This Row],[DriverID]],CarrierDriverTBL!$A:$A,0))</f>
        <v>aokhan1@gmail.com</v>
      </c>
      <c r="BC335" s="160" t="str">
        <f>INDEX(CarrierDriverTBL!$AB:$AB,MATCH(Table1[[#This Row],[DriverID]],CarrierDriverTBL!$A:$A,0))</f>
        <v>Missing</v>
      </c>
      <c r="BD335" s="142" t="str">
        <f ca="1">INDEX(CarrierDriverTBL!$AD:$AD,MATCH(LoadMaster!$AN:$AN,CarrierDriverTBL!$A:$A,0))</f>
        <v>MISSING</v>
      </c>
      <c r="BE335" s="171">
        <f>INDEX(CarrierDriverTBL!$AE:$AE,MATCH(Table1[DriverID],CarrierDriverTBL!$A:$A,0))</f>
        <v>913971</v>
      </c>
      <c r="BF335" s="171">
        <f>INDEX(CarrierDriverTBL!$AF:$AF,MATCH(Table1[DriverID],CarrierDriverTBL!$A:$A,0))</f>
        <v>2627544</v>
      </c>
      <c r="BG335" s="10">
        <f>INDEX(CarrierDriverTBL!$AG:$AG,MATCH(Table1[DriverID],CarrierDriverTBL!$A:$A,0))</f>
        <v>466133</v>
      </c>
      <c r="BH335" s="171" t="str">
        <f>INDEX(CarrierDriverTBL!$AH:$AH,MATCH(Table1[DriverID],CarrierDriverTBL!$A:$A,0))</f>
        <v>GM Lawrence Ins</v>
      </c>
      <c r="BI335" s="171" t="str">
        <f>INDEX(CarrierDriverTBL!$AI:$AI,MATCH(Table1[DriverID],CarrierDriverTBL!$A:$A,0))</f>
        <v>DSK2842P160210</v>
      </c>
      <c r="BJ335" s="172">
        <f>INDEX(CarrierDriverTBL!$AJ:$AJ,MATCH(Table1[[#This Row],[DriverID]],CarrierDriverTBL!$A:$A,0))</f>
        <v>42778</v>
      </c>
      <c r="BK335" s="10">
        <f t="shared" si="147"/>
        <v>341</v>
      </c>
      <c r="BL335" s="5">
        <v>1000</v>
      </c>
      <c r="BM335" s="171">
        <v>521</v>
      </c>
      <c r="BN335" s="133">
        <f t="shared" si="164"/>
        <v>1.9193857965451055</v>
      </c>
      <c r="BO335" s="134">
        <f>0.93*1000</f>
        <v>930</v>
      </c>
      <c r="BP335" s="133">
        <f t="shared" si="165"/>
        <v>1.7850287907869482</v>
      </c>
      <c r="BQ335" s="133">
        <v>2.6</v>
      </c>
      <c r="BR335" s="215">
        <f t="shared" si="166"/>
        <v>0.1166666666666667</v>
      </c>
      <c r="BS335" s="133">
        <f t="shared" si="148"/>
        <v>1.6683621241202815</v>
      </c>
      <c r="BT335" s="133">
        <f t="shared" si="149"/>
        <v>60.783333333333346</v>
      </c>
      <c r="BU335" s="10" t="str">
        <f t="shared" si="150"/>
        <v>Tql</v>
      </c>
      <c r="BV335" s="15"/>
      <c r="BW335" s="4" t="str">
        <f>Table1[[#This Row],[BrokerAddress]]</f>
        <v>P.O. Box 799</v>
      </c>
      <c r="BX335" s="4" t="str">
        <f t="shared" si="151"/>
        <v>Milford</v>
      </c>
      <c r="BY335" s="4" t="str">
        <f t="shared" si="152"/>
        <v>Ohio</v>
      </c>
      <c r="BZ335" s="4">
        <f t="shared" si="153"/>
        <v>45150</v>
      </c>
      <c r="CA335" s="10" t="str">
        <f t="shared" si="154"/>
        <v>US</v>
      </c>
      <c r="CB335" s="15" t="s">
        <v>131</v>
      </c>
      <c r="CC335" s="62"/>
      <c r="CD335" s="15" t="s">
        <v>132</v>
      </c>
      <c r="CE335" s="64">
        <v>0</v>
      </c>
      <c r="CF335" s="4">
        <v>0</v>
      </c>
      <c r="CG335" s="132">
        <f t="shared" si="155"/>
        <v>0</v>
      </c>
      <c r="CH335" s="4" t="s">
        <v>132</v>
      </c>
      <c r="CI335" s="5">
        <v>0</v>
      </c>
      <c r="CJ335" s="4">
        <v>0</v>
      </c>
      <c r="CK335" s="132">
        <f t="shared" si="156"/>
        <v>0</v>
      </c>
      <c r="CL335" s="4" t="s">
        <v>132</v>
      </c>
      <c r="CM335" s="5">
        <v>0</v>
      </c>
      <c r="CN335" s="4">
        <v>0</v>
      </c>
      <c r="CO335" s="132">
        <f t="shared" si="157"/>
        <v>0</v>
      </c>
      <c r="CP335" s="4" t="s">
        <v>132</v>
      </c>
      <c r="CQ335" s="5">
        <v>0</v>
      </c>
      <c r="CR335" s="4">
        <v>0</v>
      </c>
      <c r="CS335" s="132">
        <f t="shared" si="158"/>
        <v>0</v>
      </c>
      <c r="CT335" s="132">
        <f t="shared" si="159"/>
        <v>0</v>
      </c>
      <c r="CU335" s="168">
        <f t="shared" si="160"/>
        <v>1000</v>
      </c>
      <c r="CV335" s="177">
        <f t="shared" si="143"/>
        <v>0</v>
      </c>
      <c r="CW335" s="82">
        <f t="shared" si="144"/>
        <v>930</v>
      </c>
      <c r="CX335" s="79">
        <f>IF(ISBLANK(E335),"AddQuickPay",IF(E335=2,CU335*0.98,IF(E335=2.4,CU335*0.976,IF(E335=3,CU335*0.97,IF(E335=5,CU335*0.95,IF(E335=1.5,CU335*0.985,IF(E335=2.5,CU335*0.975,IF(E335=1.3,CU335*0.987,IF(E335=1,CU335*0.99,IF(E335=4,CU335*0.96,CU335*1))))))))))-Table1[[#This Row],[ComCheck+QuickPayFee]]</f>
        <v>970</v>
      </c>
      <c r="CY335" s="5">
        <f t="shared" si="161"/>
        <v>70</v>
      </c>
      <c r="CZ335" s="5">
        <f t="shared" si="162"/>
        <v>30</v>
      </c>
      <c r="DA335" s="258">
        <f>Table1[[#This Row],[OriginalDispatch]]-Table1[[#This Row],[QuickPayCharge]]</f>
        <v>40</v>
      </c>
      <c r="DB335" s="5">
        <v>0</v>
      </c>
      <c r="DC335" s="5" t="s">
        <v>1287</v>
      </c>
      <c r="DD335" s="172">
        <f t="shared" si="163"/>
        <v>42440</v>
      </c>
      <c r="DE335" s="171">
        <f>MONTH(Table1[[#This Row],[Weekending]])</f>
        <v>3</v>
      </c>
      <c r="DF335" s="171">
        <f>YEAR(Table1[[#This Row],[Weekending]])</f>
        <v>2016</v>
      </c>
      <c r="DG335" s="4"/>
    </row>
    <row r="336" spans="1:111">
      <c r="A336" s="416" t="str">
        <f t="shared" si="145"/>
        <v>33555593</v>
      </c>
      <c r="B336" s="104">
        <v>42439</v>
      </c>
      <c r="C336" s="414">
        <v>7467933</v>
      </c>
      <c r="D336" s="416" t="s">
        <v>2185</v>
      </c>
      <c r="E336" s="15">
        <v>4</v>
      </c>
      <c r="F336" s="144" t="str">
        <f>INDEX(BrokerTBL!$B:$B,MATCH(D336,BrokerTBL!$A:$A,0))</f>
        <v>PO Box 6348</v>
      </c>
      <c r="G336" s="15" t="str">
        <f>INDEX(BrokerTBL!$C:$C,MATCH(D336,BrokerTBL!$A:$A,0))</f>
        <v>Scottsdale</v>
      </c>
      <c r="H336" s="4" t="str">
        <f>INDEX(BrokerTBL!$D:$D,MATCH(D336,BrokerTBL!$A:$A,0))</f>
        <v>Az</v>
      </c>
      <c r="I336" s="4" t="str">
        <f>INDEX(BrokerTBL!$E:$E,MATCH(D336,BrokerTBL!$A:$A,0))</f>
        <v>US</v>
      </c>
      <c r="J336" s="4">
        <f>INDEX(BrokerTBL!$F:$F,MATCH(D336,BrokerTBL!$A:$A,0))</f>
        <v>85258</v>
      </c>
      <c r="K336" s="416" t="s">
        <v>2374</v>
      </c>
      <c r="L336" s="81">
        <v>20210507655</v>
      </c>
      <c r="M336" s="104">
        <v>42438</v>
      </c>
      <c r="N336" s="226">
        <v>0.70833333333333337</v>
      </c>
      <c r="O336" s="15" t="s">
        <v>2375</v>
      </c>
      <c r="P336" s="416" t="s">
        <v>214</v>
      </c>
      <c r="Q336" s="416" t="s">
        <v>2206</v>
      </c>
      <c r="R336" s="416">
        <v>93725</v>
      </c>
      <c r="S336" s="416" t="s">
        <v>2207</v>
      </c>
      <c r="T336" s="298" t="s">
        <v>123</v>
      </c>
      <c r="U336" s="416" t="s">
        <v>120</v>
      </c>
      <c r="V336" s="416">
        <v>53</v>
      </c>
      <c r="W336" s="416" t="s">
        <v>2376</v>
      </c>
      <c r="X336" s="225">
        <v>44798</v>
      </c>
      <c r="Y336" s="15" t="s">
        <v>2220</v>
      </c>
      <c r="Z336" s="416">
        <v>1114</v>
      </c>
      <c r="AA336" s="416">
        <v>26</v>
      </c>
      <c r="AB336" s="416" t="s">
        <v>123</v>
      </c>
      <c r="AC336" s="416" t="s">
        <v>2377</v>
      </c>
      <c r="AD336" s="81">
        <v>20210507655</v>
      </c>
      <c r="AE336" s="104">
        <v>42439</v>
      </c>
      <c r="AF336" s="226">
        <v>0.29166666666666669</v>
      </c>
      <c r="AG336" s="230" t="s">
        <v>2378</v>
      </c>
      <c r="AH336" s="230" t="s">
        <v>738</v>
      </c>
      <c r="AI336" s="416" t="s">
        <v>2233</v>
      </c>
      <c r="AJ336" s="416">
        <v>89502</v>
      </c>
      <c r="AK336" s="416" t="s">
        <v>2207</v>
      </c>
      <c r="AL336" s="416" t="s">
        <v>123</v>
      </c>
      <c r="AM336" s="171" t="str">
        <f>INDEX(CarrierDriverTBL!$B:$B,MATCH(Table1[[#This Row],[DriverID]],CarrierDriverTBL!$A:$A,0))</f>
        <v>UBTrucking</v>
      </c>
      <c r="AN336" s="10" t="s">
        <v>2234</v>
      </c>
      <c r="AO336" s="171" t="str">
        <f>INDEX(CarrierDriverTBL!$C:$C,MATCH(Table1[[#This Row],[DriverID]],CarrierDriverTBL!$A:$A,0))</f>
        <v>Arturo</v>
      </c>
      <c r="AP336" s="171" t="str">
        <f>INDEX(CarrierDriverTBL!$D:$D,MATCH(Table1[[#This Row],[DriverID]],CarrierDriverTBL!$A:$A,0))</f>
        <v>Carrillo</v>
      </c>
      <c r="AQ336" s="171" t="str">
        <f>INDEX(CarrierDriverTBL!$X:$X,MATCH(Table1[[#This Row],[DriverID]],CarrierDriverTBL!$A:$A,0))</f>
        <v>C7056793</v>
      </c>
      <c r="AR336" s="160">
        <f>INDEX(CarrierDriverTBL!$Y:$Y,MATCH(Table1[[#This Row],[DriverID]],CarrierDriverTBL!$A:$A,0))</f>
        <v>43410</v>
      </c>
      <c r="AS336" s="142" t="str">
        <f t="shared" si="146"/>
        <v>GOOD</v>
      </c>
      <c r="AT336" s="172">
        <f>INDEX(CarrierDriverTBL!$E:$E,MATCH(Table1[[#This Row],[DriverID]],CarrierDriverTBL!$A:$A,0))</f>
        <v>24782</v>
      </c>
      <c r="AU336" s="163">
        <f ca="1">INDEX(CarrierDriverTBL!$F:$F,MATCH(Table1[[#This Row],[DriverID]],CarrierDriverTBL!$A:$A,0))</f>
        <v>48.750684931506846</v>
      </c>
      <c r="AV336" s="171" t="str">
        <f>INDEX(CarrierDriverTBL!$K:$K,MATCH(Table1[[#This Row],[DriverID]],CarrierDriverTBL!$A:$A,0))</f>
        <v>209-276-9785</v>
      </c>
      <c r="AW336" s="171" t="str">
        <f>INDEX(CarrierDriverTBL!$M:$M,MATCH(Table1[[#This Row],[DriverID]],CarrierDriverTBL!$A:$A,0))</f>
        <v>1685 Winthrop Ln</v>
      </c>
      <c r="AX336" s="171" t="str">
        <f>INDEX(CarrierDriverTBL!$N:$N,MATCH(Table1[[#This Row],[DriverID]],CarrierDriverTBL!$A:$A,0))</f>
        <v>Ceres</v>
      </c>
      <c r="AY336" s="171" t="str">
        <f>INDEX(CarrierDriverTBL!$O:$O,MATCH(Table1[[#This Row],[DriverID]],CarrierDriverTBL!$A:$A,0))</f>
        <v>CA</v>
      </c>
      <c r="AZ336" s="171">
        <f>INDEX(CarrierDriverTBL!$P:$P,MATCH(Table1[[#This Row],[DriverID]],CarrierDriverTBL!$A:$A,0))</f>
        <v>95307</v>
      </c>
      <c r="BA336" s="171" t="str">
        <f>INDEX(CarrierDriverTBL!$Q:$Q,MATCH(Table1[[#This Row],[DriverID]],CarrierDriverTBL!$A:$A,0))</f>
        <v>US</v>
      </c>
      <c r="BB336" s="173" t="str">
        <f>INDEX(CarrierDriverTBL!$R:$R,MATCH(Table1[[#This Row],[DriverID]],CarrierDriverTBL!$A:$A,0))</f>
        <v>arturocarr777@gmail.com</v>
      </c>
      <c r="BC336" s="160">
        <f>INDEX(CarrierDriverTBL!$AB:$AB,MATCH(Table1[[#This Row],[DriverID]],CarrierDriverTBL!$A:$A,0))</f>
        <v>42418</v>
      </c>
      <c r="BD336" s="142" t="str">
        <f ca="1">INDEX(CarrierDriverTBL!$AD:$AD,MATCH(LoadMaster!$AN:$AN,CarrierDriverTBL!$A:$A,0))</f>
        <v>MISSING</v>
      </c>
      <c r="BE336" s="171">
        <f>INDEX(CarrierDriverTBL!$AE:$AE,MATCH(Table1[DriverID],CarrierDriverTBL!$A:$A,0))</f>
        <v>913971</v>
      </c>
      <c r="BF336" s="171">
        <f>INDEX(CarrierDriverTBL!$AF:$AF,MATCH(Table1[DriverID],CarrierDriverTBL!$A:$A,0))</f>
        <v>2627544</v>
      </c>
      <c r="BG336" s="10">
        <f>INDEX(CarrierDriverTBL!$AG:$AG,MATCH(Table1[DriverID],CarrierDriverTBL!$A:$A,0))</f>
        <v>466133</v>
      </c>
      <c r="BH336" s="171" t="str">
        <f>INDEX(CarrierDriverTBL!$AH:$AH,MATCH(Table1[DriverID],CarrierDriverTBL!$A:$A,0))</f>
        <v>GM Lawrence Ins</v>
      </c>
      <c r="BI336" s="171" t="str">
        <f>INDEX(CarrierDriverTBL!$AI:$AI,MATCH(Table1[DriverID],CarrierDriverTBL!$A:$A,0))</f>
        <v>DSK2842P160210</v>
      </c>
      <c r="BJ336" s="172">
        <f>INDEX(CarrierDriverTBL!$AJ:$AJ,MATCH(Table1[[#This Row],[DriverID]],CarrierDriverTBL!$A:$A,0))</f>
        <v>42778</v>
      </c>
      <c r="BK336" s="10">
        <f t="shared" si="147"/>
        <v>340</v>
      </c>
      <c r="BL336" s="5">
        <v>700</v>
      </c>
      <c r="BM336" s="171">
        <v>300</v>
      </c>
      <c r="BN336" s="133">
        <f t="shared" si="164"/>
        <v>2.3333333333333335</v>
      </c>
      <c r="BO336" s="134">
        <f>0.93*700</f>
        <v>651</v>
      </c>
      <c r="BP336" s="133">
        <f t="shared" si="165"/>
        <v>2.17</v>
      </c>
      <c r="BQ336" s="133">
        <v>2.6</v>
      </c>
      <c r="BR336" s="215">
        <f t="shared" si="166"/>
        <v>0.1166666666666667</v>
      </c>
      <c r="BS336" s="133">
        <f t="shared" si="148"/>
        <v>2.0533333333333332</v>
      </c>
      <c r="BT336" s="133">
        <f t="shared" si="149"/>
        <v>35.000000000000007</v>
      </c>
      <c r="BU336" s="10" t="str">
        <f t="shared" si="150"/>
        <v>Globaltranz</v>
      </c>
      <c r="BV336" s="15"/>
      <c r="BW336" s="4" t="str">
        <f>Table1[[#This Row],[BrokerAddress]]</f>
        <v>PO Box 6348</v>
      </c>
      <c r="BX336" s="4" t="str">
        <f t="shared" si="151"/>
        <v>Scottsdale</v>
      </c>
      <c r="BY336" s="4" t="str">
        <f t="shared" si="152"/>
        <v>Az</v>
      </c>
      <c r="BZ336" s="4">
        <f t="shared" si="153"/>
        <v>85258</v>
      </c>
      <c r="CA336" s="10" t="str">
        <f t="shared" si="154"/>
        <v>US</v>
      </c>
      <c r="CB336" s="15" t="s">
        <v>131</v>
      </c>
      <c r="CC336" s="62"/>
      <c r="CD336" s="15" t="s">
        <v>132</v>
      </c>
      <c r="CE336" s="64">
        <v>0</v>
      </c>
      <c r="CF336" s="4">
        <v>0</v>
      </c>
      <c r="CG336" s="132">
        <f t="shared" si="155"/>
        <v>0</v>
      </c>
      <c r="CH336" s="4" t="s">
        <v>132</v>
      </c>
      <c r="CI336" s="5">
        <v>0</v>
      </c>
      <c r="CJ336" s="4">
        <v>0</v>
      </c>
      <c r="CK336" s="132">
        <f t="shared" si="156"/>
        <v>0</v>
      </c>
      <c r="CL336" s="4" t="s">
        <v>132</v>
      </c>
      <c r="CM336" s="5">
        <v>0</v>
      </c>
      <c r="CN336" s="4">
        <v>0</v>
      </c>
      <c r="CO336" s="132">
        <f t="shared" si="157"/>
        <v>0</v>
      </c>
      <c r="CP336" s="4" t="s">
        <v>132</v>
      </c>
      <c r="CQ336" s="5">
        <v>0</v>
      </c>
      <c r="CR336" s="4">
        <v>0</v>
      </c>
      <c r="CS336" s="132">
        <f t="shared" si="158"/>
        <v>0</v>
      </c>
      <c r="CT336" s="132">
        <f t="shared" si="159"/>
        <v>0</v>
      </c>
      <c r="CU336" s="168">
        <f t="shared" si="160"/>
        <v>700</v>
      </c>
      <c r="CV336" s="177">
        <f t="shared" si="143"/>
        <v>0</v>
      </c>
      <c r="CW336" s="82">
        <f t="shared" si="144"/>
        <v>651</v>
      </c>
      <c r="CX336" s="79">
        <f>IF(ISBLANK(E336),"AddQuickPay",IF(E336=2,CU336*0.98,IF(E336=2.4,CU336*0.976,IF(E336=3,CU336*0.97,IF(E336=5,CU336*0.95,IF(E336=1.5,CU336*0.985,IF(E336=2.5,CU336*0.975,IF(E336=1.3,CU336*0.987,IF(E336=1,CU336*0.99,IF(E336=4,CU336*0.96,CU336*1))))))))))-Table1[[#This Row],[ComCheck+QuickPayFee]]</f>
        <v>672</v>
      </c>
      <c r="CY336" s="5">
        <f t="shared" si="161"/>
        <v>49</v>
      </c>
      <c r="CZ336" s="5">
        <f t="shared" si="162"/>
        <v>28</v>
      </c>
      <c r="DA336" s="258">
        <f>Table1[[#This Row],[OriginalDispatch]]-Table1[[#This Row],[QuickPayCharge]]</f>
        <v>21</v>
      </c>
      <c r="DB336" s="5">
        <v>0</v>
      </c>
      <c r="DC336" s="5" t="s">
        <v>1287</v>
      </c>
      <c r="DD336" s="172">
        <f t="shared" si="163"/>
        <v>42440</v>
      </c>
      <c r="DE336" s="171">
        <f>MONTH(Table1[[#This Row],[Weekending]])</f>
        <v>3</v>
      </c>
      <c r="DF336" s="171">
        <f>YEAR(Table1[[#This Row],[Weekending]])</f>
        <v>2016</v>
      </c>
      <c r="DG336" s="4"/>
    </row>
    <row r="337" spans="1:111">
      <c r="A337" s="416" t="str">
        <f t="shared" si="145"/>
        <v>34019059</v>
      </c>
      <c r="B337" s="104">
        <v>42445</v>
      </c>
      <c r="C337" s="15">
        <v>129934</v>
      </c>
      <c r="D337" s="416" t="s">
        <v>1917</v>
      </c>
      <c r="E337" s="15">
        <v>3</v>
      </c>
      <c r="F337" s="144" t="str">
        <f>INDEX(BrokerTBL!$B:$B,MATCH(D337,BrokerTBL!$A:$A,0))</f>
        <v>20002 N. 19Th Ave.</v>
      </c>
      <c r="G337" s="15" t="str">
        <f>INDEX(BrokerTBL!$C:$C,MATCH(D337,BrokerTBL!$A:$A,0))</f>
        <v>Phoenix</v>
      </c>
      <c r="H337" s="4" t="str">
        <f>INDEX(BrokerTBL!$D:$D,MATCH(D337,BrokerTBL!$A:$A,0))</f>
        <v>Az</v>
      </c>
      <c r="I337" s="4" t="str">
        <f>INDEX(BrokerTBL!$E:$E,MATCH(D337,BrokerTBL!$A:$A,0))</f>
        <v>US</v>
      </c>
      <c r="J337" s="4">
        <f>INDEX(BrokerTBL!$F:$F,MATCH(D337,BrokerTBL!$A:$A,0))</f>
        <v>85027</v>
      </c>
      <c r="K337" s="416" t="s">
        <v>2379</v>
      </c>
      <c r="L337" s="81" t="s">
        <v>2380</v>
      </c>
      <c r="M337" s="104">
        <v>42438</v>
      </c>
      <c r="N337" s="15" t="s">
        <v>981</v>
      </c>
      <c r="O337" s="15" t="s">
        <v>2381</v>
      </c>
      <c r="P337" s="416" t="s">
        <v>2382</v>
      </c>
      <c r="Q337" s="416" t="s">
        <v>2373</v>
      </c>
      <c r="R337" s="416">
        <v>97391</v>
      </c>
      <c r="S337" s="416" t="s">
        <v>2207</v>
      </c>
      <c r="T337" s="298" t="s">
        <v>123</v>
      </c>
      <c r="U337" s="416" t="s">
        <v>120</v>
      </c>
      <c r="V337" s="416">
        <v>53</v>
      </c>
      <c r="W337" s="416" t="s">
        <v>2383</v>
      </c>
      <c r="X337" s="144" t="s">
        <v>123</v>
      </c>
      <c r="Y337" s="15" t="s">
        <v>123</v>
      </c>
      <c r="Z337" s="416" t="s">
        <v>123</v>
      </c>
      <c r="AA337" s="416" t="s">
        <v>123</v>
      </c>
      <c r="AB337" s="416" t="s">
        <v>123</v>
      </c>
      <c r="AC337" s="416" t="s">
        <v>2384</v>
      </c>
      <c r="AD337" s="81">
        <v>90</v>
      </c>
      <c r="AE337" s="104">
        <v>42440</v>
      </c>
      <c r="AF337" s="226">
        <v>0.32291666666666669</v>
      </c>
      <c r="AG337" s="416" t="s">
        <v>2385</v>
      </c>
      <c r="AH337" s="416" t="s">
        <v>184</v>
      </c>
      <c r="AI337" s="416" t="s">
        <v>2206</v>
      </c>
      <c r="AJ337" s="416" t="s">
        <v>2386</v>
      </c>
      <c r="AK337" s="416" t="s">
        <v>2207</v>
      </c>
      <c r="AL337" s="416" t="s">
        <v>123</v>
      </c>
      <c r="AM337" s="171" t="str">
        <f>INDEX(CarrierDriverTBL!$B:$B,MATCH(Table1[[#This Row],[DriverID]],CarrierDriverTBL!$A:$A,0))</f>
        <v>UBTrucking</v>
      </c>
      <c r="AN337" s="10" t="s">
        <v>2337</v>
      </c>
      <c r="AO337" s="171" t="str">
        <f>INDEX(CarrierDriverTBL!$C:$C,MATCH(Table1[[#This Row],[DriverID]],CarrierDriverTBL!$A:$A,0))</f>
        <v>Asim</v>
      </c>
      <c r="AP337" s="171" t="str">
        <f>INDEX(CarrierDriverTBL!$D:$D,MATCH(Table1[[#This Row],[DriverID]],CarrierDriverTBL!$A:$A,0))</f>
        <v>Khan</v>
      </c>
      <c r="AQ337" s="171">
        <f>INDEX(CarrierDriverTBL!$X:$X,MATCH(Table1[[#This Row],[DriverID]],CarrierDriverTBL!$A:$A,0))</f>
        <v>29063559</v>
      </c>
      <c r="AR337" s="172">
        <f>INDEX(CarrierDriverTBL!$Y:$Y,MATCH(Table1[[#This Row],[DriverID]],CarrierDriverTBL!$A:$A,0))</f>
        <v>44441</v>
      </c>
      <c r="AS337" s="142" t="str">
        <f t="shared" si="146"/>
        <v>GOOD</v>
      </c>
      <c r="AT337" s="172">
        <f>INDEX(CarrierDriverTBL!$E:$E,MATCH(Table1[[#This Row],[DriverID]],CarrierDriverTBL!$A:$A,0))</f>
        <v>22891</v>
      </c>
      <c r="AU337" s="218">
        <f ca="1">INDEX(CarrierDriverTBL!$F:$F,MATCH(Table1[[#This Row],[DriverID]],CarrierDriverTBL!$A:$A,0))</f>
        <v>53.93150684931507</v>
      </c>
      <c r="AV337" s="142" t="str">
        <f>INDEX(CarrierDriverTBL!$K:$K,MATCH(Table1[[#This Row],[DriverID]],CarrierDriverTBL!$A:$A,0))</f>
        <v>408-489-2377</v>
      </c>
      <c r="AW337" s="171" t="str">
        <f>INDEX(CarrierDriverTBL!$M:$M,MATCH(Table1[[#This Row],[DriverID]],CarrierDriverTBL!$A:$A,0))</f>
        <v>1502 Village Cir #137</v>
      </c>
      <c r="AX337" s="171" t="str">
        <f>INDEX(CarrierDriverTBL!$N:$N,MATCH(Table1[[#This Row],[DriverID]],CarrierDriverTBL!$A:$A,0))</f>
        <v>Arlington</v>
      </c>
      <c r="AY337" s="171" t="str">
        <f>INDEX(CarrierDriverTBL!$O:$O,MATCH(Table1[[#This Row],[DriverID]],CarrierDriverTBL!$A:$A,0))</f>
        <v>TX</v>
      </c>
      <c r="AZ337" s="171">
        <f>INDEX(CarrierDriverTBL!$P:$P,MATCH(Table1[[#This Row],[DriverID]],CarrierDriverTBL!$A:$A,0))</f>
        <v>76012</v>
      </c>
      <c r="BA337" s="171" t="str">
        <f>INDEX(CarrierDriverTBL!$Q:$Q,MATCH(Table1[[#This Row],[DriverID]],CarrierDriverTBL!$A:$A,0))</f>
        <v>US</v>
      </c>
      <c r="BB337" s="219" t="str">
        <f>INDEX(CarrierDriverTBL!$R:$R,MATCH(Table1[[#This Row],[DriverID]],CarrierDriverTBL!$A:$A,0))</f>
        <v>aokhan1@gmail.com</v>
      </c>
      <c r="BC337" s="160" t="str">
        <f>INDEX(CarrierDriverTBL!$AB:$AB,MATCH(Table1[[#This Row],[DriverID]],CarrierDriverTBL!$A:$A,0))</f>
        <v>Missing</v>
      </c>
      <c r="BD337" s="142" t="str">
        <f ca="1">INDEX(CarrierDriverTBL!$AD:$AD,MATCH(LoadMaster!$AN:$AN,CarrierDriverTBL!$A:$A,0))</f>
        <v>MISSING</v>
      </c>
      <c r="BE337" s="171">
        <f>INDEX(CarrierDriverTBL!$AE:$AE,MATCH(Table1[DriverID],CarrierDriverTBL!$A:$A,0))</f>
        <v>913971</v>
      </c>
      <c r="BF337" s="171">
        <f>INDEX(CarrierDriverTBL!$AF:$AF,MATCH(Table1[DriverID],CarrierDriverTBL!$A:$A,0))</f>
        <v>2627544</v>
      </c>
      <c r="BG337" s="10">
        <f>INDEX(CarrierDriverTBL!$AG:$AG,MATCH(Table1[DriverID],CarrierDriverTBL!$A:$A,0))</f>
        <v>466133</v>
      </c>
      <c r="BH337" s="171" t="str">
        <f>INDEX(CarrierDriverTBL!$AH:$AH,MATCH(Table1[DriverID],CarrierDriverTBL!$A:$A,0))</f>
        <v>GM Lawrence Ins</v>
      </c>
      <c r="BI337" s="171" t="str">
        <f>INDEX(CarrierDriverTBL!$AI:$AI,MATCH(Table1[DriverID],CarrierDriverTBL!$A:$A,0))</f>
        <v>DSK2842P160210</v>
      </c>
      <c r="BJ337" s="172">
        <f>INDEX(CarrierDriverTBL!$AJ:$AJ,MATCH(Table1[[#This Row],[DriverID]],CarrierDriverTBL!$A:$A,0))</f>
        <v>42778</v>
      </c>
      <c r="BK337" s="10">
        <f t="shared" si="147"/>
        <v>340</v>
      </c>
      <c r="BL337" s="5">
        <v>700</v>
      </c>
      <c r="BM337" s="171">
        <v>610</v>
      </c>
      <c r="BN337" s="133">
        <f t="shared" si="164"/>
        <v>1.1475409836065573</v>
      </c>
      <c r="BO337" s="134">
        <f>0.93*700</f>
        <v>651</v>
      </c>
      <c r="BP337" s="133">
        <f t="shared" si="165"/>
        <v>1.0672131147540984</v>
      </c>
      <c r="BQ337" s="133">
        <v>2.6</v>
      </c>
      <c r="BR337" s="215">
        <f t="shared" si="166"/>
        <v>0.1166666666666667</v>
      </c>
      <c r="BS337" s="133">
        <f t="shared" si="148"/>
        <v>0.95054644808743172</v>
      </c>
      <c r="BT337" s="133">
        <f t="shared" si="149"/>
        <v>71.166666666666686</v>
      </c>
      <c r="BU337" s="10" t="str">
        <f t="shared" si="150"/>
        <v>Knight Logistics Llc</v>
      </c>
      <c r="BV337" s="15"/>
      <c r="BW337" s="4" t="str">
        <f>Table1[[#This Row],[BrokerAddress]]</f>
        <v>20002 N. 19Th Ave.</v>
      </c>
      <c r="BX337" s="4" t="str">
        <f t="shared" si="151"/>
        <v>Phoenix</v>
      </c>
      <c r="BY337" s="4" t="str">
        <f t="shared" si="152"/>
        <v>Az</v>
      </c>
      <c r="BZ337" s="4">
        <f t="shared" si="153"/>
        <v>85027</v>
      </c>
      <c r="CA337" s="10" t="str">
        <f t="shared" si="154"/>
        <v>US</v>
      </c>
      <c r="CB337" s="15" t="s">
        <v>131</v>
      </c>
      <c r="CC337" s="62"/>
      <c r="CD337" s="15" t="s">
        <v>132</v>
      </c>
      <c r="CE337" s="64">
        <v>0</v>
      </c>
      <c r="CF337" s="4">
        <v>0</v>
      </c>
      <c r="CG337" s="132">
        <f t="shared" si="155"/>
        <v>0</v>
      </c>
      <c r="CH337" s="4" t="s">
        <v>132</v>
      </c>
      <c r="CI337" s="5">
        <v>0</v>
      </c>
      <c r="CJ337" s="4">
        <v>0</v>
      </c>
      <c r="CK337" s="132">
        <f t="shared" si="156"/>
        <v>0</v>
      </c>
      <c r="CL337" s="4" t="s">
        <v>132</v>
      </c>
      <c r="CM337" s="5">
        <v>0</v>
      </c>
      <c r="CN337" s="4">
        <v>0</v>
      </c>
      <c r="CO337" s="132">
        <f t="shared" si="157"/>
        <v>0</v>
      </c>
      <c r="CP337" s="4" t="s">
        <v>132</v>
      </c>
      <c r="CQ337" s="5">
        <v>0</v>
      </c>
      <c r="CR337" s="4">
        <v>0</v>
      </c>
      <c r="CS337" s="132">
        <f t="shared" si="158"/>
        <v>0</v>
      </c>
      <c r="CT337" s="132">
        <f t="shared" si="159"/>
        <v>0</v>
      </c>
      <c r="CU337" s="168">
        <f t="shared" si="160"/>
        <v>700</v>
      </c>
      <c r="CV337" s="177">
        <f t="shared" si="143"/>
        <v>0</v>
      </c>
      <c r="CW337" s="82">
        <f t="shared" si="144"/>
        <v>651</v>
      </c>
      <c r="CX337" s="79">
        <f>IF(ISBLANK(E337),"AddQuickPay",IF(E337=2,CU337*0.98,IF(E337=2.4,CU337*0.976,IF(E337=3,CU337*0.97,IF(E337=5,CU337*0.95,IF(E337=1.5,CU337*0.985,IF(E337=2.5,CU337*0.975,IF(E337=1.3,CU337*0.987,IF(E337=1,CU337*0.99,IF(E337=4,CU337*0.96,CU337*1))))))))))-Table1[[#This Row],[ComCheck+QuickPayFee]]</f>
        <v>679</v>
      </c>
      <c r="CY337" s="5">
        <f t="shared" si="161"/>
        <v>49</v>
      </c>
      <c r="CZ337" s="5">
        <f t="shared" si="162"/>
        <v>21</v>
      </c>
      <c r="DA337" s="258">
        <f>Table1[[#This Row],[OriginalDispatch]]-Table1[[#This Row],[QuickPayCharge]]</f>
        <v>28</v>
      </c>
      <c r="DB337" s="5">
        <v>0</v>
      </c>
      <c r="DC337" s="5" t="s">
        <v>1287</v>
      </c>
      <c r="DD337" s="172">
        <f t="shared" si="163"/>
        <v>42440</v>
      </c>
      <c r="DE337" s="171">
        <f>MONTH(Table1[[#This Row],[Weekending]])</f>
        <v>3</v>
      </c>
      <c r="DF337" s="171">
        <f>YEAR(Table1[[#This Row],[Weekending]])</f>
        <v>2016</v>
      </c>
      <c r="DG337" s="4"/>
    </row>
    <row r="338" spans="1:111">
      <c r="A338" s="416" t="str">
        <f t="shared" si="145"/>
        <v>23252593</v>
      </c>
      <c r="B338" s="104">
        <v>42439</v>
      </c>
      <c r="C338" s="414">
        <v>6707023</v>
      </c>
      <c r="D338" s="416" t="s">
        <v>555</v>
      </c>
      <c r="E338" s="15">
        <v>3</v>
      </c>
      <c r="F338" s="144" t="str">
        <f>INDEX(BrokerTBL!$B:$B,MATCH(D338,BrokerTBL!$A:$A,0))</f>
        <v>P.O. Box 799</v>
      </c>
      <c r="G338" s="15" t="str">
        <f>INDEX(BrokerTBL!$C:$C,MATCH(D338,BrokerTBL!$A:$A,0))</f>
        <v>Milford</v>
      </c>
      <c r="H338" s="4" t="str">
        <f>INDEX(BrokerTBL!$D:$D,MATCH(D338,BrokerTBL!$A:$A,0))</f>
        <v>Ohio</v>
      </c>
      <c r="I338" s="4" t="str">
        <f>INDEX(BrokerTBL!$E:$E,MATCH(D338,BrokerTBL!$A:$A,0))</f>
        <v>US</v>
      </c>
      <c r="J338" s="4">
        <f>INDEX(BrokerTBL!$F:$F,MATCH(D338,BrokerTBL!$A:$A,0))</f>
        <v>45150</v>
      </c>
      <c r="K338" s="416" t="s">
        <v>2387</v>
      </c>
      <c r="L338" s="81">
        <v>184925</v>
      </c>
      <c r="M338" s="104">
        <v>42439</v>
      </c>
      <c r="N338" s="15" t="s">
        <v>2388</v>
      </c>
      <c r="O338" s="15" t="s">
        <v>2389</v>
      </c>
      <c r="P338" s="416" t="s">
        <v>263</v>
      </c>
      <c r="Q338" s="416" t="s">
        <v>2233</v>
      </c>
      <c r="R338" s="416">
        <v>89434</v>
      </c>
      <c r="S338" s="416" t="s">
        <v>2207</v>
      </c>
      <c r="T338" s="298" t="s">
        <v>123</v>
      </c>
      <c r="U338" s="416" t="s">
        <v>120</v>
      </c>
      <c r="V338" s="416">
        <v>53</v>
      </c>
      <c r="W338" s="416" t="s">
        <v>2390</v>
      </c>
      <c r="X338" s="225">
        <v>19598</v>
      </c>
      <c r="Y338" s="15" t="s">
        <v>2220</v>
      </c>
      <c r="Z338" s="416">
        <v>546</v>
      </c>
      <c r="AA338" s="416">
        <v>13</v>
      </c>
      <c r="AB338" s="416" t="s">
        <v>123</v>
      </c>
      <c r="AC338" s="416" t="s">
        <v>2391</v>
      </c>
      <c r="AD338" s="81">
        <v>184925</v>
      </c>
      <c r="AE338" s="104">
        <v>42440</v>
      </c>
      <c r="AF338" s="104" t="s">
        <v>1281</v>
      </c>
      <c r="AG338" s="416" t="s">
        <v>2392</v>
      </c>
      <c r="AH338" s="416" t="s">
        <v>299</v>
      </c>
      <c r="AI338" s="416" t="s">
        <v>2206</v>
      </c>
      <c r="AJ338" s="416">
        <v>94603</v>
      </c>
      <c r="AK338" s="416" t="s">
        <v>2207</v>
      </c>
      <c r="AL338" s="416" t="s">
        <v>123</v>
      </c>
      <c r="AM338" s="171" t="str">
        <f>INDEX(CarrierDriverTBL!$B:$B,MATCH(Table1[[#This Row],[DriverID]],CarrierDriverTBL!$A:$A,0))</f>
        <v>UBTrucking</v>
      </c>
      <c r="AN338" s="10" t="s">
        <v>2234</v>
      </c>
      <c r="AO338" s="171" t="str">
        <f>INDEX(CarrierDriverTBL!$C:$C,MATCH(Table1[[#This Row],[DriverID]],CarrierDriverTBL!$A:$A,0))</f>
        <v>Arturo</v>
      </c>
      <c r="AP338" s="171" t="str">
        <f>INDEX(CarrierDriverTBL!$D:$D,MATCH(Table1[[#This Row],[DriverID]],CarrierDriverTBL!$A:$A,0))</f>
        <v>Carrillo</v>
      </c>
      <c r="AQ338" s="171" t="str">
        <f>INDEX(CarrierDriverTBL!$X:$X,MATCH(Table1[[#This Row],[DriverID]],CarrierDriverTBL!$A:$A,0))</f>
        <v>C7056793</v>
      </c>
      <c r="AR338" s="160">
        <f>INDEX(CarrierDriverTBL!$Y:$Y,MATCH(Table1[[#This Row],[DriverID]],CarrierDriverTBL!$A:$A,0))</f>
        <v>43410</v>
      </c>
      <c r="AS338" s="142" t="str">
        <f t="shared" si="146"/>
        <v>GOOD</v>
      </c>
      <c r="AT338" s="172">
        <f>INDEX(CarrierDriverTBL!$E:$E,MATCH(Table1[[#This Row],[DriverID]],CarrierDriverTBL!$A:$A,0))</f>
        <v>24782</v>
      </c>
      <c r="AU338" s="163">
        <f ca="1">INDEX(CarrierDriverTBL!$F:$F,MATCH(Table1[[#This Row],[DriverID]],CarrierDriverTBL!$A:$A,0))</f>
        <v>48.750684931506846</v>
      </c>
      <c r="AV338" s="171" t="str">
        <f>INDEX(CarrierDriverTBL!$K:$K,MATCH(Table1[[#This Row],[DriverID]],CarrierDriverTBL!$A:$A,0))</f>
        <v>209-276-9785</v>
      </c>
      <c r="AW338" s="171" t="str">
        <f>INDEX(CarrierDriverTBL!$M:$M,MATCH(Table1[[#This Row],[DriverID]],CarrierDriverTBL!$A:$A,0))</f>
        <v>1685 Winthrop Ln</v>
      </c>
      <c r="AX338" s="171" t="str">
        <f>INDEX(CarrierDriverTBL!$N:$N,MATCH(Table1[[#This Row],[DriverID]],CarrierDriverTBL!$A:$A,0))</f>
        <v>Ceres</v>
      </c>
      <c r="AY338" s="171" t="str">
        <f>INDEX(CarrierDriverTBL!$O:$O,MATCH(Table1[[#This Row],[DriverID]],CarrierDriverTBL!$A:$A,0))</f>
        <v>CA</v>
      </c>
      <c r="AZ338" s="171">
        <f>INDEX(CarrierDriverTBL!$P:$P,MATCH(Table1[[#This Row],[DriverID]],CarrierDriverTBL!$A:$A,0))</f>
        <v>95307</v>
      </c>
      <c r="BA338" s="171" t="str">
        <f>INDEX(CarrierDriverTBL!$Q:$Q,MATCH(Table1[[#This Row],[DriverID]],CarrierDriverTBL!$A:$A,0))</f>
        <v>US</v>
      </c>
      <c r="BB338" s="173" t="str">
        <f>INDEX(CarrierDriverTBL!$R:$R,MATCH(Table1[[#This Row],[DriverID]],CarrierDriverTBL!$A:$A,0))</f>
        <v>arturocarr777@gmail.com</v>
      </c>
      <c r="BC338" s="160">
        <f>INDEX(CarrierDriverTBL!$AB:$AB,MATCH(Table1[[#This Row],[DriverID]],CarrierDriverTBL!$A:$A,0))</f>
        <v>42418</v>
      </c>
      <c r="BD338" s="142" t="str">
        <f ca="1">INDEX(CarrierDriverTBL!$AD:$AD,MATCH(LoadMaster!$AN:$AN,CarrierDriverTBL!$A:$A,0))</f>
        <v>MISSING</v>
      </c>
      <c r="BE338" s="171">
        <f>INDEX(CarrierDriverTBL!$AE:$AE,MATCH(Table1[DriverID],CarrierDriverTBL!$A:$A,0))</f>
        <v>913971</v>
      </c>
      <c r="BF338" s="171">
        <f>INDEX(CarrierDriverTBL!$AF:$AF,MATCH(Table1[DriverID],CarrierDriverTBL!$A:$A,0))</f>
        <v>2627544</v>
      </c>
      <c r="BG338" s="10">
        <f>INDEX(CarrierDriverTBL!$AG:$AG,MATCH(Table1[DriverID],CarrierDriverTBL!$A:$A,0))</f>
        <v>466133</v>
      </c>
      <c r="BH338" s="171" t="str">
        <f>INDEX(CarrierDriverTBL!$AH:$AH,MATCH(Table1[DriverID],CarrierDriverTBL!$A:$A,0))</f>
        <v>GM Lawrence Ins</v>
      </c>
      <c r="BI338" s="171" t="str">
        <f>INDEX(CarrierDriverTBL!$AI:$AI,MATCH(Table1[DriverID],CarrierDriverTBL!$A:$A,0))</f>
        <v>DSK2842P160210</v>
      </c>
      <c r="BJ338" s="172">
        <f>INDEX(CarrierDriverTBL!$AJ:$AJ,MATCH(Table1[[#This Row],[DriverID]],CarrierDriverTBL!$A:$A,0))</f>
        <v>42778</v>
      </c>
      <c r="BK338" s="10">
        <f t="shared" si="147"/>
        <v>339</v>
      </c>
      <c r="BL338" s="5">
        <v>500</v>
      </c>
      <c r="BM338" s="171">
        <v>215</v>
      </c>
      <c r="BN338" s="133">
        <f t="shared" si="164"/>
        <v>2.3255813953488373</v>
      </c>
      <c r="BO338" s="134">
        <f>0.93*500</f>
        <v>465</v>
      </c>
      <c r="BP338" s="133">
        <f t="shared" si="165"/>
        <v>2.1627906976744184</v>
      </c>
      <c r="BQ338" s="133">
        <v>2.6</v>
      </c>
      <c r="BR338" s="215">
        <f t="shared" si="166"/>
        <v>0.1166666666666667</v>
      </c>
      <c r="BS338" s="133">
        <f t="shared" si="148"/>
        <v>2.0461240310077518</v>
      </c>
      <c r="BT338" s="133">
        <f t="shared" si="149"/>
        <v>25.083333333333339</v>
      </c>
      <c r="BU338" s="10" t="str">
        <f t="shared" si="150"/>
        <v>Tql</v>
      </c>
      <c r="BV338" s="15"/>
      <c r="BW338" s="4" t="str">
        <f>Table1[[#This Row],[BrokerAddress]]</f>
        <v>P.O. Box 799</v>
      </c>
      <c r="BX338" s="4" t="str">
        <f t="shared" si="151"/>
        <v>Milford</v>
      </c>
      <c r="BY338" s="4" t="str">
        <f t="shared" si="152"/>
        <v>Ohio</v>
      </c>
      <c r="BZ338" s="4">
        <f t="shared" si="153"/>
        <v>45150</v>
      </c>
      <c r="CA338" s="10" t="str">
        <f t="shared" si="154"/>
        <v>US</v>
      </c>
      <c r="CB338" s="15" t="s">
        <v>131</v>
      </c>
      <c r="CC338" s="62"/>
      <c r="CD338" s="15" t="s">
        <v>132</v>
      </c>
      <c r="CE338" s="64">
        <v>0</v>
      </c>
      <c r="CF338" s="4">
        <v>0</v>
      </c>
      <c r="CG338" s="132">
        <f t="shared" si="155"/>
        <v>0</v>
      </c>
      <c r="CH338" s="4" t="s">
        <v>132</v>
      </c>
      <c r="CI338" s="5">
        <v>0</v>
      </c>
      <c r="CJ338" s="4">
        <v>0</v>
      </c>
      <c r="CK338" s="132">
        <f t="shared" si="156"/>
        <v>0</v>
      </c>
      <c r="CL338" s="4" t="s">
        <v>132</v>
      </c>
      <c r="CM338" s="5">
        <v>0</v>
      </c>
      <c r="CN338" s="4">
        <v>0</v>
      </c>
      <c r="CO338" s="132">
        <f t="shared" si="157"/>
        <v>0</v>
      </c>
      <c r="CP338" s="4" t="s">
        <v>132</v>
      </c>
      <c r="CQ338" s="5">
        <v>0</v>
      </c>
      <c r="CR338" s="4">
        <v>0</v>
      </c>
      <c r="CS338" s="132">
        <f t="shared" si="158"/>
        <v>0</v>
      </c>
      <c r="CT338" s="132">
        <f t="shared" si="159"/>
        <v>0</v>
      </c>
      <c r="CU338" s="168">
        <f t="shared" si="160"/>
        <v>500</v>
      </c>
      <c r="CV338" s="177">
        <f t="shared" si="143"/>
        <v>0</v>
      </c>
      <c r="CW338" s="82">
        <f t="shared" si="144"/>
        <v>465</v>
      </c>
      <c r="CX338" s="79">
        <f>IF(ISBLANK(E338),"AddQuickPay",IF(E338=2,CU338*0.98,IF(E338=2.4,CU338*0.976,IF(E338=3,CU338*0.97,IF(E338=5,CU338*0.95,IF(E338=1.5,CU338*0.985,IF(E338=2.5,CU338*0.975,IF(E338=1.3,CU338*0.987,IF(E338=1,CU338*0.99,IF(E338=4,CU338*0.96,CU338*1))))))))))-Table1[[#This Row],[ComCheck+QuickPayFee]]</f>
        <v>485</v>
      </c>
      <c r="CY338" s="5">
        <f t="shared" si="161"/>
        <v>35</v>
      </c>
      <c r="CZ338" s="5">
        <f t="shared" si="162"/>
        <v>15</v>
      </c>
      <c r="DA338" s="258">
        <f>Table1[[#This Row],[OriginalDispatch]]-Table1[[#This Row],[QuickPayCharge]]</f>
        <v>20</v>
      </c>
      <c r="DB338" s="5">
        <v>0</v>
      </c>
      <c r="DC338" s="5" t="s">
        <v>1287</v>
      </c>
      <c r="DD338" s="172">
        <f t="shared" si="163"/>
        <v>42440</v>
      </c>
      <c r="DE338" s="171">
        <f>MONTH(Table1[[#This Row],[Weekending]])</f>
        <v>3</v>
      </c>
      <c r="DF338" s="171">
        <f>YEAR(Table1[[#This Row],[Weekending]])</f>
        <v>2016</v>
      </c>
      <c r="DG338" s="4"/>
    </row>
    <row r="339" spans="1:111">
      <c r="A339" s="416" t="str">
        <f t="shared" si="145"/>
        <v>62977993</v>
      </c>
      <c r="B339" s="104">
        <v>42445</v>
      </c>
      <c r="C339" s="15" t="s">
        <v>2393</v>
      </c>
      <c r="D339" s="416" t="s">
        <v>2394</v>
      </c>
      <c r="E339" s="15">
        <v>0</v>
      </c>
      <c r="F339" s="144" t="str">
        <f>INDEX(BrokerTBL!$B:$B,MATCH(D339,BrokerTBL!$A:$A,0))</f>
        <v>6665 Cote-de-liesse</v>
      </c>
      <c r="G339" s="15" t="str">
        <f>INDEX(BrokerTBL!$C:$C,MATCH(D339,BrokerTBL!$A:$A,0))</f>
        <v>Montreal</v>
      </c>
      <c r="H339" s="4" t="str">
        <f>INDEX(BrokerTBL!$D:$D,MATCH(D339,BrokerTBL!$A:$A,0))</f>
        <v>QC</v>
      </c>
      <c r="I339" s="4" t="str">
        <f>INDEX(BrokerTBL!$E:$E,MATCH(D339,BrokerTBL!$A:$A,0))</f>
        <v>CANADA</v>
      </c>
      <c r="J339" s="4" t="str">
        <f>INDEX(BrokerTBL!$F:$F,MATCH(D339,BrokerTBL!$A:$A,0))</f>
        <v>H4T1Z5</v>
      </c>
      <c r="K339" s="416" t="s">
        <v>2224</v>
      </c>
      <c r="L339" s="81">
        <v>935097</v>
      </c>
      <c r="M339" s="104">
        <v>42443</v>
      </c>
      <c r="N339" s="15" t="s">
        <v>2226</v>
      </c>
      <c r="O339" s="15" t="s">
        <v>2395</v>
      </c>
      <c r="P339" s="416" t="s">
        <v>184</v>
      </c>
      <c r="Q339" s="416" t="s">
        <v>2206</v>
      </c>
      <c r="R339" s="416">
        <v>95206</v>
      </c>
      <c r="S339" s="416" t="s">
        <v>2207</v>
      </c>
      <c r="T339" s="416" t="s">
        <v>2396</v>
      </c>
      <c r="U339" s="416" t="s">
        <v>120</v>
      </c>
      <c r="V339" s="416">
        <v>53</v>
      </c>
      <c r="W339" s="416" t="s">
        <v>2397</v>
      </c>
      <c r="X339" s="225">
        <v>41070</v>
      </c>
      <c r="Y339" s="15" t="s">
        <v>123</v>
      </c>
      <c r="Z339" s="416" t="s">
        <v>123</v>
      </c>
      <c r="AA339" s="416" t="s">
        <v>123</v>
      </c>
      <c r="AB339" s="416" t="s">
        <v>123</v>
      </c>
      <c r="AC339" s="416" t="s">
        <v>2228</v>
      </c>
      <c r="AD339" s="81" t="s">
        <v>2398</v>
      </c>
      <c r="AE339" s="104">
        <v>42444</v>
      </c>
      <c r="AF339" s="104" t="s">
        <v>2399</v>
      </c>
      <c r="AG339" s="416" t="s">
        <v>2231</v>
      </c>
      <c r="AH339" s="416" t="s">
        <v>2232</v>
      </c>
      <c r="AI339" s="416" t="s">
        <v>2233</v>
      </c>
      <c r="AJ339" s="416">
        <v>89410</v>
      </c>
      <c r="AK339" s="416" t="s">
        <v>2207</v>
      </c>
      <c r="AL339" s="416" t="s">
        <v>2400</v>
      </c>
      <c r="AM339" s="171" t="str">
        <f>INDEX(CarrierDriverTBL!$B:$B,MATCH(Table1[[#This Row],[DriverID]],CarrierDriverTBL!$A:$A,0))</f>
        <v>UBTrucking</v>
      </c>
      <c r="AN339" s="10" t="s">
        <v>2234</v>
      </c>
      <c r="AO339" s="171" t="str">
        <f>INDEX(CarrierDriverTBL!$C:$C,MATCH(Table1[[#This Row],[DriverID]],CarrierDriverTBL!$A:$A,0))</f>
        <v>Arturo</v>
      </c>
      <c r="AP339" s="171" t="str">
        <f>INDEX(CarrierDriverTBL!$D:$D,MATCH(Table1[[#This Row],[DriverID]],CarrierDriverTBL!$A:$A,0))</f>
        <v>Carrillo</v>
      </c>
      <c r="AQ339" s="171" t="str">
        <f>INDEX(CarrierDriverTBL!$X:$X,MATCH(Table1[[#This Row],[DriverID]],CarrierDriverTBL!$A:$A,0))</f>
        <v>C7056793</v>
      </c>
      <c r="AR339" s="160">
        <f>INDEX(CarrierDriverTBL!$Y:$Y,MATCH(Table1[[#This Row],[DriverID]],CarrierDriverTBL!$A:$A,0))</f>
        <v>43410</v>
      </c>
      <c r="AS339" s="142" t="str">
        <f t="shared" si="146"/>
        <v>GOOD</v>
      </c>
      <c r="AT339" s="172">
        <f>INDEX(CarrierDriverTBL!$E:$E,MATCH(Table1[[#This Row],[DriverID]],CarrierDriverTBL!$A:$A,0))</f>
        <v>24782</v>
      </c>
      <c r="AU339" s="163">
        <f ca="1">INDEX(CarrierDriverTBL!$F:$F,MATCH(Table1[[#This Row],[DriverID]],CarrierDriverTBL!$A:$A,0))</f>
        <v>48.750684931506846</v>
      </c>
      <c r="AV339" s="171" t="str">
        <f>INDEX(CarrierDriverTBL!$K:$K,MATCH(Table1[[#This Row],[DriverID]],CarrierDriverTBL!$A:$A,0))</f>
        <v>209-276-9785</v>
      </c>
      <c r="AW339" s="171" t="str">
        <f>INDEX(CarrierDriverTBL!$M:$M,MATCH(Table1[[#This Row],[DriverID]],CarrierDriverTBL!$A:$A,0))</f>
        <v>1685 Winthrop Ln</v>
      </c>
      <c r="AX339" s="171" t="str">
        <f>INDEX(CarrierDriverTBL!$N:$N,MATCH(Table1[[#This Row],[DriverID]],CarrierDriverTBL!$A:$A,0))</f>
        <v>Ceres</v>
      </c>
      <c r="AY339" s="171" t="str">
        <f>INDEX(CarrierDriverTBL!$O:$O,MATCH(Table1[[#This Row],[DriverID]],CarrierDriverTBL!$A:$A,0))</f>
        <v>CA</v>
      </c>
      <c r="AZ339" s="171">
        <f>INDEX(CarrierDriverTBL!$P:$P,MATCH(Table1[[#This Row],[DriverID]],CarrierDriverTBL!$A:$A,0))</f>
        <v>95307</v>
      </c>
      <c r="BA339" s="171" t="str">
        <f>INDEX(CarrierDriverTBL!$Q:$Q,MATCH(Table1[[#This Row],[DriverID]],CarrierDriverTBL!$A:$A,0))</f>
        <v>US</v>
      </c>
      <c r="BB339" s="173" t="str">
        <f>INDEX(CarrierDriverTBL!$R:$R,MATCH(Table1[[#This Row],[DriverID]],CarrierDriverTBL!$A:$A,0))</f>
        <v>arturocarr777@gmail.com</v>
      </c>
      <c r="BC339" s="160">
        <f>INDEX(CarrierDriverTBL!$AB:$AB,MATCH(Table1[[#This Row],[DriverID]],CarrierDriverTBL!$A:$A,0))</f>
        <v>42418</v>
      </c>
      <c r="BD339" s="142" t="str">
        <f ca="1">INDEX(CarrierDriverTBL!$AD:$AD,MATCH(LoadMaster!$AN:$AN,CarrierDriverTBL!$A:$A,0))</f>
        <v>MISSING</v>
      </c>
      <c r="BE339" s="171">
        <f>INDEX(CarrierDriverTBL!$AE:$AE,MATCH(Table1[DriverID],CarrierDriverTBL!$A:$A,0))</f>
        <v>913971</v>
      </c>
      <c r="BF339" s="171">
        <f>INDEX(CarrierDriverTBL!$AF:$AF,MATCH(Table1[DriverID],CarrierDriverTBL!$A:$A,0))</f>
        <v>2627544</v>
      </c>
      <c r="BG339" s="10">
        <f>INDEX(CarrierDriverTBL!$AG:$AG,MATCH(Table1[DriverID],CarrierDriverTBL!$A:$A,0))</f>
        <v>466133</v>
      </c>
      <c r="BH339" s="171" t="str">
        <f>INDEX(CarrierDriverTBL!$AH:$AH,MATCH(Table1[DriverID],CarrierDriverTBL!$A:$A,0))</f>
        <v>GM Lawrence Ins</v>
      </c>
      <c r="BI339" s="171" t="str">
        <f>INDEX(CarrierDriverTBL!$AI:$AI,MATCH(Table1[DriverID],CarrierDriverTBL!$A:$A,0))</f>
        <v>DSK2842P160210</v>
      </c>
      <c r="BJ339" s="172">
        <f>INDEX(CarrierDriverTBL!$AJ:$AJ,MATCH(Table1[[#This Row],[DriverID]],CarrierDriverTBL!$A:$A,0))</f>
        <v>42778</v>
      </c>
      <c r="BK339" s="10">
        <f t="shared" si="147"/>
        <v>335</v>
      </c>
      <c r="BL339" s="5">
        <v>600</v>
      </c>
      <c r="BM339" s="171">
        <v>135</v>
      </c>
      <c r="BN339" s="133">
        <f t="shared" si="164"/>
        <v>4.4444444444444446</v>
      </c>
      <c r="BO339" s="134">
        <f>0.93*600</f>
        <v>558</v>
      </c>
      <c r="BP339" s="133">
        <f t="shared" si="165"/>
        <v>4.1333333333333337</v>
      </c>
      <c r="BQ339" s="133">
        <v>2.6</v>
      </c>
      <c r="BR339" s="215">
        <f t="shared" si="166"/>
        <v>0.1166666666666667</v>
      </c>
      <c r="BS339" s="133">
        <f t="shared" si="148"/>
        <v>4.0166666666666675</v>
      </c>
      <c r="BT339" s="133">
        <f t="shared" si="149"/>
        <v>15.750000000000004</v>
      </c>
      <c r="BU339" s="10" t="str">
        <f t="shared" si="150"/>
        <v xml:space="preserve">Traffic Tech Inc </v>
      </c>
      <c r="BV339" s="15"/>
      <c r="BW339" s="4" t="str">
        <f>Table1[[#This Row],[BrokerAddress]]</f>
        <v>6665 Cote-de-liesse</v>
      </c>
      <c r="BX339" s="4" t="str">
        <f t="shared" si="151"/>
        <v>Montreal</v>
      </c>
      <c r="BY339" s="4" t="str">
        <f t="shared" si="152"/>
        <v>QC</v>
      </c>
      <c r="BZ339" s="4" t="str">
        <f t="shared" si="153"/>
        <v>H4T1Z5</v>
      </c>
      <c r="CA339" s="10" t="str">
        <f t="shared" si="154"/>
        <v>CANADA</v>
      </c>
      <c r="CB339" s="15" t="s">
        <v>131</v>
      </c>
      <c r="CC339" s="62"/>
      <c r="CD339" s="15" t="s">
        <v>132</v>
      </c>
      <c r="CE339" s="64">
        <v>0</v>
      </c>
      <c r="CF339" s="4">
        <v>0</v>
      </c>
      <c r="CG339" s="132">
        <f t="shared" si="155"/>
        <v>0</v>
      </c>
      <c r="CH339" s="4" t="s">
        <v>132</v>
      </c>
      <c r="CI339" s="5">
        <v>0</v>
      </c>
      <c r="CJ339" s="4">
        <v>0</v>
      </c>
      <c r="CK339" s="132">
        <f t="shared" si="156"/>
        <v>0</v>
      </c>
      <c r="CL339" s="4" t="s">
        <v>132</v>
      </c>
      <c r="CM339" s="5">
        <v>0</v>
      </c>
      <c r="CN339" s="4">
        <v>0</v>
      </c>
      <c r="CO339" s="132">
        <f t="shared" si="157"/>
        <v>0</v>
      </c>
      <c r="CP339" s="4" t="s">
        <v>132</v>
      </c>
      <c r="CQ339" s="5">
        <v>0</v>
      </c>
      <c r="CR339" s="4">
        <v>0</v>
      </c>
      <c r="CS339" s="132">
        <f t="shared" si="158"/>
        <v>0</v>
      </c>
      <c r="CT339" s="132">
        <f t="shared" si="159"/>
        <v>0</v>
      </c>
      <c r="CU339" s="168">
        <f t="shared" si="160"/>
        <v>600</v>
      </c>
      <c r="CV339" s="177">
        <f t="shared" si="143"/>
        <v>0</v>
      </c>
      <c r="CW339" s="82">
        <f t="shared" si="144"/>
        <v>558</v>
      </c>
      <c r="CX339" s="79">
        <f>IF(ISBLANK(E339),"AddQuickPay",IF(E339=2,CU339*0.98,IF(E339=2.4,CU339*0.976,IF(E339=3,CU339*0.97,IF(E339=5,CU339*0.95,IF(E339=1.5,CU339*0.985,IF(E339=2.5,CU339*0.975,IF(E339=1.3,CU339*0.987,IF(E339=1,CU339*0.99,IF(E339=4,CU339*0.96,CU339*1))))))))))-Table1[[#This Row],[ComCheck+QuickPayFee]]</f>
        <v>600</v>
      </c>
      <c r="CY339" s="5">
        <f t="shared" si="161"/>
        <v>42</v>
      </c>
      <c r="CZ339" s="5">
        <f t="shared" si="162"/>
        <v>0</v>
      </c>
      <c r="DA339" s="258">
        <f>Table1[[#This Row],[OriginalDispatch]]-Table1[[#This Row],[QuickPayCharge]]</f>
        <v>42</v>
      </c>
      <c r="DB339" s="5">
        <v>0</v>
      </c>
      <c r="DC339" s="5" t="s">
        <v>1287</v>
      </c>
      <c r="DD339" s="172">
        <f t="shared" si="163"/>
        <v>42447</v>
      </c>
      <c r="DE339" s="171">
        <f>MONTH(Table1[[#This Row],[Weekending]])</f>
        <v>3</v>
      </c>
      <c r="DF339" s="171">
        <f>YEAR(Table1[[#This Row],[Weekending]])</f>
        <v>2016</v>
      </c>
      <c r="DG339" s="4"/>
    </row>
    <row r="340" spans="1:111">
      <c r="A340" s="416" t="str">
        <f t="shared" si="145"/>
        <v>93070793</v>
      </c>
      <c r="B340" s="104">
        <v>42445</v>
      </c>
      <c r="C340" s="15">
        <v>195699993</v>
      </c>
      <c r="D340" s="416" t="s">
        <v>111</v>
      </c>
      <c r="E340" s="15">
        <v>2</v>
      </c>
      <c r="F340" s="144" t="str">
        <f>INDEX(BrokerTBL!$B:$B,MATCH(D340,BrokerTBL!$A:$A,0))</f>
        <v>P.O. Box 3474</v>
      </c>
      <c r="G340" s="15" t="str">
        <f>INDEX(BrokerTBL!$C:$C,MATCH(D340,BrokerTBL!$A:$A,0))</f>
        <v>Chicago</v>
      </c>
      <c r="H340" s="4" t="str">
        <f>INDEX(BrokerTBL!$D:$D,MATCH(D340,BrokerTBL!$A:$A,0))</f>
        <v>Il</v>
      </c>
      <c r="I340" s="4" t="str">
        <f>INDEX(BrokerTBL!$E:$E,MATCH(D340,BrokerTBL!$A:$A,0))</f>
        <v>US</v>
      </c>
      <c r="J340" s="4">
        <f>INDEX(BrokerTBL!$F:$F,MATCH(D340,BrokerTBL!$A:$A,0))</f>
        <v>60654</v>
      </c>
      <c r="K340" s="416" t="s">
        <v>1707</v>
      </c>
      <c r="L340" s="81">
        <v>3678889307</v>
      </c>
      <c r="M340" s="104">
        <v>42444</v>
      </c>
      <c r="N340" s="15" t="s">
        <v>2401</v>
      </c>
      <c r="O340" s="15" t="s">
        <v>1708</v>
      </c>
      <c r="P340" s="416" t="s">
        <v>263</v>
      </c>
      <c r="Q340" s="416" t="s">
        <v>264</v>
      </c>
      <c r="R340" s="416">
        <v>89434</v>
      </c>
      <c r="S340" s="416" t="s">
        <v>2207</v>
      </c>
      <c r="T340" s="298" t="s">
        <v>123</v>
      </c>
      <c r="U340" s="416" t="s">
        <v>120</v>
      </c>
      <c r="V340" s="416">
        <v>53</v>
      </c>
      <c r="W340" s="416" t="s">
        <v>1709</v>
      </c>
      <c r="X340" s="225">
        <v>37050</v>
      </c>
      <c r="Y340" s="15" t="s">
        <v>123</v>
      </c>
      <c r="Z340" s="416" t="s">
        <v>123</v>
      </c>
      <c r="AA340" s="416" t="s">
        <v>123</v>
      </c>
      <c r="AB340" s="416" t="s">
        <v>123</v>
      </c>
      <c r="AC340" s="416" t="s">
        <v>2402</v>
      </c>
      <c r="AD340" s="81">
        <v>3678889307</v>
      </c>
      <c r="AE340" s="104">
        <v>42445</v>
      </c>
      <c r="AF340" s="104" t="s">
        <v>1121</v>
      </c>
      <c r="AG340" s="416" t="s">
        <v>2403</v>
      </c>
      <c r="AH340" s="416" t="s">
        <v>214</v>
      </c>
      <c r="AI340" s="416" t="s">
        <v>2206</v>
      </c>
      <c r="AJ340" s="416" t="s">
        <v>2404</v>
      </c>
      <c r="AK340" s="416" t="s">
        <v>2207</v>
      </c>
      <c r="AL340" s="416" t="s">
        <v>123</v>
      </c>
      <c r="AM340" s="171" t="str">
        <f>INDEX(CarrierDriverTBL!$B:$B,MATCH(Table1[[#This Row],[DriverID]],CarrierDriverTBL!$A:$A,0))</f>
        <v>UBTrucking</v>
      </c>
      <c r="AN340" s="10" t="s">
        <v>2234</v>
      </c>
      <c r="AO340" s="171" t="str">
        <f>INDEX(CarrierDriverTBL!$C:$C,MATCH(Table1[[#This Row],[DriverID]],CarrierDriverTBL!$A:$A,0))</f>
        <v>Arturo</v>
      </c>
      <c r="AP340" s="171" t="str">
        <f>INDEX(CarrierDriverTBL!$D:$D,MATCH(Table1[[#This Row],[DriverID]],CarrierDriverTBL!$A:$A,0))</f>
        <v>Carrillo</v>
      </c>
      <c r="AQ340" s="171" t="str">
        <f>INDEX(CarrierDriverTBL!$X:$X,MATCH(Table1[[#This Row],[DriverID]],CarrierDriverTBL!$A:$A,0))</f>
        <v>C7056793</v>
      </c>
      <c r="AR340" s="160">
        <f>INDEX(CarrierDriverTBL!$Y:$Y,MATCH(Table1[[#This Row],[DriverID]],CarrierDriverTBL!$A:$A,0))</f>
        <v>43410</v>
      </c>
      <c r="AS340" s="142" t="str">
        <f t="shared" si="146"/>
        <v>GOOD</v>
      </c>
      <c r="AT340" s="172">
        <f>INDEX(CarrierDriverTBL!$E:$E,MATCH(Table1[[#This Row],[DriverID]],CarrierDriverTBL!$A:$A,0))</f>
        <v>24782</v>
      </c>
      <c r="AU340" s="163">
        <f ca="1">INDEX(CarrierDriverTBL!$F:$F,MATCH(Table1[[#This Row],[DriverID]],CarrierDriverTBL!$A:$A,0))</f>
        <v>48.750684931506846</v>
      </c>
      <c r="AV340" s="171" t="str">
        <f>INDEX(CarrierDriverTBL!$K:$K,MATCH(Table1[[#This Row],[DriverID]],CarrierDriverTBL!$A:$A,0))</f>
        <v>209-276-9785</v>
      </c>
      <c r="AW340" s="171" t="str">
        <f>INDEX(CarrierDriverTBL!$M:$M,MATCH(Table1[[#This Row],[DriverID]],CarrierDriverTBL!$A:$A,0))</f>
        <v>1685 Winthrop Ln</v>
      </c>
      <c r="AX340" s="171" t="str">
        <f>INDEX(CarrierDriverTBL!$N:$N,MATCH(Table1[[#This Row],[DriverID]],CarrierDriverTBL!$A:$A,0))</f>
        <v>Ceres</v>
      </c>
      <c r="AY340" s="171" t="str">
        <f>INDEX(CarrierDriverTBL!$O:$O,MATCH(Table1[[#This Row],[DriverID]],CarrierDriverTBL!$A:$A,0))</f>
        <v>CA</v>
      </c>
      <c r="AZ340" s="171">
        <f>INDEX(CarrierDriverTBL!$P:$P,MATCH(Table1[[#This Row],[DriverID]],CarrierDriverTBL!$A:$A,0))</f>
        <v>95307</v>
      </c>
      <c r="BA340" s="171" t="str">
        <f>INDEX(CarrierDriverTBL!$Q:$Q,MATCH(Table1[[#This Row],[DriverID]],CarrierDriverTBL!$A:$A,0))</f>
        <v>US</v>
      </c>
      <c r="BB340" s="173" t="str">
        <f>INDEX(CarrierDriverTBL!$R:$R,MATCH(Table1[[#This Row],[DriverID]],CarrierDriverTBL!$A:$A,0))</f>
        <v>arturocarr777@gmail.com</v>
      </c>
      <c r="BC340" s="160">
        <f>INDEX(CarrierDriverTBL!$AB:$AB,MATCH(Table1[[#This Row],[DriverID]],CarrierDriverTBL!$A:$A,0))</f>
        <v>42418</v>
      </c>
      <c r="BD340" s="142" t="str">
        <f ca="1">INDEX(CarrierDriverTBL!$AD:$AD,MATCH(LoadMaster!$AN:$AN,CarrierDriverTBL!$A:$A,0))</f>
        <v>MISSING</v>
      </c>
      <c r="BE340" s="171">
        <f>INDEX(CarrierDriverTBL!$AE:$AE,MATCH(Table1[DriverID],CarrierDriverTBL!$A:$A,0))</f>
        <v>913971</v>
      </c>
      <c r="BF340" s="171">
        <f>INDEX(CarrierDriverTBL!$AF:$AF,MATCH(Table1[DriverID],CarrierDriverTBL!$A:$A,0))</f>
        <v>2627544</v>
      </c>
      <c r="BG340" s="10">
        <f>INDEX(CarrierDriverTBL!$AG:$AG,MATCH(Table1[DriverID],CarrierDriverTBL!$A:$A,0))</f>
        <v>466133</v>
      </c>
      <c r="BH340" s="171" t="str">
        <f>INDEX(CarrierDriverTBL!$AH:$AH,MATCH(Table1[DriverID],CarrierDriverTBL!$A:$A,0))</f>
        <v>GM Lawrence Ins</v>
      </c>
      <c r="BI340" s="171" t="str">
        <f>INDEX(CarrierDriverTBL!$AI:$AI,MATCH(Table1[DriverID],CarrierDriverTBL!$A:$A,0))</f>
        <v>DSK2842P160210</v>
      </c>
      <c r="BJ340" s="172">
        <f>INDEX(CarrierDriverTBL!$AJ:$AJ,MATCH(Table1[[#This Row],[DriverID]],CarrierDriverTBL!$A:$A,0))</f>
        <v>42778</v>
      </c>
      <c r="BK340" s="10">
        <f t="shared" si="147"/>
        <v>334</v>
      </c>
      <c r="BL340" s="5">
        <v>500</v>
      </c>
      <c r="BM340" s="171">
        <v>303</v>
      </c>
      <c r="BN340" s="133">
        <f t="shared" si="164"/>
        <v>1.6501650165016502</v>
      </c>
      <c r="BO340" s="134">
        <f>0.93*500</f>
        <v>465</v>
      </c>
      <c r="BP340" s="133">
        <f t="shared" si="165"/>
        <v>1.5346534653465347</v>
      </c>
      <c r="BQ340" s="133">
        <v>2.6</v>
      </c>
      <c r="BR340" s="215">
        <f t="shared" si="166"/>
        <v>0.1166666666666667</v>
      </c>
      <c r="BS340" s="133">
        <f t="shared" si="148"/>
        <v>1.417986798679868</v>
      </c>
      <c r="BT340" s="133">
        <f t="shared" si="149"/>
        <v>35.350000000000009</v>
      </c>
      <c r="BU340" s="10" t="str">
        <f t="shared" si="150"/>
        <v>Ch Robinson</v>
      </c>
      <c r="BV340" s="15"/>
      <c r="BW340" s="4" t="str">
        <f>Table1[[#This Row],[BrokerAddress]]</f>
        <v>P.O. Box 3474</v>
      </c>
      <c r="BX340" s="4" t="str">
        <f t="shared" si="151"/>
        <v>Chicago</v>
      </c>
      <c r="BY340" s="4" t="str">
        <f t="shared" si="152"/>
        <v>Il</v>
      </c>
      <c r="BZ340" s="4">
        <f t="shared" si="153"/>
        <v>60654</v>
      </c>
      <c r="CA340" s="10" t="str">
        <f t="shared" si="154"/>
        <v>US</v>
      </c>
      <c r="CB340" s="15" t="s">
        <v>131</v>
      </c>
      <c r="CC340" s="62"/>
      <c r="CD340" s="15" t="s">
        <v>132</v>
      </c>
      <c r="CE340" s="64">
        <v>0</v>
      </c>
      <c r="CF340" s="4">
        <v>0</v>
      </c>
      <c r="CG340" s="132">
        <f t="shared" si="155"/>
        <v>0</v>
      </c>
      <c r="CH340" s="4" t="s">
        <v>132</v>
      </c>
      <c r="CI340" s="5">
        <v>0</v>
      </c>
      <c r="CJ340" s="4">
        <v>0</v>
      </c>
      <c r="CK340" s="132">
        <f t="shared" si="156"/>
        <v>0</v>
      </c>
      <c r="CL340" s="4" t="s">
        <v>132</v>
      </c>
      <c r="CM340" s="5">
        <v>0</v>
      </c>
      <c r="CN340" s="4">
        <v>0</v>
      </c>
      <c r="CO340" s="132">
        <f t="shared" si="157"/>
        <v>0</v>
      </c>
      <c r="CP340" s="4" t="s">
        <v>132</v>
      </c>
      <c r="CQ340" s="5">
        <v>0</v>
      </c>
      <c r="CR340" s="4">
        <v>0</v>
      </c>
      <c r="CS340" s="132">
        <f t="shared" si="158"/>
        <v>0</v>
      </c>
      <c r="CT340" s="132">
        <f t="shared" si="159"/>
        <v>0</v>
      </c>
      <c r="CU340" s="168">
        <f t="shared" si="160"/>
        <v>500</v>
      </c>
      <c r="CV340" s="177">
        <f t="shared" si="143"/>
        <v>0</v>
      </c>
      <c r="CW340" s="82">
        <f t="shared" si="144"/>
        <v>465</v>
      </c>
      <c r="CX340" s="79">
        <f>IF(ISBLANK(E340),"AddQuickPay",IF(E340=2,CU340*0.98,IF(E340=2.4,CU340*0.976,IF(E340=3,CU340*0.97,IF(E340=5,CU340*0.95,IF(E340=1.5,CU340*0.985,IF(E340=2.5,CU340*0.975,IF(E340=1.3,CU340*0.987,IF(E340=1,CU340*0.99,IF(E340=4,CU340*0.96,CU340*1))))))))))-Table1[[#This Row],[ComCheck+QuickPayFee]]</f>
        <v>490</v>
      </c>
      <c r="CY340" s="5">
        <f t="shared" si="161"/>
        <v>35</v>
      </c>
      <c r="CZ340" s="5">
        <f t="shared" si="162"/>
        <v>10</v>
      </c>
      <c r="DA340" s="258">
        <f>Table1[[#This Row],[OriginalDispatch]]-Table1[[#This Row],[QuickPayCharge]]</f>
        <v>25</v>
      </c>
      <c r="DB340" s="5">
        <v>0</v>
      </c>
      <c r="DC340" s="5" t="s">
        <v>1287</v>
      </c>
      <c r="DD340" s="172">
        <f t="shared" si="163"/>
        <v>42447</v>
      </c>
      <c r="DE340" s="171">
        <f>MONTH(Table1[[#This Row],[Weekending]])</f>
        <v>3</v>
      </c>
      <c r="DF340" s="171">
        <f>YEAR(Table1[[#This Row],[Weekending]])</f>
        <v>2016</v>
      </c>
      <c r="DG340" s="4"/>
    </row>
    <row r="341" spans="1:111">
      <c r="A341" s="548" t="str">
        <f t="shared" si="145"/>
        <v>87131649</v>
      </c>
      <c r="B341" s="549">
        <v>42508</v>
      </c>
      <c r="C341" s="550">
        <v>2016087</v>
      </c>
      <c r="D341" s="548" t="s">
        <v>2405</v>
      </c>
      <c r="E341" s="550">
        <v>3</v>
      </c>
      <c r="F341" s="551" t="str">
        <f>INDEX(BrokerTBL!$B:$B,MATCH(D341,BrokerTBL!$A:$A,0))</f>
        <v xml:space="preserve">303 E Wacker Dr. </v>
      </c>
      <c r="G341" s="550" t="str">
        <f>INDEX(BrokerTBL!$C:$C,MATCH(D341,BrokerTBL!$A:$A,0))</f>
        <v>Chicago</v>
      </c>
      <c r="H341" s="235" t="str">
        <f>INDEX(BrokerTBL!$D:$D,MATCH(D341,BrokerTBL!$A:$A,0))</f>
        <v>IL</v>
      </c>
      <c r="I341" s="235" t="str">
        <f>INDEX(BrokerTBL!$E:$E,MATCH(D341,BrokerTBL!$A:$A,0))</f>
        <v>US</v>
      </c>
      <c r="J341" s="235">
        <f>INDEX(BrokerTBL!$F:$F,MATCH(D341,BrokerTBL!$A:$A,0))</f>
        <v>60601</v>
      </c>
      <c r="K341" s="548" t="s">
        <v>2406</v>
      </c>
      <c r="L341" s="552">
        <v>300813</v>
      </c>
      <c r="M341" s="549">
        <v>42446</v>
      </c>
      <c r="N341" s="550" t="s">
        <v>1055</v>
      </c>
      <c r="O341" s="550" t="s">
        <v>2407</v>
      </c>
      <c r="P341" s="548" t="s">
        <v>2408</v>
      </c>
      <c r="Q341" s="548" t="s">
        <v>2233</v>
      </c>
      <c r="R341" s="548">
        <v>89706</v>
      </c>
      <c r="S341" s="548" t="s">
        <v>2207</v>
      </c>
      <c r="T341" s="548" t="s">
        <v>123</v>
      </c>
      <c r="U341" s="548" t="s">
        <v>120</v>
      </c>
      <c r="V341" s="548">
        <v>53</v>
      </c>
      <c r="W341" s="548" t="s">
        <v>2409</v>
      </c>
      <c r="X341" s="553">
        <v>45000</v>
      </c>
      <c r="Y341" s="550" t="s">
        <v>2410</v>
      </c>
      <c r="Z341" s="548">
        <v>50</v>
      </c>
      <c r="AA341" s="548" t="s">
        <v>123</v>
      </c>
      <c r="AB341" s="548" t="s">
        <v>123</v>
      </c>
      <c r="AC341" s="548" t="s">
        <v>2411</v>
      </c>
      <c r="AD341" s="552">
        <v>300816</v>
      </c>
      <c r="AE341" s="549">
        <v>42508</v>
      </c>
      <c r="AF341" s="549" t="s">
        <v>1316</v>
      </c>
      <c r="AG341" s="548" t="s">
        <v>2412</v>
      </c>
      <c r="AH341" s="548" t="s">
        <v>2168</v>
      </c>
      <c r="AI341" s="548" t="s">
        <v>2206</v>
      </c>
      <c r="AJ341" s="548">
        <v>93235</v>
      </c>
      <c r="AK341" s="548" t="s">
        <v>2207</v>
      </c>
      <c r="AL341" s="548" t="s">
        <v>123</v>
      </c>
      <c r="AM341" s="554" t="str">
        <f>INDEX(CarrierDriverTBL!$B:$B,MATCH(Table1[[#This Row],[DriverID]],CarrierDriverTBL!$A:$A,0))</f>
        <v>UBTrucking</v>
      </c>
      <c r="AN341" s="10" t="s">
        <v>192</v>
      </c>
      <c r="AO341" s="555" t="str">
        <f>INDEX(CarrierDriverTBL!$C:$C,MATCH(Table1[[#This Row],[DriverID]],CarrierDriverTBL!$A:$A,0))</f>
        <v>Albel</v>
      </c>
      <c r="AP341" s="555" t="str">
        <f>INDEX(CarrierDriverTBL!$D:$D,MATCH(Table1[[#This Row],[DriverID]],CarrierDriverTBL!$A:$A,0))</f>
        <v>Chahil</v>
      </c>
      <c r="AQ341" s="555" t="str">
        <f>INDEX(CarrierDriverTBL!$X:$X,MATCH(Table1[[#This Row],[DriverID]],CarrierDriverTBL!$A:$A,0))</f>
        <v>A8390649</v>
      </c>
      <c r="AR341" s="556">
        <f>INDEX(CarrierDriverTBL!$Y:$Y,MATCH(Table1[[#This Row],[DriverID]],CarrierDriverTBL!$A:$A,0))</f>
        <v>42402</v>
      </c>
      <c r="AS341" s="554" t="str">
        <f t="shared" si="146"/>
        <v>EXPIRED</v>
      </c>
      <c r="AT341" s="556">
        <f>INDEX(CarrierDriverTBL!$E:$E,MATCH(Table1[[#This Row],[DriverID]],CarrierDriverTBL!$A:$A,0))</f>
        <v>22314</v>
      </c>
      <c r="AU341" s="557">
        <f ca="1">INDEX(CarrierDriverTBL!$F:$F,MATCH(Table1[[#This Row],[DriverID]],CarrierDriverTBL!$A:$A,0))</f>
        <v>55.512328767123286</v>
      </c>
      <c r="AV341" s="554" t="str">
        <f>INDEX(CarrierDriverTBL!$K:$K,MATCH(Table1[[#This Row],[DriverID]],CarrierDriverTBL!$A:$A,0))</f>
        <v>510-773-9450</v>
      </c>
      <c r="AW341" s="554" t="str">
        <f>INDEX(CarrierDriverTBL!$M:$M,MATCH(Table1[[#This Row],[DriverID]],CarrierDriverTBL!$A:$A,0))</f>
        <v>3124 Cynthia CT</v>
      </c>
      <c r="AX341" s="554" t="str">
        <f>INDEX(CarrierDriverTBL!$N:$N,MATCH(Table1[[#This Row],[DriverID]],CarrierDriverTBL!$A:$A,0))</f>
        <v>Tracy</v>
      </c>
      <c r="AY341" s="554" t="str">
        <f>INDEX(CarrierDriverTBL!$O:$O,MATCH(Table1[[#This Row],[DriverID]],CarrierDriverTBL!$A:$A,0))</f>
        <v>CA</v>
      </c>
      <c r="AZ341" s="554">
        <f>INDEX(CarrierDriverTBL!$P:$P,MATCH(Table1[[#This Row],[DriverID]],CarrierDriverTBL!$A:$A,0))</f>
        <v>95377</v>
      </c>
      <c r="BA341" s="554" t="str">
        <f>INDEX(CarrierDriverTBL!$Q:$Q,MATCH(Table1[[#This Row],[DriverID]],CarrierDriverTBL!$A:$A,0))</f>
        <v>US</v>
      </c>
      <c r="BB341" s="554" t="str">
        <f>INDEX(CarrierDriverTBL!$R:$R,MATCH(Table1[[#This Row],[DriverID]],CarrierDriverTBL!$A:$A,0))</f>
        <v>ubgollc@gmail.com</v>
      </c>
      <c r="BC341" s="556">
        <f>INDEX(CarrierDriverTBL!$AB:$AB,MATCH(Table1[[#This Row],[DriverID]],CarrierDriverTBL!$A:$A,0))</f>
        <v>42167</v>
      </c>
      <c r="BD341" s="555" t="str">
        <f ca="1">INDEX(CarrierDriverTBL!$AD:$AD,MATCH(LoadMaster!$AN:$AN,CarrierDriverTBL!$A:$A,0))</f>
        <v>MISSING</v>
      </c>
      <c r="BE341" s="555">
        <f>INDEX(CarrierDriverTBL!$AE:$AE,MATCH(Table1[DriverID],CarrierDriverTBL!$A:$A,0))</f>
        <v>913971</v>
      </c>
      <c r="BF341" s="554">
        <f>INDEX(CarrierDriverTBL!$AF:$AF,MATCH(Table1[DriverID],CarrierDriverTBL!$A:$A,0))</f>
        <v>2627544</v>
      </c>
      <c r="BG341" s="236">
        <f>INDEX(CarrierDriverTBL!$AG:$AG,MATCH(Table1[DriverID],CarrierDriverTBL!$A:$A,0))</f>
        <v>466133</v>
      </c>
      <c r="BH341" s="554" t="str">
        <f>INDEX(CarrierDriverTBL!$AH:$AH,MATCH(Table1[DriverID],CarrierDriverTBL!$A:$A,0))</f>
        <v>GM Lawrence Ins</v>
      </c>
      <c r="BI341" s="554" t="str">
        <f>INDEX(CarrierDriverTBL!$AI:$AI,MATCH(Table1[DriverID],CarrierDriverTBL!$A:$A,0))</f>
        <v>DSK2842P160210</v>
      </c>
      <c r="BJ341" s="556">
        <f>INDEX(CarrierDriverTBL!$AJ:$AJ,MATCH(Table1[[#This Row],[DriverID]],CarrierDriverTBL!$A:$A,0))</f>
        <v>42778</v>
      </c>
      <c r="BK341" s="554">
        <f t="shared" si="147"/>
        <v>332</v>
      </c>
      <c r="BL341" s="558">
        <v>600</v>
      </c>
      <c r="BM341" s="554">
        <v>311.5</v>
      </c>
      <c r="BN341" s="558">
        <f t="shared" si="164"/>
        <v>1.926163723916533</v>
      </c>
      <c r="BO341" s="241">
        <f>0.93*600</f>
        <v>558</v>
      </c>
      <c r="BP341" s="558">
        <f t="shared" si="165"/>
        <v>1.7913322632423756</v>
      </c>
      <c r="BQ341" s="558">
        <v>2.6</v>
      </c>
      <c r="BR341" s="559">
        <f t="shared" si="166"/>
        <v>0.1166666666666667</v>
      </c>
      <c r="BS341" s="558">
        <f t="shared" si="148"/>
        <v>1.6746655965757089</v>
      </c>
      <c r="BT341" s="558">
        <f t="shared" si="149"/>
        <v>36.341666666666676</v>
      </c>
      <c r="BU341" s="236" t="str">
        <f t="shared" si="150"/>
        <v>XPOLogistics</v>
      </c>
      <c r="BV341" s="554"/>
      <c r="BW341" s="236" t="str">
        <f>Table1[[#This Row],[BrokerAddress]]</f>
        <v xml:space="preserve">303 E Wacker Dr. </v>
      </c>
      <c r="BX341" s="236" t="str">
        <f t="shared" si="151"/>
        <v>Chicago</v>
      </c>
      <c r="BY341" s="269" t="str">
        <f t="shared" si="152"/>
        <v>IL</v>
      </c>
      <c r="BZ341" s="236">
        <f t="shared" si="153"/>
        <v>60601</v>
      </c>
      <c r="CA341" s="236" t="str">
        <f t="shared" si="154"/>
        <v>US</v>
      </c>
      <c r="CB341" s="15" t="s">
        <v>131</v>
      </c>
      <c r="CC341" s="62"/>
      <c r="CD341" s="15" t="s">
        <v>132</v>
      </c>
      <c r="CE341" s="64">
        <v>0</v>
      </c>
      <c r="CF341" s="4">
        <v>0</v>
      </c>
      <c r="CG341" s="132">
        <f t="shared" si="155"/>
        <v>0</v>
      </c>
      <c r="CH341" s="4" t="s">
        <v>132</v>
      </c>
      <c r="CI341" s="5">
        <v>0</v>
      </c>
      <c r="CJ341" s="4">
        <v>0</v>
      </c>
      <c r="CK341" s="132">
        <f t="shared" si="156"/>
        <v>0</v>
      </c>
      <c r="CL341" s="4" t="s">
        <v>132</v>
      </c>
      <c r="CM341" s="5">
        <v>0</v>
      </c>
      <c r="CN341" s="4">
        <v>0</v>
      </c>
      <c r="CO341" s="132">
        <f t="shared" si="157"/>
        <v>0</v>
      </c>
      <c r="CP341" s="4" t="s">
        <v>132</v>
      </c>
      <c r="CQ341" s="5">
        <v>0</v>
      </c>
      <c r="CR341" s="4">
        <v>0</v>
      </c>
      <c r="CS341" s="132">
        <f t="shared" si="158"/>
        <v>0</v>
      </c>
      <c r="CT341" s="132">
        <f t="shared" si="159"/>
        <v>0</v>
      </c>
      <c r="CU341" s="238">
        <f t="shared" si="160"/>
        <v>600</v>
      </c>
      <c r="CV341" s="239">
        <f t="shared" si="143"/>
        <v>0</v>
      </c>
      <c r="CW341" s="240">
        <f t="shared" si="144"/>
        <v>558</v>
      </c>
      <c r="CX341" s="79">
        <f>IF(ISBLANK(E341),"AddQuickPay",IF(E341=2,CU341*0.98,IF(E341=2.4,CU341*0.976,IF(E341=3,CU341*0.97,IF(E341=5,CU341*0.95,IF(E341=1.5,CU341*0.985,IF(E341=2.5,CU341*0.975,IF(E341=1.3,CU341*0.987,IF(E341=1,CU341*0.99,IF(E341=4,CU341*0.96,CU341*1))))))))))-Table1[[#This Row],[ComCheck+QuickPayFee]]</f>
        <v>582</v>
      </c>
      <c r="CY341" s="237">
        <f t="shared" si="161"/>
        <v>42</v>
      </c>
      <c r="CZ341" s="237">
        <f t="shared" si="162"/>
        <v>18</v>
      </c>
      <c r="DA341" s="263">
        <f>Table1[[#This Row],[OriginalDispatch]]-Table1[[#This Row],[QuickPayCharge]]</f>
        <v>24</v>
      </c>
      <c r="DB341" s="5">
        <v>0</v>
      </c>
      <c r="DC341" s="237" t="s">
        <v>133</v>
      </c>
      <c r="DD341" s="549">
        <f t="shared" si="163"/>
        <v>42447</v>
      </c>
      <c r="DE341" s="554">
        <f>MONTH(Table1[[#This Row],[Weekending]])</f>
        <v>3</v>
      </c>
      <c r="DF341" s="554">
        <f>YEAR(Table1[[#This Row],[Weekending]])</f>
        <v>2016</v>
      </c>
      <c r="DG341" s="235"/>
    </row>
    <row r="342" spans="1:111">
      <c r="A342" s="416" t="str">
        <f t="shared" si="145"/>
        <v>52676719</v>
      </c>
      <c r="B342" s="104">
        <v>42451</v>
      </c>
      <c r="C342" s="15">
        <v>195960452</v>
      </c>
      <c r="D342" s="416" t="s">
        <v>111</v>
      </c>
      <c r="E342" s="15">
        <v>2</v>
      </c>
      <c r="F342" s="144" t="str">
        <f>INDEX(BrokerTBL!$B:$B,MATCH(D342,BrokerTBL!$A:$A,0))</f>
        <v>P.O. Box 3474</v>
      </c>
      <c r="G342" s="15" t="str">
        <f>INDEX(BrokerTBL!$C:$C,MATCH(D342,BrokerTBL!$A:$A,0))</f>
        <v>Chicago</v>
      </c>
      <c r="H342" s="4" t="str">
        <f>INDEX(BrokerTBL!$D:$D,MATCH(D342,BrokerTBL!$A:$A,0))</f>
        <v>Il</v>
      </c>
      <c r="I342" s="4" t="str">
        <f>INDEX(BrokerTBL!$E:$E,MATCH(D342,BrokerTBL!$A:$A,0))</f>
        <v>US</v>
      </c>
      <c r="J342" s="4">
        <f>INDEX(BrokerTBL!$F:$F,MATCH(D342,BrokerTBL!$A:$A,0))</f>
        <v>60654</v>
      </c>
      <c r="K342" s="416" t="s">
        <v>2413</v>
      </c>
      <c r="L342" s="81">
        <v>31617967</v>
      </c>
      <c r="M342" s="104">
        <v>42447</v>
      </c>
      <c r="N342" s="15" t="s">
        <v>1453</v>
      </c>
      <c r="O342" s="15" t="s">
        <v>2414</v>
      </c>
      <c r="P342" s="416" t="s">
        <v>2415</v>
      </c>
      <c r="Q342" s="416" t="s">
        <v>2206</v>
      </c>
      <c r="R342" s="416">
        <v>95765</v>
      </c>
      <c r="S342" s="416" t="s">
        <v>2207</v>
      </c>
      <c r="T342" s="298" t="s">
        <v>123</v>
      </c>
      <c r="U342" s="416" t="s">
        <v>120</v>
      </c>
      <c r="V342" s="416">
        <v>53</v>
      </c>
      <c r="W342" s="416" t="s">
        <v>2416</v>
      </c>
      <c r="X342" s="225">
        <v>45000</v>
      </c>
      <c r="Y342" s="15" t="s">
        <v>2220</v>
      </c>
      <c r="Z342" s="416" t="s">
        <v>123</v>
      </c>
      <c r="AA342" s="416" t="s">
        <v>123</v>
      </c>
      <c r="AB342" s="416" t="s">
        <v>123</v>
      </c>
      <c r="AC342" s="416" t="s">
        <v>2417</v>
      </c>
      <c r="AD342" s="81">
        <v>31617967</v>
      </c>
      <c r="AE342" s="104">
        <v>42450</v>
      </c>
      <c r="AF342" s="104" t="s">
        <v>1121</v>
      </c>
      <c r="AG342" s="416" t="s">
        <v>2418</v>
      </c>
      <c r="AH342" s="416" t="s">
        <v>429</v>
      </c>
      <c r="AI342" s="416" t="s">
        <v>2206</v>
      </c>
      <c r="AJ342" s="416">
        <v>93446</v>
      </c>
      <c r="AK342" s="416" t="s">
        <v>2207</v>
      </c>
      <c r="AL342" s="416" t="s">
        <v>123</v>
      </c>
      <c r="AM342" s="171" t="str">
        <f>INDEX(CarrierDriverTBL!$B:$B,MATCH(Table1[[#This Row],[DriverID]],CarrierDriverTBL!$A:$A,0))</f>
        <v>UBTrucking</v>
      </c>
      <c r="AN342" s="10" t="s">
        <v>1409</v>
      </c>
      <c r="AO342" s="298" t="str">
        <f>INDEX(CarrierDriverTBL!$C:$C,MATCH(Table1[[#This Row],[DriverID]],CarrierDriverTBL!$A:$A,0))</f>
        <v>Miguel Jaime</v>
      </c>
      <c r="AP342" s="298" t="str">
        <f>INDEX(CarrierDriverTBL!$D:$D,MATCH(Table1[[#This Row],[DriverID]],CarrierDriverTBL!$A:$A,0))</f>
        <v>Martin Del Campo Velarca</v>
      </c>
      <c r="AQ342" s="142" t="str">
        <f>INDEX(CarrierDriverTBL!$X:$X,MATCH(Table1[[#This Row],[DriverID]],CarrierDriverTBL!$A:$A,0))</f>
        <v>D5179619</v>
      </c>
      <c r="AR342" s="160">
        <f>INDEX(CarrierDriverTBL!$Y:$Y,MATCH(Table1[[#This Row],[DriverID]],CarrierDriverTBL!$A:$A,0))</f>
        <v>43843</v>
      </c>
      <c r="AS342" s="142" t="str">
        <f t="shared" si="146"/>
        <v>GOOD</v>
      </c>
      <c r="AT342" s="146">
        <f>INDEX(CarrierDriverTBL!$E:$E,MATCH(Table1[[#This Row],[DriverID]],CarrierDriverTBL!$A:$A,0))</f>
        <v>21198</v>
      </c>
      <c r="AU342" s="163">
        <f ca="1">INDEX(CarrierDriverTBL!$F:$F,MATCH(Table1[[#This Row],[DriverID]],CarrierDriverTBL!$A:$A,0))</f>
        <v>58.56986301369863</v>
      </c>
      <c r="AV342" s="298" t="str">
        <f>INDEX(CarrierDriverTBL!$K:$K,MATCH(Table1[[#This Row],[DriverID]],CarrierDriverTBL!$A:$A,0))</f>
        <v>209-322-5231</v>
      </c>
      <c r="AW342" s="298" t="str">
        <f>INDEX(CarrierDriverTBL!$M:$M,MATCH(Table1[[#This Row],[DriverID]],CarrierDriverTBL!$A:$A,0))</f>
        <v>572 Predersen RD</v>
      </c>
      <c r="AX342" s="298" t="str">
        <f>INDEX(CarrierDriverTBL!$N:$N,MATCH(Table1[[#This Row],[DriverID]],CarrierDriverTBL!$A:$A,0))</f>
        <v>Oakdale</v>
      </c>
      <c r="AY342" s="142" t="str">
        <f>INDEX(CarrierDriverTBL!$O:$O,MATCH(Table1[[#This Row],[DriverID]],CarrierDriverTBL!$A:$A,0))</f>
        <v>CA</v>
      </c>
      <c r="AZ342" s="298">
        <f>INDEX(CarrierDriverTBL!$P:$P,MATCH(Table1[[#This Row],[DriverID]],CarrierDriverTBL!$A:$A,0))</f>
        <v>95361</v>
      </c>
      <c r="BA342" s="298" t="str">
        <f>INDEX(CarrierDriverTBL!$Q:$Q,MATCH(Table1[[#This Row],[DriverID]],CarrierDriverTBL!$A:$A,0))</f>
        <v>US</v>
      </c>
      <c r="BB342" s="176" t="str">
        <f>INDEX(CarrierDriverTBL!$R:$R,MATCH(Table1[[#This Row],[DriverID]],CarrierDriverTBL!$A:$A,0))</f>
        <v>Miguelmartin52@yahoo.com</v>
      </c>
      <c r="BC342" s="160">
        <f>INDEX(CarrierDriverTBL!$AB:$AB,MATCH(Table1[[#This Row],[DriverID]],CarrierDriverTBL!$A:$A,0))</f>
        <v>42334</v>
      </c>
      <c r="BD342" s="142" t="str">
        <f ca="1">INDEX(CarrierDriverTBL!$AD:$AD,MATCH(LoadMaster!$AN:$AN,CarrierDriverTBL!$A:$A,0))</f>
        <v>MISSING</v>
      </c>
      <c r="BE342" s="142">
        <f>INDEX(CarrierDriverTBL!$AE:$AE,MATCH(Table1[DriverID],CarrierDriverTBL!$A:$A,0))</f>
        <v>913971</v>
      </c>
      <c r="BF342" s="142">
        <f>INDEX(CarrierDriverTBL!$AF:$AF,MATCH(Table1[DriverID],CarrierDriverTBL!$A:$A,0))</f>
        <v>2627544</v>
      </c>
      <c r="BG342" s="142">
        <f>INDEX(CarrierDriverTBL!$AG:$AG,MATCH(Table1[DriverID],CarrierDriverTBL!$A:$A,0))</f>
        <v>466133</v>
      </c>
      <c r="BH342" s="142" t="str">
        <f>INDEX(CarrierDriverTBL!$AH:$AH,MATCH(Table1[DriverID],CarrierDriverTBL!$A:$A,0))</f>
        <v>GM Lawrence Ins</v>
      </c>
      <c r="BI342" s="142" t="str">
        <f>INDEX(CarrierDriverTBL!$AI:$AI,MATCH(Table1[DriverID],CarrierDriverTBL!$A:$A,0))</f>
        <v>DSK2842P160210</v>
      </c>
      <c r="BJ342" s="172">
        <f>INDEX(CarrierDriverTBL!$AJ:$AJ,MATCH(Table1[[#This Row],[DriverID]],CarrierDriverTBL!$A:$A,0))</f>
        <v>42778</v>
      </c>
      <c r="BK342" s="10">
        <f t="shared" si="147"/>
        <v>331</v>
      </c>
      <c r="BL342" s="5">
        <v>500</v>
      </c>
      <c r="BM342" s="171">
        <v>285</v>
      </c>
      <c r="BN342" s="133">
        <f t="shared" si="164"/>
        <v>1.7543859649122806</v>
      </c>
      <c r="BO342" s="134">
        <f>0.93*500</f>
        <v>465</v>
      </c>
      <c r="BP342" s="133">
        <f t="shared" si="165"/>
        <v>1.631578947368421</v>
      </c>
      <c r="BQ342" s="133">
        <v>2.6</v>
      </c>
      <c r="BR342" s="215">
        <f t="shared" si="166"/>
        <v>0.1166666666666667</v>
      </c>
      <c r="BS342" s="133">
        <f t="shared" si="148"/>
        <v>1.5149122807017543</v>
      </c>
      <c r="BT342" s="133">
        <f t="shared" si="149"/>
        <v>33.250000000000007</v>
      </c>
      <c r="BU342" s="10" t="str">
        <f t="shared" si="150"/>
        <v>Ch Robinson</v>
      </c>
      <c r="BV342" s="15"/>
      <c r="BW342" s="4" t="str">
        <f>Table1[[#This Row],[BrokerAddress]]</f>
        <v>P.O. Box 3474</v>
      </c>
      <c r="BX342" s="4" t="str">
        <f t="shared" si="151"/>
        <v>Chicago</v>
      </c>
      <c r="BY342" s="4" t="str">
        <f t="shared" si="152"/>
        <v>Il</v>
      </c>
      <c r="BZ342" s="4">
        <f t="shared" si="153"/>
        <v>60654</v>
      </c>
      <c r="CA342" s="10" t="str">
        <f t="shared" si="154"/>
        <v>US</v>
      </c>
      <c r="CB342" s="15" t="s">
        <v>131</v>
      </c>
      <c r="CC342" s="62"/>
      <c r="CD342" s="15" t="s">
        <v>132</v>
      </c>
      <c r="CE342" s="64">
        <v>0</v>
      </c>
      <c r="CF342" s="4">
        <v>0</v>
      </c>
      <c r="CG342" s="132">
        <f t="shared" si="155"/>
        <v>0</v>
      </c>
      <c r="CH342" s="4" t="s">
        <v>132</v>
      </c>
      <c r="CI342" s="5">
        <v>0</v>
      </c>
      <c r="CJ342" s="4">
        <v>0</v>
      </c>
      <c r="CK342" s="132">
        <f t="shared" si="156"/>
        <v>0</v>
      </c>
      <c r="CL342" s="4" t="s">
        <v>132</v>
      </c>
      <c r="CM342" s="5">
        <v>0</v>
      </c>
      <c r="CN342" s="4">
        <v>0</v>
      </c>
      <c r="CO342" s="132">
        <f t="shared" si="157"/>
        <v>0</v>
      </c>
      <c r="CP342" s="4" t="s">
        <v>132</v>
      </c>
      <c r="CQ342" s="5">
        <v>0</v>
      </c>
      <c r="CR342" s="4">
        <v>0</v>
      </c>
      <c r="CS342" s="132">
        <f t="shared" si="158"/>
        <v>0</v>
      </c>
      <c r="CT342" s="132">
        <f t="shared" si="159"/>
        <v>0</v>
      </c>
      <c r="CU342" s="168">
        <f t="shared" si="160"/>
        <v>500</v>
      </c>
      <c r="CV342" s="177">
        <f t="shared" si="143"/>
        <v>0</v>
      </c>
      <c r="CW342" s="82">
        <f t="shared" si="144"/>
        <v>465</v>
      </c>
      <c r="CX342" s="79">
        <f>IF(ISBLANK(E342),"AddQuickPay",IF(E342=2,CU342*0.98,IF(E342=2.4,CU342*0.976,IF(E342=3,CU342*0.97,IF(E342=5,CU342*0.95,IF(E342=1.5,CU342*0.985,IF(E342=2.5,CU342*0.975,IF(E342=1.3,CU342*0.987,IF(E342=1,CU342*0.99,IF(E342=4,CU342*0.96,CU342*1))))))))))-Table1[[#This Row],[ComCheck+QuickPayFee]]</f>
        <v>490</v>
      </c>
      <c r="CY342" s="5">
        <f t="shared" si="161"/>
        <v>35</v>
      </c>
      <c r="CZ342" s="5">
        <f t="shared" si="162"/>
        <v>10</v>
      </c>
      <c r="DA342" s="258">
        <f>Table1[[#This Row],[OriginalDispatch]]-Table1[[#This Row],[QuickPayCharge]]</f>
        <v>25</v>
      </c>
      <c r="DB342" s="5">
        <v>0</v>
      </c>
      <c r="DC342" s="5" t="s">
        <v>1287</v>
      </c>
      <c r="DD342" s="172">
        <f t="shared" si="163"/>
        <v>42447</v>
      </c>
      <c r="DE342" s="171">
        <f>MONTH(Table1[[#This Row],[Weekending]])</f>
        <v>3</v>
      </c>
      <c r="DF342" s="171">
        <f>YEAR(Table1[[#This Row],[Weekending]])</f>
        <v>2016</v>
      </c>
      <c r="DG342" s="4"/>
    </row>
    <row r="343" spans="1:111">
      <c r="A343" s="416" t="str">
        <f t="shared" si="145"/>
        <v>20383593</v>
      </c>
      <c r="B343" s="104">
        <v>42451</v>
      </c>
      <c r="C343" s="15">
        <v>6696620</v>
      </c>
      <c r="D343" s="416" t="s">
        <v>555</v>
      </c>
      <c r="E343" s="15">
        <v>3</v>
      </c>
      <c r="F343" s="144" t="str">
        <f>INDEX(BrokerTBL!$B:$B,MATCH(D343,BrokerTBL!$A:$A,0))</f>
        <v>P.O. Box 799</v>
      </c>
      <c r="G343" s="15" t="str">
        <f>INDEX(BrokerTBL!$C:$C,MATCH(D343,BrokerTBL!$A:$A,0))</f>
        <v>Milford</v>
      </c>
      <c r="H343" s="4" t="str">
        <f>INDEX(BrokerTBL!$D:$D,MATCH(D343,BrokerTBL!$A:$A,0))</f>
        <v>Ohio</v>
      </c>
      <c r="I343" s="4" t="str">
        <f>INDEX(BrokerTBL!$E:$E,MATCH(D343,BrokerTBL!$A:$A,0))</f>
        <v>US</v>
      </c>
      <c r="J343" s="4">
        <f>INDEX(BrokerTBL!$F:$F,MATCH(D343,BrokerTBL!$A:$A,0))</f>
        <v>45150</v>
      </c>
      <c r="K343" s="416" t="s">
        <v>2419</v>
      </c>
      <c r="L343" s="81">
        <v>36538</v>
      </c>
      <c r="M343" s="104">
        <v>42447</v>
      </c>
      <c r="N343" s="15" t="s">
        <v>2420</v>
      </c>
      <c r="O343" s="15" t="s">
        <v>2421</v>
      </c>
      <c r="P343" s="416" t="s">
        <v>1704</v>
      </c>
      <c r="Q343" s="416" t="s">
        <v>2206</v>
      </c>
      <c r="R343" s="416">
        <v>95366</v>
      </c>
      <c r="S343" s="416" t="s">
        <v>118</v>
      </c>
      <c r="T343" s="298" t="s">
        <v>123</v>
      </c>
      <c r="U343" s="416" t="s">
        <v>120</v>
      </c>
      <c r="V343" s="416">
        <v>53</v>
      </c>
      <c r="W343" s="416" t="s">
        <v>2422</v>
      </c>
      <c r="X343" s="225">
        <v>44000</v>
      </c>
      <c r="Y343" s="15" t="s">
        <v>123</v>
      </c>
      <c r="Z343" s="416">
        <v>1</v>
      </c>
      <c r="AA343" s="416" t="s">
        <v>123</v>
      </c>
      <c r="AB343" s="416" t="s">
        <v>123</v>
      </c>
      <c r="AC343" s="416" t="s">
        <v>2423</v>
      </c>
      <c r="AD343" s="81">
        <v>269635</v>
      </c>
      <c r="AE343" s="104">
        <v>42450</v>
      </c>
      <c r="AF343" s="104" t="s">
        <v>1281</v>
      </c>
      <c r="AG343" s="416" t="s">
        <v>2424</v>
      </c>
      <c r="AH343" s="416" t="s">
        <v>2183</v>
      </c>
      <c r="AI343" s="416" t="s">
        <v>2373</v>
      </c>
      <c r="AJ343" s="416" t="s">
        <v>2425</v>
      </c>
      <c r="AK343" s="416" t="s">
        <v>2207</v>
      </c>
      <c r="AL343" s="416" t="s">
        <v>2425</v>
      </c>
      <c r="AM343" s="171" t="str">
        <f>INDEX(CarrierDriverTBL!$B:$B,MATCH(Table1[[#This Row],[DriverID]],CarrierDriverTBL!$A:$A,0))</f>
        <v>UBTrucking</v>
      </c>
      <c r="AN343" s="10" t="s">
        <v>2234</v>
      </c>
      <c r="AO343" s="171" t="str">
        <f>INDEX(CarrierDriverTBL!$C:$C,MATCH(Table1[[#This Row],[DriverID]],CarrierDriverTBL!$A:$A,0))</f>
        <v>Arturo</v>
      </c>
      <c r="AP343" s="171" t="str">
        <f>INDEX(CarrierDriverTBL!$D:$D,MATCH(Table1[[#This Row],[DriverID]],CarrierDriverTBL!$A:$A,0))</f>
        <v>Carrillo</v>
      </c>
      <c r="AQ343" s="171" t="str">
        <f>INDEX(CarrierDriverTBL!$X:$X,MATCH(Table1[[#This Row],[DriverID]],CarrierDriverTBL!$A:$A,0))</f>
        <v>C7056793</v>
      </c>
      <c r="AR343" s="160">
        <f>INDEX(CarrierDriverTBL!$Y:$Y,MATCH(Table1[[#This Row],[DriverID]],CarrierDriverTBL!$A:$A,0))</f>
        <v>43410</v>
      </c>
      <c r="AS343" s="142" t="str">
        <f t="shared" si="146"/>
        <v>GOOD</v>
      </c>
      <c r="AT343" s="172">
        <f>INDEX(CarrierDriverTBL!$E:$E,MATCH(Table1[[#This Row],[DriverID]],CarrierDriverTBL!$A:$A,0))</f>
        <v>24782</v>
      </c>
      <c r="AU343" s="163">
        <f ca="1">INDEX(CarrierDriverTBL!$F:$F,MATCH(Table1[[#This Row],[DriverID]],CarrierDriverTBL!$A:$A,0))</f>
        <v>48.750684931506846</v>
      </c>
      <c r="AV343" s="171" t="str">
        <f>INDEX(CarrierDriverTBL!$K:$K,MATCH(Table1[[#This Row],[DriverID]],CarrierDriverTBL!$A:$A,0))</f>
        <v>209-276-9785</v>
      </c>
      <c r="AW343" s="171" t="str">
        <f>INDEX(CarrierDriverTBL!$M:$M,MATCH(Table1[[#This Row],[DriverID]],CarrierDriverTBL!$A:$A,0))</f>
        <v>1685 Winthrop Ln</v>
      </c>
      <c r="AX343" s="171" t="str">
        <f>INDEX(CarrierDriverTBL!$N:$N,MATCH(Table1[[#This Row],[DriverID]],CarrierDriverTBL!$A:$A,0))</f>
        <v>Ceres</v>
      </c>
      <c r="AY343" s="171" t="str">
        <f>INDEX(CarrierDriverTBL!$O:$O,MATCH(Table1[[#This Row],[DriverID]],CarrierDriverTBL!$A:$A,0))</f>
        <v>CA</v>
      </c>
      <c r="AZ343" s="171">
        <f>INDEX(CarrierDriverTBL!$P:$P,MATCH(Table1[[#This Row],[DriverID]],CarrierDriverTBL!$A:$A,0))</f>
        <v>95307</v>
      </c>
      <c r="BA343" s="171" t="str">
        <f>INDEX(CarrierDriverTBL!$Q:$Q,MATCH(Table1[[#This Row],[DriverID]],CarrierDriverTBL!$A:$A,0))</f>
        <v>US</v>
      </c>
      <c r="BB343" s="173" t="str">
        <f>INDEX(CarrierDriverTBL!$R:$R,MATCH(Table1[[#This Row],[DriverID]],CarrierDriverTBL!$A:$A,0))</f>
        <v>arturocarr777@gmail.com</v>
      </c>
      <c r="BC343" s="160">
        <f>INDEX(CarrierDriverTBL!$AB:$AB,MATCH(Table1[[#This Row],[DriverID]],CarrierDriverTBL!$A:$A,0))</f>
        <v>42418</v>
      </c>
      <c r="BD343" s="142" t="str">
        <f ca="1">INDEX(CarrierDriverTBL!$AD:$AD,MATCH(LoadMaster!$AN:$AN,CarrierDriverTBL!$A:$A,0))</f>
        <v>MISSING</v>
      </c>
      <c r="BE343" s="171">
        <f>INDEX(CarrierDriverTBL!$AE:$AE,MATCH(Table1[DriverID],CarrierDriverTBL!$A:$A,0))</f>
        <v>913971</v>
      </c>
      <c r="BF343" s="171">
        <f>INDEX(CarrierDriverTBL!$AF:$AF,MATCH(Table1[DriverID],CarrierDriverTBL!$A:$A,0))</f>
        <v>2627544</v>
      </c>
      <c r="BG343" s="10">
        <f>INDEX(CarrierDriverTBL!$AG:$AG,MATCH(Table1[DriverID],CarrierDriverTBL!$A:$A,0))</f>
        <v>466133</v>
      </c>
      <c r="BH343" s="171" t="str">
        <f>INDEX(CarrierDriverTBL!$AH:$AH,MATCH(Table1[DriverID],CarrierDriverTBL!$A:$A,0))</f>
        <v>GM Lawrence Ins</v>
      </c>
      <c r="BI343" s="171" t="str">
        <f>INDEX(CarrierDriverTBL!$AI:$AI,MATCH(Table1[DriverID],CarrierDriverTBL!$A:$A,0))</f>
        <v>DSK2842P160210</v>
      </c>
      <c r="BJ343" s="172">
        <f>INDEX(CarrierDriverTBL!$AJ:$AJ,MATCH(Table1[[#This Row],[DriverID]],CarrierDriverTBL!$A:$A,0))</f>
        <v>42778</v>
      </c>
      <c r="BK343" s="10">
        <f t="shared" si="147"/>
        <v>331</v>
      </c>
      <c r="BL343" s="5">
        <v>1075</v>
      </c>
      <c r="BM343" s="171">
        <v>644</v>
      </c>
      <c r="BN343" s="133">
        <f t="shared" si="164"/>
        <v>1.6692546583850931</v>
      </c>
      <c r="BO343" s="134">
        <f>0.93*1075</f>
        <v>999.75</v>
      </c>
      <c r="BP343" s="133">
        <f t="shared" si="165"/>
        <v>1.5524068322981366</v>
      </c>
      <c r="BQ343" s="133">
        <v>2.6</v>
      </c>
      <c r="BR343" s="215">
        <f t="shared" si="166"/>
        <v>0.1166666666666667</v>
      </c>
      <c r="BS343" s="133">
        <f t="shared" si="148"/>
        <v>1.4357401656314699</v>
      </c>
      <c r="BT343" s="133">
        <f t="shared" si="149"/>
        <v>75.133333333333354</v>
      </c>
      <c r="BU343" s="10" t="str">
        <f t="shared" si="150"/>
        <v>Tql</v>
      </c>
      <c r="BV343" s="15"/>
      <c r="BW343" s="4" t="str">
        <f>Table1[[#This Row],[BrokerAddress]]</f>
        <v>P.O. Box 799</v>
      </c>
      <c r="BX343" s="4" t="str">
        <f t="shared" si="151"/>
        <v>Milford</v>
      </c>
      <c r="BY343" s="4" t="str">
        <f t="shared" si="152"/>
        <v>Ohio</v>
      </c>
      <c r="BZ343" s="4">
        <f t="shared" si="153"/>
        <v>45150</v>
      </c>
      <c r="CA343" s="10" t="str">
        <f t="shared" si="154"/>
        <v>US</v>
      </c>
      <c r="CB343" s="15" t="s">
        <v>131</v>
      </c>
      <c r="CC343" s="62"/>
      <c r="CD343" s="15" t="s">
        <v>132</v>
      </c>
      <c r="CE343" s="64">
        <v>0</v>
      </c>
      <c r="CF343" s="4">
        <v>0</v>
      </c>
      <c r="CG343" s="132">
        <f t="shared" si="155"/>
        <v>0</v>
      </c>
      <c r="CH343" s="4" t="s">
        <v>132</v>
      </c>
      <c r="CI343" s="5">
        <v>0</v>
      </c>
      <c r="CJ343" s="4">
        <v>0</v>
      </c>
      <c r="CK343" s="132">
        <f t="shared" si="156"/>
        <v>0</v>
      </c>
      <c r="CL343" s="4" t="s">
        <v>132</v>
      </c>
      <c r="CM343" s="5">
        <v>0</v>
      </c>
      <c r="CN343" s="4">
        <v>0</v>
      </c>
      <c r="CO343" s="132">
        <f t="shared" si="157"/>
        <v>0</v>
      </c>
      <c r="CP343" s="4" t="s">
        <v>132</v>
      </c>
      <c r="CQ343" s="5">
        <v>0</v>
      </c>
      <c r="CR343" s="4">
        <v>0</v>
      </c>
      <c r="CS343" s="132">
        <f t="shared" si="158"/>
        <v>0</v>
      </c>
      <c r="CT343" s="132">
        <f t="shared" si="159"/>
        <v>0</v>
      </c>
      <c r="CU343" s="168">
        <f t="shared" si="160"/>
        <v>1075</v>
      </c>
      <c r="CV343" s="177">
        <f t="shared" si="143"/>
        <v>0</v>
      </c>
      <c r="CW343" s="82">
        <f t="shared" si="144"/>
        <v>999.75</v>
      </c>
      <c r="CX343" s="79">
        <f>IF(ISBLANK(E343),"AddQuickPay",IF(E343=2,CU343*0.98,IF(E343=2.4,CU343*0.976,IF(E343=3,CU343*0.97,IF(E343=5,CU343*0.95,IF(E343=1.5,CU343*0.985,IF(E343=2.5,CU343*0.975,IF(E343=1.3,CU343*0.987,IF(E343=1,CU343*0.99,IF(E343=4,CU343*0.96,CU343*1))))))))))-Table1[[#This Row],[ComCheck+QuickPayFee]]</f>
        <v>1042.75</v>
      </c>
      <c r="CY343" s="5">
        <f t="shared" si="161"/>
        <v>75.25</v>
      </c>
      <c r="CZ343" s="5">
        <f t="shared" si="162"/>
        <v>32.25</v>
      </c>
      <c r="DA343" s="258">
        <f>Table1[[#This Row],[OriginalDispatch]]-Table1[[#This Row],[QuickPayCharge]]</f>
        <v>43</v>
      </c>
      <c r="DB343" s="5">
        <v>0</v>
      </c>
      <c r="DC343" s="5" t="s">
        <v>1287</v>
      </c>
      <c r="DD343" s="172">
        <f t="shared" si="163"/>
        <v>42447</v>
      </c>
      <c r="DE343" s="171">
        <f>MONTH(Table1[[#This Row],[Weekending]])</f>
        <v>3</v>
      </c>
      <c r="DF343" s="171">
        <f>YEAR(Table1[[#This Row],[Weekending]])</f>
        <v>2016</v>
      </c>
      <c r="DG343" s="4"/>
    </row>
    <row r="344" spans="1:111">
      <c r="A344" s="416" t="str">
        <f t="shared" si="145"/>
        <v>3903wn93</v>
      </c>
      <c r="B344" s="104">
        <v>42451</v>
      </c>
      <c r="C344" s="15">
        <v>584539</v>
      </c>
      <c r="D344" s="227" t="s">
        <v>2426</v>
      </c>
      <c r="E344" s="15">
        <v>4</v>
      </c>
      <c r="F344" s="144" t="str">
        <f>INDEX(BrokerTBL!$B:$B,MATCH(D344,BrokerTBL!$A:$A,0))</f>
        <v>365 Northridge Road Suite 100</v>
      </c>
      <c r="G344" s="15" t="str">
        <f>INDEX(BrokerTBL!$C:$C,MATCH(D344,BrokerTBL!$A:$A,0))</f>
        <v>Atlanta</v>
      </c>
      <c r="H344" s="4" t="str">
        <f>INDEX(BrokerTBL!$D:$D,MATCH(D344,BrokerTBL!$A:$A,0))</f>
        <v>GA</v>
      </c>
      <c r="I344" s="4" t="str">
        <f>INDEX(BrokerTBL!$E:$E,MATCH(D344,BrokerTBL!$A:$A,0))</f>
        <v>US</v>
      </c>
      <c r="J344" s="4">
        <f>INDEX(BrokerTBL!$F:$F,MATCH(D344,BrokerTBL!$A:$A,0))</f>
        <v>30350</v>
      </c>
      <c r="K344" s="416" t="s">
        <v>2427</v>
      </c>
      <c r="L344" s="81">
        <v>1338103</v>
      </c>
      <c r="M344" s="104">
        <v>42450</v>
      </c>
      <c r="N344" s="15" t="s">
        <v>2428</v>
      </c>
      <c r="O344" s="15" t="s">
        <v>2429</v>
      </c>
      <c r="P344" s="416" t="s">
        <v>2430</v>
      </c>
      <c r="Q344" s="416" t="s">
        <v>2373</v>
      </c>
      <c r="R344" s="416">
        <v>97423</v>
      </c>
      <c r="S344" s="416" t="s">
        <v>2207</v>
      </c>
      <c r="T344" s="416" t="s">
        <v>2431</v>
      </c>
      <c r="U344" s="416" t="s">
        <v>120</v>
      </c>
      <c r="V344" s="416">
        <v>53</v>
      </c>
      <c r="W344" s="416" t="s">
        <v>1205</v>
      </c>
      <c r="X344" s="144" t="s">
        <v>123</v>
      </c>
      <c r="Y344" s="15" t="s">
        <v>2432</v>
      </c>
      <c r="Z344" s="416">
        <v>9</v>
      </c>
      <c r="AA344" s="416" t="s">
        <v>123</v>
      </c>
      <c r="AB344" s="416" t="s">
        <v>123</v>
      </c>
      <c r="AC344" s="416" t="s">
        <v>2433</v>
      </c>
      <c r="AD344" s="81" t="s">
        <v>1205</v>
      </c>
      <c r="AE344" s="104">
        <v>42451</v>
      </c>
      <c r="AF344" s="104" t="s">
        <v>629</v>
      </c>
      <c r="AG344" s="416" t="s">
        <v>2434</v>
      </c>
      <c r="AH344" s="416" t="s">
        <v>2435</v>
      </c>
      <c r="AI344" s="416" t="s">
        <v>2206</v>
      </c>
      <c r="AJ344" s="416">
        <v>95113</v>
      </c>
      <c r="AK344" s="416" t="s">
        <v>2207</v>
      </c>
      <c r="AL344" s="416" t="s">
        <v>2431</v>
      </c>
      <c r="AM344" s="171" t="str">
        <f>INDEX(CarrierDriverTBL!$B:$B,MATCH(Table1[[#This Row],[DriverID]],CarrierDriverTBL!$A:$A,0))</f>
        <v>UBTrucking</v>
      </c>
      <c r="AN344" s="10" t="s">
        <v>2234</v>
      </c>
      <c r="AO344" s="171" t="str">
        <f>INDEX(CarrierDriverTBL!$C:$C,MATCH(Table1[[#This Row],[DriverID]],CarrierDriverTBL!$A:$A,0))</f>
        <v>Arturo</v>
      </c>
      <c r="AP344" s="171" t="str">
        <f>INDEX(CarrierDriverTBL!$D:$D,MATCH(Table1[[#This Row],[DriverID]],CarrierDriverTBL!$A:$A,0))</f>
        <v>Carrillo</v>
      </c>
      <c r="AQ344" s="171" t="str">
        <f>INDEX(CarrierDriverTBL!$X:$X,MATCH(Table1[[#This Row],[DriverID]],CarrierDriverTBL!$A:$A,0))</f>
        <v>C7056793</v>
      </c>
      <c r="AR344" s="160">
        <f>INDEX(CarrierDriverTBL!$Y:$Y,MATCH(Table1[[#This Row],[DriverID]],CarrierDriverTBL!$A:$A,0))</f>
        <v>43410</v>
      </c>
      <c r="AS344" s="142" t="str">
        <f t="shared" si="146"/>
        <v>GOOD</v>
      </c>
      <c r="AT344" s="172">
        <f>INDEX(CarrierDriverTBL!$E:$E,MATCH(Table1[[#This Row],[DriverID]],CarrierDriverTBL!$A:$A,0))</f>
        <v>24782</v>
      </c>
      <c r="AU344" s="163">
        <f ca="1">INDEX(CarrierDriverTBL!$F:$F,MATCH(Table1[[#This Row],[DriverID]],CarrierDriverTBL!$A:$A,0))</f>
        <v>48.750684931506846</v>
      </c>
      <c r="AV344" s="171" t="str">
        <f>INDEX(CarrierDriverTBL!$K:$K,MATCH(Table1[[#This Row],[DriverID]],CarrierDriverTBL!$A:$A,0))</f>
        <v>209-276-9785</v>
      </c>
      <c r="AW344" s="171" t="str">
        <f>INDEX(CarrierDriverTBL!$M:$M,MATCH(Table1[[#This Row],[DriverID]],CarrierDriverTBL!$A:$A,0))</f>
        <v>1685 Winthrop Ln</v>
      </c>
      <c r="AX344" s="171" t="str">
        <f>INDEX(CarrierDriverTBL!$N:$N,MATCH(Table1[[#This Row],[DriverID]],CarrierDriverTBL!$A:$A,0))</f>
        <v>Ceres</v>
      </c>
      <c r="AY344" s="171" t="str">
        <f>INDEX(CarrierDriverTBL!$O:$O,MATCH(Table1[[#This Row],[DriverID]],CarrierDriverTBL!$A:$A,0))</f>
        <v>CA</v>
      </c>
      <c r="AZ344" s="171">
        <f>INDEX(CarrierDriverTBL!$P:$P,MATCH(Table1[[#This Row],[DriverID]],CarrierDriverTBL!$A:$A,0))</f>
        <v>95307</v>
      </c>
      <c r="BA344" s="171" t="str">
        <f>INDEX(CarrierDriverTBL!$Q:$Q,MATCH(Table1[[#This Row],[DriverID]],CarrierDriverTBL!$A:$A,0))</f>
        <v>US</v>
      </c>
      <c r="BB344" s="173" t="str">
        <f>INDEX(CarrierDriverTBL!$R:$R,MATCH(Table1[[#This Row],[DriverID]],CarrierDriverTBL!$A:$A,0))</f>
        <v>arturocarr777@gmail.com</v>
      </c>
      <c r="BC344" s="160">
        <f>INDEX(CarrierDriverTBL!$AB:$AB,MATCH(Table1[[#This Row],[DriverID]],CarrierDriverTBL!$A:$A,0))</f>
        <v>42418</v>
      </c>
      <c r="BD344" s="142" t="str">
        <f ca="1">INDEX(CarrierDriverTBL!$AD:$AD,MATCH(LoadMaster!$AN:$AN,CarrierDriverTBL!$A:$A,0))</f>
        <v>MISSING</v>
      </c>
      <c r="BE344" s="171">
        <f>INDEX(CarrierDriverTBL!$AE:$AE,MATCH(Table1[DriverID],CarrierDriverTBL!$A:$A,0))</f>
        <v>913971</v>
      </c>
      <c r="BF344" s="171">
        <f>INDEX(CarrierDriverTBL!$AF:$AF,MATCH(Table1[DriverID],CarrierDriverTBL!$A:$A,0))</f>
        <v>2627544</v>
      </c>
      <c r="BG344" s="10">
        <f>INDEX(CarrierDriverTBL!$AG:$AG,MATCH(Table1[DriverID],CarrierDriverTBL!$A:$A,0))</f>
        <v>466133</v>
      </c>
      <c r="BH344" s="171" t="str">
        <f>INDEX(CarrierDriverTBL!$AH:$AH,MATCH(Table1[DriverID],CarrierDriverTBL!$A:$A,0))</f>
        <v>GM Lawrence Ins</v>
      </c>
      <c r="BI344" s="171" t="str">
        <f>INDEX(CarrierDriverTBL!$AI:$AI,MATCH(Table1[DriverID],CarrierDriverTBL!$A:$A,0))</f>
        <v>DSK2842P160210</v>
      </c>
      <c r="BJ344" s="172">
        <f>INDEX(CarrierDriverTBL!$AJ:$AJ,MATCH(Table1[[#This Row],[DriverID]],CarrierDriverTBL!$A:$A,0))</f>
        <v>42778</v>
      </c>
      <c r="BK344" s="10">
        <f t="shared" si="147"/>
        <v>328</v>
      </c>
      <c r="BL344" s="5">
        <v>700</v>
      </c>
      <c r="BM344" s="171">
        <v>542</v>
      </c>
      <c r="BN344" s="133">
        <f t="shared" si="164"/>
        <v>1.2915129151291513</v>
      </c>
      <c r="BO344" s="134">
        <f>0.93*700</f>
        <v>651</v>
      </c>
      <c r="BP344" s="133">
        <f t="shared" si="165"/>
        <v>1.2011070110701108</v>
      </c>
      <c r="BQ344" s="133">
        <v>2.6</v>
      </c>
      <c r="BR344" s="215">
        <f t="shared" si="166"/>
        <v>0.1166666666666667</v>
      </c>
      <c r="BS344" s="133">
        <f t="shared" si="148"/>
        <v>1.0844403444034441</v>
      </c>
      <c r="BT344" s="133">
        <f t="shared" si="149"/>
        <v>63.233333333333348</v>
      </c>
      <c r="BU344" s="10" t="str">
        <f t="shared" si="150"/>
        <v>Nolan Tranportation Group Inc.</v>
      </c>
      <c r="BV344" s="15"/>
      <c r="BW344" s="4" t="str">
        <f>Table1[[#This Row],[BrokerAddress]]</f>
        <v>365 Northridge Road Suite 100</v>
      </c>
      <c r="BX344" s="4" t="str">
        <f t="shared" si="151"/>
        <v>Atlanta</v>
      </c>
      <c r="BY344" s="4" t="str">
        <f t="shared" si="152"/>
        <v>GA</v>
      </c>
      <c r="BZ344" s="4">
        <f t="shared" si="153"/>
        <v>30350</v>
      </c>
      <c r="CA344" s="10" t="str">
        <f t="shared" si="154"/>
        <v>US</v>
      </c>
      <c r="CB344" s="15" t="s">
        <v>131</v>
      </c>
      <c r="CC344" s="62"/>
      <c r="CD344" s="15" t="s">
        <v>132</v>
      </c>
      <c r="CE344" s="64">
        <v>0</v>
      </c>
      <c r="CF344" s="4">
        <v>0</v>
      </c>
      <c r="CG344" s="132">
        <f t="shared" si="155"/>
        <v>0</v>
      </c>
      <c r="CH344" s="4" t="s">
        <v>132</v>
      </c>
      <c r="CI344" s="5">
        <v>0</v>
      </c>
      <c r="CJ344" s="4">
        <v>0</v>
      </c>
      <c r="CK344" s="132">
        <f t="shared" si="156"/>
        <v>0</v>
      </c>
      <c r="CL344" s="4" t="s">
        <v>132</v>
      </c>
      <c r="CM344" s="5">
        <v>0</v>
      </c>
      <c r="CN344" s="4">
        <v>0</v>
      </c>
      <c r="CO344" s="132">
        <f t="shared" si="157"/>
        <v>0</v>
      </c>
      <c r="CP344" s="4" t="s">
        <v>132</v>
      </c>
      <c r="CQ344" s="5">
        <v>0</v>
      </c>
      <c r="CR344" s="4">
        <v>0</v>
      </c>
      <c r="CS344" s="132">
        <f t="shared" si="158"/>
        <v>0</v>
      </c>
      <c r="CT344" s="132">
        <f t="shared" si="159"/>
        <v>0</v>
      </c>
      <c r="CU344" s="168">
        <f t="shared" si="160"/>
        <v>700</v>
      </c>
      <c r="CV344" s="177">
        <f t="shared" si="143"/>
        <v>0</v>
      </c>
      <c r="CW344" s="82">
        <f t="shared" si="144"/>
        <v>651</v>
      </c>
      <c r="CX344" s="79">
        <f>IF(ISBLANK(E344),"AddQuickPay",IF(E344=2,CU344*0.98,IF(E344=2.4,CU344*0.976,IF(E344=3,CU344*0.97,IF(E344=5,CU344*0.95,IF(E344=1.5,CU344*0.985,IF(E344=2.5,CU344*0.975,IF(E344=1.3,CU344*0.987,IF(E344=1,CU344*0.99,IF(E344=4,CU344*0.96,CU344*1))))))))))-Table1[[#This Row],[ComCheck+QuickPayFee]]</f>
        <v>672</v>
      </c>
      <c r="CY344" s="5">
        <f t="shared" si="161"/>
        <v>49</v>
      </c>
      <c r="CZ344" s="5">
        <f t="shared" si="162"/>
        <v>28</v>
      </c>
      <c r="DA344" s="258">
        <f>Table1[[#This Row],[OriginalDispatch]]-Table1[[#This Row],[QuickPayCharge]]</f>
        <v>21</v>
      </c>
      <c r="DB344" s="5">
        <v>0</v>
      </c>
      <c r="DC344" s="5" t="s">
        <v>1287</v>
      </c>
      <c r="DD344" s="172">
        <f t="shared" si="163"/>
        <v>42454</v>
      </c>
      <c r="DE344" s="171">
        <f>MONTH(Table1[[#This Row],[Weekending]])</f>
        <v>3</v>
      </c>
      <c r="DF344" s="171">
        <f>YEAR(Table1[[#This Row],[Weekending]])</f>
        <v>2016</v>
      </c>
      <c r="DG344" s="4"/>
    </row>
    <row r="345" spans="1:111">
      <c r="A345" s="416" t="str">
        <f t="shared" si="145"/>
        <v>75760119</v>
      </c>
      <c r="B345" s="104">
        <v>42451</v>
      </c>
      <c r="C345" s="15">
        <v>14108475</v>
      </c>
      <c r="D345" s="227" t="s">
        <v>2436</v>
      </c>
      <c r="E345" s="15">
        <v>2.5</v>
      </c>
      <c r="F345" s="144" t="str">
        <f>INDEX(BrokerTBL!$B:$B,MATCH(D345,BrokerTBL!$A:$A,0))</f>
        <v>P.O. Box 3261</v>
      </c>
      <c r="G345" s="15" t="str">
        <f>INDEX(BrokerTBL!$C:$C,MATCH(D345,BrokerTBL!$A:$A,0))</f>
        <v>Cedar Rapids</v>
      </c>
      <c r="H345" s="4" t="str">
        <f>INDEX(BrokerTBL!$D:$D,MATCH(D345,BrokerTBL!$A:$A,0))</f>
        <v>IA</v>
      </c>
      <c r="I345" s="4" t="str">
        <f>INDEX(BrokerTBL!$E:$E,MATCH(D345,BrokerTBL!$A:$A,0))</f>
        <v>US</v>
      </c>
      <c r="J345" s="4" t="str">
        <f>INDEX(BrokerTBL!$F:$F,MATCH(D345,BrokerTBL!$A:$A,0))</f>
        <v>52406-3261</v>
      </c>
      <c r="K345" s="416" t="s">
        <v>2437</v>
      </c>
      <c r="L345" s="81">
        <v>1600176</v>
      </c>
      <c r="M345" s="104">
        <v>42451</v>
      </c>
      <c r="N345" s="15" t="s">
        <v>2438</v>
      </c>
      <c r="O345" s="15" t="s">
        <v>2439</v>
      </c>
      <c r="P345" s="416" t="s">
        <v>2440</v>
      </c>
      <c r="Q345" s="416" t="s">
        <v>2206</v>
      </c>
      <c r="R345" s="416">
        <v>93268</v>
      </c>
      <c r="S345" s="416" t="s">
        <v>2207</v>
      </c>
      <c r="T345" s="298" t="s">
        <v>123</v>
      </c>
      <c r="U345" s="416" t="s">
        <v>120</v>
      </c>
      <c r="V345" s="416">
        <v>53</v>
      </c>
      <c r="W345" s="416" t="s">
        <v>1205</v>
      </c>
      <c r="X345" s="225">
        <v>42490</v>
      </c>
      <c r="Y345" s="15" t="s">
        <v>123</v>
      </c>
      <c r="Z345" s="416" t="s">
        <v>123</v>
      </c>
      <c r="AA345" s="416" t="s">
        <v>123</v>
      </c>
      <c r="AB345" s="416" t="s">
        <v>123</v>
      </c>
      <c r="AC345" s="416" t="s">
        <v>2441</v>
      </c>
      <c r="AD345" s="81">
        <v>1600176001</v>
      </c>
      <c r="AE345" s="104">
        <v>42452</v>
      </c>
      <c r="AF345" s="180">
        <v>0.33333333333333331</v>
      </c>
      <c r="AG345" s="416" t="s">
        <v>2442</v>
      </c>
      <c r="AH345" s="416" t="s">
        <v>2443</v>
      </c>
      <c r="AI345" s="416" t="s">
        <v>2233</v>
      </c>
      <c r="AJ345" s="416">
        <v>89434</v>
      </c>
      <c r="AK345" s="416" t="s">
        <v>2207</v>
      </c>
      <c r="AL345" s="416" t="s">
        <v>123</v>
      </c>
      <c r="AM345" s="171" t="str">
        <f>INDEX(CarrierDriverTBL!$B:$B,MATCH(Table1[[#This Row],[DriverID]],CarrierDriverTBL!$A:$A,0))</f>
        <v>UBTrucking</v>
      </c>
      <c r="AN345" s="10" t="s">
        <v>1409</v>
      </c>
      <c r="AO345" s="298" t="str">
        <f>INDEX(CarrierDriverTBL!$C:$C,MATCH(Table1[[#This Row],[DriverID]],CarrierDriverTBL!$A:$A,0))</f>
        <v>Miguel Jaime</v>
      </c>
      <c r="AP345" s="298" t="str">
        <f>INDEX(CarrierDriverTBL!$D:$D,MATCH(Table1[[#This Row],[DriverID]],CarrierDriverTBL!$A:$A,0))</f>
        <v>Martin Del Campo Velarca</v>
      </c>
      <c r="AQ345" s="142" t="str">
        <f>INDEX(CarrierDriverTBL!$X:$X,MATCH(Table1[[#This Row],[DriverID]],CarrierDriverTBL!$A:$A,0))</f>
        <v>D5179619</v>
      </c>
      <c r="AR345" s="160">
        <f>INDEX(CarrierDriverTBL!$Y:$Y,MATCH(Table1[[#This Row],[DriverID]],CarrierDriverTBL!$A:$A,0))</f>
        <v>43843</v>
      </c>
      <c r="AS345" s="142" t="str">
        <f t="shared" si="146"/>
        <v>GOOD</v>
      </c>
      <c r="AT345" s="146">
        <f>INDEX(CarrierDriverTBL!$E:$E,MATCH(Table1[[#This Row],[DriverID]],CarrierDriverTBL!$A:$A,0))</f>
        <v>21198</v>
      </c>
      <c r="AU345" s="163">
        <f ca="1">INDEX(CarrierDriverTBL!$F:$F,MATCH(Table1[[#This Row],[DriverID]],CarrierDriverTBL!$A:$A,0))</f>
        <v>58.56986301369863</v>
      </c>
      <c r="AV345" s="298" t="str">
        <f>INDEX(CarrierDriverTBL!$K:$K,MATCH(Table1[[#This Row],[DriverID]],CarrierDriverTBL!$A:$A,0))</f>
        <v>209-322-5231</v>
      </c>
      <c r="AW345" s="298" t="str">
        <f>INDEX(CarrierDriverTBL!$M:$M,MATCH(Table1[[#This Row],[DriverID]],CarrierDriverTBL!$A:$A,0))</f>
        <v>572 Predersen RD</v>
      </c>
      <c r="AX345" s="298" t="str">
        <f>INDEX(CarrierDriverTBL!$N:$N,MATCH(Table1[[#This Row],[DriverID]],CarrierDriverTBL!$A:$A,0))</f>
        <v>Oakdale</v>
      </c>
      <c r="AY345" s="142" t="str">
        <f>INDEX(CarrierDriverTBL!$O:$O,MATCH(Table1[[#This Row],[DriverID]],CarrierDriverTBL!$A:$A,0))</f>
        <v>CA</v>
      </c>
      <c r="AZ345" s="298">
        <f>INDEX(CarrierDriverTBL!$P:$P,MATCH(Table1[[#This Row],[DriverID]],CarrierDriverTBL!$A:$A,0))</f>
        <v>95361</v>
      </c>
      <c r="BA345" s="298" t="str">
        <f>INDEX(CarrierDriverTBL!$Q:$Q,MATCH(Table1[[#This Row],[DriverID]],CarrierDriverTBL!$A:$A,0))</f>
        <v>US</v>
      </c>
      <c r="BB345" s="176" t="str">
        <f>INDEX(CarrierDriverTBL!$R:$R,MATCH(Table1[[#This Row],[DriverID]],CarrierDriverTBL!$A:$A,0))</f>
        <v>Miguelmartin52@yahoo.com</v>
      </c>
      <c r="BC345" s="160">
        <f>INDEX(CarrierDriverTBL!$AB:$AB,MATCH(Table1[[#This Row],[DriverID]],CarrierDriverTBL!$A:$A,0))</f>
        <v>42334</v>
      </c>
      <c r="BD345" s="142" t="str">
        <f ca="1">INDEX(CarrierDriverTBL!$AD:$AD,MATCH(LoadMaster!$AN:$AN,CarrierDriverTBL!$A:$A,0))</f>
        <v>MISSING</v>
      </c>
      <c r="BE345" s="142">
        <f>INDEX(CarrierDriverTBL!$AE:$AE,MATCH(Table1[DriverID],CarrierDriverTBL!$A:$A,0))</f>
        <v>913971</v>
      </c>
      <c r="BF345" s="142">
        <f>INDEX(CarrierDriverTBL!$AF:$AF,MATCH(Table1[DriverID],CarrierDriverTBL!$A:$A,0))</f>
        <v>2627544</v>
      </c>
      <c r="BG345" s="142">
        <f>INDEX(CarrierDriverTBL!$AG:$AG,MATCH(Table1[DriverID],CarrierDriverTBL!$A:$A,0))</f>
        <v>466133</v>
      </c>
      <c r="BH345" s="142" t="str">
        <f>INDEX(CarrierDriverTBL!$AH:$AH,MATCH(Table1[DriverID],CarrierDriverTBL!$A:$A,0))</f>
        <v>GM Lawrence Ins</v>
      </c>
      <c r="BI345" s="142" t="str">
        <f>INDEX(CarrierDriverTBL!$AI:$AI,MATCH(Table1[DriverID],CarrierDriverTBL!$A:$A,0))</f>
        <v>DSK2842P160210</v>
      </c>
      <c r="BJ345" s="172">
        <f>INDEX(CarrierDriverTBL!$AJ:$AJ,MATCH(Table1[[#This Row],[DriverID]],CarrierDriverTBL!$A:$A,0))</f>
        <v>42778</v>
      </c>
      <c r="BK345" s="10">
        <f t="shared" si="147"/>
        <v>327</v>
      </c>
      <c r="BL345" s="5">
        <v>1000</v>
      </c>
      <c r="BM345" s="171">
        <v>308</v>
      </c>
      <c r="BN345" s="133">
        <f t="shared" si="164"/>
        <v>3.2467532467532467</v>
      </c>
      <c r="BO345" s="134">
        <f>0.93*1000</f>
        <v>930</v>
      </c>
      <c r="BP345" s="133">
        <f t="shared" si="165"/>
        <v>3.0194805194805197</v>
      </c>
      <c r="BQ345" s="133">
        <v>2.6</v>
      </c>
      <c r="BR345" s="215">
        <f t="shared" si="166"/>
        <v>0.1166666666666667</v>
      </c>
      <c r="BS345" s="133">
        <f t="shared" si="148"/>
        <v>2.902813852813853</v>
      </c>
      <c r="BT345" s="133">
        <f t="shared" si="149"/>
        <v>35.933333333333344</v>
      </c>
      <c r="BU345" s="10" t="str">
        <f t="shared" si="150"/>
        <v xml:space="preserve">Crst Logistics </v>
      </c>
      <c r="BV345" s="15"/>
      <c r="BW345" s="4" t="str">
        <f>Table1[[#This Row],[BrokerAddress]]</f>
        <v>P.O. Box 3261</v>
      </c>
      <c r="BX345" s="4" t="str">
        <f t="shared" si="151"/>
        <v>Cedar Rapids</v>
      </c>
      <c r="BY345" s="4" t="str">
        <f t="shared" si="152"/>
        <v>IA</v>
      </c>
      <c r="BZ345" s="4" t="str">
        <f t="shared" si="153"/>
        <v>52406-3261</v>
      </c>
      <c r="CA345" s="10" t="str">
        <f t="shared" si="154"/>
        <v>US</v>
      </c>
      <c r="CB345" s="15" t="s">
        <v>131</v>
      </c>
      <c r="CC345" s="62"/>
      <c r="CD345" s="15" t="s">
        <v>132</v>
      </c>
      <c r="CE345" s="64">
        <v>0</v>
      </c>
      <c r="CF345" s="4">
        <v>0</v>
      </c>
      <c r="CG345" s="132">
        <f t="shared" si="155"/>
        <v>0</v>
      </c>
      <c r="CH345" s="4" t="s">
        <v>132</v>
      </c>
      <c r="CI345" s="5">
        <v>0</v>
      </c>
      <c r="CJ345" s="4">
        <v>0</v>
      </c>
      <c r="CK345" s="132">
        <f t="shared" si="156"/>
        <v>0</v>
      </c>
      <c r="CL345" s="4" t="s">
        <v>132</v>
      </c>
      <c r="CM345" s="5">
        <v>0</v>
      </c>
      <c r="CN345" s="4">
        <v>0</v>
      </c>
      <c r="CO345" s="132">
        <f t="shared" si="157"/>
        <v>0</v>
      </c>
      <c r="CP345" s="4" t="s">
        <v>132</v>
      </c>
      <c r="CQ345" s="5">
        <v>0</v>
      </c>
      <c r="CR345" s="4">
        <v>0</v>
      </c>
      <c r="CS345" s="132">
        <f t="shared" si="158"/>
        <v>0</v>
      </c>
      <c r="CT345" s="132">
        <f t="shared" si="159"/>
        <v>0</v>
      </c>
      <c r="CU345" s="168">
        <f t="shared" si="160"/>
        <v>1000</v>
      </c>
      <c r="CV345" s="177">
        <f t="shared" si="143"/>
        <v>0</v>
      </c>
      <c r="CW345" s="82">
        <f t="shared" si="144"/>
        <v>930</v>
      </c>
      <c r="CX345" s="79">
        <f>IF(ISBLANK(E345),"AddQuickPay",IF(E345=2,CU345*0.98,IF(E345=2.4,CU345*0.976,IF(E345=3,CU345*0.97,IF(E345=5,CU345*0.95,IF(E345=1.5,CU345*0.985,IF(E345=2.5,CU345*0.975,IF(E345=1.3,CU345*0.987,IF(E345=1,CU345*0.99,IF(E345=4,CU345*0.96,CU345*1))))))))))-Table1[[#This Row],[ComCheck+QuickPayFee]]</f>
        <v>975</v>
      </c>
      <c r="CY345" s="5">
        <f t="shared" si="161"/>
        <v>70</v>
      </c>
      <c r="CZ345" s="5">
        <f t="shared" si="162"/>
        <v>25</v>
      </c>
      <c r="DA345" s="258">
        <f>Table1[[#This Row],[OriginalDispatch]]-Table1[[#This Row],[QuickPayCharge]]</f>
        <v>45</v>
      </c>
      <c r="DB345" s="5">
        <v>0</v>
      </c>
      <c r="DC345" s="5" t="s">
        <v>1287</v>
      </c>
      <c r="DD345" s="172">
        <f t="shared" si="163"/>
        <v>42454</v>
      </c>
      <c r="DE345" s="171">
        <f>MONTH(Table1[[#This Row],[Weekending]])</f>
        <v>3</v>
      </c>
      <c r="DF345" s="171">
        <f>YEAR(Table1[[#This Row],[Weekending]])</f>
        <v>2016</v>
      </c>
      <c r="DG345" s="4"/>
    </row>
    <row r="346" spans="1:111">
      <c r="A346" s="416" t="str">
        <f t="shared" si="145"/>
        <v>18181819</v>
      </c>
      <c r="B346" s="104">
        <v>42459</v>
      </c>
      <c r="C346" s="15">
        <v>133718</v>
      </c>
      <c r="D346" s="416" t="s">
        <v>455</v>
      </c>
      <c r="E346" s="15">
        <v>2.5</v>
      </c>
      <c r="F346" s="144" t="str">
        <f>INDEX(BrokerTBL!$B:$B,MATCH(D346,BrokerTBL!$A:$A,0))</f>
        <v>5600 Headquarters Drive C2D11</v>
      </c>
      <c r="G346" s="15" t="str">
        <f>INDEX(BrokerTBL!$C:$C,MATCH(D346,BrokerTBL!$A:$A,0))</f>
        <v>Plano</v>
      </c>
      <c r="H346" s="4" t="str">
        <f>INDEX(BrokerTBL!$D:$D,MATCH(D346,BrokerTBL!$A:$A,0))</f>
        <v>Tx</v>
      </c>
      <c r="I346" s="4" t="str">
        <f>INDEX(BrokerTBL!$E:$E,MATCH(D346,BrokerTBL!$A:$A,0))</f>
        <v>US</v>
      </c>
      <c r="J346" s="4">
        <f>INDEX(BrokerTBL!$F:$F,MATCH(D346,BrokerTBL!$A:$A,0))</f>
        <v>75024</v>
      </c>
      <c r="K346" s="416" t="s">
        <v>2444</v>
      </c>
      <c r="L346" s="81">
        <v>1018911618</v>
      </c>
      <c r="M346" s="104">
        <v>42452</v>
      </c>
      <c r="N346" s="226">
        <v>0.70833333333333337</v>
      </c>
      <c r="O346" s="15" t="s">
        <v>2280</v>
      </c>
      <c r="P346" s="416" t="s">
        <v>2281</v>
      </c>
      <c r="Q346" s="416" t="s">
        <v>2233</v>
      </c>
      <c r="R346" s="416">
        <v>89423</v>
      </c>
      <c r="S346" s="416" t="s">
        <v>2207</v>
      </c>
      <c r="T346" s="416" t="s">
        <v>2445</v>
      </c>
      <c r="U346" s="416" t="s">
        <v>120</v>
      </c>
      <c r="V346" s="416">
        <v>53</v>
      </c>
      <c r="W346" s="416" t="s">
        <v>2181</v>
      </c>
      <c r="X346" s="225">
        <v>40000</v>
      </c>
      <c r="Y346" s="15" t="s">
        <v>123</v>
      </c>
      <c r="Z346" s="416" t="s">
        <v>123</v>
      </c>
      <c r="AA346" s="416" t="s">
        <v>123</v>
      </c>
      <c r="AB346" s="416" t="s">
        <v>123</v>
      </c>
      <c r="AC346" s="416" t="s">
        <v>2446</v>
      </c>
      <c r="AD346" s="81">
        <v>1018911618</v>
      </c>
      <c r="AE346" s="104">
        <v>42453</v>
      </c>
      <c r="AF346" s="226">
        <v>0.625</v>
      </c>
      <c r="AG346" s="416" t="s">
        <v>2447</v>
      </c>
      <c r="AH346" s="416" t="s">
        <v>2448</v>
      </c>
      <c r="AI346" s="416" t="s">
        <v>2206</v>
      </c>
      <c r="AJ346" s="416">
        <v>95841</v>
      </c>
      <c r="AK346" s="416" t="s">
        <v>118</v>
      </c>
      <c r="AL346" s="416" t="s">
        <v>123</v>
      </c>
      <c r="AM346" s="171" t="str">
        <f>INDEX(CarrierDriverTBL!$B:$B,MATCH(Table1[[#This Row],[DriverID]],CarrierDriverTBL!$A:$A,0))</f>
        <v>UBTrucking</v>
      </c>
      <c r="AN346" s="10" t="s">
        <v>1409</v>
      </c>
      <c r="AO346" s="298" t="str">
        <f>INDEX(CarrierDriverTBL!$C:$C,MATCH(Table1[[#This Row],[DriverID]],CarrierDriverTBL!$A:$A,0))</f>
        <v>Miguel Jaime</v>
      </c>
      <c r="AP346" s="298" t="str">
        <f>INDEX(CarrierDriverTBL!$D:$D,MATCH(Table1[[#This Row],[DriverID]],CarrierDriverTBL!$A:$A,0))</f>
        <v>Martin Del Campo Velarca</v>
      </c>
      <c r="AQ346" s="142" t="str">
        <f>INDEX(CarrierDriverTBL!$X:$X,MATCH(Table1[[#This Row],[DriverID]],CarrierDriverTBL!$A:$A,0))</f>
        <v>D5179619</v>
      </c>
      <c r="AR346" s="160">
        <f>INDEX(CarrierDriverTBL!$Y:$Y,MATCH(Table1[[#This Row],[DriverID]],CarrierDriverTBL!$A:$A,0))</f>
        <v>43843</v>
      </c>
      <c r="AS346" s="142" t="str">
        <f t="shared" si="146"/>
        <v>GOOD</v>
      </c>
      <c r="AT346" s="146">
        <f>INDEX(CarrierDriverTBL!$E:$E,MATCH(Table1[[#This Row],[DriverID]],CarrierDriverTBL!$A:$A,0))</f>
        <v>21198</v>
      </c>
      <c r="AU346" s="163">
        <f ca="1">INDEX(CarrierDriverTBL!$F:$F,MATCH(Table1[[#This Row],[DriverID]],CarrierDriverTBL!$A:$A,0))</f>
        <v>58.56986301369863</v>
      </c>
      <c r="AV346" s="298" t="str">
        <f>INDEX(CarrierDriverTBL!$K:$K,MATCH(Table1[[#This Row],[DriverID]],CarrierDriverTBL!$A:$A,0))</f>
        <v>209-322-5231</v>
      </c>
      <c r="AW346" s="298" t="str">
        <f>INDEX(CarrierDriverTBL!$M:$M,MATCH(Table1[[#This Row],[DriverID]],CarrierDriverTBL!$A:$A,0))</f>
        <v>572 Predersen RD</v>
      </c>
      <c r="AX346" s="298" t="str">
        <f>INDEX(CarrierDriverTBL!$N:$N,MATCH(Table1[[#This Row],[DriverID]],CarrierDriverTBL!$A:$A,0))</f>
        <v>Oakdale</v>
      </c>
      <c r="AY346" s="142" t="str">
        <f>INDEX(CarrierDriverTBL!$O:$O,MATCH(Table1[[#This Row],[DriverID]],CarrierDriverTBL!$A:$A,0))</f>
        <v>CA</v>
      </c>
      <c r="AZ346" s="298">
        <f>INDEX(CarrierDriverTBL!$P:$P,MATCH(Table1[[#This Row],[DriverID]],CarrierDriverTBL!$A:$A,0))</f>
        <v>95361</v>
      </c>
      <c r="BA346" s="298" t="str">
        <f>INDEX(CarrierDriverTBL!$Q:$Q,MATCH(Table1[[#This Row],[DriverID]],CarrierDriverTBL!$A:$A,0))</f>
        <v>US</v>
      </c>
      <c r="BB346" s="176" t="str">
        <f>INDEX(CarrierDriverTBL!$R:$R,MATCH(Table1[[#This Row],[DriverID]],CarrierDriverTBL!$A:$A,0))</f>
        <v>Miguelmartin52@yahoo.com</v>
      </c>
      <c r="BC346" s="160">
        <f>INDEX(CarrierDriverTBL!$AB:$AB,MATCH(Table1[[#This Row],[DriverID]],CarrierDriverTBL!$A:$A,0))</f>
        <v>42334</v>
      </c>
      <c r="BD346" s="142" t="str">
        <f ca="1">INDEX(CarrierDriverTBL!$AD:$AD,MATCH(LoadMaster!$AN:$AN,CarrierDriverTBL!$A:$A,0))</f>
        <v>MISSING</v>
      </c>
      <c r="BE346" s="142">
        <f>INDEX(CarrierDriverTBL!$AE:$AE,MATCH(Table1[DriverID],CarrierDriverTBL!$A:$A,0))</f>
        <v>913971</v>
      </c>
      <c r="BF346" s="142">
        <f>INDEX(CarrierDriverTBL!$AF:$AF,MATCH(Table1[DriverID],CarrierDriverTBL!$A:$A,0))</f>
        <v>2627544</v>
      </c>
      <c r="BG346" s="142">
        <f>INDEX(CarrierDriverTBL!$AG:$AG,MATCH(Table1[DriverID],CarrierDriverTBL!$A:$A,0))</f>
        <v>466133</v>
      </c>
      <c r="BH346" s="142" t="str">
        <f>INDEX(CarrierDriverTBL!$AH:$AH,MATCH(Table1[DriverID],CarrierDriverTBL!$A:$A,0))</f>
        <v>GM Lawrence Ins</v>
      </c>
      <c r="BI346" s="142" t="str">
        <f>INDEX(CarrierDriverTBL!$AI:$AI,MATCH(Table1[DriverID],CarrierDriverTBL!$A:$A,0))</f>
        <v>DSK2842P160210</v>
      </c>
      <c r="BJ346" s="172">
        <f>INDEX(CarrierDriverTBL!$AJ:$AJ,MATCH(Table1[[#This Row],[DriverID]],CarrierDriverTBL!$A:$A,0))</f>
        <v>42778</v>
      </c>
      <c r="BK346" s="10">
        <f t="shared" si="147"/>
        <v>326</v>
      </c>
      <c r="BL346" s="5">
        <v>475</v>
      </c>
      <c r="BM346" s="171">
        <v>153</v>
      </c>
      <c r="BN346" s="133">
        <f t="shared" si="164"/>
        <v>3.1045751633986929</v>
      </c>
      <c r="BO346" s="134">
        <f>0.93*475</f>
        <v>441.75</v>
      </c>
      <c r="BP346" s="133">
        <f t="shared" si="165"/>
        <v>2.8872549019607843</v>
      </c>
      <c r="BQ346" s="133">
        <v>2.6</v>
      </c>
      <c r="BR346" s="215">
        <f t="shared" si="166"/>
        <v>0.1166666666666667</v>
      </c>
      <c r="BS346" s="133">
        <f t="shared" si="148"/>
        <v>2.7705882352941176</v>
      </c>
      <c r="BT346" s="133">
        <f t="shared" si="149"/>
        <v>17.850000000000005</v>
      </c>
      <c r="BU346" s="10" t="str">
        <f t="shared" si="150"/>
        <v>Pepsi Logistics Company Inc</v>
      </c>
      <c r="BV346" s="15"/>
      <c r="BW346" s="4" t="str">
        <f>Table1[[#This Row],[BrokerAddress]]</f>
        <v>5600 Headquarters Drive C2D11</v>
      </c>
      <c r="BX346" s="4" t="str">
        <f t="shared" si="151"/>
        <v>Plano</v>
      </c>
      <c r="BY346" s="4" t="str">
        <f t="shared" si="152"/>
        <v>Tx</v>
      </c>
      <c r="BZ346" s="4">
        <f t="shared" si="153"/>
        <v>75024</v>
      </c>
      <c r="CA346" s="10" t="str">
        <f t="shared" si="154"/>
        <v>US</v>
      </c>
      <c r="CB346" s="15" t="s">
        <v>131</v>
      </c>
      <c r="CC346" s="62"/>
      <c r="CD346" s="15" t="s">
        <v>149</v>
      </c>
      <c r="CE346" s="64">
        <v>70</v>
      </c>
      <c r="CF346" s="4">
        <v>1</v>
      </c>
      <c r="CG346" s="132">
        <f t="shared" si="155"/>
        <v>70</v>
      </c>
      <c r="CH346" s="4" t="s">
        <v>132</v>
      </c>
      <c r="CI346" s="5">
        <v>0</v>
      </c>
      <c r="CJ346" s="4">
        <v>0</v>
      </c>
      <c r="CK346" s="132">
        <f t="shared" si="156"/>
        <v>0</v>
      </c>
      <c r="CL346" s="4" t="s">
        <v>132</v>
      </c>
      <c r="CM346" s="5">
        <v>0</v>
      </c>
      <c r="CN346" s="4">
        <v>0</v>
      </c>
      <c r="CO346" s="132">
        <f t="shared" si="157"/>
        <v>0</v>
      </c>
      <c r="CP346" s="4" t="s">
        <v>132</v>
      </c>
      <c r="CQ346" s="5">
        <v>0</v>
      </c>
      <c r="CR346" s="4">
        <v>0</v>
      </c>
      <c r="CS346" s="132">
        <f t="shared" si="158"/>
        <v>0</v>
      </c>
      <c r="CT346" s="132">
        <f t="shared" si="159"/>
        <v>70</v>
      </c>
      <c r="CU346" s="168">
        <f t="shared" si="160"/>
        <v>545</v>
      </c>
      <c r="CV346" s="177">
        <f t="shared" si="143"/>
        <v>65.100000000000009</v>
      </c>
      <c r="CW346" s="82">
        <f t="shared" si="144"/>
        <v>506.85</v>
      </c>
      <c r="CX346" s="79">
        <f>IF(ISBLANK(E346),"AddQuickPay",IF(E346=2,CU346*0.98,IF(E346=2.4,CU346*0.976,IF(E346=3,CU346*0.97,IF(E346=5,CU346*0.95,IF(E346=1.5,CU346*0.985,IF(E346=2.5,CU346*0.975,IF(E346=1.3,CU346*0.987,IF(E346=1,CU346*0.99,IF(E346=4,CU346*0.96,CU346*1))))))))))-Table1[[#This Row],[ComCheck+QuickPayFee]]</f>
        <v>531.375</v>
      </c>
      <c r="CY346" s="5">
        <f t="shared" si="161"/>
        <v>38.149999999999977</v>
      </c>
      <c r="CZ346" s="5">
        <f t="shared" si="162"/>
        <v>13.625</v>
      </c>
      <c r="DA346" s="258">
        <f>Table1[[#This Row],[OriginalDispatch]]-Table1[[#This Row],[QuickPayCharge]]</f>
        <v>24.524999999999977</v>
      </c>
      <c r="DB346" s="5">
        <v>0</v>
      </c>
      <c r="DC346" s="5" t="s">
        <v>1287</v>
      </c>
      <c r="DD346" s="172">
        <f t="shared" si="163"/>
        <v>42454</v>
      </c>
      <c r="DE346" s="171">
        <f>MONTH(Table1[[#This Row],[Weekending]])</f>
        <v>3</v>
      </c>
      <c r="DF346" s="171">
        <f>YEAR(Table1[[#This Row],[Weekending]])</f>
        <v>2016</v>
      </c>
      <c r="DG346" s="4"/>
    </row>
    <row r="347" spans="1:111">
      <c r="A347" s="416" t="str">
        <f t="shared" si="145"/>
        <v>97574193</v>
      </c>
      <c r="B347" s="104">
        <v>42452</v>
      </c>
      <c r="C347" s="15">
        <v>1714997</v>
      </c>
      <c r="D347" s="416" t="s">
        <v>384</v>
      </c>
      <c r="E347" s="15">
        <v>1.5</v>
      </c>
      <c r="F347" s="144" t="str">
        <f>INDEX(BrokerTBL!$B:$B,MATCH(D347,BrokerTBL!$A:$A,0))</f>
        <v>11707 21St Ave Ct So</v>
      </c>
      <c r="G347" s="15" t="str">
        <f>INDEX(BrokerTBL!$C:$C,MATCH(D347,BrokerTBL!$A:$A,0))</f>
        <v>Tacoma</v>
      </c>
      <c r="H347" s="4" t="str">
        <f>INDEX(BrokerTBL!$D:$D,MATCH(D347,BrokerTBL!$A:$A,0))</f>
        <v>Wa</v>
      </c>
      <c r="I347" s="4" t="str">
        <f>INDEX(BrokerTBL!$E:$E,MATCH(D347,BrokerTBL!$A:$A,0))</f>
        <v>US</v>
      </c>
      <c r="J347" s="4">
        <f>INDEX(BrokerTBL!$F:$F,MATCH(D347,BrokerTBL!$A:$A,0))</f>
        <v>98444</v>
      </c>
      <c r="K347" s="416" t="s">
        <v>2275</v>
      </c>
      <c r="L347" s="81">
        <v>195336257</v>
      </c>
      <c r="M347" s="104">
        <v>42452</v>
      </c>
      <c r="N347" s="226">
        <v>0.64583333333333337</v>
      </c>
      <c r="O347" s="15" t="s">
        <v>2276</v>
      </c>
      <c r="P347" s="416" t="s">
        <v>2277</v>
      </c>
      <c r="Q347" s="416" t="s">
        <v>2206</v>
      </c>
      <c r="R347" s="416">
        <v>93702</v>
      </c>
      <c r="S347" s="416" t="s">
        <v>2207</v>
      </c>
      <c r="T347" s="298" t="s">
        <v>123</v>
      </c>
      <c r="U347" s="416" t="s">
        <v>120</v>
      </c>
      <c r="V347" s="416">
        <v>53</v>
      </c>
      <c r="W347" s="416" t="s">
        <v>2278</v>
      </c>
      <c r="X347" s="225">
        <v>20416</v>
      </c>
      <c r="Y347" s="15" t="s">
        <v>2220</v>
      </c>
      <c r="Z347" s="416">
        <v>11</v>
      </c>
      <c r="AA347" s="416" t="s">
        <v>123</v>
      </c>
      <c r="AB347" s="416" t="s">
        <v>123</v>
      </c>
      <c r="AC347" s="416" t="s">
        <v>2449</v>
      </c>
      <c r="AD347" s="81">
        <v>163138641</v>
      </c>
      <c r="AE347" s="104">
        <v>42453</v>
      </c>
      <c r="AF347" s="226">
        <v>0.25</v>
      </c>
      <c r="AG347" s="416" t="s">
        <v>2450</v>
      </c>
      <c r="AH347" s="416" t="s">
        <v>2451</v>
      </c>
      <c r="AI347" s="416" t="s">
        <v>2233</v>
      </c>
      <c r="AJ347" s="416">
        <v>89434</v>
      </c>
      <c r="AK347" s="416" t="s">
        <v>2207</v>
      </c>
      <c r="AL347" s="416" t="s">
        <v>123</v>
      </c>
      <c r="AM347" s="171" t="str">
        <f>INDEX(CarrierDriverTBL!$B:$B,MATCH(Table1[[#This Row],[DriverID]],CarrierDriverTBL!$A:$A,0))</f>
        <v>UBTrucking</v>
      </c>
      <c r="AN347" s="10" t="s">
        <v>2234</v>
      </c>
      <c r="AO347" s="171" t="str">
        <f>INDEX(CarrierDriverTBL!$C:$C,MATCH(Table1[[#This Row],[DriverID]],CarrierDriverTBL!$A:$A,0))</f>
        <v>Arturo</v>
      </c>
      <c r="AP347" s="171" t="str">
        <f>INDEX(CarrierDriverTBL!$D:$D,MATCH(Table1[[#This Row],[DriverID]],CarrierDriverTBL!$A:$A,0))</f>
        <v>Carrillo</v>
      </c>
      <c r="AQ347" s="171" t="str">
        <f>INDEX(CarrierDriverTBL!$X:$X,MATCH(Table1[[#This Row],[DriverID]],CarrierDriverTBL!$A:$A,0))</f>
        <v>C7056793</v>
      </c>
      <c r="AR347" s="160">
        <f>INDEX(CarrierDriverTBL!$Y:$Y,MATCH(Table1[[#This Row],[DriverID]],CarrierDriverTBL!$A:$A,0))</f>
        <v>43410</v>
      </c>
      <c r="AS347" s="142" t="str">
        <f t="shared" si="146"/>
        <v>GOOD</v>
      </c>
      <c r="AT347" s="172">
        <f>INDEX(CarrierDriverTBL!$E:$E,MATCH(Table1[[#This Row],[DriverID]],CarrierDriverTBL!$A:$A,0))</f>
        <v>24782</v>
      </c>
      <c r="AU347" s="163">
        <f ca="1">INDEX(CarrierDriverTBL!$F:$F,MATCH(Table1[[#This Row],[DriverID]],CarrierDriverTBL!$A:$A,0))</f>
        <v>48.750684931506846</v>
      </c>
      <c r="AV347" s="171" t="str">
        <f>INDEX(CarrierDriverTBL!$K:$K,MATCH(Table1[[#This Row],[DriverID]],CarrierDriverTBL!$A:$A,0))</f>
        <v>209-276-9785</v>
      </c>
      <c r="AW347" s="171" t="str">
        <f>INDEX(CarrierDriverTBL!$M:$M,MATCH(Table1[[#This Row],[DriverID]],CarrierDriverTBL!$A:$A,0))</f>
        <v>1685 Winthrop Ln</v>
      </c>
      <c r="AX347" s="171" t="str">
        <f>INDEX(CarrierDriverTBL!$N:$N,MATCH(Table1[[#This Row],[DriverID]],CarrierDriverTBL!$A:$A,0))</f>
        <v>Ceres</v>
      </c>
      <c r="AY347" s="171" t="str">
        <f>INDEX(CarrierDriverTBL!$O:$O,MATCH(Table1[[#This Row],[DriverID]],CarrierDriverTBL!$A:$A,0))</f>
        <v>CA</v>
      </c>
      <c r="AZ347" s="171">
        <f>INDEX(CarrierDriverTBL!$P:$P,MATCH(Table1[[#This Row],[DriverID]],CarrierDriverTBL!$A:$A,0))</f>
        <v>95307</v>
      </c>
      <c r="BA347" s="171" t="str">
        <f>INDEX(CarrierDriverTBL!$Q:$Q,MATCH(Table1[[#This Row],[DriverID]],CarrierDriverTBL!$A:$A,0))</f>
        <v>US</v>
      </c>
      <c r="BB347" s="173" t="str">
        <f>INDEX(CarrierDriverTBL!$R:$R,MATCH(Table1[[#This Row],[DriverID]],CarrierDriverTBL!$A:$A,0))</f>
        <v>arturocarr777@gmail.com</v>
      </c>
      <c r="BC347" s="160">
        <f>INDEX(CarrierDriverTBL!$AB:$AB,MATCH(Table1[[#This Row],[DriverID]],CarrierDriverTBL!$A:$A,0))</f>
        <v>42418</v>
      </c>
      <c r="BD347" s="142" t="str">
        <f ca="1">INDEX(CarrierDriverTBL!$AD:$AD,MATCH(LoadMaster!$AN:$AN,CarrierDriverTBL!$A:$A,0))</f>
        <v>MISSING</v>
      </c>
      <c r="BE347" s="171">
        <f>INDEX(CarrierDriverTBL!$AE:$AE,MATCH(Table1[DriverID],CarrierDriverTBL!$A:$A,0))</f>
        <v>913971</v>
      </c>
      <c r="BF347" s="171">
        <f>INDEX(CarrierDriverTBL!$AF:$AF,MATCH(Table1[DriverID],CarrierDriverTBL!$A:$A,0))</f>
        <v>2627544</v>
      </c>
      <c r="BG347" s="10">
        <f>INDEX(CarrierDriverTBL!$AG:$AG,MATCH(Table1[DriverID],CarrierDriverTBL!$A:$A,0))</f>
        <v>466133</v>
      </c>
      <c r="BH347" s="171" t="str">
        <f>INDEX(CarrierDriverTBL!$AH:$AH,MATCH(Table1[DriverID],CarrierDriverTBL!$A:$A,0))</f>
        <v>GM Lawrence Ins</v>
      </c>
      <c r="BI347" s="171" t="str">
        <f>INDEX(CarrierDriverTBL!$AI:$AI,MATCH(Table1[DriverID],CarrierDriverTBL!$A:$A,0))</f>
        <v>DSK2842P160210</v>
      </c>
      <c r="BJ347" s="172">
        <f>INDEX(CarrierDriverTBL!$AJ:$AJ,MATCH(Table1[[#This Row],[DriverID]],CarrierDriverTBL!$A:$A,0))</f>
        <v>42778</v>
      </c>
      <c r="BK347" s="10">
        <f t="shared" si="147"/>
        <v>326</v>
      </c>
      <c r="BL347" s="5">
        <v>700</v>
      </c>
      <c r="BM347" s="171">
        <v>304</v>
      </c>
      <c r="BN347" s="133">
        <f t="shared" si="164"/>
        <v>2.3026315789473686</v>
      </c>
      <c r="BO347" s="134">
        <f>0.93*700</f>
        <v>651</v>
      </c>
      <c r="BP347" s="133">
        <f t="shared" si="165"/>
        <v>2.1414473684210527</v>
      </c>
      <c r="BQ347" s="133">
        <v>2.6</v>
      </c>
      <c r="BR347" s="215">
        <f t="shared" si="166"/>
        <v>0.1166666666666667</v>
      </c>
      <c r="BS347" s="133">
        <f t="shared" si="148"/>
        <v>2.024780701754386</v>
      </c>
      <c r="BT347" s="133">
        <f t="shared" si="149"/>
        <v>35.466666666666676</v>
      </c>
      <c r="BU347" s="10" t="str">
        <f t="shared" si="150"/>
        <v>Interstate Distributor Co</v>
      </c>
      <c r="BV347" s="15"/>
      <c r="BW347" s="4" t="str">
        <f>Table1[[#This Row],[BrokerAddress]]</f>
        <v>11707 21St Ave Ct So</v>
      </c>
      <c r="BX347" s="4" t="str">
        <f t="shared" si="151"/>
        <v>Tacoma</v>
      </c>
      <c r="BY347" s="4" t="str">
        <f t="shared" si="152"/>
        <v>Wa</v>
      </c>
      <c r="BZ347" s="4">
        <f t="shared" si="153"/>
        <v>98444</v>
      </c>
      <c r="CA347" s="10" t="str">
        <f t="shared" si="154"/>
        <v>US</v>
      </c>
      <c r="CB347" s="15" t="s">
        <v>131</v>
      </c>
      <c r="CC347" s="62"/>
      <c r="CD347" s="15" t="s">
        <v>132</v>
      </c>
      <c r="CE347" s="64">
        <v>0</v>
      </c>
      <c r="CF347" s="4">
        <v>0</v>
      </c>
      <c r="CG347" s="132">
        <f t="shared" si="155"/>
        <v>0</v>
      </c>
      <c r="CH347" s="4" t="s">
        <v>132</v>
      </c>
      <c r="CI347" s="5">
        <v>0</v>
      </c>
      <c r="CJ347" s="4">
        <v>0</v>
      </c>
      <c r="CK347" s="132">
        <f t="shared" si="156"/>
        <v>0</v>
      </c>
      <c r="CL347" s="4" t="s">
        <v>132</v>
      </c>
      <c r="CM347" s="5">
        <v>0</v>
      </c>
      <c r="CN347" s="4">
        <v>0</v>
      </c>
      <c r="CO347" s="132">
        <f t="shared" si="157"/>
        <v>0</v>
      </c>
      <c r="CP347" s="4" t="s">
        <v>132</v>
      </c>
      <c r="CQ347" s="5">
        <v>0</v>
      </c>
      <c r="CR347" s="4">
        <v>0</v>
      </c>
      <c r="CS347" s="132">
        <f t="shared" si="158"/>
        <v>0</v>
      </c>
      <c r="CT347" s="132">
        <f t="shared" si="159"/>
        <v>0</v>
      </c>
      <c r="CU347" s="168">
        <f t="shared" si="160"/>
        <v>700</v>
      </c>
      <c r="CV347" s="177">
        <f t="shared" si="143"/>
        <v>0</v>
      </c>
      <c r="CW347" s="82">
        <f t="shared" si="144"/>
        <v>651</v>
      </c>
      <c r="CX347" s="79">
        <f>IF(ISBLANK(E347),"AddQuickPay",IF(E347=2,CU347*0.98,IF(E347=2.4,CU347*0.976,IF(E347=3,CU347*0.97,IF(E347=5,CU347*0.95,IF(E347=1.5,CU347*0.985,IF(E347=2.5,CU347*0.975,IF(E347=1.3,CU347*0.987,IF(E347=1,CU347*0.99,IF(E347=4,CU347*0.96,CU347*1))))))))))-Table1[[#This Row],[ComCheck+QuickPayFee]]</f>
        <v>689.5</v>
      </c>
      <c r="CY347" s="5">
        <f t="shared" si="161"/>
        <v>49</v>
      </c>
      <c r="CZ347" s="5">
        <f t="shared" si="162"/>
        <v>10.5</v>
      </c>
      <c r="DA347" s="258">
        <f>Table1[[#This Row],[OriginalDispatch]]-Table1[[#This Row],[QuickPayCharge]]</f>
        <v>38.5</v>
      </c>
      <c r="DB347" s="5">
        <v>0</v>
      </c>
      <c r="DC347" s="5" t="s">
        <v>1287</v>
      </c>
      <c r="DD347" s="172">
        <f t="shared" si="163"/>
        <v>42454</v>
      </c>
      <c r="DE347" s="171">
        <f>MONTH(Table1[[#This Row],[Weekending]])</f>
        <v>3</v>
      </c>
      <c r="DF347" s="171">
        <f>YEAR(Table1[[#This Row],[Weekending]])</f>
        <v>2016</v>
      </c>
      <c r="DG347" s="4"/>
    </row>
    <row r="348" spans="1:111">
      <c r="A348" s="416" t="str">
        <f t="shared" si="145"/>
        <v>9346wn19</v>
      </c>
      <c r="B348" s="104">
        <v>42452</v>
      </c>
      <c r="C348" s="15">
        <v>7523393</v>
      </c>
      <c r="D348" s="416" t="s">
        <v>2185</v>
      </c>
      <c r="E348" s="15">
        <v>4</v>
      </c>
      <c r="F348" s="144" t="str">
        <f>INDEX(BrokerTBL!$B:$B,MATCH(D348,BrokerTBL!$A:$A,0))</f>
        <v>PO Box 6348</v>
      </c>
      <c r="G348" s="15" t="str">
        <f>INDEX(BrokerTBL!$C:$C,MATCH(D348,BrokerTBL!$A:$A,0))</f>
        <v>Scottsdale</v>
      </c>
      <c r="H348" s="4" t="str">
        <f>INDEX(BrokerTBL!$D:$D,MATCH(D348,BrokerTBL!$A:$A,0))</f>
        <v>Az</v>
      </c>
      <c r="I348" s="4" t="str">
        <f>INDEX(BrokerTBL!$E:$E,MATCH(D348,BrokerTBL!$A:$A,0))</f>
        <v>US</v>
      </c>
      <c r="J348" s="4">
        <f>INDEX(BrokerTBL!$F:$F,MATCH(D348,BrokerTBL!$A:$A,0))</f>
        <v>85258</v>
      </c>
      <c r="K348" s="416" t="s">
        <v>2452</v>
      </c>
      <c r="L348" s="81">
        <v>4704077646</v>
      </c>
      <c r="M348" s="104">
        <v>42453</v>
      </c>
      <c r="N348" s="226">
        <v>0.70833333333333337</v>
      </c>
      <c r="O348" s="15" t="s">
        <v>2453</v>
      </c>
      <c r="P348" s="416" t="s">
        <v>983</v>
      </c>
      <c r="Q348" s="416" t="s">
        <v>2206</v>
      </c>
      <c r="R348" s="416">
        <v>94503</v>
      </c>
      <c r="S348" s="416" t="s">
        <v>2207</v>
      </c>
      <c r="T348" s="298" t="s">
        <v>123</v>
      </c>
      <c r="U348" s="416" t="s">
        <v>120</v>
      </c>
      <c r="V348" s="416">
        <v>53</v>
      </c>
      <c r="W348" s="416" t="s">
        <v>2454</v>
      </c>
      <c r="X348" s="225">
        <v>44003</v>
      </c>
      <c r="Y348" s="15" t="s">
        <v>2220</v>
      </c>
      <c r="Z348" s="416">
        <v>26</v>
      </c>
      <c r="AA348" s="416">
        <v>26</v>
      </c>
      <c r="AB348" s="416" t="s">
        <v>123</v>
      </c>
      <c r="AC348" s="416" t="s">
        <v>2455</v>
      </c>
      <c r="AD348" s="81" t="s">
        <v>1205</v>
      </c>
      <c r="AE348" s="104">
        <v>42454</v>
      </c>
      <c r="AF348" s="226">
        <v>0.33333333333333331</v>
      </c>
      <c r="AG348" s="416" t="s">
        <v>2456</v>
      </c>
      <c r="AH348" s="416" t="s">
        <v>2457</v>
      </c>
      <c r="AI348" s="416" t="s">
        <v>2373</v>
      </c>
      <c r="AJ348" s="416">
        <v>97070</v>
      </c>
      <c r="AK348" s="416" t="s">
        <v>2207</v>
      </c>
      <c r="AL348" s="416" t="s">
        <v>123</v>
      </c>
      <c r="AM348" s="171" t="str">
        <f>INDEX(CarrierDriverTBL!$B:$B,MATCH(Table1[[#This Row],[DriverID]],CarrierDriverTBL!$A:$A,0))</f>
        <v>UBTrucking</v>
      </c>
      <c r="AN348" s="10" t="s">
        <v>1409</v>
      </c>
      <c r="AO348" s="298" t="str">
        <f>INDEX(CarrierDriverTBL!$C:$C,MATCH(Table1[[#This Row],[DriverID]],CarrierDriverTBL!$A:$A,0))</f>
        <v>Miguel Jaime</v>
      </c>
      <c r="AP348" s="298" t="str">
        <f>INDEX(CarrierDriverTBL!$D:$D,MATCH(Table1[[#This Row],[DriverID]],CarrierDriverTBL!$A:$A,0))</f>
        <v>Martin Del Campo Velarca</v>
      </c>
      <c r="AQ348" s="142" t="str">
        <f>INDEX(CarrierDriverTBL!$X:$X,MATCH(Table1[[#This Row],[DriverID]],CarrierDriverTBL!$A:$A,0))</f>
        <v>D5179619</v>
      </c>
      <c r="AR348" s="160">
        <f>INDEX(CarrierDriverTBL!$Y:$Y,MATCH(Table1[[#This Row],[DriverID]],CarrierDriverTBL!$A:$A,0))</f>
        <v>43843</v>
      </c>
      <c r="AS348" s="142" t="str">
        <f t="shared" si="146"/>
        <v>GOOD</v>
      </c>
      <c r="AT348" s="146">
        <f>INDEX(CarrierDriverTBL!$E:$E,MATCH(Table1[[#This Row],[DriverID]],CarrierDriverTBL!$A:$A,0))</f>
        <v>21198</v>
      </c>
      <c r="AU348" s="163">
        <f ca="1">INDEX(CarrierDriverTBL!$F:$F,MATCH(Table1[[#This Row],[DriverID]],CarrierDriverTBL!$A:$A,0))</f>
        <v>58.56986301369863</v>
      </c>
      <c r="AV348" s="298" t="str">
        <f>INDEX(CarrierDriverTBL!$K:$K,MATCH(Table1[[#This Row],[DriverID]],CarrierDriverTBL!$A:$A,0))</f>
        <v>209-322-5231</v>
      </c>
      <c r="AW348" s="298" t="str">
        <f>INDEX(CarrierDriverTBL!$M:$M,MATCH(Table1[[#This Row],[DriverID]],CarrierDriverTBL!$A:$A,0))</f>
        <v>572 Predersen RD</v>
      </c>
      <c r="AX348" s="298" t="str">
        <f>INDEX(CarrierDriverTBL!$N:$N,MATCH(Table1[[#This Row],[DriverID]],CarrierDriverTBL!$A:$A,0))</f>
        <v>Oakdale</v>
      </c>
      <c r="AY348" s="142" t="str">
        <f>INDEX(CarrierDriverTBL!$O:$O,MATCH(Table1[[#This Row],[DriverID]],CarrierDriverTBL!$A:$A,0))</f>
        <v>CA</v>
      </c>
      <c r="AZ348" s="298">
        <f>INDEX(CarrierDriverTBL!$P:$P,MATCH(Table1[[#This Row],[DriverID]],CarrierDriverTBL!$A:$A,0))</f>
        <v>95361</v>
      </c>
      <c r="BA348" s="298" t="str">
        <f>INDEX(CarrierDriverTBL!$Q:$Q,MATCH(Table1[[#This Row],[DriverID]],CarrierDriverTBL!$A:$A,0))</f>
        <v>US</v>
      </c>
      <c r="BB348" s="176" t="str">
        <f>INDEX(CarrierDriverTBL!$R:$R,MATCH(Table1[[#This Row],[DriverID]],CarrierDriverTBL!$A:$A,0))</f>
        <v>Miguelmartin52@yahoo.com</v>
      </c>
      <c r="BC348" s="160">
        <f>INDEX(CarrierDriverTBL!$AB:$AB,MATCH(Table1[[#This Row],[DriverID]],CarrierDriverTBL!$A:$A,0))</f>
        <v>42334</v>
      </c>
      <c r="BD348" s="142" t="str">
        <f ca="1">INDEX(CarrierDriverTBL!$AD:$AD,MATCH(LoadMaster!$AN:$AN,CarrierDriverTBL!$A:$A,0))</f>
        <v>MISSING</v>
      </c>
      <c r="BE348" s="142">
        <f>INDEX(CarrierDriverTBL!$AE:$AE,MATCH(Table1[DriverID],CarrierDriverTBL!$A:$A,0))</f>
        <v>913971</v>
      </c>
      <c r="BF348" s="142">
        <f>INDEX(CarrierDriverTBL!$AF:$AF,MATCH(Table1[DriverID],CarrierDriverTBL!$A:$A,0))</f>
        <v>2627544</v>
      </c>
      <c r="BG348" s="142">
        <f>INDEX(CarrierDriverTBL!$AG:$AG,MATCH(Table1[DriverID],CarrierDriverTBL!$A:$A,0))</f>
        <v>466133</v>
      </c>
      <c r="BH348" s="142" t="str">
        <f>INDEX(CarrierDriverTBL!$AH:$AH,MATCH(Table1[DriverID],CarrierDriverTBL!$A:$A,0))</f>
        <v>GM Lawrence Ins</v>
      </c>
      <c r="BI348" s="142" t="str">
        <f>INDEX(CarrierDriverTBL!$AI:$AI,MATCH(Table1[DriverID],CarrierDriverTBL!$A:$A,0))</f>
        <v>DSK2842P160210</v>
      </c>
      <c r="BJ348" s="172">
        <f>INDEX(CarrierDriverTBL!$AJ:$AJ,MATCH(Table1[[#This Row],[DriverID]],CarrierDriverTBL!$A:$A,0))</f>
        <v>42778</v>
      </c>
      <c r="BK348" s="10">
        <f t="shared" si="147"/>
        <v>325</v>
      </c>
      <c r="BL348" s="5">
        <v>1250</v>
      </c>
      <c r="BM348" s="171">
        <v>586</v>
      </c>
      <c r="BN348" s="133">
        <f t="shared" si="164"/>
        <v>2.1331058020477816</v>
      </c>
      <c r="BO348" s="134">
        <f>0.93*1250</f>
        <v>1162.5</v>
      </c>
      <c r="BP348" s="133">
        <f t="shared" si="165"/>
        <v>1.9837883959044369</v>
      </c>
      <c r="BQ348" s="133">
        <v>2.6</v>
      </c>
      <c r="BR348" s="215">
        <f t="shared" si="166"/>
        <v>0.1166666666666667</v>
      </c>
      <c r="BS348" s="133">
        <f t="shared" si="148"/>
        <v>1.8671217292377702</v>
      </c>
      <c r="BT348" s="133">
        <f t="shared" si="149"/>
        <v>68.366666666666688</v>
      </c>
      <c r="BU348" s="10" t="str">
        <f t="shared" si="150"/>
        <v>Globaltranz</v>
      </c>
      <c r="BV348" s="15"/>
      <c r="BW348" s="4" t="str">
        <f>Table1[[#This Row],[BrokerAddress]]</f>
        <v>PO Box 6348</v>
      </c>
      <c r="BX348" s="4" t="str">
        <f t="shared" si="151"/>
        <v>Scottsdale</v>
      </c>
      <c r="BY348" s="4" t="str">
        <f t="shared" si="152"/>
        <v>Az</v>
      </c>
      <c r="BZ348" s="4">
        <f t="shared" si="153"/>
        <v>85258</v>
      </c>
      <c r="CA348" s="10" t="str">
        <f t="shared" si="154"/>
        <v>US</v>
      </c>
      <c r="CB348" s="15" t="s">
        <v>131</v>
      </c>
      <c r="CC348" s="62"/>
      <c r="CD348" s="15" t="s">
        <v>132</v>
      </c>
      <c r="CE348" s="64">
        <v>0</v>
      </c>
      <c r="CF348" s="4">
        <v>0</v>
      </c>
      <c r="CG348" s="132">
        <f t="shared" si="155"/>
        <v>0</v>
      </c>
      <c r="CH348" s="4" t="s">
        <v>132</v>
      </c>
      <c r="CI348" s="5">
        <v>0</v>
      </c>
      <c r="CJ348" s="4">
        <v>0</v>
      </c>
      <c r="CK348" s="132">
        <f t="shared" si="156"/>
        <v>0</v>
      </c>
      <c r="CL348" s="4" t="s">
        <v>132</v>
      </c>
      <c r="CM348" s="5">
        <v>0</v>
      </c>
      <c r="CN348" s="4">
        <v>0</v>
      </c>
      <c r="CO348" s="132">
        <f t="shared" si="157"/>
        <v>0</v>
      </c>
      <c r="CP348" s="4" t="s">
        <v>132</v>
      </c>
      <c r="CQ348" s="5">
        <v>0</v>
      </c>
      <c r="CR348" s="4">
        <v>0</v>
      </c>
      <c r="CS348" s="132">
        <f t="shared" si="158"/>
        <v>0</v>
      </c>
      <c r="CT348" s="132">
        <f t="shared" si="159"/>
        <v>0</v>
      </c>
      <c r="CU348" s="168">
        <f t="shared" si="160"/>
        <v>1250</v>
      </c>
      <c r="CV348" s="177">
        <f t="shared" si="143"/>
        <v>0</v>
      </c>
      <c r="CW348" s="82">
        <f t="shared" si="144"/>
        <v>1162.5</v>
      </c>
      <c r="CX348" s="79">
        <f>IF(ISBLANK(E348),"AddQuickPay",IF(E348=2,CU348*0.98,IF(E348=2.4,CU348*0.976,IF(E348=3,CU348*0.97,IF(E348=5,CU348*0.95,IF(E348=1.5,CU348*0.985,IF(E348=2.5,CU348*0.975,IF(E348=1.3,CU348*0.987,IF(E348=1,CU348*0.99,IF(E348=4,CU348*0.96,CU348*1))))))))))-Table1[[#This Row],[ComCheck+QuickPayFee]]</f>
        <v>1200</v>
      </c>
      <c r="CY348" s="5">
        <f t="shared" si="161"/>
        <v>87.5</v>
      </c>
      <c r="CZ348" s="5">
        <f t="shared" si="162"/>
        <v>50</v>
      </c>
      <c r="DA348" s="258">
        <f>Table1[[#This Row],[OriginalDispatch]]-Table1[[#This Row],[QuickPayCharge]]</f>
        <v>37.5</v>
      </c>
      <c r="DB348" s="5">
        <v>0</v>
      </c>
      <c r="DC348" s="5" t="s">
        <v>1287</v>
      </c>
      <c r="DD348" s="172">
        <f t="shared" si="163"/>
        <v>42454</v>
      </c>
      <c r="DE348" s="171">
        <f>MONTH(Table1[[#This Row],[Weekending]])</f>
        <v>3</v>
      </c>
      <c r="DF348" s="171">
        <f>YEAR(Table1[[#This Row],[Weekending]])</f>
        <v>2016</v>
      </c>
      <c r="DG348" s="4"/>
    </row>
    <row r="349" spans="1:111">
      <c r="A349" s="416" t="str">
        <f t="shared" si="145"/>
        <v>62wnwn93</v>
      </c>
      <c r="B349" s="104">
        <v>42453</v>
      </c>
      <c r="C349" s="15">
        <v>196617262</v>
      </c>
      <c r="D349" s="416" t="s">
        <v>111</v>
      </c>
      <c r="E349" s="15">
        <v>2</v>
      </c>
      <c r="F349" s="144" t="str">
        <f>INDEX(BrokerTBL!$B:$B,MATCH(D349,BrokerTBL!$A:$A,0))</f>
        <v>P.O. Box 3474</v>
      </c>
      <c r="G349" s="15" t="str">
        <f>INDEX(BrokerTBL!$C:$C,MATCH(D349,BrokerTBL!$A:$A,0))</f>
        <v>Chicago</v>
      </c>
      <c r="H349" s="4" t="str">
        <f>INDEX(BrokerTBL!$D:$D,MATCH(D349,BrokerTBL!$A:$A,0))</f>
        <v>Il</v>
      </c>
      <c r="I349" s="4" t="str">
        <f>INDEX(BrokerTBL!$E:$E,MATCH(D349,BrokerTBL!$A:$A,0))</f>
        <v>US</v>
      </c>
      <c r="J349" s="4">
        <f>INDEX(BrokerTBL!$F:$F,MATCH(D349,BrokerTBL!$A:$A,0))</f>
        <v>60654</v>
      </c>
      <c r="K349" s="416" t="s">
        <v>1888</v>
      </c>
      <c r="L349" s="81" t="s">
        <v>1205</v>
      </c>
      <c r="M349" s="104">
        <v>42453</v>
      </c>
      <c r="N349" s="15" t="s">
        <v>1055</v>
      </c>
      <c r="O349" s="15" t="s">
        <v>1641</v>
      </c>
      <c r="P349" s="416" t="s">
        <v>1890</v>
      </c>
      <c r="Q349" s="416" t="s">
        <v>2233</v>
      </c>
      <c r="R349" s="416">
        <v>89706</v>
      </c>
      <c r="S349" s="416" t="s">
        <v>2207</v>
      </c>
      <c r="T349" s="298" t="s">
        <v>123</v>
      </c>
      <c r="U349" s="416" t="s">
        <v>120</v>
      </c>
      <c r="V349" s="416">
        <v>53</v>
      </c>
      <c r="W349" s="416" t="s">
        <v>1644</v>
      </c>
      <c r="X349" s="225">
        <v>44500</v>
      </c>
      <c r="Y349" s="15" t="s">
        <v>2458</v>
      </c>
      <c r="Z349" s="416" t="s">
        <v>123</v>
      </c>
      <c r="AA349" s="416" t="s">
        <v>123</v>
      </c>
      <c r="AB349" s="416" t="s">
        <v>123</v>
      </c>
      <c r="AC349" s="416" t="s">
        <v>2459</v>
      </c>
      <c r="AD349" s="81" t="s">
        <v>1205</v>
      </c>
      <c r="AE349" s="104">
        <v>42454</v>
      </c>
      <c r="AF349" s="104" t="s">
        <v>1316</v>
      </c>
      <c r="AG349" s="416" t="s">
        <v>2412</v>
      </c>
      <c r="AH349" s="416" t="s">
        <v>2168</v>
      </c>
      <c r="AI349" s="416" t="s">
        <v>2206</v>
      </c>
      <c r="AJ349" s="416" t="s">
        <v>2460</v>
      </c>
      <c r="AK349" s="416" t="s">
        <v>2207</v>
      </c>
      <c r="AL349" s="416" t="s">
        <v>123</v>
      </c>
      <c r="AM349" s="171" t="str">
        <f>INDEX(CarrierDriverTBL!$B:$B,MATCH(Table1[[#This Row],[DriverID]],CarrierDriverTBL!$A:$A,0))</f>
        <v>UBTrucking</v>
      </c>
      <c r="AN349" s="10" t="s">
        <v>2234</v>
      </c>
      <c r="AO349" s="171" t="str">
        <f>INDEX(CarrierDriverTBL!$C:$C,MATCH(Table1[[#This Row],[DriverID]],CarrierDriverTBL!$A:$A,0))</f>
        <v>Arturo</v>
      </c>
      <c r="AP349" s="171" t="str">
        <f>INDEX(CarrierDriverTBL!$D:$D,MATCH(Table1[[#This Row],[DriverID]],CarrierDriverTBL!$A:$A,0))</f>
        <v>Carrillo</v>
      </c>
      <c r="AQ349" s="171" t="str">
        <f>INDEX(CarrierDriverTBL!$X:$X,MATCH(Table1[[#This Row],[DriverID]],CarrierDriverTBL!$A:$A,0))</f>
        <v>C7056793</v>
      </c>
      <c r="AR349" s="160">
        <f>INDEX(CarrierDriverTBL!$Y:$Y,MATCH(Table1[[#This Row],[DriverID]],CarrierDriverTBL!$A:$A,0))</f>
        <v>43410</v>
      </c>
      <c r="AS349" s="142" t="str">
        <f t="shared" si="146"/>
        <v>GOOD</v>
      </c>
      <c r="AT349" s="172">
        <f>INDEX(CarrierDriverTBL!$E:$E,MATCH(Table1[[#This Row],[DriverID]],CarrierDriverTBL!$A:$A,0))</f>
        <v>24782</v>
      </c>
      <c r="AU349" s="163">
        <f ca="1">INDEX(CarrierDriverTBL!$F:$F,MATCH(Table1[[#This Row],[DriverID]],CarrierDriverTBL!$A:$A,0))</f>
        <v>48.750684931506846</v>
      </c>
      <c r="AV349" s="171" t="str">
        <f>INDEX(CarrierDriverTBL!$K:$K,MATCH(Table1[[#This Row],[DriverID]],CarrierDriverTBL!$A:$A,0))</f>
        <v>209-276-9785</v>
      </c>
      <c r="AW349" s="171" t="str">
        <f>INDEX(CarrierDriverTBL!$M:$M,MATCH(Table1[[#This Row],[DriverID]],CarrierDriverTBL!$A:$A,0))</f>
        <v>1685 Winthrop Ln</v>
      </c>
      <c r="AX349" s="171" t="str">
        <f>INDEX(CarrierDriverTBL!$N:$N,MATCH(Table1[[#This Row],[DriverID]],CarrierDriverTBL!$A:$A,0))</f>
        <v>Ceres</v>
      </c>
      <c r="AY349" s="171" t="str">
        <f>INDEX(CarrierDriverTBL!$O:$O,MATCH(Table1[[#This Row],[DriverID]],CarrierDriverTBL!$A:$A,0))</f>
        <v>CA</v>
      </c>
      <c r="AZ349" s="171">
        <f>INDEX(CarrierDriverTBL!$P:$P,MATCH(Table1[[#This Row],[DriverID]],CarrierDriverTBL!$A:$A,0))</f>
        <v>95307</v>
      </c>
      <c r="BA349" s="171" t="str">
        <f>INDEX(CarrierDriverTBL!$Q:$Q,MATCH(Table1[[#This Row],[DriverID]],CarrierDriverTBL!$A:$A,0))</f>
        <v>US</v>
      </c>
      <c r="BB349" s="173" t="str">
        <f>INDEX(CarrierDriverTBL!$R:$R,MATCH(Table1[[#This Row],[DriverID]],CarrierDriverTBL!$A:$A,0))</f>
        <v>arturocarr777@gmail.com</v>
      </c>
      <c r="BC349" s="160">
        <f>INDEX(CarrierDriverTBL!$AB:$AB,MATCH(Table1[[#This Row],[DriverID]],CarrierDriverTBL!$A:$A,0))</f>
        <v>42418</v>
      </c>
      <c r="BD349" s="142" t="str">
        <f ca="1">INDEX(CarrierDriverTBL!$AD:$AD,MATCH(LoadMaster!$AN:$AN,CarrierDriverTBL!$A:$A,0))</f>
        <v>MISSING</v>
      </c>
      <c r="BE349" s="171">
        <f>INDEX(CarrierDriverTBL!$AE:$AE,MATCH(Table1[DriverID],CarrierDriverTBL!$A:$A,0))</f>
        <v>913971</v>
      </c>
      <c r="BF349" s="171">
        <f>INDEX(CarrierDriverTBL!$AF:$AF,MATCH(Table1[DriverID],CarrierDriverTBL!$A:$A,0))</f>
        <v>2627544</v>
      </c>
      <c r="BG349" s="10">
        <f>INDEX(CarrierDriverTBL!$AG:$AG,MATCH(Table1[DriverID],CarrierDriverTBL!$A:$A,0))</f>
        <v>466133</v>
      </c>
      <c r="BH349" s="171" t="str">
        <f>INDEX(CarrierDriverTBL!$AH:$AH,MATCH(Table1[DriverID],CarrierDriverTBL!$A:$A,0))</f>
        <v>GM Lawrence Ins</v>
      </c>
      <c r="BI349" s="171" t="str">
        <f>INDEX(CarrierDriverTBL!$AI:$AI,MATCH(Table1[DriverID],CarrierDriverTBL!$A:$A,0))</f>
        <v>DSK2842P160210</v>
      </c>
      <c r="BJ349" s="172">
        <f>INDEX(CarrierDriverTBL!$AJ:$AJ,MATCH(Table1[[#This Row],[DriverID]],CarrierDriverTBL!$A:$A,0))</f>
        <v>42778</v>
      </c>
      <c r="BK349" s="10">
        <f t="shared" si="147"/>
        <v>325</v>
      </c>
      <c r="BL349" s="5">
        <v>630</v>
      </c>
      <c r="BM349" s="171">
        <v>318</v>
      </c>
      <c r="BN349" s="133">
        <f t="shared" si="164"/>
        <v>1.9811320754716981</v>
      </c>
      <c r="BO349" s="134">
        <f>0.93*630</f>
        <v>585.9</v>
      </c>
      <c r="BP349" s="133">
        <f t="shared" si="165"/>
        <v>1.8424528301886791</v>
      </c>
      <c r="BQ349" s="133">
        <v>2.6</v>
      </c>
      <c r="BR349" s="215">
        <f t="shared" si="166"/>
        <v>0.1166666666666667</v>
      </c>
      <c r="BS349" s="133">
        <f t="shared" si="148"/>
        <v>1.7257861635220124</v>
      </c>
      <c r="BT349" s="133">
        <f t="shared" si="149"/>
        <v>37.100000000000009</v>
      </c>
      <c r="BU349" s="10" t="str">
        <f t="shared" si="150"/>
        <v>Ch Robinson</v>
      </c>
      <c r="BV349" s="15"/>
      <c r="BW349" s="4" t="str">
        <f>Table1[[#This Row],[BrokerAddress]]</f>
        <v>P.O. Box 3474</v>
      </c>
      <c r="BX349" s="4" t="str">
        <f t="shared" si="151"/>
        <v>Chicago</v>
      </c>
      <c r="BY349" s="4" t="str">
        <f t="shared" si="152"/>
        <v>Il</v>
      </c>
      <c r="BZ349" s="4">
        <f t="shared" si="153"/>
        <v>60654</v>
      </c>
      <c r="CA349" s="10" t="str">
        <f t="shared" si="154"/>
        <v>US</v>
      </c>
      <c r="CB349" s="15" t="s">
        <v>131</v>
      </c>
      <c r="CC349" s="62"/>
      <c r="CD349" s="15" t="s">
        <v>132</v>
      </c>
      <c r="CE349" s="64">
        <v>0</v>
      </c>
      <c r="CF349" s="4">
        <v>0</v>
      </c>
      <c r="CG349" s="132">
        <f t="shared" si="155"/>
        <v>0</v>
      </c>
      <c r="CH349" s="4" t="s">
        <v>132</v>
      </c>
      <c r="CI349" s="5">
        <v>0</v>
      </c>
      <c r="CJ349" s="4">
        <v>0</v>
      </c>
      <c r="CK349" s="132">
        <f t="shared" si="156"/>
        <v>0</v>
      </c>
      <c r="CL349" s="4" t="s">
        <v>132</v>
      </c>
      <c r="CM349" s="5">
        <v>0</v>
      </c>
      <c r="CN349" s="4">
        <v>0</v>
      </c>
      <c r="CO349" s="132">
        <f t="shared" si="157"/>
        <v>0</v>
      </c>
      <c r="CP349" s="4" t="s">
        <v>132</v>
      </c>
      <c r="CQ349" s="5">
        <v>0</v>
      </c>
      <c r="CR349" s="4">
        <v>0</v>
      </c>
      <c r="CS349" s="132">
        <f t="shared" si="158"/>
        <v>0</v>
      </c>
      <c r="CT349" s="132">
        <f t="shared" si="159"/>
        <v>0</v>
      </c>
      <c r="CU349" s="168">
        <f t="shared" si="160"/>
        <v>630</v>
      </c>
      <c r="CV349" s="177">
        <f t="shared" si="143"/>
        <v>0</v>
      </c>
      <c r="CW349" s="82">
        <f t="shared" si="144"/>
        <v>585.9</v>
      </c>
      <c r="CX349" s="79">
        <f>IF(ISBLANK(E349),"AddQuickPay",IF(E349=2,CU349*0.98,IF(E349=2.4,CU349*0.976,IF(E349=3,CU349*0.97,IF(E349=5,CU349*0.95,IF(E349=1.5,CU349*0.985,IF(E349=2.5,CU349*0.975,IF(E349=1.3,CU349*0.987,IF(E349=1,CU349*0.99,IF(E349=4,CU349*0.96,CU349*1))))))))))-Table1[[#This Row],[ComCheck+QuickPayFee]]</f>
        <v>617.4</v>
      </c>
      <c r="CY349" s="5">
        <f t="shared" si="161"/>
        <v>44.100000000000023</v>
      </c>
      <c r="CZ349" s="5">
        <f t="shared" si="162"/>
        <v>12.6</v>
      </c>
      <c r="DA349" s="258">
        <f>Table1[[#This Row],[OriginalDispatch]]-Table1[[#This Row],[QuickPayCharge]]</f>
        <v>31.500000000000021</v>
      </c>
      <c r="DB349" s="5">
        <v>0</v>
      </c>
      <c r="DC349" s="5" t="s">
        <v>1287</v>
      </c>
      <c r="DD349" s="172">
        <f t="shared" si="163"/>
        <v>42454</v>
      </c>
      <c r="DE349" s="171">
        <f>MONTH(Table1[[#This Row],[Weekending]])</f>
        <v>3</v>
      </c>
      <c r="DF349" s="171">
        <f>YEAR(Table1[[#This Row],[Weekending]])</f>
        <v>2016</v>
      </c>
      <c r="DG349" s="4"/>
    </row>
    <row r="350" spans="1:111">
      <c r="A350" s="416" t="str">
        <f t="shared" si="145"/>
        <v>43848493</v>
      </c>
      <c r="B350" s="104">
        <v>42459</v>
      </c>
      <c r="C350" s="15">
        <v>10796543</v>
      </c>
      <c r="D350" s="416" t="s">
        <v>984</v>
      </c>
      <c r="E350" s="15">
        <v>4</v>
      </c>
      <c r="F350" s="144" t="str">
        <f>INDEX(BrokerTBL!$B:$B,MATCH(D350,BrokerTBL!$A:$A,0))</f>
        <v>P O Box 30130</v>
      </c>
      <c r="G350" s="15" t="str">
        <f>INDEX(BrokerTBL!$C:$C,MATCH(D350,BrokerTBL!$A:$A,0))</f>
        <v>Salt Lake City</v>
      </c>
      <c r="H350" s="4" t="str">
        <f>INDEX(BrokerTBL!$D:$D,MATCH(D350,BrokerTBL!$A:$A,0))</f>
        <v>Ut</v>
      </c>
      <c r="I350" s="4" t="str">
        <f>INDEX(BrokerTBL!$E:$E,MATCH(D350,BrokerTBL!$A:$A,0))</f>
        <v>US</v>
      </c>
      <c r="J350" s="4">
        <f>INDEX(BrokerTBL!$F:$F,MATCH(D350,BrokerTBL!$A:$A,0))</f>
        <v>84130</v>
      </c>
      <c r="K350" s="416" t="s">
        <v>2461</v>
      </c>
      <c r="L350" s="223">
        <v>4300996384</v>
      </c>
      <c r="M350" s="104">
        <v>42457</v>
      </c>
      <c r="N350" s="226">
        <v>0.5625</v>
      </c>
      <c r="O350" s="222" t="s">
        <v>2462</v>
      </c>
      <c r="P350" s="222" t="s">
        <v>2345</v>
      </c>
      <c r="Q350" s="416" t="s">
        <v>2206</v>
      </c>
      <c r="R350" s="223">
        <v>95351</v>
      </c>
      <c r="S350" s="416" t="s">
        <v>2207</v>
      </c>
      <c r="T350" s="298" t="s">
        <v>123</v>
      </c>
      <c r="U350" s="416" t="s">
        <v>120</v>
      </c>
      <c r="V350" s="416">
        <v>53</v>
      </c>
      <c r="W350" s="416" t="s">
        <v>2463</v>
      </c>
      <c r="X350" s="225">
        <v>45000</v>
      </c>
      <c r="Y350" s="15" t="s">
        <v>2220</v>
      </c>
      <c r="Z350" s="416">
        <v>20</v>
      </c>
      <c r="AA350" s="416" t="s">
        <v>123</v>
      </c>
      <c r="AB350" s="416" t="s">
        <v>123</v>
      </c>
      <c r="AC350" s="222" t="s">
        <v>2464</v>
      </c>
      <c r="AD350" s="223">
        <v>4300996384</v>
      </c>
      <c r="AE350" s="104">
        <v>42458</v>
      </c>
      <c r="AF350" s="226">
        <v>0.375</v>
      </c>
      <c r="AG350" s="222" t="s">
        <v>2465</v>
      </c>
      <c r="AH350" s="222" t="s">
        <v>2466</v>
      </c>
      <c r="AI350" s="416" t="s">
        <v>2206</v>
      </c>
      <c r="AJ350" s="223">
        <v>89502</v>
      </c>
      <c r="AK350" s="416" t="s">
        <v>2207</v>
      </c>
      <c r="AL350" s="416" t="s">
        <v>123</v>
      </c>
      <c r="AM350" s="171" t="str">
        <f>INDEX(CarrierDriverTBL!$B:$B,MATCH(Table1[[#This Row],[DriverID]],CarrierDriverTBL!$A:$A,0))</f>
        <v>UBTrucking</v>
      </c>
      <c r="AN350" s="10" t="s">
        <v>2234</v>
      </c>
      <c r="AO350" s="171" t="str">
        <f>INDEX(CarrierDriverTBL!$C:$C,MATCH(Table1[[#This Row],[DriverID]],CarrierDriverTBL!$A:$A,0))</f>
        <v>Arturo</v>
      </c>
      <c r="AP350" s="171" t="str">
        <f>INDEX(CarrierDriverTBL!$D:$D,MATCH(Table1[[#This Row],[DriverID]],CarrierDriverTBL!$A:$A,0))</f>
        <v>Carrillo</v>
      </c>
      <c r="AQ350" s="171" t="str">
        <f>INDEX(CarrierDriverTBL!$X:$X,MATCH(Table1[[#This Row],[DriverID]],CarrierDriverTBL!$A:$A,0))</f>
        <v>C7056793</v>
      </c>
      <c r="AR350" s="160">
        <f>INDEX(CarrierDriverTBL!$Y:$Y,MATCH(Table1[[#This Row],[DriverID]],CarrierDriverTBL!$A:$A,0))</f>
        <v>43410</v>
      </c>
      <c r="AS350" s="142" t="str">
        <f t="shared" si="146"/>
        <v>GOOD</v>
      </c>
      <c r="AT350" s="172">
        <f>INDEX(CarrierDriverTBL!$E:$E,MATCH(Table1[[#This Row],[DriverID]],CarrierDriverTBL!$A:$A,0))</f>
        <v>24782</v>
      </c>
      <c r="AU350" s="163">
        <f ca="1">INDEX(CarrierDriverTBL!$F:$F,MATCH(Table1[[#This Row],[DriverID]],CarrierDriverTBL!$A:$A,0))</f>
        <v>48.750684931506846</v>
      </c>
      <c r="AV350" s="171" t="str">
        <f>INDEX(CarrierDriverTBL!$K:$K,MATCH(Table1[[#This Row],[DriverID]],CarrierDriverTBL!$A:$A,0))</f>
        <v>209-276-9785</v>
      </c>
      <c r="AW350" s="171" t="str">
        <f>INDEX(CarrierDriverTBL!$M:$M,MATCH(Table1[[#This Row],[DriverID]],CarrierDriverTBL!$A:$A,0))</f>
        <v>1685 Winthrop Ln</v>
      </c>
      <c r="AX350" s="171" t="str">
        <f>INDEX(CarrierDriverTBL!$N:$N,MATCH(Table1[[#This Row],[DriverID]],CarrierDriverTBL!$A:$A,0))</f>
        <v>Ceres</v>
      </c>
      <c r="AY350" s="171" t="str">
        <f>INDEX(CarrierDriverTBL!$O:$O,MATCH(Table1[[#This Row],[DriverID]],CarrierDriverTBL!$A:$A,0))</f>
        <v>CA</v>
      </c>
      <c r="AZ350" s="171">
        <f>INDEX(CarrierDriverTBL!$P:$P,MATCH(Table1[[#This Row],[DriverID]],CarrierDriverTBL!$A:$A,0))</f>
        <v>95307</v>
      </c>
      <c r="BA350" s="171" t="str">
        <f>INDEX(CarrierDriverTBL!$Q:$Q,MATCH(Table1[[#This Row],[DriverID]],CarrierDriverTBL!$A:$A,0))</f>
        <v>US</v>
      </c>
      <c r="BB350" s="173" t="str">
        <f>INDEX(CarrierDriverTBL!$R:$R,MATCH(Table1[[#This Row],[DriverID]],CarrierDriverTBL!$A:$A,0))</f>
        <v>arturocarr777@gmail.com</v>
      </c>
      <c r="BC350" s="160">
        <f>INDEX(CarrierDriverTBL!$AB:$AB,MATCH(Table1[[#This Row],[DriverID]],CarrierDriverTBL!$A:$A,0))</f>
        <v>42418</v>
      </c>
      <c r="BD350" s="142" t="str">
        <f ca="1">INDEX(CarrierDriverTBL!$AD:$AD,MATCH(LoadMaster!$AN:$AN,CarrierDriverTBL!$A:$A,0))</f>
        <v>MISSING</v>
      </c>
      <c r="BE350" s="171">
        <f>INDEX(CarrierDriverTBL!$AE:$AE,MATCH(Table1[DriverID],CarrierDriverTBL!$A:$A,0))</f>
        <v>913971</v>
      </c>
      <c r="BF350" s="171">
        <f>INDEX(CarrierDriverTBL!$AF:$AF,MATCH(Table1[DriverID],CarrierDriverTBL!$A:$A,0))</f>
        <v>2627544</v>
      </c>
      <c r="BG350" s="10">
        <f>INDEX(CarrierDriverTBL!$AG:$AG,MATCH(Table1[DriverID],CarrierDriverTBL!$A:$A,0))</f>
        <v>466133</v>
      </c>
      <c r="BH350" s="171" t="str">
        <f>INDEX(CarrierDriverTBL!$AH:$AH,MATCH(Table1[DriverID],CarrierDriverTBL!$A:$A,0))</f>
        <v>GM Lawrence Ins</v>
      </c>
      <c r="BI350" s="171" t="str">
        <f>INDEX(CarrierDriverTBL!$AI:$AI,MATCH(Table1[DriverID],CarrierDriverTBL!$A:$A,0))</f>
        <v>DSK2842P160210</v>
      </c>
      <c r="BJ350" s="172">
        <f>INDEX(CarrierDriverTBL!$AJ:$AJ,MATCH(Table1[[#This Row],[DriverID]],CarrierDriverTBL!$A:$A,0))</f>
        <v>42778</v>
      </c>
      <c r="BK350" s="10">
        <f t="shared" si="147"/>
        <v>321</v>
      </c>
      <c r="BL350" s="5">
        <v>570</v>
      </c>
      <c r="BM350" s="171">
        <v>204</v>
      </c>
      <c r="BN350" s="133">
        <f t="shared" si="164"/>
        <v>2.7941176470588234</v>
      </c>
      <c r="BO350" s="134">
        <f>0.93*570</f>
        <v>530.1</v>
      </c>
      <c r="BP350" s="133">
        <f t="shared" si="165"/>
        <v>2.598529411764706</v>
      </c>
      <c r="BQ350" s="133">
        <v>2.6</v>
      </c>
      <c r="BR350" s="215">
        <f t="shared" si="166"/>
        <v>0.1166666666666667</v>
      </c>
      <c r="BS350" s="133">
        <f t="shared" si="148"/>
        <v>2.4818627450980393</v>
      </c>
      <c r="BT350" s="133">
        <f t="shared" si="149"/>
        <v>23.800000000000004</v>
      </c>
      <c r="BU350" s="10" t="str">
        <f t="shared" si="150"/>
        <v>England Logistics, Inc.</v>
      </c>
      <c r="BV350" s="15"/>
      <c r="BW350" s="4" t="str">
        <f>Table1[[#This Row],[BrokerAddress]]</f>
        <v>P O Box 30130</v>
      </c>
      <c r="BX350" s="4" t="str">
        <f t="shared" si="151"/>
        <v>Salt Lake City</v>
      </c>
      <c r="BY350" s="4" t="str">
        <f t="shared" si="152"/>
        <v>Ut</v>
      </c>
      <c r="BZ350" s="4">
        <f t="shared" si="153"/>
        <v>84130</v>
      </c>
      <c r="CA350" s="10" t="str">
        <f t="shared" si="154"/>
        <v>US</v>
      </c>
      <c r="CB350" s="15" t="s">
        <v>131</v>
      </c>
      <c r="CC350" s="62"/>
      <c r="CD350" s="15" t="s">
        <v>132</v>
      </c>
      <c r="CE350" s="64">
        <v>0</v>
      </c>
      <c r="CF350" s="4">
        <v>0</v>
      </c>
      <c r="CG350" s="132">
        <f t="shared" si="155"/>
        <v>0</v>
      </c>
      <c r="CH350" s="4" t="s">
        <v>132</v>
      </c>
      <c r="CI350" s="5">
        <v>0</v>
      </c>
      <c r="CJ350" s="4">
        <v>0</v>
      </c>
      <c r="CK350" s="132">
        <f t="shared" si="156"/>
        <v>0</v>
      </c>
      <c r="CL350" s="4" t="s">
        <v>132</v>
      </c>
      <c r="CM350" s="5">
        <v>0</v>
      </c>
      <c r="CN350" s="4">
        <v>0</v>
      </c>
      <c r="CO350" s="132">
        <f t="shared" si="157"/>
        <v>0</v>
      </c>
      <c r="CP350" s="4" t="s">
        <v>132</v>
      </c>
      <c r="CQ350" s="5">
        <v>0</v>
      </c>
      <c r="CR350" s="4">
        <v>0</v>
      </c>
      <c r="CS350" s="132">
        <f t="shared" si="158"/>
        <v>0</v>
      </c>
      <c r="CT350" s="132">
        <f t="shared" si="159"/>
        <v>0</v>
      </c>
      <c r="CU350" s="168">
        <f t="shared" si="160"/>
        <v>570</v>
      </c>
      <c r="CV350" s="177">
        <f t="shared" si="143"/>
        <v>0</v>
      </c>
      <c r="CW350" s="82">
        <f t="shared" si="144"/>
        <v>530.1</v>
      </c>
      <c r="CX350" s="79">
        <f>IF(ISBLANK(E350),"AddQuickPay",IF(E350=2,CU350*0.98,IF(E350=2.4,CU350*0.976,IF(E350=3,CU350*0.97,IF(E350=5,CU350*0.95,IF(E350=1.5,CU350*0.985,IF(E350=2.5,CU350*0.975,IF(E350=1.3,CU350*0.987,IF(E350=1,CU350*0.99,IF(E350=4,CU350*0.96,CU350*1))))))))))-Table1[[#This Row],[ComCheck+QuickPayFee]]</f>
        <v>547.19999999999993</v>
      </c>
      <c r="CY350" s="5">
        <f t="shared" si="161"/>
        <v>39.899999999999977</v>
      </c>
      <c r="CZ350" s="5">
        <f t="shared" si="162"/>
        <v>22.8</v>
      </c>
      <c r="DA350" s="258">
        <f>Table1[[#This Row],[OriginalDispatch]]-Table1[[#This Row],[QuickPayCharge]]</f>
        <v>17.099999999999977</v>
      </c>
      <c r="DB350" s="5">
        <v>0</v>
      </c>
      <c r="DC350" s="5" t="s">
        <v>1287</v>
      </c>
      <c r="DD350" s="172">
        <f t="shared" si="163"/>
        <v>42461</v>
      </c>
      <c r="DE350" s="171">
        <f>MONTH(Table1[[#This Row],[Weekending]])</f>
        <v>4</v>
      </c>
      <c r="DF350" s="171">
        <f>YEAR(Table1[[#This Row],[Weekending]])</f>
        <v>2016</v>
      </c>
      <c r="DG350" s="4"/>
    </row>
    <row r="351" spans="1:111">
      <c r="A351" s="416" t="str">
        <f t="shared" si="145"/>
        <v>36wnwn93</v>
      </c>
      <c r="B351" s="104">
        <v>42459</v>
      </c>
      <c r="C351" s="15">
        <v>2415536</v>
      </c>
      <c r="D351" s="416" t="s">
        <v>1638</v>
      </c>
      <c r="E351" s="15">
        <v>2</v>
      </c>
      <c r="F351" s="144" t="str">
        <f>INDEX(BrokerTBL!$B:$B,MATCH(D351,BrokerTBL!$A:$A,0))</f>
        <v>4040 Embassy Parkway Suite 370</v>
      </c>
      <c r="G351" s="15" t="str">
        <f>INDEX(BrokerTBL!$C:$C,MATCH(D351,BrokerTBL!$A:$A,0))</f>
        <v>Akron</v>
      </c>
      <c r="H351" s="4" t="str">
        <f>INDEX(BrokerTBL!$D:$D,MATCH(D351,BrokerTBL!$A:$A,0))</f>
        <v>Ohio</v>
      </c>
      <c r="I351" s="4" t="str">
        <f>INDEX(BrokerTBL!$E:$E,MATCH(D351,BrokerTBL!$A:$A,0))</f>
        <v>US</v>
      </c>
      <c r="J351" s="4">
        <f>INDEX(BrokerTBL!$F:$F,MATCH(D351,BrokerTBL!$A:$A,0))</f>
        <v>44333</v>
      </c>
      <c r="K351" s="416" t="s">
        <v>2239</v>
      </c>
      <c r="L351" s="81" t="s">
        <v>1205</v>
      </c>
      <c r="M351" s="104">
        <v>42458</v>
      </c>
      <c r="N351" s="162" t="s">
        <v>123</v>
      </c>
      <c r="O351" s="15" t="s">
        <v>2242</v>
      </c>
      <c r="P351" s="416" t="s">
        <v>2243</v>
      </c>
      <c r="Q351" s="416" t="s">
        <v>2233</v>
      </c>
      <c r="R351" s="416">
        <v>89706</v>
      </c>
      <c r="S351" s="416" t="s">
        <v>2207</v>
      </c>
      <c r="T351" s="416" t="s">
        <v>1643</v>
      </c>
      <c r="U351" s="416" t="s">
        <v>120</v>
      </c>
      <c r="V351" s="416">
        <v>53</v>
      </c>
      <c r="W351" s="416" t="s">
        <v>2244</v>
      </c>
      <c r="X351" s="225">
        <v>44000</v>
      </c>
      <c r="Y351" s="15" t="s">
        <v>123</v>
      </c>
      <c r="Z351" s="416" t="s">
        <v>123</v>
      </c>
      <c r="AA351" s="416" t="s">
        <v>123</v>
      </c>
      <c r="AB351" s="416" t="s">
        <v>123</v>
      </c>
      <c r="AC351" s="416" t="s">
        <v>2245</v>
      </c>
      <c r="AD351" s="81" t="s">
        <v>1205</v>
      </c>
      <c r="AE351" s="104">
        <v>42459</v>
      </c>
      <c r="AF351" s="416" t="s">
        <v>123</v>
      </c>
      <c r="AG351" s="416" t="s">
        <v>2246</v>
      </c>
      <c r="AH351" s="416" t="s">
        <v>2247</v>
      </c>
      <c r="AI351" s="416" t="s">
        <v>2206</v>
      </c>
      <c r="AJ351" s="416">
        <v>93235</v>
      </c>
      <c r="AK351" s="416" t="s">
        <v>2207</v>
      </c>
      <c r="AL351" s="416" t="s">
        <v>2356</v>
      </c>
      <c r="AM351" s="171" t="str">
        <f>INDEX(CarrierDriverTBL!$B:$B,MATCH(Table1[[#This Row],[DriverID]],CarrierDriverTBL!$A:$A,0))</f>
        <v>UBTrucking</v>
      </c>
      <c r="AN351" s="10" t="s">
        <v>2234</v>
      </c>
      <c r="AO351" s="171" t="str">
        <f>INDEX(CarrierDriverTBL!$C:$C,MATCH(Table1[[#This Row],[DriverID]],CarrierDriverTBL!$A:$A,0))</f>
        <v>Arturo</v>
      </c>
      <c r="AP351" s="171" t="str">
        <f>INDEX(CarrierDriverTBL!$D:$D,MATCH(Table1[[#This Row],[DriverID]],CarrierDriverTBL!$A:$A,0))</f>
        <v>Carrillo</v>
      </c>
      <c r="AQ351" s="171" t="str">
        <f>INDEX(CarrierDriverTBL!$X:$X,MATCH(Table1[[#This Row],[DriverID]],CarrierDriverTBL!$A:$A,0))</f>
        <v>C7056793</v>
      </c>
      <c r="AR351" s="160">
        <f>INDEX(CarrierDriverTBL!$Y:$Y,MATCH(Table1[[#This Row],[DriverID]],CarrierDriverTBL!$A:$A,0))</f>
        <v>43410</v>
      </c>
      <c r="AS351" s="142" t="str">
        <f t="shared" si="146"/>
        <v>GOOD</v>
      </c>
      <c r="AT351" s="172">
        <f>INDEX(CarrierDriverTBL!$E:$E,MATCH(Table1[[#This Row],[DriverID]],CarrierDriverTBL!$A:$A,0))</f>
        <v>24782</v>
      </c>
      <c r="AU351" s="163">
        <f ca="1">INDEX(CarrierDriverTBL!$F:$F,MATCH(Table1[[#This Row],[DriverID]],CarrierDriverTBL!$A:$A,0))</f>
        <v>48.750684931506846</v>
      </c>
      <c r="AV351" s="171" t="str">
        <f>INDEX(CarrierDriverTBL!$K:$K,MATCH(Table1[[#This Row],[DriverID]],CarrierDriverTBL!$A:$A,0))</f>
        <v>209-276-9785</v>
      </c>
      <c r="AW351" s="171" t="str">
        <f>INDEX(CarrierDriverTBL!$M:$M,MATCH(Table1[[#This Row],[DriverID]],CarrierDriverTBL!$A:$A,0))</f>
        <v>1685 Winthrop Ln</v>
      </c>
      <c r="AX351" s="171" t="str">
        <f>INDEX(CarrierDriverTBL!$N:$N,MATCH(Table1[[#This Row],[DriverID]],CarrierDriverTBL!$A:$A,0))</f>
        <v>Ceres</v>
      </c>
      <c r="AY351" s="171" t="str">
        <f>INDEX(CarrierDriverTBL!$O:$O,MATCH(Table1[[#This Row],[DriverID]],CarrierDriverTBL!$A:$A,0))</f>
        <v>CA</v>
      </c>
      <c r="AZ351" s="171">
        <f>INDEX(CarrierDriverTBL!$P:$P,MATCH(Table1[[#This Row],[DriverID]],CarrierDriverTBL!$A:$A,0))</f>
        <v>95307</v>
      </c>
      <c r="BA351" s="171" t="str">
        <f>INDEX(CarrierDriverTBL!$Q:$Q,MATCH(Table1[[#This Row],[DriverID]],CarrierDriverTBL!$A:$A,0))</f>
        <v>US</v>
      </c>
      <c r="BB351" s="173" t="str">
        <f>INDEX(CarrierDriverTBL!$R:$R,MATCH(Table1[[#This Row],[DriverID]],CarrierDriverTBL!$A:$A,0))</f>
        <v>arturocarr777@gmail.com</v>
      </c>
      <c r="BC351" s="160">
        <f>INDEX(CarrierDriverTBL!$AB:$AB,MATCH(Table1[[#This Row],[DriverID]],CarrierDriverTBL!$A:$A,0))</f>
        <v>42418</v>
      </c>
      <c r="BD351" s="142" t="str">
        <f ca="1">INDEX(CarrierDriverTBL!$AD:$AD,MATCH(LoadMaster!$AN:$AN,CarrierDriverTBL!$A:$A,0))</f>
        <v>MISSING</v>
      </c>
      <c r="BE351" s="171">
        <f>INDEX(CarrierDriverTBL!$AE:$AE,MATCH(Table1[DriverID],CarrierDriverTBL!$A:$A,0))</f>
        <v>913971</v>
      </c>
      <c r="BF351" s="171">
        <f>INDEX(CarrierDriverTBL!$AF:$AF,MATCH(Table1[DriverID],CarrierDriverTBL!$A:$A,0))</f>
        <v>2627544</v>
      </c>
      <c r="BG351" s="10">
        <f>INDEX(CarrierDriverTBL!$AG:$AG,MATCH(Table1[DriverID],CarrierDriverTBL!$A:$A,0))</f>
        <v>466133</v>
      </c>
      <c r="BH351" s="171" t="str">
        <f>INDEX(CarrierDriverTBL!$AH:$AH,MATCH(Table1[DriverID],CarrierDriverTBL!$A:$A,0))</f>
        <v>GM Lawrence Ins</v>
      </c>
      <c r="BI351" s="171" t="str">
        <f>INDEX(CarrierDriverTBL!$AI:$AI,MATCH(Table1[DriverID],CarrierDriverTBL!$A:$A,0))</f>
        <v>DSK2842P160210</v>
      </c>
      <c r="BJ351" s="172">
        <f>INDEX(CarrierDriverTBL!$AJ:$AJ,MATCH(Table1[[#This Row],[DriverID]],CarrierDriverTBL!$A:$A,0))</f>
        <v>42778</v>
      </c>
      <c r="BK351" s="10">
        <f t="shared" si="147"/>
        <v>320</v>
      </c>
      <c r="BL351" s="5">
        <v>600</v>
      </c>
      <c r="BM351" s="171">
        <v>318</v>
      </c>
      <c r="BN351" s="133">
        <f t="shared" si="164"/>
        <v>1.8867924528301887</v>
      </c>
      <c r="BO351" s="134">
        <f>0.93*600</f>
        <v>558</v>
      </c>
      <c r="BP351" s="133">
        <f t="shared" si="165"/>
        <v>1.7547169811320755</v>
      </c>
      <c r="BQ351" s="133">
        <v>2.6</v>
      </c>
      <c r="BR351" s="215">
        <f t="shared" si="166"/>
        <v>0.1166666666666667</v>
      </c>
      <c r="BS351" s="133">
        <f t="shared" si="148"/>
        <v>1.6380503144654088</v>
      </c>
      <c r="BT351" s="133">
        <f t="shared" si="149"/>
        <v>37.100000000000009</v>
      </c>
      <c r="BU351" s="10" t="str">
        <f t="shared" si="150"/>
        <v>Matson Logistics</v>
      </c>
      <c r="BV351" s="15"/>
      <c r="BW351" s="4" t="str">
        <f>Table1[[#This Row],[BrokerAddress]]</f>
        <v>4040 Embassy Parkway Suite 370</v>
      </c>
      <c r="BX351" s="4" t="str">
        <f t="shared" si="151"/>
        <v>Akron</v>
      </c>
      <c r="BY351" s="4" t="str">
        <f t="shared" si="152"/>
        <v>Ohio</v>
      </c>
      <c r="BZ351" s="4">
        <f t="shared" si="153"/>
        <v>44333</v>
      </c>
      <c r="CA351" s="10" t="str">
        <f t="shared" si="154"/>
        <v>US</v>
      </c>
      <c r="CB351" s="15" t="s">
        <v>131</v>
      </c>
      <c r="CC351" s="62"/>
      <c r="CD351" s="15" t="s">
        <v>132</v>
      </c>
      <c r="CE351" s="64">
        <v>0</v>
      </c>
      <c r="CF351" s="4">
        <v>0</v>
      </c>
      <c r="CG351" s="132">
        <f t="shared" si="155"/>
        <v>0</v>
      </c>
      <c r="CH351" s="4" t="s">
        <v>132</v>
      </c>
      <c r="CI351" s="5">
        <v>0</v>
      </c>
      <c r="CJ351" s="4">
        <v>0</v>
      </c>
      <c r="CK351" s="132">
        <f t="shared" si="156"/>
        <v>0</v>
      </c>
      <c r="CL351" s="4" t="s">
        <v>132</v>
      </c>
      <c r="CM351" s="5">
        <v>0</v>
      </c>
      <c r="CN351" s="4">
        <v>0</v>
      </c>
      <c r="CO351" s="132">
        <f t="shared" si="157"/>
        <v>0</v>
      </c>
      <c r="CP351" s="4" t="s">
        <v>132</v>
      </c>
      <c r="CQ351" s="5">
        <v>0</v>
      </c>
      <c r="CR351" s="4">
        <v>0</v>
      </c>
      <c r="CS351" s="132">
        <f t="shared" si="158"/>
        <v>0</v>
      </c>
      <c r="CT351" s="132">
        <f t="shared" si="159"/>
        <v>0</v>
      </c>
      <c r="CU351" s="168">
        <f t="shared" si="160"/>
        <v>600</v>
      </c>
      <c r="CV351" s="177">
        <f t="shared" si="143"/>
        <v>0</v>
      </c>
      <c r="CW351" s="82">
        <f t="shared" si="144"/>
        <v>558</v>
      </c>
      <c r="CX351" s="79">
        <f>IF(ISBLANK(E351),"AddQuickPay",IF(E351=2,CU351*0.98,IF(E351=2.4,CU351*0.976,IF(E351=3,CU351*0.97,IF(E351=5,CU351*0.95,IF(E351=1.5,CU351*0.985,IF(E351=2.5,CU351*0.975,IF(E351=1.3,CU351*0.987,IF(E351=1,CU351*0.99,IF(E351=4,CU351*0.96,CU351*1))))))))))-Table1[[#This Row],[ComCheck+QuickPayFee]]</f>
        <v>588</v>
      </c>
      <c r="CY351" s="5">
        <f t="shared" si="161"/>
        <v>42</v>
      </c>
      <c r="CZ351" s="5">
        <f t="shared" si="162"/>
        <v>12</v>
      </c>
      <c r="DA351" s="258">
        <f>Table1[[#This Row],[OriginalDispatch]]-Table1[[#This Row],[QuickPayCharge]]</f>
        <v>30</v>
      </c>
      <c r="DB351" s="5">
        <v>0</v>
      </c>
      <c r="DC351" s="5" t="s">
        <v>1287</v>
      </c>
      <c r="DD351" s="172">
        <f t="shared" si="163"/>
        <v>42461</v>
      </c>
      <c r="DE351" s="171">
        <f>MONTH(Table1[[#This Row],[Weekending]])</f>
        <v>4</v>
      </c>
      <c r="DF351" s="171">
        <f>YEAR(Table1[[#This Row],[Weekending]])</f>
        <v>2016</v>
      </c>
      <c r="DG351" s="4"/>
    </row>
    <row r="352" spans="1:111">
      <c r="A352" s="416" t="str">
        <f t="shared" si="145"/>
        <v>49wnwn19</v>
      </c>
      <c r="B352" s="104">
        <v>42459</v>
      </c>
      <c r="C352" s="15">
        <v>104249</v>
      </c>
      <c r="D352" s="416" t="s">
        <v>2467</v>
      </c>
      <c r="E352" s="15">
        <v>0</v>
      </c>
      <c r="F352" s="144" t="str">
        <f>INDEX(BrokerTBL!$B:$B,MATCH(D352,BrokerTBL!$A:$A,0))</f>
        <v>P.O. Box 4207</v>
      </c>
      <c r="G352" s="15" t="str">
        <f>INDEX(BrokerTBL!$C:$C,MATCH(D352,BrokerTBL!$A:$A,0))</f>
        <v>Ontario</v>
      </c>
      <c r="H352" s="4" t="str">
        <f>INDEX(BrokerTBL!$D:$D,MATCH(D352,BrokerTBL!$A:$A,0))</f>
        <v>CA</v>
      </c>
      <c r="I352" s="4" t="str">
        <f>INDEX(BrokerTBL!$E:$E,MATCH(D352,BrokerTBL!$A:$A,0))</f>
        <v>US</v>
      </c>
      <c r="J352" s="4">
        <f>INDEX(BrokerTBL!$F:$F,MATCH(D352,BrokerTBL!$A:$A,0))</f>
        <v>91716</v>
      </c>
      <c r="K352" s="416" t="s">
        <v>2468</v>
      </c>
      <c r="L352" s="81" t="s">
        <v>1205</v>
      </c>
      <c r="M352" s="104">
        <v>42458</v>
      </c>
      <c r="N352" s="15" t="s">
        <v>2469</v>
      </c>
      <c r="O352" s="15" t="s">
        <v>2470</v>
      </c>
      <c r="P352" s="416" t="s">
        <v>2471</v>
      </c>
      <c r="Q352" s="416" t="s">
        <v>2472</v>
      </c>
      <c r="R352" s="416">
        <v>97404</v>
      </c>
      <c r="S352" s="416" t="s">
        <v>2207</v>
      </c>
      <c r="T352" s="298" t="s">
        <v>123</v>
      </c>
      <c r="U352" s="416" t="s">
        <v>120</v>
      </c>
      <c r="V352" s="416">
        <v>53</v>
      </c>
      <c r="W352" s="416" t="s">
        <v>1205</v>
      </c>
      <c r="X352" s="144" t="s">
        <v>123</v>
      </c>
      <c r="Y352" s="15" t="s">
        <v>123</v>
      </c>
      <c r="Z352" s="416" t="s">
        <v>123</v>
      </c>
      <c r="AA352" s="416" t="s">
        <v>123</v>
      </c>
      <c r="AB352" s="416" t="s">
        <v>123</v>
      </c>
      <c r="AC352" s="416" t="s">
        <v>2473</v>
      </c>
      <c r="AD352" s="81" t="s">
        <v>1205</v>
      </c>
      <c r="AE352" s="104">
        <v>42459</v>
      </c>
      <c r="AF352" s="104" t="s">
        <v>218</v>
      </c>
      <c r="AG352" s="416" t="s">
        <v>2474</v>
      </c>
      <c r="AH352" s="416" t="s">
        <v>2475</v>
      </c>
      <c r="AI352" s="416" t="s">
        <v>2206</v>
      </c>
      <c r="AJ352" s="416">
        <v>94566</v>
      </c>
      <c r="AK352" s="416" t="s">
        <v>2207</v>
      </c>
      <c r="AL352" s="416" t="s">
        <v>123</v>
      </c>
      <c r="AM352" s="171" t="str">
        <f>INDEX(CarrierDriverTBL!$B:$B,MATCH(Table1[[#This Row],[DriverID]],CarrierDriverTBL!$A:$A,0))</f>
        <v>UBTrucking</v>
      </c>
      <c r="AN352" s="10" t="s">
        <v>1409</v>
      </c>
      <c r="AO352" s="298" t="str">
        <f>INDEX(CarrierDriverTBL!$C:$C,MATCH(Table1[[#This Row],[DriverID]],CarrierDriverTBL!$A:$A,0))</f>
        <v>Miguel Jaime</v>
      </c>
      <c r="AP352" s="298" t="str">
        <f>INDEX(CarrierDriverTBL!$D:$D,MATCH(Table1[[#This Row],[DriverID]],CarrierDriverTBL!$A:$A,0))</f>
        <v>Martin Del Campo Velarca</v>
      </c>
      <c r="AQ352" s="142" t="str">
        <f>INDEX(CarrierDriverTBL!$X:$X,MATCH(Table1[[#This Row],[DriverID]],CarrierDriverTBL!$A:$A,0))</f>
        <v>D5179619</v>
      </c>
      <c r="AR352" s="160">
        <f>INDEX(CarrierDriverTBL!$Y:$Y,MATCH(Table1[[#This Row],[DriverID]],CarrierDriverTBL!$A:$A,0))</f>
        <v>43843</v>
      </c>
      <c r="AS352" s="142" t="str">
        <f t="shared" si="146"/>
        <v>GOOD</v>
      </c>
      <c r="AT352" s="146">
        <f>INDEX(CarrierDriverTBL!$E:$E,MATCH(Table1[[#This Row],[DriverID]],CarrierDriverTBL!$A:$A,0))</f>
        <v>21198</v>
      </c>
      <c r="AU352" s="163">
        <f ca="1">INDEX(CarrierDriverTBL!$F:$F,MATCH(Table1[[#This Row],[DriverID]],CarrierDriverTBL!$A:$A,0))</f>
        <v>58.56986301369863</v>
      </c>
      <c r="AV352" s="298" t="str">
        <f>INDEX(CarrierDriverTBL!$K:$K,MATCH(Table1[[#This Row],[DriverID]],CarrierDriverTBL!$A:$A,0))</f>
        <v>209-322-5231</v>
      </c>
      <c r="AW352" s="298" t="str">
        <f>INDEX(CarrierDriverTBL!$M:$M,MATCH(Table1[[#This Row],[DriverID]],CarrierDriverTBL!$A:$A,0))</f>
        <v>572 Predersen RD</v>
      </c>
      <c r="AX352" s="298" t="str">
        <f>INDEX(CarrierDriverTBL!$N:$N,MATCH(Table1[[#This Row],[DriverID]],CarrierDriverTBL!$A:$A,0))</f>
        <v>Oakdale</v>
      </c>
      <c r="AY352" s="142" t="str">
        <f>INDEX(CarrierDriverTBL!$O:$O,MATCH(Table1[[#This Row],[DriverID]],CarrierDriverTBL!$A:$A,0))</f>
        <v>CA</v>
      </c>
      <c r="AZ352" s="298">
        <f>INDEX(CarrierDriverTBL!$P:$P,MATCH(Table1[[#This Row],[DriverID]],CarrierDriverTBL!$A:$A,0))</f>
        <v>95361</v>
      </c>
      <c r="BA352" s="298" t="str">
        <f>INDEX(CarrierDriverTBL!$Q:$Q,MATCH(Table1[[#This Row],[DriverID]],CarrierDriverTBL!$A:$A,0))</f>
        <v>US</v>
      </c>
      <c r="BB352" s="176" t="str">
        <f>INDEX(CarrierDriverTBL!$R:$R,MATCH(Table1[[#This Row],[DriverID]],CarrierDriverTBL!$A:$A,0))</f>
        <v>Miguelmartin52@yahoo.com</v>
      </c>
      <c r="BC352" s="160">
        <f>INDEX(CarrierDriverTBL!$AB:$AB,MATCH(Table1[[#This Row],[DriverID]],CarrierDriverTBL!$A:$A,0))</f>
        <v>42334</v>
      </c>
      <c r="BD352" s="142" t="str">
        <f ca="1">INDEX(CarrierDriverTBL!$AD:$AD,MATCH(LoadMaster!$AN:$AN,CarrierDriverTBL!$A:$A,0))</f>
        <v>MISSING</v>
      </c>
      <c r="BE352" s="142">
        <f>INDEX(CarrierDriverTBL!$AE:$AE,MATCH(Table1[DriverID],CarrierDriverTBL!$A:$A,0))</f>
        <v>913971</v>
      </c>
      <c r="BF352" s="142">
        <f>INDEX(CarrierDriverTBL!$AF:$AF,MATCH(Table1[DriverID],CarrierDriverTBL!$A:$A,0))</f>
        <v>2627544</v>
      </c>
      <c r="BG352" s="142">
        <f>INDEX(CarrierDriverTBL!$AG:$AG,MATCH(Table1[DriverID],CarrierDriverTBL!$A:$A,0))</f>
        <v>466133</v>
      </c>
      <c r="BH352" s="142" t="str">
        <f>INDEX(CarrierDriverTBL!$AH:$AH,MATCH(Table1[DriverID],CarrierDriverTBL!$A:$A,0))</f>
        <v>GM Lawrence Ins</v>
      </c>
      <c r="BI352" s="142" t="str">
        <f>INDEX(CarrierDriverTBL!$AI:$AI,MATCH(Table1[DriverID],CarrierDriverTBL!$A:$A,0))</f>
        <v>DSK2842P160210</v>
      </c>
      <c r="BJ352" s="172">
        <f>INDEX(CarrierDriverTBL!$AJ:$AJ,MATCH(Table1[[#This Row],[DriverID]],CarrierDriverTBL!$A:$A,0))</f>
        <v>42778</v>
      </c>
      <c r="BK352" s="10">
        <f t="shared" si="147"/>
        <v>320</v>
      </c>
      <c r="BL352" s="5">
        <v>600</v>
      </c>
      <c r="BM352" s="171">
        <v>535</v>
      </c>
      <c r="BN352" s="133">
        <f t="shared" si="164"/>
        <v>1.1214953271028036</v>
      </c>
      <c r="BO352" s="134">
        <f>0.93*600</f>
        <v>558</v>
      </c>
      <c r="BP352" s="133">
        <f t="shared" si="165"/>
        <v>1.0429906542056075</v>
      </c>
      <c r="BQ352" s="133">
        <v>2.6</v>
      </c>
      <c r="BR352" s="215">
        <f t="shared" si="166"/>
        <v>0.1166666666666667</v>
      </c>
      <c r="BS352" s="133">
        <f t="shared" si="148"/>
        <v>0.92632398753894085</v>
      </c>
      <c r="BT352" s="133">
        <f t="shared" si="149"/>
        <v>62.416666666666686</v>
      </c>
      <c r="BU352" s="10" t="str">
        <f t="shared" si="150"/>
        <v>Nationwide Logistics</v>
      </c>
      <c r="BV352" s="15"/>
      <c r="BW352" s="4" t="str">
        <f>Table1[[#This Row],[BrokerAddress]]</f>
        <v>P.O. Box 4207</v>
      </c>
      <c r="BX352" s="4" t="str">
        <f t="shared" si="151"/>
        <v>Ontario</v>
      </c>
      <c r="BY352" s="4" t="str">
        <f t="shared" si="152"/>
        <v>CA</v>
      </c>
      <c r="BZ352" s="4">
        <f t="shared" si="153"/>
        <v>91716</v>
      </c>
      <c r="CA352" s="10" t="str">
        <f t="shared" si="154"/>
        <v>US</v>
      </c>
      <c r="CB352" s="15" t="s">
        <v>131</v>
      </c>
      <c r="CC352" s="62"/>
      <c r="CD352" s="15" t="s">
        <v>132</v>
      </c>
      <c r="CE352" s="64">
        <v>0</v>
      </c>
      <c r="CF352" s="4">
        <v>0</v>
      </c>
      <c r="CG352" s="132">
        <f t="shared" si="155"/>
        <v>0</v>
      </c>
      <c r="CH352" s="4" t="s">
        <v>132</v>
      </c>
      <c r="CI352" s="5">
        <v>0</v>
      </c>
      <c r="CJ352" s="4">
        <v>0</v>
      </c>
      <c r="CK352" s="132">
        <f t="shared" si="156"/>
        <v>0</v>
      </c>
      <c r="CL352" s="4" t="s">
        <v>132</v>
      </c>
      <c r="CM352" s="5">
        <v>0</v>
      </c>
      <c r="CN352" s="4">
        <v>0</v>
      </c>
      <c r="CO352" s="132">
        <f t="shared" si="157"/>
        <v>0</v>
      </c>
      <c r="CP352" s="4" t="s">
        <v>132</v>
      </c>
      <c r="CQ352" s="5">
        <v>0</v>
      </c>
      <c r="CR352" s="4">
        <v>0</v>
      </c>
      <c r="CS352" s="132">
        <f t="shared" si="158"/>
        <v>0</v>
      </c>
      <c r="CT352" s="132">
        <f t="shared" si="159"/>
        <v>0</v>
      </c>
      <c r="CU352" s="168">
        <f t="shared" si="160"/>
        <v>600</v>
      </c>
      <c r="CV352" s="177">
        <f t="shared" si="143"/>
        <v>0</v>
      </c>
      <c r="CW352" s="82">
        <f t="shared" si="144"/>
        <v>558</v>
      </c>
      <c r="CX352" s="79">
        <f>IF(ISBLANK(E352),"AddQuickPay",IF(E352=2,CU352*0.98,IF(E352=2.4,CU352*0.976,IF(E352=3,CU352*0.97,IF(E352=5,CU352*0.95,IF(E352=1.5,CU352*0.985,IF(E352=2.5,CU352*0.975,IF(E352=1.3,CU352*0.987,IF(E352=1,CU352*0.99,IF(E352=4,CU352*0.96,CU352*1))))))))))-Table1[[#This Row],[ComCheck+QuickPayFee]]</f>
        <v>600</v>
      </c>
      <c r="CY352" s="5">
        <f t="shared" si="161"/>
        <v>42</v>
      </c>
      <c r="CZ352" s="5">
        <f t="shared" si="162"/>
        <v>0</v>
      </c>
      <c r="DA352" s="258">
        <f>Table1[[#This Row],[OriginalDispatch]]-Table1[[#This Row],[QuickPayCharge]]</f>
        <v>42</v>
      </c>
      <c r="DB352" s="5">
        <v>0</v>
      </c>
      <c r="DC352" s="5" t="s">
        <v>1287</v>
      </c>
      <c r="DD352" s="172">
        <f t="shared" si="163"/>
        <v>42461</v>
      </c>
      <c r="DE352" s="171">
        <f>MONTH(Table1[[#This Row],[Weekending]])</f>
        <v>4</v>
      </c>
      <c r="DF352" s="171">
        <f>YEAR(Table1[[#This Row],[Weekending]])</f>
        <v>2016</v>
      </c>
      <c r="DG352" s="4"/>
    </row>
    <row r="353" spans="1:111">
      <c r="A353" s="416" t="str">
        <f t="shared" si="145"/>
        <v>83080819</v>
      </c>
      <c r="B353" s="104">
        <v>42459</v>
      </c>
      <c r="C353" s="15">
        <v>2174783</v>
      </c>
      <c r="D353" s="416" t="s">
        <v>2004</v>
      </c>
      <c r="E353" s="15">
        <v>0</v>
      </c>
      <c r="F353" s="144" t="str">
        <f>INDEX(BrokerTBL!$B:$B,MATCH(D353,BrokerTBL!$A:$A,0))</f>
        <v>P.O. Box 23968</v>
      </c>
      <c r="G353" s="15" t="str">
        <f>INDEX(BrokerTBL!$C:$C,MATCH(D353,BrokerTBL!$A:$A,0))</f>
        <v>Chattanooga</v>
      </c>
      <c r="H353" s="4" t="str">
        <f>INDEX(BrokerTBL!$D:$D,MATCH(D353,BrokerTBL!$A:$A,0))</f>
        <v>Tn</v>
      </c>
      <c r="I353" s="4" t="str">
        <f>INDEX(BrokerTBL!$E:$E,MATCH(D353,BrokerTBL!$A:$A,0))</f>
        <v>US</v>
      </c>
      <c r="J353" s="4" t="str">
        <f>INDEX(BrokerTBL!$F:$F,MATCH(D353,BrokerTBL!$A:$A,0))</f>
        <v>37422-2997</v>
      </c>
      <c r="K353" s="416" t="s">
        <v>2476</v>
      </c>
      <c r="L353" s="81">
        <v>3005558908</v>
      </c>
      <c r="M353" s="104">
        <v>42459</v>
      </c>
      <c r="N353" s="15" t="s">
        <v>427</v>
      </c>
      <c r="O353" s="15" t="s">
        <v>2477</v>
      </c>
      <c r="P353" s="416" t="s">
        <v>2478</v>
      </c>
      <c r="Q353" s="416" t="s">
        <v>2206</v>
      </c>
      <c r="R353" s="416">
        <v>95624</v>
      </c>
      <c r="S353" s="416" t="s">
        <v>2207</v>
      </c>
      <c r="T353" s="416" t="s">
        <v>2479</v>
      </c>
      <c r="U353" s="416" t="s">
        <v>120</v>
      </c>
      <c r="V353" s="416">
        <v>53</v>
      </c>
      <c r="W353" s="416" t="s">
        <v>1205</v>
      </c>
      <c r="X353" s="144" t="s">
        <v>123</v>
      </c>
      <c r="Y353" s="15" t="s">
        <v>123</v>
      </c>
      <c r="Z353" s="416" t="s">
        <v>123</v>
      </c>
      <c r="AA353" s="416" t="s">
        <v>123</v>
      </c>
      <c r="AB353" s="416" t="s">
        <v>123</v>
      </c>
      <c r="AC353" s="416" t="s">
        <v>2480</v>
      </c>
      <c r="AD353" s="81">
        <v>3005558908</v>
      </c>
      <c r="AE353" s="104">
        <v>42460</v>
      </c>
      <c r="AF353" s="104" t="s">
        <v>427</v>
      </c>
      <c r="AG353" s="416" t="s">
        <v>2481</v>
      </c>
      <c r="AH353" s="416" t="s">
        <v>2482</v>
      </c>
      <c r="AI353" s="416" t="s">
        <v>2233</v>
      </c>
      <c r="AJ353" s="416" t="s">
        <v>2483</v>
      </c>
      <c r="AK353" s="416" t="s">
        <v>2207</v>
      </c>
      <c r="AL353" s="416" t="s">
        <v>123</v>
      </c>
      <c r="AM353" s="171" t="str">
        <f>INDEX(CarrierDriverTBL!$B:$B,MATCH(Table1[[#This Row],[DriverID]],CarrierDriverTBL!$A:$A,0))</f>
        <v>UBTrucking</v>
      </c>
      <c r="AN353" s="10" t="s">
        <v>1409</v>
      </c>
      <c r="AO353" s="298" t="str">
        <f>INDEX(CarrierDriverTBL!$C:$C,MATCH(Table1[[#This Row],[DriverID]],CarrierDriverTBL!$A:$A,0))</f>
        <v>Miguel Jaime</v>
      </c>
      <c r="AP353" s="298" t="str">
        <f>INDEX(CarrierDriverTBL!$D:$D,MATCH(Table1[[#This Row],[DriverID]],CarrierDriverTBL!$A:$A,0))</f>
        <v>Martin Del Campo Velarca</v>
      </c>
      <c r="AQ353" s="142" t="str">
        <f>INDEX(CarrierDriverTBL!$X:$X,MATCH(Table1[[#This Row],[DriverID]],CarrierDriverTBL!$A:$A,0))</f>
        <v>D5179619</v>
      </c>
      <c r="AR353" s="160">
        <f>INDEX(CarrierDriverTBL!$Y:$Y,MATCH(Table1[[#This Row],[DriverID]],CarrierDriverTBL!$A:$A,0))</f>
        <v>43843</v>
      </c>
      <c r="AS353" s="142" t="str">
        <f t="shared" si="146"/>
        <v>GOOD</v>
      </c>
      <c r="AT353" s="146">
        <f>INDEX(CarrierDriverTBL!$E:$E,MATCH(Table1[[#This Row],[DriverID]],CarrierDriverTBL!$A:$A,0))</f>
        <v>21198</v>
      </c>
      <c r="AU353" s="163">
        <f ca="1">INDEX(CarrierDriverTBL!$F:$F,MATCH(Table1[[#This Row],[DriverID]],CarrierDriverTBL!$A:$A,0))</f>
        <v>58.56986301369863</v>
      </c>
      <c r="AV353" s="298" t="str">
        <f>INDEX(CarrierDriverTBL!$K:$K,MATCH(Table1[[#This Row],[DriverID]],CarrierDriverTBL!$A:$A,0))</f>
        <v>209-322-5231</v>
      </c>
      <c r="AW353" s="298" t="str">
        <f>INDEX(CarrierDriverTBL!$M:$M,MATCH(Table1[[#This Row],[DriverID]],CarrierDriverTBL!$A:$A,0))</f>
        <v>572 Predersen RD</v>
      </c>
      <c r="AX353" s="298" t="str">
        <f>INDEX(CarrierDriverTBL!$N:$N,MATCH(Table1[[#This Row],[DriverID]],CarrierDriverTBL!$A:$A,0))</f>
        <v>Oakdale</v>
      </c>
      <c r="AY353" s="142" t="str">
        <f>INDEX(CarrierDriverTBL!$O:$O,MATCH(Table1[[#This Row],[DriverID]],CarrierDriverTBL!$A:$A,0))</f>
        <v>CA</v>
      </c>
      <c r="AZ353" s="298">
        <f>INDEX(CarrierDriverTBL!$P:$P,MATCH(Table1[[#This Row],[DriverID]],CarrierDriverTBL!$A:$A,0))</f>
        <v>95361</v>
      </c>
      <c r="BA353" s="298" t="str">
        <f>INDEX(CarrierDriverTBL!$Q:$Q,MATCH(Table1[[#This Row],[DriverID]],CarrierDriverTBL!$A:$A,0))</f>
        <v>US</v>
      </c>
      <c r="BB353" s="176" t="str">
        <f>INDEX(CarrierDriverTBL!$R:$R,MATCH(Table1[[#This Row],[DriverID]],CarrierDriverTBL!$A:$A,0))</f>
        <v>Miguelmartin52@yahoo.com</v>
      </c>
      <c r="BC353" s="160">
        <f>INDEX(CarrierDriverTBL!$AB:$AB,MATCH(Table1[[#This Row],[DriverID]],CarrierDriverTBL!$A:$A,0))</f>
        <v>42334</v>
      </c>
      <c r="BD353" s="142" t="str">
        <f ca="1">INDEX(CarrierDriverTBL!$AD:$AD,MATCH(LoadMaster!$AN:$AN,CarrierDriverTBL!$A:$A,0))</f>
        <v>MISSING</v>
      </c>
      <c r="BE353" s="142">
        <f>INDEX(CarrierDriverTBL!$AE:$AE,MATCH(Table1[DriverID],CarrierDriverTBL!$A:$A,0))</f>
        <v>913971</v>
      </c>
      <c r="BF353" s="142">
        <f>INDEX(CarrierDriverTBL!$AF:$AF,MATCH(Table1[DriverID],CarrierDriverTBL!$A:$A,0))</f>
        <v>2627544</v>
      </c>
      <c r="BG353" s="142">
        <f>INDEX(CarrierDriverTBL!$AG:$AG,MATCH(Table1[DriverID],CarrierDriverTBL!$A:$A,0))</f>
        <v>466133</v>
      </c>
      <c r="BH353" s="142" t="str">
        <f>INDEX(CarrierDriverTBL!$AH:$AH,MATCH(Table1[DriverID],CarrierDriverTBL!$A:$A,0))</f>
        <v>GM Lawrence Ins</v>
      </c>
      <c r="BI353" s="142" t="str">
        <f>INDEX(CarrierDriverTBL!$AI:$AI,MATCH(Table1[DriverID],CarrierDriverTBL!$A:$A,0))</f>
        <v>DSK2842P160210</v>
      </c>
      <c r="BJ353" s="172">
        <f>INDEX(CarrierDriverTBL!$AJ:$AJ,MATCH(Table1[[#This Row],[DriverID]],CarrierDriverTBL!$A:$A,0))</f>
        <v>42778</v>
      </c>
      <c r="BK353" s="10">
        <f t="shared" si="147"/>
        <v>319</v>
      </c>
      <c r="BL353" s="5">
        <v>849</v>
      </c>
      <c r="BM353" s="171">
        <v>311</v>
      </c>
      <c r="BN353" s="133">
        <f t="shared" si="164"/>
        <v>2.729903536977492</v>
      </c>
      <c r="BO353" s="134">
        <f>0.93*849</f>
        <v>789.57</v>
      </c>
      <c r="BP353" s="133">
        <f t="shared" si="165"/>
        <v>2.5388102893890676</v>
      </c>
      <c r="BQ353" s="133">
        <v>2.6</v>
      </c>
      <c r="BR353" s="215">
        <f t="shared" si="166"/>
        <v>0.1166666666666667</v>
      </c>
      <c r="BS353" s="133">
        <f t="shared" si="148"/>
        <v>2.4221436227224009</v>
      </c>
      <c r="BT353" s="133">
        <f t="shared" si="149"/>
        <v>36.283333333333346</v>
      </c>
      <c r="BU353" s="10" t="str">
        <f t="shared" si="150"/>
        <v>Covenant Transport Solutions</v>
      </c>
      <c r="BV353" s="15"/>
      <c r="BW353" s="4" t="str">
        <f>Table1[[#This Row],[BrokerAddress]]</f>
        <v>P.O. Box 23968</v>
      </c>
      <c r="BX353" s="4" t="str">
        <f t="shared" si="151"/>
        <v>Chattanooga</v>
      </c>
      <c r="BY353" s="4" t="str">
        <f t="shared" si="152"/>
        <v>Tn</v>
      </c>
      <c r="BZ353" s="4" t="str">
        <f t="shared" si="153"/>
        <v>37422-2997</v>
      </c>
      <c r="CA353" s="10" t="str">
        <f t="shared" si="154"/>
        <v>US</v>
      </c>
      <c r="CB353" s="15" t="s">
        <v>131</v>
      </c>
      <c r="CC353" s="62"/>
      <c r="CD353" s="15" t="s">
        <v>132</v>
      </c>
      <c r="CE353" s="64">
        <v>0</v>
      </c>
      <c r="CF353" s="4">
        <v>0</v>
      </c>
      <c r="CG353" s="132">
        <f t="shared" si="155"/>
        <v>0</v>
      </c>
      <c r="CH353" s="4" t="s">
        <v>132</v>
      </c>
      <c r="CI353" s="5">
        <v>0</v>
      </c>
      <c r="CJ353" s="4">
        <v>0</v>
      </c>
      <c r="CK353" s="132">
        <f t="shared" si="156"/>
        <v>0</v>
      </c>
      <c r="CL353" s="4" t="s">
        <v>132</v>
      </c>
      <c r="CM353" s="5">
        <v>0</v>
      </c>
      <c r="CN353" s="4">
        <v>0</v>
      </c>
      <c r="CO353" s="132">
        <f t="shared" si="157"/>
        <v>0</v>
      </c>
      <c r="CP353" s="4" t="s">
        <v>132</v>
      </c>
      <c r="CQ353" s="5">
        <v>0</v>
      </c>
      <c r="CR353" s="4">
        <v>0</v>
      </c>
      <c r="CS353" s="132">
        <f t="shared" si="158"/>
        <v>0</v>
      </c>
      <c r="CT353" s="132">
        <f t="shared" si="159"/>
        <v>0</v>
      </c>
      <c r="CU353" s="168">
        <f t="shared" si="160"/>
        <v>849</v>
      </c>
      <c r="CV353" s="177">
        <f t="shared" si="143"/>
        <v>0</v>
      </c>
      <c r="CW353" s="82">
        <f t="shared" si="144"/>
        <v>789.57</v>
      </c>
      <c r="CX353" s="79">
        <f>IF(ISBLANK(E353),"AddQuickPay",IF(E353=2,CU353*0.98,IF(E353=2.4,CU353*0.976,IF(E353=3,CU353*0.97,IF(E353=5,CU353*0.95,IF(E353=1.5,CU353*0.985,IF(E353=2.5,CU353*0.975,IF(E353=1.3,CU353*0.987,IF(E353=1,CU353*0.99,IF(E353=4,CU353*0.96,CU353*1))))))))))-Table1[[#This Row],[ComCheck+QuickPayFee]]</f>
        <v>849</v>
      </c>
      <c r="CY353" s="5">
        <f t="shared" si="161"/>
        <v>59.42999999999995</v>
      </c>
      <c r="CZ353" s="5">
        <f t="shared" si="162"/>
        <v>0</v>
      </c>
      <c r="DA353" s="258">
        <f>Table1[[#This Row],[OriginalDispatch]]-Table1[[#This Row],[QuickPayCharge]]</f>
        <v>59.42999999999995</v>
      </c>
      <c r="DB353" s="5">
        <v>0</v>
      </c>
      <c r="DC353" s="5" t="s">
        <v>1287</v>
      </c>
      <c r="DD353" s="172">
        <f t="shared" si="163"/>
        <v>42461</v>
      </c>
      <c r="DE353" s="171">
        <f>MONTH(Table1[[#This Row],[Weekending]])</f>
        <v>4</v>
      </c>
      <c r="DF353" s="171">
        <f>YEAR(Table1[[#This Row],[Weekending]])</f>
        <v>2016</v>
      </c>
      <c r="DG353" s="4"/>
    </row>
    <row r="354" spans="1:111">
      <c r="A354" s="416" t="str">
        <f t="shared" si="145"/>
        <v>92920793</v>
      </c>
      <c r="B354" s="104">
        <v>42459</v>
      </c>
      <c r="C354" s="15">
        <v>52692</v>
      </c>
      <c r="D354" s="416" t="s">
        <v>2484</v>
      </c>
      <c r="E354" s="15">
        <v>0</v>
      </c>
      <c r="F354" s="144" t="str">
        <f>INDEX(BrokerTBL!$B:$B,MATCH(D354,BrokerTBL!$A:$A,0))</f>
        <v>9840 Indiana Ave, Suite 8</v>
      </c>
      <c r="G354" s="15" t="str">
        <f>INDEX(BrokerTBL!$C:$C,MATCH(D354,BrokerTBL!$A:$A,0))</f>
        <v>Riverside</v>
      </c>
      <c r="H354" s="4" t="str">
        <f>INDEX(BrokerTBL!$D:$D,MATCH(D354,BrokerTBL!$A:$A,0))</f>
        <v>CA</v>
      </c>
      <c r="I354" s="4" t="str">
        <f>INDEX(BrokerTBL!$E:$E,MATCH(D354,BrokerTBL!$A:$A,0))</f>
        <v>US</v>
      </c>
      <c r="J354" s="4">
        <f>INDEX(BrokerTBL!$F:$F,MATCH(D354,BrokerTBL!$A:$A,0))</f>
        <v>92503</v>
      </c>
      <c r="K354" s="416" t="s">
        <v>2485</v>
      </c>
      <c r="L354" s="81">
        <v>52692</v>
      </c>
      <c r="M354" s="104">
        <v>42459</v>
      </c>
      <c r="N354" s="226">
        <v>0.52083333333333337</v>
      </c>
      <c r="O354" s="15" t="s">
        <v>2486</v>
      </c>
      <c r="P354" s="416" t="s">
        <v>853</v>
      </c>
      <c r="Q354" s="416" t="s">
        <v>2206</v>
      </c>
      <c r="R354" s="416">
        <v>93622</v>
      </c>
      <c r="S354" s="416" t="s">
        <v>2207</v>
      </c>
      <c r="T354" s="298" t="s">
        <v>123</v>
      </c>
      <c r="U354" s="416" t="s">
        <v>120</v>
      </c>
      <c r="V354" s="416">
        <v>53</v>
      </c>
      <c r="W354" s="416" t="s">
        <v>1205</v>
      </c>
      <c r="X354" s="225">
        <v>32133</v>
      </c>
      <c r="Y354" s="15" t="s">
        <v>2220</v>
      </c>
      <c r="Z354" s="416">
        <v>12</v>
      </c>
      <c r="AA354" s="416" t="s">
        <v>123</v>
      </c>
      <c r="AB354" s="416" t="s">
        <v>123</v>
      </c>
      <c r="AC354" s="416" t="s">
        <v>2487</v>
      </c>
      <c r="AD354" s="81" t="s">
        <v>2488</v>
      </c>
      <c r="AE354" s="104">
        <v>42460</v>
      </c>
      <c r="AF354" s="226">
        <v>0.29166666666666669</v>
      </c>
      <c r="AG354" s="416" t="s">
        <v>2489</v>
      </c>
      <c r="AH354" s="416" t="s">
        <v>2490</v>
      </c>
      <c r="AI354" s="416" t="s">
        <v>2206</v>
      </c>
      <c r="AJ354" s="416">
        <v>91911</v>
      </c>
      <c r="AK354" s="416" t="s">
        <v>2207</v>
      </c>
      <c r="AL354" s="416" t="s">
        <v>123</v>
      </c>
      <c r="AM354" s="171" t="str">
        <f>INDEX(CarrierDriverTBL!$B:$B,MATCH(Table1[[#This Row],[DriverID]],CarrierDriverTBL!$A:$A,0))</f>
        <v>UBTrucking</v>
      </c>
      <c r="AN354" s="10" t="s">
        <v>2234</v>
      </c>
      <c r="AO354" s="171" t="str">
        <f>INDEX(CarrierDriverTBL!$C:$C,MATCH(Table1[[#This Row],[DriverID]],CarrierDriverTBL!$A:$A,0))</f>
        <v>Arturo</v>
      </c>
      <c r="AP354" s="171" t="str">
        <f>INDEX(CarrierDriverTBL!$D:$D,MATCH(Table1[[#This Row],[DriverID]],CarrierDriverTBL!$A:$A,0))</f>
        <v>Carrillo</v>
      </c>
      <c r="AQ354" s="171" t="str">
        <f>INDEX(CarrierDriverTBL!$X:$X,MATCH(Table1[[#This Row],[DriverID]],CarrierDriverTBL!$A:$A,0))</f>
        <v>C7056793</v>
      </c>
      <c r="AR354" s="160">
        <f>INDEX(CarrierDriverTBL!$Y:$Y,MATCH(Table1[[#This Row],[DriverID]],CarrierDriverTBL!$A:$A,0))</f>
        <v>43410</v>
      </c>
      <c r="AS354" s="142" t="str">
        <f t="shared" si="146"/>
        <v>GOOD</v>
      </c>
      <c r="AT354" s="172">
        <f>INDEX(CarrierDriverTBL!$E:$E,MATCH(Table1[[#This Row],[DriverID]],CarrierDriverTBL!$A:$A,0))</f>
        <v>24782</v>
      </c>
      <c r="AU354" s="163">
        <f ca="1">INDEX(CarrierDriverTBL!$F:$F,MATCH(Table1[[#This Row],[DriverID]],CarrierDriverTBL!$A:$A,0))</f>
        <v>48.750684931506846</v>
      </c>
      <c r="AV354" s="171" t="str">
        <f>INDEX(CarrierDriverTBL!$K:$K,MATCH(Table1[[#This Row],[DriverID]],CarrierDriverTBL!$A:$A,0))</f>
        <v>209-276-9785</v>
      </c>
      <c r="AW354" s="171" t="str">
        <f>INDEX(CarrierDriverTBL!$M:$M,MATCH(Table1[[#This Row],[DriverID]],CarrierDriverTBL!$A:$A,0))</f>
        <v>1685 Winthrop Ln</v>
      </c>
      <c r="AX354" s="171" t="str">
        <f>INDEX(CarrierDriverTBL!$N:$N,MATCH(Table1[[#This Row],[DriverID]],CarrierDriverTBL!$A:$A,0))</f>
        <v>Ceres</v>
      </c>
      <c r="AY354" s="171" t="str">
        <f>INDEX(CarrierDriverTBL!$O:$O,MATCH(Table1[[#This Row],[DriverID]],CarrierDriverTBL!$A:$A,0))</f>
        <v>CA</v>
      </c>
      <c r="AZ354" s="171">
        <f>INDEX(CarrierDriverTBL!$P:$P,MATCH(Table1[[#This Row],[DriverID]],CarrierDriverTBL!$A:$A,0))</f>
        <v>95307</v>
      </c>
      <c r="BA354" s="171" t="str">
        <f>INDEX(CarrierDriverTBL!$Q:$Q,MATCH(Table1[[#This Row],[DriverID]],CarrierDriverTBL!$A:$A,0))</f>
        <v>US</v>
      </c>
      <c r="BB354" s="173" t="str">
        <f>INDEX(CarrierDriverTBL!$R:$R,MATCH(Table1[[#This Row],[DriverID]],CarrierDriverTBL!$A:$A,0))</f>
        <v>arturocarr777@gmail.com</v>
      </c>
      <c r="BC354" s="160">
        <f>INDEX(CarrierDriverTBL!$AB:$AB,MATCH(Table1[[#This Row],[DriverID]],CarrierDriverTBL!$A:$A,0))</f>
        <v>42418</v>
      </c>
      <c r="BD354" s="142" t="str">
        <f ca="1">INDEX(CarrierDriverTBL!$AD:$AD,MATCH(LoadMaster!$AN:$AN,CarrierDriverTBL!$A:$A,0))</f>
        <v>MISSING</v>
      </c>
      <c r="BE354" s="171">
        <f>INDEX(CarrierDriverTBL!$AE:$AE,MATCH(Table1[DriverID],CarrierDriverTBL!$A:$A,0))</f>
        <v>913971</v>
      </c>
      <c r="BF354" s="171">
        <f>INDEX(CarrierDriverTBL!$AF:$AF,MATCH(Table1[DriverID],CarrierDriverTBL!$A:$A,0))</f>
        <v>2627544</v>
      </c>
      <c r="BG354" s="10">
        <f>INDEX(CarrierDriverTBL!$AG:$AG,MATCH(Table1[DriverID],CarrierDriverTBL!$A:$A,0))</f>
        <v>466133</v>
      </c>
      <c r="BH354" s="171" t="str">
        <f>INDEX(CarrierDriverTBL!$AH:$AH,MATCH(Table1[DriverID],CarrierDriverTBL!$A:$A,0))</f>
        <v>GM Lawrence Ins</v>
      </c>
      <c r="BI354" s="171" t="str">
        <f>INDEX(CarrierDriverTBL!$AI:$AI,MATCH(Table1[DriverID],CarrierDriverTBL!$A:$A,0))</f>
        <v>DSK2842P160210</v>
      </c>
      <c r="BJ354" s="172">
        <f>INDEX(CarrierDriverTBL!$AJ:$AJ,MATCH(Table1[[#This Row],[DriverID]],CarrierDriverTBL!$A:$A,0))</f>
        <v>42778</v>
      </c>
      <c r="BK354" s="10">
        <f t="shared" si="147"/>
        <v>319</v>
      </c>
      <c r="BL354" s="5">
        <v>600</v>
      </c>
      <c r="BM354" s="171">
        <v>370</v>
      </c>
      <c r="BN354" s="133">
        <f t="shared" si="164"/>
        <v>1.6216216216216217</v>
      </c>
      <c r="BO354" s="134">
        <f>0.93*600</f>
        <v>558</v>
      </c>
      <c r="BP354" s="133">
        <f t="shared" si="165"/>
        <v>1.508108108108108</v>
      </c>
      <c r="BQ354" s="133">
        <v>2.6</v>
      </c>
      <c r="BR354" s="215">
        <f t="shared" si="166"/>
        <v>0.1166666666666667</v>
      </c>
      <c r="BS354" s="133">
        <f t="shared" si="148"/>
        <v>1.3914414414414413</v>
      </c>
      <c r="BT354" s="133">
        <f t="shared" si="149"/>
        <v>43.166666666666679</v>
      </c>
      <c r="BU354" s="10" t="str">
        <f t="shared" si="150"/>
        <v xml:space="preserve">JL Freight </v>
      </c>
      <c r="BV354" s="15"/>
      <c r="BW354" s="4" t="str">
        <f>Table1[[#This Row],[BrokerAddress]]</f>
        <v>9840 Indiana Ave, Suite 8</v>
      </c>
      <c r="BX354" s="4" t="str">
        <f t="shared" si="151"/>
        <v>Riverside</v>
      </c>
      <c r="BY354" s="4" t="str">
        <f t="shared" si="152"/>
        <v>CA</v>
      </c>
      <c r="BZ354" s="4">
        <f t="shared" si="153"/>
        <v>92503</v>
      </c>
      <c r="CA354" s="10" t="str">
        <f t="shared" si="154"/>
        <v>US</v>
      </c>
      <c r="CB354" s="15" t="s">
        <v>131</v>
      </c>
      <c r="CC354" s="62"/>
      <c r="CD354" s="15" t="s">
        <v>132</v>
      </c>
      <c r="CE354" s="64">
        <v>0</v>
      </c>
      <c r="CF354" s="4">
        <v>0</v>
      </c>
      <c r="CG354" s="132">
        <f t="shared" si="155"/>
        <v>0</v>
      </c>
      <c r="CH354" s="4" t="s">
        <v>132</v>
      </c>
      <c r="CI354" s="5">
        <v>0</v>
      </c>
      <c r="CJ354" s="4">
        <v>0</v>
      </c>
      <c r="CK354" s="132">
        <f t="shared" si="156"/>
        <v>0</v>
      </c>
      <c r="CL354" s="4" t="s">
        <v>132</v>
      </c>
      <c r="CM354" s="5">
        <v>0</v>
      </c>
      <c r="CN354" s="4">
        <v>0</v>
      </c>
      <c r="CO354" s="132">
        <f t="shared" si="157"/>
        <v>0</v>
      </c>
      <c r="CP354" s="4" t="s">
        <v>132</v>
      </c>
      <c r="CQ354" s="5">
        <v>0</v>
      </c>
      <c r="CR354" s="4">
        <v>0</v>
      </c>
      <c r="CS354" s="132">
        <f t="shared" si="158"/>
        <v>0</v>
      </c>
      <c r="CT354" s="132">
        <f t="shared" si="159"/>
        <v>0</v>
      </c>
      <c r="CU354" s="168">
        <f t="shared" si="160"/>
        <v>600</v>
      </c>
      <c r="CV354" s="177">
        <f t="shared" si="143"/>
        <v>0</v>
      </c>
      <c r="CW354" s="82">
        <f t="shared" si="144"/>
        <v>558</v>
      </c>
      <c r="CX354" s="79">
        <f>IF(ISBLANK(E354),"AddQuickPay",IF(E354=2,CU354*0.98,IF(E354=2.4,CU354*0.976,IF(E354=3,CU354*0.97,IF(E354=5,CU354*0.95,IF(E354=1.5,CU354*0.985,IF(E354=2.5,CU354*0.975,IF(E354=1.3,CU354*0.987,IF(E354=1,CU354*0.99,IF(E354=4,CU354*0.96,CU354*1))))))))))-Table1[[#This Row],[ComCheck+QuickPayFee]]</f>
        <v>600</v>
      </c>
      <c r="CY354" s="5">
        <f t="shared" si="161"/>
        <v>42</v>
      </c>
      <c r="CZ354" s="5">
        <f t="shared" si="162"/>
        <v>0</v>
      </c>
      <c r="DA354" s="258">
        <f>Table1[[#This Row],[OriginalDispatch]]-Table1[[#This Row],[QuickPayCharge]]</f>
        <v>42</v>
      </c>
      <c r="DB354" s="5">
        <v>0</v>
      </c>
      <c r="DC354" s="5" t="s">
        <v>1287</v>
      </c>
      <c r="DD354" s="172">
        <f t="shared" si="163"/>
        <v>42461</v>
      </c>
      <c r="DE354" s="171">
        <f>MONTH(Table1[[#This Row],[Weekending]])</f>
        <v>4</v>
      </c>
      <c r="DF354" s="171">
        <f>YEAR(Table1[[#This Row],[Weekending]])</f>
        <v>2016</v>
      </c>
      <c r="DG354" s="4"/>
    </row>
    <row r="355" spans="1:111">
      <c r="A355" s="300" t="str">
        <f t="shared" si="145"/>
        <v>71464693</v>
      </c>
      <c r="B355" s="301">
        <v>42463</v>
      </c>
      <c r="C355" s="303">
        <v>2176371</v>
      </c>
      <c r="D355" s="300" t="s">
        <v>2004</v>
      </c>
      <c r="E355" s="303">
        <v>0</v>
      </c>
      <c r="F355" s="304" t="str">
        <f>INDEX(BrokerTBL!$B:$B,MATCH(D355,BrokerTBL!$A:$A,0))</f>
        <v>P.O. Box 23968</v>
      </c>
      <c r="G355" s="303" t="str">
        <f>INDEX(BrokerTBL!$C:$C,MATCH(D355,BrokerTBL!$A:$A,0))</f>
        <v>Chattanooga</v>
      </c>
      <c r="H355" s="4" t="str">
        <f>INDEX(BrokerTBL!$D:$D,MATCH(D355,BrokerTBL!$A:$A,0))</f>
        <v>Tn</v>
      </c>
      <c r="I355" s="4" t="str">
        <f>INDEX(BrokerTBL!$E:$E,MATCH(D355,BrokerTBL!$A:$A,0))</f>
        <v>US</v>
      </c>
      <c r="J355" s="4" t="str">
        <f>INDEX(BrokerTBL!$F:$F,MATCH(D355,BrokerTBL!$A:$A,0))</f>
        <v>37422-2997</v>
      </c>
      <c r="K355" s="300" t="s">
        <v>2476</v>
      </c>
      <c r="L355" s="302">
        <v>2205163446</v>
      </c>
      <c r="M355" s="301">
        <v>42460</v>
      </c>
      <c r="N355" s="305" t="s">
        <v>261</v>
      </c>
      <c r="O355" s="303" t="s">
        <v>2477</v>
      </c>
      <c r="P355" s="300" t="s">
        <v>2478</v>
      </c>
      <c r="Q355" s="300" t="s">
        <v>2206</v>
      </c>
      <c r="R355" s="300">
        <v>95624</v>
      </c>
      <c r="S355" s="300" t="s">
        <v>2207</v>
      </c>
      <c r="T355" s="300" t="s">
        <v>2479</v>
      </c>
      <c r="U355" s="300" t="s">
        <v>120</v>
      </c>
      <c r="V355" s="300">
        <v>53</v>
      </c>
      <c r="W355" s="300" t="s">
        <v>1205</v>
      </c>
      <c r="X355" s="144" t="s">
        <v>123</v>
      </c>
      <c r="Y355" s="303" t="s">
        <v>123</v>
      </c>
      <c r="Z355" s="300" t="s">
        <v>123</v>
      </c>
      <c r="AA355" s="300" t="s">
        <v>123</v>
      </c>
      <c r="AB355" s="300" t="s">
        <v>123</v>
      </c>
      <c r="AC355" s="300" t="s">
        <v>2491</v>
      </c>
      <c r="AD355" s="302">
        <v>2205163446</v>
      </c>
      <c r="AE355" s="301">
        <v>42461</v>
      </c>
      <c r="AF355" s="301" t="s">
        <v>427</v>
      </c>
      <c r="AG355" s="300" t="s">
        <v>2481</v>
      </c>
      <c r="AH355" s="300" t="s">
        <v>2482</v>
      </c>
      <c r="AI355" s="300" t="s">
        <v>2233</v>
      </c>
      <c r="AJ355" s="300" t="s">
        <v>2492</v>
      </c>
      <c r="AK355" s="300" t="s">
        <v>2207</v>
      </c>
      <c r="AL355" s="300" t="s">
        <v>123</v>
      </c>
      <c r="AM355" s="171" t="str">
        <f>INDEX(CarrierDriverTBL!$B:$B,MATCH(Table1[[#This Row],[DriverID]],CarrierDriverTBL!$A:$A,0))</f>
        <v>UBTrucking</v>
      </c>
      <c r="AN355" s="10" t="s">
        <v>2234</v>
      </c>
      <c r="AO355" s="171" t="str">
        <f>INDEX(CarrierDriverTBL!$C:$C,MATCH(Table1[[#This Row],[DriverID]],CarrierDriverTBL!$A:$A,0))</f>
        <v>Arturo</v>
      </c>
      <c r="AP355" s="171" t="str">
        <f>INDEX(CarrierDriverTBL!$D:$D,MATCH(Table1[[#This Row],[DriverID]],CarrierDriverTBL!$A:$A,0))</f>
        <v>Carrillo</v>
      </c>
      <c r="AQ355" s="171" t="str">
        <f>INDEX(CarrierDriverTBL!$X:$X,MATCH(Table1[[#This Row],[DriverID]],CarrierDriverTBL!$A:$A,0))</f>
        <v>C7056793</v>
      </c>
      <c r="AR355" s="160">
        <f>INDEX(CarrierDriverTBL!$Y:$Y,MATCH(Table1[[#This Row],[DriverID]],CarrierDriverTBL!$A:$A,0))</f>
        <v>43410</v>
      </c>
      <c r="AS355" s="142" t="str">
        <f t="shared" si="146"/>
        <v>GOOD</v>
      </c>
      <c r="AT355" s="172">
        <f>INDEX(CarrierDriverTBL!$E:$E,MATCH(Table1[[#This Row],[DriverID]],CarrierDriverTBL!$A:$A,0))</f>
        <v>24782</v>
      </c>
      <c r="AU355" s="163">
        <f ca="1">INDEX(CarrierDriverTBL!$F:$F,MATCH(Table1[[#This Row],[DriverID]],CarrierDriverTBL!$A:$A,0))</f>
        <v>48.750684931506846</v>
      </c>
      <c r="AV355" s="171" t="str">
        <f>INDEX(CarrierDriverTBL!$K:$K,MATCH(Table1[[#This Row],[DriverID]],CarrierDriverTBL!$A:$A,0))</f>
        <v>209-276-9785</v>
      </c>
      <c r="AW355" s="171" t="str">
        <f>INDEX(CarrierDriverTBL!$M:$M,MATCH(Table1[[#This Row],[DriverID]],CarrierDriverTBL!$A:$A,0))</f>
        <v>1685 Winthrop Ln</v>
      </c>
      <c r="AX355" s="171" t="str">
        <f>INDEX(CarrierDriverTBL!$N:$N,MATCH(Table1[[#This Row],[DriverID]],CarrierDriverTBL!$A:$A,0))</f>
        <v>Ceres</v>
      </c>
      <c r="AY355" s="171" t="str">
        <f>INDEX(CarrierDriverTBL!$O:$O,MATCH(Table1[[#This Row],[DriverID]],CarrierDriverTBL!$A:$A,0))</f>
        <v>CA</v>
      </c>
      <c r="AZ355" s="171">
        <f>INDEX(CarrierDriverTBL!$P:$P,MATCH(Table1[[#This Row],[DriverID]],CarrierDriverTBL!$A:$A,0))</f>
        <v>95307</v>
      </c>
      <c r="BA355" s="171" t="str">
        <f>INDEX(CarrierDriverTBL!$Q:$Q,MATCH(Table1[[#This Row],[DriverID]],CarrierDriverTBL!$A:$A,0))</f>
        <v>US</v>
      </c>
      <c r="BB355" s="173" t="str">
        <f>INDEX(CarrierDriverTBL!$R:$R,MATCH(Table1[[#This Row],[DriverID]],CarrierDriverTBL!$A:$A,0))</f>
        <v>arturocarr777@gmail.com</v>
      </c>
      <c r="BC355" s="160">
        <f>INDEX(CarrierDriverTBL!$AB:$AB,MATCH(Table1[[#This Row],[DriverID]],CarrierDriverTBL!$A:$A,0))</f>
        <v>42418</v>
      </c>
      <c r="BD355" s="142" t="str">
        <f ca="1">INDEX(CarrierDriverTBL!$AD:$AD,MATCH(LoadMaster!$AN:$AN,CarrierDriverTBL!$A:$A,0))</f>
        <v>MISSING</v>
      </c>
      <c r="BE355" s="171">
        <f>INDEX(CarrierDriverTBL!$AE:$AE,MATCH(Table1[DriverID],CarrierDriverTBL!$A:$A,0))</f>
        <v>913971</v>
      </c>
      <c r="BF355" s="171">
        <f>INDEX(CarrierDriverTBL!$AF:$AF,MATCH(Table1[DriverID],CarrierDriverTBL!$A:$A,0))</f>
        <v>2627544</v>
      </c>
      <c r="BG355" s="10">
        <f>INDEX(CarrierDriverTBL!$AG:$AG,MATCH(Table1[DriverID],CarrierDriverTBL!$A:$A,0))</f>
        <v>466133</v>
      </c>
      <c r="BH355" s="171" t="str">
        <f>INDEX(CarrierDriverTBL!$AH:$AH,MATCH(Table1[DriverID],CarrierDriverTBL!$A:$A,0))</f>
        <v>GM Lawrence Ins</v>
      </c>
      <c r="BI355" s="171" t="str">
        <f>INDEX(CarrierDriverTBL!$AI:$AI,MATCH(Table1[DriverID],CarrierDriverTBL!$A:$A,0))</f>
        <v>DSK2842P160210</v>
      </c>
      <c r="BJ355" s="172">
        <f>INDEX(CarrierDriverTBL!$AJ:$AJ,MATCH(Table1[[#This Row],[DriverID]],CarrierDriverTBL!$A:$A,0))</f>
        <v>42778</v>
      </c>
      <c r="BK355" s="10">
        <f t="shared" si="147"/>
        <v>318</v>
      </c>
      <c r="BL355" s="5">
        <v>849</v>
      </c>
      <c r="BM355" s="306">
        <v>311</v>
      </c>
      <c r="BN355" s="307">
        <f t="shared" si="164"/>
        <v>2.729903536977492</v>
      </c>
      <c r="BO355" s="134">
        <f>0.93*849</f>
        <v>789.57</v>
      </c>
      <c r="BP355" s="307">
        <f t="shared" si="165"/>
        <v>2.5388102893890676</v>
      </c>
      <c r="BQ355" s="133">
        <v>2.6</v>
      </c>
      <c r="BR355" s="308">
        <f t="shared" si="166"/>
        <v>0.1166666666666667</v>
      </c>
      <c r="BS355" s="307">
        <f t="shared" si="148"/>
        <v>2.4221436227224009</v>
      </c>
      <c r="BT355" s="307">
        <f t="shared" si="149"/>
        <v>36.283333333333346</v>
      </c>
      <c r="BU355" s="10" t="str">
        <f t="shared" si="150"/>
        <v>Covenant Transport Solutions</v>
      </c>
      <c r="BV355" s="303"/>
      <c r="BW355" s="4" t="str">
        <f>Table1[[#This Row],[BrokerAddress]]</f>
        <v>P.O. Box 23968</v>
      </c>
      <c r="BX355" s="4" t="str">
        <f t="shared" si="151"/>
        <v>Chattanooga</v>
      </c>
      <c r="BY355" s="4" t="str">
        <f t="shared" si="152"/>
        <v>Tn</v>
      </c>
      <c r="BZ355" s="4" t="str">
        <f t="shared" si="153"/>
        <v>37422-2997</v>
      </c>
      <c r="CA355" s="10" t="str">
        <f t="shared" si="154"/>
        <v>US</v>
      </c>
      <c r="CB355" s="15" t="s">
        <v>131</v>
      </c>
      <c r="CC355" s="62"/>
      <c r="CD355" s="15" t="s">
        <v>132</v>
      </c>
      <c r="CE355" s="64">
        <v>0</v>
      </c>
      <c r="CF355" s="4">
        <v>0</v>
      </c>
      <c r="CG355" s="132">
        <f t="shared" si="155"/>
        <v>0</v>
      </c>
      <c r="CH355" s="4" t="s">
        <v>132</v>
      </c>
      <c r="CI355" s="5">
        <v>0</v>
      </c>
      <c r="CJ355" s="4">
        <v>0</v>
      </c>
      <c r="CK355" s="132">
        <f t="shared" si="156"/>
        <v>0</v>
      </c>
      <c r="CL355" s="4" t="s">
        <v>132</v>
      </c>
      <c r="CM355" s="5">
        <v>0</v>
      </c>
      <c r="CN355" s="4">
        <v>0</v>
      </c>
      <c r="CO355" s="132">
        <f t="shared" si="157"/>
        <v>0</v>
      </c>
      <c r="CP355" s="4" t="s">
        <v>132</v>
      </c>
      <c r="CQ355" s="5">
        <v>0</v>
      </c>
      <c r="CR355" s="4">
        <v>0</v>
      </c>
      <c r="CS355" s="132">
        <f t="shared" si="158"/>
        <v>0</v>
      </c>
      <c r="CT355" s="132">
        <f t="shared" si="159"/>
        <v>0</v>
      </c>
      <c r="CU355" s="168">
        <f t="shared" si="160"/>
        <v>849</v>
      </c>
      <c r="CV355" s="177">
        <f t="shared" si="143"/>
        <v>0</v>
      </c>
      <c r="CW355" s="82">
        <f t="shared" si="144"/>
        <v>789.57</v>
      </c>
      <c r="CX355" s="79">
        <f>IF(ISBLANK(E355),"AddQuickPay",IF(E355=2,CU355*0.98,IF(E355=2.4,CU355*0.976,IF(E355=3,CU355*0.97,IF(E355=5,CU355*0.95,IF(E355=1.5,CU355*0.985,IF(E355=2.5,CU355*0.975,IF(E355=1.3,CU355*0.987,IF(E355=1,CU355*0.99,IF(E355=4,CU355*0.96,CU355*1))))))))))-Table1[[#This Row],[ComCheck+QuickPayFee]]</f>
        <v>849</v>
      </c>
      <c r="CY355" s="5">
        <f t="shared" si="161"/>
        <v>59.42999999999995</v>
      </c>
      <c r="CZ355" s="5">
        <f t="shared" si="162"/>
        <v>0</v>
      </c>
      <c r="DA355" s="258">
        <f>Table1[[#This Row],[OriginalDispatch]]-Table1[[#This Row],[QuickPayCharge]]</f>
        <v>59.42999999999995</v>
      </c>
      <c r="DB355" s="5">
        <v>0</v>
      </c>
      <c r="DC355" s="5" t="s">
        <v>1287</v>
      </c>
      <c r="DD355" s="309">
        <f t="shared" si="163"/>
        <v>42461</v>
      </c>
      <c r="DE355" s="306">
        <f>MONTH(Table1[[#This Row],[Weekending]])</f>
        <v>4</v>
      </c>
      <c r="DF355" s="306">
        <f>YEAR(Table1[[#This Row],[Weekending]])</f>
        <v>2016</v>
      </c>
      <c r="DG355" s="4"/>
    </row>
    <row r="356" spans="1:111">
      <c r="A356" s="300" t="str">
        <f t="shared" si="145"/>
        <v>45eses93</v>
      </c>
      <c r="B356" s="301">
        <v>42463</v>
      </c>
      <c r="C356" s="303">
        <v>6785645</v>
      </c>
      <c r="D356" s="300" t="s">
        <v>2248</v>
      </c>
      <c r="E356" s="303">
        <v>3</v>
      </c>
      <c r="F356" s="304" t="str">
        <f>INDEX(BrokerTBL!$B:$B,MATCH(D356,BrokerTBL!$A:$A,0))</f>
        <v>P.O. Box 799</v>
      </c>
      <c r="G356" s="303" t="str">
        <f>INDEX(BrokerTBL!$C:$C,MATCH(D356,BrokerTBL!$A:$A,0))</f>
        <v>Milford</v>
      </c>
      <c r="H356" s="4" t="str">
        <f>INDEX(BrokerTBL!$D:$D,MATCH(D356,BrokerTBL!$A:$A,0))</f>
        <v>Ohio</v>
      </c>
      <c r="I356" s="4" t="str">
        <f>INDEX(BrokerTBL!$E:$E,MATCH(D356,BrokerTBL!$A:$A,0))</f>
        <v>US</v>
      </c>
      <c r="J356" s="4">
        <f>INDEX(BrokerTBL!$F:$F,MATCH(D356,BrokerTBL!$A:$A,0))</f>
        <v>45150</v>
      </c>
      <c r="K356" s="300" t="s">
        <v>2493</v>
      </c>
      <c r="L356" s="302" t="s">
        <v>2494</v>
      </c>
      <c r="M356" s="301">
        <v>42460</v>
      </c>
      <c r="N356" s="303" t="s">
        <v>2495</v>
      </c>
      <c r="O356" s="303" t="s">
        <v>2496</v>
      </c>
      <c r="P356" s="300" t="s">
        <v>1293</v>
      </c>
      <c r="Q356" s="300" t="s">
        <v>2206</v>
      </c>
      <c r="R356" s="300">
        <v>92618</v>
      </c>
      <c r="S356" s="300" t="s">
        <v>2207</v>
      </c>
      <c r="T356" s="298" t="s">
        <v>123</v>
      </c>
      <c r="U356" s="300" t="s">
        <v>120</v>
      </c>
      <c r="V356" s="300">
        <v>53</v>
      </c>
      <c r="W356" s="300" t="s">
        <v>1205</v>
      </c>
      <c r="X356" s="310">
        <v>25000</v>
      </c>
      <c r="Y356" s="303" t="s">
        <v>123</v>
      </c>
      <c r="Z356" s="300" t="s">
        <v>123</v>
      </c>
      <c r="AA356" s="300" t="s">
        <v>123</v>
      </c>
      <c r="AB356" s="300" t="s">
        <v>123</v>
      </c>
      <c r="AC356" s="300" t="s">
        <v>2497</v>
      </c>
      <c r="AD356" s="302" t="s">
        <v>2494</v>
      </c>
      <c r="AE356" s="301">
        <v>42461</v>
      </c>
      <c r="AF356" s="301" t="s">
        <v>1226</v>
      </c>
      <c r="AG356" s="300" t="s">
        <v>2498</v>
      </c>
      <c r="AH356" s="300" t="s">
        <v>2499</v>
      </c>
      <c r="AI356" s="300" t="s">
        <v>2206</v>
      </c>
      <c r="AJ356" s="300">
        <v>94560</v>
      </c>
      <c r="AK356" s="300" t="s">
        <v>2207</v>
      </c>
      <c r="AL356" s="300" t="s">
        <v>123</v>
      </c>
      <c r="AM356" s="171" t="str">
        <f>INDEX(CarrierDriverTBL!$B:$B,MATCH(Table1[[#This Row],[DriverID]],CarrierDriverTBL!$A:$A,0))</f>
        <v>UBTrucking</v>
      </c>
      <c r="AN356" s="10" t="s">
        <v>2234</v>
      </c>
      <c r="AO356" s="171" t="str">
        <f>INDEX(CarrierDriverTBL!$C:$C,MATCH(Table1[[#This Row],[DriverID]],CarrierDriverTBL!$A:$A,0))</f>
        <v>Arturo</v>
      </c>
      <c r="AP356" s="171" t="str">
        <f>INDEX(CarrierDriverTBL!$D:$D,MATCH(Table1[[#This Row],[DriverID]],CarrierDriverTBL!$A:$A,0))</f>
        <v>Carrillo</v>
      </c>
      <c r="AQ356" s="171" t="str">
        <f>INDEX(CarrierDriverTBL!$X:$X,MATCH(Table1[[#This Row],[DriverID]],CarrierDriverTBL!$A:$A,0))</f>
        <v>C7056793</v>
      </c>
      <c r="AR356" s="160">
        <f>INDEX(CarrierDriverTBL!$Y:$Y,MATCH(Table1[[#This Row],[DriverID]],CarrierDriverTBL!$A:$A,0))</f>
        <v>43410</v>
      </c>
      <c r="AS356" s="142" t="str">
        <f t="shared" si="146"/>
        <v>GOOD</v>
      </c>
      <c r="AT356" s="172">
        <f>INDEX(CarrierDriverTBL!$E:$E,MATCH(Table1[[#This Row],[DriverID]],CarrierDriverTBL!$A:$A,0))</f>
        <v>24782</v>
      </c>
      <c r="AU356" s="163">
        <f ca="1">INDEX(CarrierDriverTBL!$F:$F,MATCH(Table1[[#This Row],[DriverID]],CarrierDriverTBL!$A:$A,0))</f>
        <v>48.750684931506846</v>
      </c>
      <c r="AV356" s="171" t="str">
        <f>INDEX(CarrierDriverTBL!$K:$K,MATCH(Table1[[#This Row],[DriverID]],CarrierDriverTBL!$A:$A,0))</f>
        <v>209-276-9785</v>
      </c>
      <c r="AW356" s="171" t="str">
        <f>INDEX(CarrierDriverTBL!$M:$M,MATCH(Table1[[#This Row],[DriverID]],CarrierDriverTBL!$A:$A,0))</f>
        <v>1685 Winthrop Ln</v>
      </c>
      <c r="AX356" s="171" t="str">
        <f>INDEX(CarrierDriverTBL!$N:$N,MATCH(Table1[[#This Row],[DriverID]],CarrierDriverTBL!$A:$A,0))</f>
        <v>Ceres</v>
      </c>
      <c r="AY356" s="171" t="str">
        <f>INDEX(CarrierDriverTBL!$O:$O,MATCH(Table1[[#This Row],[DriverID]],CarrierDriverTBL!$A:$A,0))</f>
        <v>CA</v>
      </c>
      <c r="AZ356" s="171">
        <f>INDEX(CarrierDriverTBL!$P:$P,MATCH(Table1[[#This Row],[DriverID]],CarrierDriverTBL!$A:$A,0))</f>
        <v>95307</v>
      </c>
      <c r="BA356" s="171" t="str">
        <f>INDEX(CarrierDriverTBL!$Q:$Q,MATCH(Table1[[#This Row],[DriverID]],CarrierDriverTBL!$A:$A,0))</f>
        <v>US</v>
      </c>
      <c r="BB356" s="173" t="str">
        <f>INDEX(CarrierDriverTBL!$R:$R,MATCH(Table1[[#This Row],[DriverID]],CarrierDriverTBL!$A:$A,0))</f>
        <v>arturocarr777@gmail.com</v>
      </c>
      <c r="BC356" s="160">
        <f>INDEX(CarrierDriverTBL!$AB:$AB,MATCH(Table1[[#This Row],[DriverID]],CarrierDriverTBL!$A:$A,0))</f>
        <v>42418</v>
      </c>
      <c r="BD356" s="142" t="str">
        <f ca="1">INDEX(CarrierDriverTBL!$AD:$AD,MATCH(LoadMaster!$AN:$AN,CarrierDriverTBL!$A:$A,0))</f>
        <v>MISSING</v>
      </c>
      <c r="BE356" s="171">
        <f>INDEX(CarrierDriverTBL!$AE:$AE,MATCH(Table1[DriverID],CarrierDriverTBL!$A:$A,0))</f>
        <v>913971</v>
      </c>
      <c r="BF356" s="171">
        <f>INDEX(CarrierDriverTBL!$AF:$AF,MATCH(Table1[DriverID],CarrierDriverTBL!$A:$A,0))</f>
        <v>2627544</v>
      </c>
      <c r="BG356" s="10">
        <f>INDEX(CarrierDriverTBL!$AG:$AG,MATCH(Table1[DriverID],CarrierDriverTBL!$A:$A,0))</f>
        <v>466133</v>
      </c>
      <c r="BH356" s="171" t="str">
        <f>INDEX(CarrierDriverTBL!$AH:$AH,MATCH(Table1[DriverID],CarrierDriverTBL!$A:$A,0))</f>
        <v>GM Lawrence Ins</v>
      </c>
      <c r="BI356" s="171" t="str">
        <f>INDEX(CarrierDriverTBL!$AI:$AI,MATCH(Table1[DriverID],CarrierDriverTBL!$A:$A,0))</f>
        <v>DSK2842P160210</v>
      </c>
      <c r="BJ356" s="172">
        <f>INDEX(CarrierDriverTBL!$AJ:$AJ,MATCH(Table1[[#This Row],[DriverID]],CarrierDriverTBL!$A:$A,0))</f>
        <v>42778</v>
      </c>
      <c r="BK356" s="10">
        <f t="shared" si="147"/>
        <v>318</v>
      </c>
      <c r="BL356" s="5">
        <v>825</v>
      </c>
      <c r="BM356" s="306">
        <v>399</v>
      </c>
      <c r="BN356" s="307">
        <f t="shared" si="164"/>
        <v>2.0676691729323307</v>
      </c>
      <c r="BO356" s="134">
        <f>0.93*825</f>
        <v>767.25</v>
      </c>
      <c r="BP356" s="307">
        <f t="shared" si="165"/>
        <v>1.9229323308270676</v>
      </c>
      <c r="BQ356" s="133">
        <v>2.6</v>
      </c>
      <c r="BR356" s="308">
        <f t="shared" si="166"/>
        <v>0.1166666666666667</v>
      </c>
      <c r="BS356" s="307">
        <f t="shared" si="148"/>
        <v>1.8062656641604009</v>
      </c>
      <c r="BT356" s="307">
        <f t="shared" si="149"/>
        <v>46.550000000000011</v>
      </c>
      <c r="BU356" s="10" t="str">
        <f t="shared" si="150"/>
        <v>TQL</v>
      </c>
      <c r="BV356" s="303"/>
      <c r="BW356" s="4" t="str">
        <f>Table1[[#This Row],[BrokerAddress]]</f>
        <v>P.O. Box 799</v>
      </c>
      <c r="BX356" s="4" t="str">
        <f t="shared" si="151"/>
        <v>Milford</v>
      </c>
      <c r="BY356" s="4" t="str">
        <f t="shared" si="152"/>
        <v>Ohio</v>
      </c>
      <c r="BZ356" s="4">
        <f t="shared" si="153"/>
        <v>45150</v>
      </c>
      <c r="CA356" s="10" t="str">
        <f t="shared" si="154"/>
        <v>US</v>
      </c>
      <c r="CB356" s="15" t="s">
        <v>131</v>
      </c>
      <c r="CC356" s="62"/>
      <c r="CD356" s="15" t="s">
        <v>132</v>
      </c>
      <c r="CE356" s="64">
        <v>0</v>
      </c>
      <c r="CF356" s="4">
        <v>0</v>
      </c>
      <c r="CG356" s="132">
        <f t="shared" si="155"/>
        <v>0</v>
      </c>
      <c r="CH356" s="4" t="s">
        <v>132</v>
      </c>
      <c r="CI356" s="5">
        <v>0</v>
      </c>
      <c r="CJ356" s="4">
        <v>0</v>
      </c>
      <c r="CK356" s="132">
        <f t="shared" si="156"/>
        <v>0</v>
      </c>
      <c r="CL356" s="4" t="s">
        <v>132</v>
      </c>
      <c r="CM356" s="5">
        <v>0</v>
      </c>
      <c r="CN356" s="4">
        <v>0</v>
      </c>
      <c r="CO356" s="132">
        <f t="shared" si="157"/>
        <v>0</v>
      </c>
      <c r="CP356" s="4" t="s">
        <v>132</v>
      </c>
      <c r="CQ356" s="5">
        <v>0</v>
      </c>
      <c r="CR356" s="4">
        <v>0</v>
      </c>
      <c r="CS356" s="132">
        <f t="shared" si="158"/>
        <v>0</v>
      </c>
      <c r="CT356" s="132">
        <f t="shared" si="159"/>
        <v>0</v>
      </c>
      <c r="CU356" s="168">
        <f t="shared" si="160"/>
        <v>825</v>
      </c>
      <c r="CV356" s="177">
        <f t="shared" si="143"/>
        <v>0</v>
      </c>
      <c r="CW356" s="82">
        <f t="shared" si="144"/>
        <v>767.25</v>
      </c>
      <c r="CX356" s="79">
        <f>IF(ISBLANK(E356),"AddQuickPay",IF(E356=2,CU356*0.98,IF(E356=2.4,CU356*0.976,IF(E356=3,CU356*0.97,IF(E356=5,CU356*0.95,IF(E356=1.5,CU356*0.985,IF(E356=2.5,CU356*0.975,IF(E356=1.3,CU356*0.987,IF(E356=1,CU356*0.99,IF(E356=4,CU356*0.96,CU356*1))))))))))-Table1[[#This Row],[ComCheck+QuickPayFee]]</f>
        <v>800.25</v>
      </c>
      <c r="CY356" s="5">
        <f t="shared" si="161"/>
        <v>57.75</v>
      </c>
      <c r="CZ356" s="5">
        <f t="shared" si="162"/>
        <v>24.75</v>
      </c>
      <c r="DA356" s="258">
        <f>Table1[[#This Row],[OriginalDispatch]]-Table1[[#This Row],[QuickPayCharge]]</f>
        <v>33</v>
      </c>
      <c r="DB356" s="5">
        <v>0</v>
      </c>
      <c r="DC356" s="5" t="s">
        <v>1287</v>
      </c>
      <c r="DD356" s="309">
        <f t="shared" si="163"/>
        <v>42461</v>
      </c>
      <c r="DE356" s="306">
        <f>MONTH(Table1[[#This Row],[Weekending]])</f>
        <v>4</v>
      </c>
      <c r="DF356" s="306">
        <f>YEAR(Table1[[#This Row],[Weekending]])</f>
        <v>2016</v>
      </c>
      <c r="DG356" s="4"/>
    </row>
    <row r="357" spans="1:111">
      <c r="A357" s="300" t="str">
        <f t="shared" si="145"/>
        <v>04wnwn19</v>
      </c>
      <c r="B357" s="301">
        <v>42463</v>
      </c>
      <c r="C357" s="303">
        <v>196652404</v>
      </c>
      <c r="D357" s="300" t="s">
        <v>111</v>
      </c>
      <c r="E357" s="303">
        <v>2</v>
      </c>
      <c r="F357" s="304" t="str">
        <f>INDEX(BrokerTBL!$B:$B,MATCH(D357,BrokerTBL!$A:$A,0))</f>
        <v>P.O. Box 3474</v>
      </c>
      <c r="G357" s="303" t="str">
        <f>INDEX(BrokerTBL!$C:$C,MATCH(D357,BrokerTBL!$A:$A,0))</f>
        <v>Chicago</v>
      </c>
      <c r="H357" s="4" t="str">
        <f>INDEX(BrokerTBL!$D:$D,MATCH(D357,BrokerTBL!$A:$A,0))</f>
        <v>Il</v>
      </c>
      <c r="I357" s="4" t="str">
        <f>INDEX(BrokerTBL!$E:$E,MATCH(D357,BrokerTBL!$A:$A,0))</f>
        <v>US</v>
      </c>
      <c r="J357" s="4">
        <f>INDEX(BrokerTBL!$F:$F,MATCH(D357,BrokerTBL!$A:$A,0))</f>
        <v>60654</v>
      </c>
      <c r="K357" s="300" t="s">
        <v>1888</v>
      </c>
      <c r="L357" s="302" t="s">
        <v>1205</v>
      </c>
      <c r="M357" s="301">
        <v>42461</v>
      </c>
      <c r="N357" s="303" t="s">
        <v>2500</v>
      </c>
      <c r="O357" s="303" t="s">
        <v>1641</v>
      </c>
      <c r="P357" s="300" t="s">
        <v>1890</v>
      </c>
      <c r="Q357" s="300" t="s">
        <v>2233</v>
      </c>
      <c r="R357" s="300">
        <v>89706</v>
      </c>
      <c r="S357" s="300" t="s">
        <v>2207</v>
      </c>
      <c r="T357" s="298" t="s">
        <v>123</v>
      </c>
      <c r="U357" s="300" t="s">
        <v>120</v>
      </c>
      <c r="V357" s="300">
        <v>53</v>
      </c>
      <c r="W357" s="300" t="s">
        <v>1644</v>
      </c>
      <c r="X357" s="310">
        <v>44500</v>
      </c>
      <c r="Y357" s="303" t="s">
        <v>2458</v>
      </c>
      <c r="Z357" s="300" t="s">
        <v>123</v>
      </c>
      <c r="AA357" s="300" t="s">
        <v>123</v>
      </c>
      <c r="AB357" s="300" t="s">
        <v>123</v>
      </c>
      <c r="AC357" s="300" t="s">
        <v>2501</v>
      </c>
      <c r="AD357" s="302" t="s">
        <v>1205</v>
      </c>
      <c r="AE357" s="301">
        <v>42464</v>
      </c>
      <c r="AF357" s="301" t="s">
        <v>1316</v>
      </c>
      <c r="AG357" s="300" t="s">
        <v>2412</v>
      </c>
      <c r="AH357" s="300" t="s">
        <v>2168</v>
      </c>
      <c r="AI357" s="300" t="s">
        <v>2206</v>
      </c>
      <c r="AJ357" s="300" t="s">
        <v>2460</v>
      </c>
      <c r="AK357" s="300" t="s">
        <v>2207</v>
      </c>
      <c r="AL357" s="300" t="s">
        <v>123</v>
      </c>
      <c r="AM357" s="171" t="str">
        <f>INDEX(CarrierDriverTBL!$B:$B,MATCH(Table1[[#This Row],[DriverID]],CarrierDriverTBL!$A:$A,0))</f>
        <v>UBTrucking</v>
      </c>
      <c r="AN357" s="10" t="s">
        <v>1409</v>
      </c>
      <c r="AO357" s="298" t="str">
        <f>INDEX(CarrierDriverTBL!$C:$C,MATCH(Table1[[#This Row],[DriverID]],CarrierDriverTBL!$A:$A,0))</f>
        <v>Miguel Jaime</v>
      </c>
      <c r="AP357" s="298" t="str">
        <f>INDEX(CarrierDriverTBL!$D:$D,MATCH(Table1[[#This Row],[DriverID]],CarrierDriverTBL!$A:$A,0))</f>
        <v>Martin Del Campo Velarca</v>
      </c>
      <c r="AQ357" s="142" t="str">
        <f>INDEX(CarrierDriverTBL!$X:$X,MATCH(Table1[[#This Row],[DriverID]],CarrierDriverTBL!$A:$A,0))</f>
        <v>D5179619</v>
      </c>
      <c r="AR357" s="160">
        <f>INDEX(CarrierDriverTBL!$Y:$Y,MATCH(Table1[[#This Row],[DriverID]],CarrierDriverTBL!$A:$A,0))</f>
        <v>43843</v>
      </c>
      <c r="AS357" s="142" t="str">
        <f t="shared" si="146"/>
        <v>GOOD</v>
      </c>
      <c r="AT357" s="146">
        <f>INDEX(CarrierDriverTBL!$E:$E,MATCH(Table1[[#This Row],[DriverID]],CarrierDriverTBL!$A:$A,0))</f>
        <v>21198</v>
      </c>
      <c r="AU357" s="163">
        <f ca="1">INDEX(CarrierDriverTBL!$F:$F,MATCH(Table1[[#This Row],[DriverID]],CarrierDriverTBL!$A:$A,0))</f>
        <v>58.56986301369863</v>
      </c>
      <c r="AV357" s="298" t="str">
        <f>INDEX(CarrierDriverTBL!$K:$K,MATCH(Table1[[#This Row],[DriverID]],CarrierDriverTBL!$A:$A,0))</f>
        <v>209-322-5231</v>
      </c>
      <c r="AW357" s="298" t="str">
        <f>INDEX(CarrierDriverTBL!$M:$M,MATCH(Table1[[#This Row],[DriverID]],CarrierDriverTBL!$A:$A,0))</f>
        <v>572 Predersen RD</v>
      </c>
      <c r="AX357" s="298" t="str">
        <f>INDEX(CarrierDriverTBL!$N:$N,MATCH(Table1[[#This Row],[DriverID]],CarrierDriverTBL!$A:$A,0))</f>
        <v>Oakdale</v>
      </c>
      <c r="AY357" s="142" t="str">
        <f>INDEX(CarrierDriverTBL!$O:$O,MATCH(Table1[[#This Row],[DriverID]],CarrierDriverTBL!$A:$A,0))</f>
        <v>CA</v>
      </c>
      <c r="AZ357" s="298">
        <f>INDEX(CarrierDriverTBL!$P:$P,MATCH(Table1[[#This Row],[DriverID]],CarrierDriverTBL!$A:$A,0))</f>
        <v>95361</v>
      </c>
      <c r="BA357" s="298" t="str">
        <f>INDEX(CarrierDriverTBL!$Q:$Q,MATCH(Table1[[#This Row],[DriverID]],CarrierDriverTBL!$A:$A,0))</f>
        <v>US</v>
      </c>
      <c r="BB357" s="176" t="str">
        <f>INDEX(CarrierDriverTBL!$R:$R,MATCH(Table1[[#This Row],[DriverID]],CarrierDriverTBL!$A:$A,0))</f>
        <v>Miguelmartin52@yahoo.com</v>
      </c>
      <c r="BC357" s="160">
        <f>INDEX(CarrierDriverTBL!$AB:$AB,MATCH(Table1[[#This Row],[DriverID]],CarrierDriverTBL!$A:$A,0))</f>
        <v>42334</v>
      </c>
      <c r="BD357" s="142" t="str">
        <f ca="1">INDEX(CarrierDriverTBL!$AD:$AD,MATCH(LoadMaster!$AN:$AN,CarrierDriverTBL!$A:$A,0))</f>
        <v>MISSING</v>
      </c>
      <c r="BE357" s="142">
        <f>INDEX(CarrierDriverTBL!$AE:$AE,MATCH(Table1[DriverID],CarrierDriverTBL!$A:$A,0))</f>
        <v>913971</v>
      </c>
      <c r="BF357" s="142">
        <f>INDEX(CarrierDriverTBL!$AF:$AF,MATCH(Table1[DriverID],CarrierDriverTBL!$A:$A,0))</f>
        <v>2627544</v>
      </c>
      <c r="BG357" s="142">
        <f>INDEX(CarrierDriverTBL!$AG:$AG,MATCH(Table1[DriverID],CarrierDriverTBL!$A:$A,0))</f>
        <v>466133</v>
      </c>
      <c r="BH357" s="142" t="str">
        <f>INDEX(CarrierDriverTBL!$AH:$AH,MATCH(Table1[DriverID],CarrierDriverTBL!$A:$A,0))</f>
        <v>GM Lawrence Ins</v>
      </c>
      <c r="BI357" s="142" t="str">
        <f>INDEX(CarrierDriverTBL!$AI:$AI,MATCH(Table1[DriverID],CarrierDriverTBL!$A:$A,0))</f>
        <v>DSK2842P160210</v>
      </c>
      <c r="BJ357" s="172">
        <f>INDEX(CarrierDriverTBL!$AJ:$AJ,MATCH(Table1[[#This Row],[DriverID]],CarrierDriverTBL!$A:$A,0))</f>
        <v>42778</v>
      </c>
      <c r="BK357" s="10">
        <f t="shared" si="147"/>
        <v>317</v>
      </c>
      <c r="BL357" s="5">
        <v>150</v>
      </c>
      <c r="BM357" s="306">
        <v>1</v>
      </c>
      <c r="BN357" s="307">
        <f t="shared" si="164"/>
        <v>150</v>
      </c>
      <c r="BO357" s="134">
        <v>125</v>
      </c>
      <c r="BP357" s="307">
        <f t="shared" si="165"/>
        <v>125</v>
      </c>
      <c r="BQ357" s="133">
        <v>2.6</v>
      </c>
      <c r="BR357" s="308">
        <f t="shared" si="166"/>
        <v>0.1166666666666667</v>
      </c>
      <c r="BS357" s="307">
        <f t="shared" si="148"/>
        <v>124.88333333333334</v>
      </c>
      <c r="BT357" s="307">
        <f t="shared" si="149"/>
        <v>0.1166666666666667</v>
      </c>
      <c r="BU357" s="10" t="str">
        <f t="shared" si="150"/>
        <v>Ch Robinson</v>
      </c>
      <c r="BV357" s="303"/>
      <c r="BW357" s="4" t="str">
        <f>Table1[[#This Row],[BrokerAddress]]</f>
        <v>P.O. Box 3474</v>
      </c>
      <c r="BX357" s="4" t="str">
        <f t="shared" si="151"/>
        <v>Chicago</v>
      </c>
      <c r="BY357" s="4" t="str">
        <f t="shared" si="152"/>
        <v>Il</v>
      </c>
      <c r="BZ357" s="4">
        <f t="shared" si="153"/>
        <v>60654</v>
      </c>
      <c r="CA357" s="10" t="str">
        <f t="shared" si="154"/>
        <v>US</v>
      </c>
      <c r="CB357" s="15" t="s">
        <v>131</v>
      </c>
      <c r="CC357" s="62"/>
      <c r="CD357" s="15" t="s">
        <v>132</v>
      </c>
      <c r="CE357" s="64">
        <v>0</v>
      </c>
      <c r="CF357" s="4">
        <v>0</v>
      </c>
      <c r="CG357" s="132">
        <f t="shared" si="155"/>
        <v>0</v>
      </c>
      <c r="CH357" s="4" t="s">
        <v>132</v>
      </c>
      <c r="CI357" s="5">
        <v>0</v>
      </c>
      <c r="CJ357" s="4">
        <v>0</v>
      </c>
      <c r="CK357" s="132">
        <f t="shared" si="156"/>
        <v>0</v>
      </c>
      <c r="CL357" s="4" t="s">
        <v>132</v>
      </c>
      <c r="CM357" s="5">
        <v>0</v>
      </c>
      <c r="CN357" s="4">
        <v>0</v>
      </c>
      <c r="CO357" s="132">
        <f t="shared" si="157"/>
        <v>0</v>
      </c>
      <c r="CP357" s="4" t="s">
        <v>132</v>
      </c>
      <c r="CQ357" s="5">
        <v>0</v>
      </c>
      <c r="CR357" s="4">
        <v>0</v>
      </c>
      <c r="CS357" s="132">
        <f t="shared" si="158"/>
        <v>0</v>
      </c>
      <c r="CT357" s="132">
        <f t="shared" si="159"/>
        <v>0</v>
      </c>
      <c r="CU357" s="168">
        <f t="shared" si="160"/>
        <v>150</v>
      </c>
      <c r="CV357" s="177">
        <f t="shared" si="143"/>
        <v>0</v>
      </c>
      <c r="CW357" s="82">
        <f t="shared" si="144"/>
        <v>125</v>
      </c>
      <c r="CX357" s="79">
        <f>IF(ISBLANK(E357),"AddQuickPay",IF(E357=2,CU357*0.98,IF(E357=2.4,CU357*0.976,IF(E357=3,CU357*0.97,IF(E357=5,CU357*0.95,IF(E357=1.5,CU357*0.985,IF(E357=2.5,CU357*0.975,IF(E357=1.3,CU357*0.987,IF(E357=1,CU357*0.99,IF(E357=4,CU357*0.96,CU357*1))))))))))-Table1[[#This Row],[ComCheck+QuickPayFee]]</f>
        <v>147</v>
      </c>
      <c r="CY357" s="5">
        <f t="shared" si="161"/>
        <v>25</v>
      </c>
      <c r="CZ357" s="5">
        <f t="shared" si="162"/>
        <v>3</v>
      </c>
      <c r="DA357" s="258">
        <f>Table1[[#This Row],[OriginalDispatch]]-Table1[[#This Row],[QuickPayCharge]]</f>
        <v>22</v>
      </c>
      <c r="DB357" s="5">
        <v>0</v>
      </c>
      <c r="DC357" s="5" t="s">
        <v>1287</v>
      </c>
      <c r="DD357" s="309">
        <f t="shared" si="163"/>
        <v>42461</v>
      </c>
      <c r="DE357" s="306">
        <f>MONTH(Table1[[#This Row],[Weekending]])</f>
        <v>4</v>
      </c>
      <c r="DF357" s="306">
        <f>YEAR(Table1[[#This Row],[Weekending]])</f>
        <v>2016</v>
      </c>
      <c r="DG357" s="4"/>
    </row>
    <row r="358" spans="1:111">
      <c r="A358" s="416" t="str">
        <f t="shared" si="145"/>
        <v>51131349</v>
      </c>
      <c r="B358" s="104">
        <v>42471</v>
      </c>
      <c r="C358" s="15">
        <v>184251</v>
      </c>
      <c r="D358" s="416" t="s">
        <v>2502</v>
      </c>
      <c r="E358" s="15">
        <v>0</v>
      </c>
      <c r="F358" s="144" t="str">
        <f>INDEX(BrokerTBL!$B:$B,MATCH(D358,BrokerTBL!$A:$A,0))</f>
        <v>411 Brisbane St</v>
      </c>
      <c r="G358" s="15" t="str">
        <f>INDEX(BrokerTBL!$C:$C,MATCH(D358,BrokerTBL!$A:$A,0))</f>
        <v>Houston</v>
      </c>
      <c r="H358" s="4" t="str">
        <f>INDEX(BrokerTBL!$D:$D,MATCH(D358,BrokerTBL!$A:$A,0))</f>
        <v>TX</v>
      </c>
      <c r="I358" s="4" t="str">
        <f>INDEX(BrokerTBL!$E:$E,MATCH(D358,BrokerTBL!$A:$A,0))</f>
        <v>US</v>
      </c>
      <c r="J358" s="4">
        <f>INDEX(BrokerTBL!$F:$F,MATCH(D358,BrokerTBL!$A:$A,0))</f>
        <v>77061</v>
      </c>
      <c r="K358" s="416" t="s">
        <v>2503</v>
      </c>
      <c r="L358" s="81">
        <v>207513</v>
      </c>
      <c r="M358" s="104">
        <v>42464</v>
      </c>
      <c r="N358" s="15" t="s">
        <v>2504</v>
      </c>
      <c r="O358" s="15" t="s">
        <v>2505</v>
      </c>
      <c r="P358" s="416" t="s">
        <v>299</v>
      </c>
      <c r="Q358" s="416" t="s">
        <v>2206</v>
      </c>
      <c r="R358" s="416">
        <v>94607</v>
      </c>
      <c r="S358" s="416" t="s">
        <v>2207</v>
      </c>
      <c r="T358" s="416" t="s">
        <v>2506</v>
      </c>
      <c r="U358" s="416" t="s">
        <v>120</v>
      </c>
      <c r="V358" s="416">
        <v>53</v>
      </c>
      <c r="W358" s="416" t="s">
        <v>2507</v>
      </c>
      <c r="X358" s="225">
        <v>44000</v>
      </c>
      <c r="Y358" s="15" t="s">
        <v>123</v>
      </c>
      <c r="Z358" s="416" t="s">
        <v>123</v>
      </c>
      <c r="AA358" s="416" t="s">
        <v>123</v>
      </c>
      <c r="AB358" s="416" t="s">
        <v>123</v>
      </c>
      <c r="AC358" s="416" t="s">
        <v>2508</v>
      </c>
      <c r="AD358" s="81">
        <v>207513</v>
      </c>
      <c r="AE358" s="104">
        <v>42465</v>
      </c>
      <c r="AF358" s="104" t="s">
        <v>2509</v>
      </c>
      <c r="AG358" s="416" t="s">
        <v>2510</v>
      </c>
      <c r="AH358" s="416" t="s">
        <v>2451</v>
      </c>
      <c r="AI358" s="416" t="s">
        <v>264</v>
      </c>
      <c r="AJ358" s="416">
        <v>89434</v>
      </c>
      <c r="AK358" s="416" t="s">
        <v>2207</v>
      </c>
      <c r="AL358" s="416" t="s">
        <v>2511</v>
      </c>
      <c r="AM358" s="171" t="str">
        <f>INDEX(CarrierDriverTBL!$B:$B,MATCH(Table1[[#This Row],[DriverID]],CarrierDriverTBL!$A:$A,0))</f>
        <v>UBTrucking</v>
      </c>
      <c r="AN358" s="10" t="s">
        <v>192</v>
      </c>
      <c r="AO358" s="10" t="str">
        <f>INDEX(CarrierDriverTBL!$C:$C,MATCH(Table1[[#This Row],[DriverID]],CarrierDriverTBL!$A:$A,0))</f>
        <v>Albel</v>
      </c>
      <c r="AP358" s="142" t="str">
        <f>INDEX(CarrierDriverTBL!$D:$D,MATCH(Table1[[#This Row],[DriverID]],CarrierDriverTBL!$A:$A,0))</f>
        <v>Chahil</v>
      </c>
      <c r="AQ358" s="142" t="str">
        <f>INDEX(CarrierDriverTBL!$X:$X,MATCH(Table1[[#This Row],[DriverID]],CarrierDriverTBL!$A:$A,0))</f>
        <v>A8390649</v>
      </c>
      <c r="AR358" s="160">
        <f>INDEX(CarrierDriverTBL!$Y:$Y,MATCH(Table1[[#This Row],[DriverID]],CarrierDriverTBL!$A:$A,0))</f>
        <v>42402</v>
      </c>
      <c r="AS358" s="142" t="str">
        <f t="shared" si="146"/>
        <v>EXPIRED</v>
      </c>
      <c r="AT358" s="160">
        <f>INDEX(CarrierDriverTBL!$E:$E,MATCH(Table1[[#This Row],[DriverID]],CarrierDriverTBL!$A:$A,0))</f>
        <v>22314</v>
      </c>
      <c r="AU358" s="163">
        <f ca="1">INDEX(CarrierDriverTBL!$F:$F,MATCH(Table1[[#This Row],[DriverID]],CarrierDriverTBL!$A:$A,0))</f>
        <v>55.512328767123286</v>
      </c>
      <c r="AV358" s="142" t="str">
        <f>INDEX(CarrierDriverTBL!$K:$K,MATCH(Table1[[#This Row],[DriverID]],CarrierDriverTBL!$A:$A,0))</f>
        <v>510-773-9450</v>
      </c>
      <c r="AW358" s="142" t="str">
        <f>INDEX(CarrierDriverTBL!$M:$M,MATCH(Table1[[#This Row],[DriverID]],CarrierDriverTBL!$A:$A,0))</f>
        <v>3124 Cynthia CT</v>
      </c>
      <c r="AX358" s="142" t="str">
        <f>INDEX(CarrierDriverTBL!$N:$N,MATCH(Table1[[#This Row],[DriverID]],CarrierDriverTBL!$A:$A,0))</f>
        <v>Tracy</v>
      </c>
      <c r="AY358" s="142" t="str">
        <f>INDEX(CarrierDriverTBL!$O:$O,MATCH(Table1[[#This Row],[DriverID]],CarrierDriverTBL!$A:$A,0))</f>
        <v>CA</v>
      </c>
      <c r="AZ358" s="142">
        <f>INDEX(CarrierDriverTBL!$P:$P,MATCH(Table1[[#This Row],[DriverID]],CarrierDriverTBL!$A:$A,0))</f>
        <v>95377</v>
      </c>
      <c r="BA358" s="142" t="str">
        <f>INDEX(CarrierDriverTBL!$Q:$Q,MATCH(Table1[[#This Row],[DriverID]],CarrierDriverTBL!$A:$A,0))</f>
        <v>US</v>
      </c>
      <c r="BB358" s="176" t="str">
        <f>INDEX(CarrierDriverTBL!$R:$R,MATCH(Table1[[#This Row],[DriverID]],CarrierDriverTBL!$A:$A,0))</f>
        <v>ubgollc@gmail.com</v>
      </c>
      <c r="BC358" s="160">
        <f>INDEX(CarrierDriverTBL!$AB:$AB,MATCH(Table1[[#This Row],[DriverID]],CarrierDriverTBL!$A:$A,0))</f>
        <v>42167</v>
      </c>
      <c r="BD358" s="142" t="str">
        <f ca="1">INDEX(CarrierDriverTBL!$AD:$AD,MATCH(LoadMaster!$AN:$AN,CarrierDriverTBL!$A:$A,0))</f>
        <v>MISSING</v>
      </c>
      <c r="BE358" s="142">
        <f>INDEX(CarrierDriverTBL!$AE:$AE,MATCH(Table1[DriverID],CarrierDriverTBL!$A:$A,0))</f>
        <v>913971</v>
      </c>
      <c r="BF358" s="142">
        <f>INDEX(CarrierDriverTBL!$AF:$AF,MATCH(Table1[DriverID],CarrierDriverTBL!$A:$A,0))</f>
        <v>2627544</v>
      </c>
      <c r="BG358" s="142">
        <f>INDEX(CarrierDriverTBL!$AG:$AG,MATCH(Table1[DriverID],CarrierDriverTBL!$A:$A,0))</f>
        <v>466133</v>
      </c>
      <c r="BH358" s="142" t="str">
        <f>INDEX(CarrierDriverTBL!$AH:$AH,MATCH(Table1[DriverID],CarrierDriverTBL!$A:$A,0))</f>
        <v>GM Lawrence Ins</v>
      </c>
      <c r="BI358" s="142" t="str">
        <f>INDEX(CarrierDriverTBL!$AI:$AI,MATCH(Table1[DriverID],CarrierDriverTBL!$A:$A,0))</f>
        <v>DSK2842P160210</v>
      </c>
      <c r="BJ358" s="160">
        <f>INDEX(CarrierDriverTBL!$AJ:$AJ,MATCH(Table1[[#This Row],[DriverID]],CarrierDriverTBL!$A:$A,0))</f>
        <v>42778</v>
      </c>
      <c r="BK358" s="10">
        <f t="shared" si="147"/>
        <v>314</v>
      </c>
      <c r="BL358" s="5">
        <v>600</v>
      </c>
      <c r="BM358" s="171">
        <v>215</v>
      </c>
      <c r="BN358" s="133">
        <f t="shared" si="164"/>
        <v>2.7906976744186047</v>
      </c>
      <c r="BO358" s="134">
        <f>0.93*Table1[[#This Row],[ChargeBroker]]</f>
        <v>558</v>
      </c>
      <c r="BP358" s="133">
        <f t="shared" si="165"/>
        <v>2.5953488372093023</v>
      </c>
      <c r="BQ358" s="133">
        <v>2.6</v>
      </c>
      <c r="BR358" s="215">
        <f t="shared" si="166"/>
        <v>0.1166666666666667</v>
      </c>
      <c r="BS358" s="133">
        <f t="shared" si="148"/>
        <v>2.4786821705426356</v>
      </c>
      <c r="BT358" s="133">
        <f t="shared" si="149"/>
        <v>25.083333333333339</v>
      </c>
      <c r="BU358" s="10" t="str">
        <f t="shared" si="150"/>
        <v>Gulf Winds</v>
      </c>
      <c r="BV358" s="15"/>
      <c r="BW358" s="4" t="str">
        <f>Table1[[#This Row],[BrokerAddress]]</f>
        <v>411 Brisbane St</v>
      </c>
      <c r="BX358" s="4" t="str">
        <f t="shared" si="151"/>
        <v>Houston</v>
      </c>
      <c r="BY358" s="4" t="str">
        <f t="shared" si="152"/>
        <v>TX</v>
      </c>
      <c r="BZ358" s="4">
        <f t="shared" si="153"/>
        <v>77061</v>
      </c>
      <c r="CA358" s="10" t="str">
        <f t="shared" si="154"/>
        <v>US</v>
      </c>
      <c r="CB358" s="15" t="s">
        <v>131</v>
      </c>
      <c r="CC358" s="62"/>
      <c r="CD358" s="15" t="s">
        <v>132</v>
      </c>
      <c r="CE358" s="64">
        <v>0</v>
      </c>
      <c r="CF358" s="4">
        <v>0</v>
      </c>
      <c r="CG358" s="132">
        <f t="shared" si="155"/>
        <v>0</v>
      </c>
      <c r="CH358" s="4" t="s">
        <v>132</v>
      </c>
      <c r="CI358" s="5">
        <v>0</v>
      </c>
      <c r="CJ358" s="4">
        <v>0</v>
      </c>
      <c r="CK358" s="132">
        <f t="shared" si="156"/>
        <v>0</v>
      </c>
      <c r="CL358" s="4" t="s">
        <v>132</v>
      </c>
      <c r="CM358" s="5">
        <v>0</v>
      </c>
      <c r="CN358" s="4">
        <v>0</v>
      </c>
      <c r="CO358" s="132">
        <f t="shared" si="157"/>
        <v>0</v>
      </c>
      <c r="CP358" s="4" t="s">
        <v>132</v>
      </c>
      <c r="CQ358" s="5">
        <v>0</v>
      </c>
      <c r="CR358" s="4">
        <v>0</v>
      </c>
      <c r="CS358" s="132">
        <f t="shared" si="158"/>
        <v>0</v>
      </c>
      <c r="CT358" s="132">
        <f t="shared" si="159"/>
        <v>0</v>
      </c>
      <c r="CU358" s="168">
        <f t="shared" si="160"/>
        <v>600</v>
      </c>
      <c r="CV358" s="177">
        <f t="shared" si="143"/>
        <v>0</v>
      </c>
      <c r="CW358" s="82">
        <f t="shared" si="144"/>
        <v>558</v>
      </c>
      <c r="CX358" s="79">
        <f>IF(ISBLANK(E358),"AddQuickPay",IF(E358=2,CU358*0.98,IF(E358=2.4,CU358*0.976,IF(E358=3,CU358*0.97,IF(E358=5,CU358*0.95,IF(E358=1.5,CU358*0.985,IF(E358=2.5,CU358*0.975,IF(E358=1.3,CU358*0.987,IF(E358=1,CU358*0.99,IF(E358=4,CU358*0.96,CU358*1))))))))))-Table1[[#This Row],[ComCheck+QuickPayFee]]</f>
        <v>600</v>
      </c>
      <c r="CY358" s="5">
        <f t="shared" si="161"/>
        <v>42</v>
      </c>
      <c r="CZ358" s="5">
        <f t="shared" si="162"/>
        <v>0</v>
      </c>
      <c r="DA358" s="258">
        <f>Table1[[#This Row],[OriginalDispatch]]-Table1[[#This Row],[QuickPayCharge]]</f>
        <v>42</v>
      </c>
      <c r="DB358" s="5">
        <v>0</v>
      </c>
      <c r="DC358" s="5" t="s">
        <v>1287</v>
      </c>
      <c r="DD358" s="172">
        <f t="shared" si="163"/>
        <v>42468</v>
      </c>
      <c r="DE358" s="171">
        <f>MONTH(Table1[[#This Row],[Weekending]])</f>
        <v>4</v>
      </c>
      <c r="DF358" s="171">
        <f>YEAR(Table1[[#This Row],[Weekending]])</f>
        <v>2016</v>
      </c>
      <c r="DG358" s="4"/>
    </row>
    <row r="359" spans="1:111">
      <c r="A359" s="416" t="str">
        <f t="shared" si="145"/>
        <v>77850493</v>
      </c>
      <c r="B359" s="104">
        <v>42471</v>
      </c>
      <c r="C359" s="15">
        <v>136077</v>
      </c>
      <c r="D359" s="416" t="s">
        <v>455</v>
      </c>
      <c r="E359" s="15">
        <v>2.5</v>
      </c>
      <c r="F359" s="144" t="str">
        <f>INDEX(BrokerTBL!$B:$B,MATCH(D359,BrokerTBL!$A:$A,0))</f>
        <v>5600 Headquarters Drive C2D11</v>
      </c>
      <c r="G359" s="15" t="str">
        <f>INDEX(BrokerTBL!$C:$C,MATCH(D359,BrokerTBL!$A:$A,0))</f>
        <v>Plano</v>
      </c>
      <c r="H359" s="4" t="str">
        <f>INDEX(BrokerTBL!$D:$D,MATCH(D359,BrokerTBL!$A:$A,0))</f>
        <v>Tx</v>
      </c>
      <c r="I359" s="4" t="str">
        <f>INDEX(BrokerTBL!$E:$E,MATCH(D359,BrokerTBL!$A:$A,0))</f>
        <v>US</v>
      </c>
      <c r="J359" s="4">
        <f>INDEX(BrokerTBL!$F:$F,MATCH(D359,BrokerTBL!$A:$A,0))</f>
        <v>75024</v>
      </c>
      <c r="K359" s="416" t="s">
        <v>2512</v>
      </c>
      <c r="L359" s="81">
        <v>1019173385</v>
      </c>
      <c r="M359" s="104">
        <v>42464</v>
      </c>
      <c r="N359" s="162" t="s">
        <v>123</v>
      </c>
      <c r="O359" s="15" t="s">
        <v>2450</v>
      </c>
      <c r="P359" s="416" t="s">
        <v>2451</v>
      </c>
      <c r="Q359" s="416" t="s">
        <v>2206</v>
      </c>
      <c r="R359" s="416">
        <v>89434</v>
      </c>
      <c r="S359" s="416" t="s">
        <v>2207</v>
      </c>
      <c r="T359" s="416" t="s">
        <v>1630</v>
      </c>
      <c r="U359" s="416" t="s">
        <v>120</v>
      </c>
      <c r="V359" s="416">
        <v>53</v>
      </c>
      <c r="W359" s="416" t="s">
        <v>2181</v>
      </c>
      <c r="X359" s="144" t="s">
        <v>123</v>
      </c>
      <c r="Y359" s="15" t="s">
        <v>123</v>
      </c>
      <c r="Z359" s="416" t="s">
        <v>123</v>
      </c>
      <c r="AA359" s="416" t="s">
        <v>123</v>
      </c>
      <c r="AB359" s="416" t="s">
        <v>123</v>
      </c>
      <c r="AC359" s="416" t="s">
        <v>2513</v>
      </c>
      <c r="AD359" s="81">
        <v>69728504</v>
      </c>
      <c r="AE359" s="104">
        <v>42465</v>
      </c>
      <c r="AF359" s="416" t="s">
        <v>123</v>
      </c>
      <c r="AG359" s="416" t="s">
        <v>2514</v>
      </c>
      <c r="AH359" s="416" t="s">
        <v>2515</v>
      </c>
      <c r="AI359" s="416" t="s">
        <v>2206</v>
      </c>
      <c r="AJ359" s="416">
        <v>92307</v>
      </c>
      <c r="AK359" s="416" t="s">
        <v>2207</v>
      </c>
      <c r="AL359" s="416" t="s">
        <v>2516</v>
      </c>
      <c r="AM359" s="171" t="str">
        <f>INDEX(CarrierDriverTBL!$B:$B,MATCH(Table1[[#This Row],[DriverID]],CarrierDriverTBL!$A:$A,0))</f>
        <v>UBTrucking</v>
      </c>
      <c r="AN359" s="10" t="s">
        <v>2234</v>
      </c>
      <c r="AO359" s="171" t="str">
        <f>INDEX(CarrierDriverTBL!$C:$C,MATCH(Table1[[#This Row],[DriverID]],CarrierDriverTBL!$A:$A,0))</f>
        <v>Arturo</v>
      </c>
      <c r="AP359" s="171" t="str">
        <f>INDEX(CarrierDriverTBL!$D:$D,MATCH(Table1[[#This Row],[DriverID]],CarrierDriverTBL!$A:$A,0))</f>
        <v>Carrillo</v>
      </c>
      <c r="AQ359" s="171" t="str">
        <f>INDEX(CarrierDriverTBL!$X:$X,MATCH(Table1[[#This Row],[DriverID]],CarrierDriverTBL!$A:$A,0))</f>
        <v>C7056793</v>
      </c>
      <c r="AR359" s="160">
        <f>INDEX(CarrierDriverTBL!$Y:$Y,MATCH(Table1[[#This Row],[DriverID]],CarrierDriverTBL!$A:$A,0))</f>
        <v>43410</v>
      </c>
      <c r="AS359" s="142" t="str">
        <f t="shared" si="146"/>
        <v>GOOD</v>
      </c>
      <c r="AT359" s="172">
        <f>INDEX(CarrierDriverTBL!$E:$E,MATCH(Table1[[#This Row],[DriverID]],CarrierDriverTBL!$A:$A,0))</f>
        <v>24782</v>
      </c>
      <c r="AU359" s="163">
        <f ca="1">INDEX(CarrierDriverTBL!$F:$F,MATCH(Table1[[#This Row],[DriverID]],CarrierDriverTBL!$A:$A,0))</f>
        <v>48.750684931506846</v>
      </c>
      <c r="AV359" s="171" t="str">
        <f>INDEX(CarrierDriverTBL!$K:$K,MATCH(Table1[[#This Row],[DriverID]],CarrierDriverTBL!$A:$A,0))</f>
        <v>209-276-9785</v>
      </c>
      <c r="AW359" s="171" t="str">
        <f>INDEX(CarrierDriverTBL!$M:$M,MATCH(Table1[[#This Row],[DriverID]],CarrierDriverTBL!$A:$A,0))</f>
        <v>1685 Winthrop Ln</v>
      </c>
      <c r="AX359" s="171" t="str">
        <f>INDEX(CarrierDriverTBL!$N:$N,MATCH(Table1[[#This Row],[DriverID]],CarrierDriverTBL!$A:$A,0))</f>
        <v>Ceres</v>
      </c>
      <c r="AY359" s="171" t="str">
        <f>INDEX(CarrierDriverTBL!$O:$O,MATCH(Table1[[#This Row],[DriverID]],CarrierDriverTBL!$A:$A,0))</f>
        <v>CA</v>
      </c>
      <c r="AZ359" s="171">
        <f>INDEX(CarrierDriverTBL!$P:$P,MATCH(Table1[[#This Row],[DriverID]],CarrierDriverTBL!$A:$A,0))</f>
        <v>95307</v>
      </c>
      <c r="BA359" s="171" t="str">
        <f>INDEX(CarrierDriverTBL!$Q:$Q,MATCH(Table1[[#This Row],[DriverID]],CarrierDriverTBL!$A:$A,0))</f>
        <v>US</v>
      </c>
      <c r="BB359" s="173" t="str">
        <f>INDEX(CarrierDriverTBL!$R:$R,MATCH(Table1[[#This Row],[DriverID]],CarrierDriverTBL!$A:$A,0))</f>
        <v>arturocarr777@gmail.com</v>
      </c>
      <c r="BC359" s="160">
        <f>INDEX(CarrierDriverTBL!$AB:$AB,MATCH(Table1[[#This Row],[DriverID]],CarrierDriverTBL!$A:$A,0))</f>
        <v>42418</v>
      </c>
      <c r="BD359" s="142" t="str">
        <f ca="1">INDEX(CarrierDriverTBL!$AD:$AD,MATCH(LoadMaster!$AN:$AN,CarrierDriverTBL!$A:$A,0))</f>
        <v>MISSING</v>
      </c>
      <c r="BE359" s="171">
        <f>INDEX(CarrierDriverTBL!$AE:$AE,MATCH(Table1[DriverID],CarrierDriverTBL!$A:$A,0))</f>
        <v>913971</v>
      </c>
      <c r="BF359" s="171">
        <f>INDEX(CarrierDriverTBL!$AF:$AF,MATCH(Table1[DriverID],CarrierDriverTBL!$A:$A,0))</f>
        <v>2627544</v>
      </c>
      <c r="BG359" s="10">
        <f>INDEX(CarrierDriverTBL!$AG:$AG,MATCH(Table1[DriverID],CarrierDriverTBL!$A:$A,0))</f>
        <v>466133</v>
      </c>
      <c r="BH359" s="171" t="str">
        <f>INDEX(CarrierDriverTBL!$AH:$AH,MATCH(Table1[DriverID],CarrierDriverTBL!$A:$A,0))</f>
        <v>GM Lawrence Ins</v>
      </c>
      <c r="BI359" s="171" t="str">
        <f>INDEX(CarrierDriverTBL!$AI:$AI,MATCH(Table1[DriverID],CarrierDriverTBL!$A:$A,0))</f>
        <v>DSK2842P160210</v>
      </c>
      <c r="BJ359" s="172">
        <f>INDEX(CarrierDriverTBL!$AJ:$AJ,MATCH(Table1[[#This Row],[DriverID]],CarrierDriverTBL!$A:$A,0))</f>
        <v>42778</v>
      </c>
      <c r="BK359" s="10">
        <f t="shared" si="147"/>
        <v>314</v>
      </c>
      <c r="BL359" s="5">
        <v>700</v>
      </c>
      <c r="BM359" s="171">
        <v>430</v>
      </c>
      <c r="BN359" s="133">
        <f t="shared" si="164"/>
        <v>1.6279069767441861</v>
      </c>
      <c r="BO359" s="134">
        <f>0.93*Table1[[#This Row],[ChargeBroker]]</f>
        <v>651</v>
      </c>
      <c r="BP359" s="133">
        <f t="shared" si="165"/>
        <v>1.5139534883720931</v>
      </c>
      <c r="BQ359" s="133">
        <v>2.6</v>
      </c>
      <c r="BR359" s="215">
        <f t="shared" si="166"/>
        <v>0.1166666666666667</v>
      </c>
      <c r="BS359" s="133">
        <f t="shared" si="148"/>
        <v>1.3972868217054264</v>
      </c>
      <c r="BT359" s="133">
        <f t="shared" si="149"/>
        <v>50.166666666666679</v>
      </c>
      <c r="BU359" s="10" t="str">
        <f t="shared" si="150"/>
        <v>Pepsi Logistics Company Inc</v>
      </c>
      <c r="BV359" s="15"/>
      <c r="BW359" s="4" t="str">
        <f>Table1[[#This Row],[BrokerAddress]]</f>
        <v>5600 Headquarters Drive C2D11</v>
      </c>
      <c r="BX359" s="4" t="str">
        <f t="shared" si="151"/>
        <v>Plano</v>
      </c>
      <c r="BY359" s="4" t="str">
        <f t="shared" si="152"/>
        <v>Tx</v>
      </c>
      <c r="BZ359" s="4">
        <f t="shared" si="153"/>
        <v>75024</v>
      </c>
      <c r="CA359" s="10" t="str">
        <f t="shared" si="154"/>
        <v>US</v>
      </c>
      <c r="CB359" s="15" t="s">
        <v>131</v>
      </c>
      <c r="CC359" s="62"/>
      <c r="CD359" s="15" t="s">
        <v>132</v>
      </c>
      <c r="CE359" s="64">
        <v>0</v>
      </c>
      <c r="CF359" s="4">
        <v>0</v>
      </c>
      <c r="CG359" s="132">
        <f t="shared" si="155"/>
        <v>0</v>
      </c>
      <c r="CH359" s="4" t="s">
        <v>132</v>
      </c>
      <c r="CI359" s="5">
        <v>0</v>
      </c>
      <c r="CJ359" s="4">
        <v>0</v>
      </c>
      <c r="CK359" s="132">
        <f t="shared" si="156"/>
        <v>0</v>
      </c>
      <c r="CL359" s="4" t="s">
        <v>132</v>
      </c>
      <c r="CM359" s="5">
        <v>0</v>
      </c>
      <c r="CN359" s="4">
        <v>0</v>
      </c>
      <c r="CO359" s="132">
        <f t="shared" si="157"/>
        <v>0</v>
      </c>
      <c r="CP359" s="4" t="s">
        <v>132</v>
      </c>
      <c r="CQ359" s="5">
        <v>0</v>
      </c>
      <c r="CR359" s="4">
        <v>0</v>
      </c>
      <c r="CS359" s="132">
        <f t="shared" si="158"/>
        <v>0</v>
      </c>
      <c r="CT359" s="132">
        <f t="shared" si="159"/>
        <v>0</v>
      </c>
      <c r="CU359" s="168">
        <f t="shared" si="160"/>
        <v>700</v>
      </c>
      <c r="CV359" s="177">
        <f t="shared" si="143"/>
        <v>0</v>
      </c>
      <c r="CW359" s="82">
        <f t="shared" si="144"/>
        <v>651</v>
      </c>
      <c r="CX359" s="79">
        <f>IF(ISBLANK(E359),"AddQuickPay",IF(E359=2,CU359*0.98,IF(E359=2.4,CU359*0.976,IF(E359=3,CU359*0.97,IF(E359=5,CU359*0.95,IF(E359=1.5,CU359*0.985,IF(E359=2.5,CU359*0.975,IF(E359=1.3,CU359*0.987,IF(E359=1,CU359*0.99,IF(E359=4,CU359*0.96,CU359*1))))))))))-Table1[[#This Row],[ComCheck+QuickPayFee]]</f>
        <v>682.5</v>
      </c>
      <c r="CY359" s="5">
        <f t="shared" si="161"/>
        <v>49</v>
      </c>
      <c r="CZ359" s="5">
        <f t="shared" si="162"/>
        <v>17.5</v>
      </c>
      <c r="DA359" s="258">
        <f>Table1[[#This Row],[OriginalDispatch]]-Table1[[#This Row],[QuickPayCharge]]</f>
        <v>31.5</v>
      </c>
      <c r="DB359" s="5">
        <v>0</v>
      </c>
      <c r="DC359" s="5" t="s">
        <v>1287</v>
      </c>
      <c r="DD359" s="172">
        <f t="shared" si="163"/>
        <v>42468</v>
      </c>
      <c r="DE359" s="171">
        <f>MONTH(Table1[[#This Row],[Weekending]])</f>
        <v>4</v>
      </c>
      <c r="DF359" s="171">
        <f>YEAR(Table1[[#This Row],[Weekending]])</f>
        <v>2016</v>
      </c>
      <c r="DG359" s="4"/>
    </row>
    <row r="360" spans="1:111">
      <c r="A360" s="300" t="str">
        <f t="shared" si="145"/>
        <v>83LELE93</v>
      </c>
      <c r="B360" s="301">
        <v>42466</v>
      </c>
      <c r="C360" s="303">
        <v>136783</v>
      </c>
      <c r="D360" s="300" t="s">
        <v>455</v>
      </c>
      <c r="E360" s="303">
        <v>2.5</v>
      </c>
      <c r="F360" s="304" t="str">
        <f>INDEX(BrokerTBL!$B:$B,MATCH(D360,BrokerTBL!$A:$A,0))</f>
        <v>5600 Headquarters Drive C2D11</v>
      </c>
      <c r="G360" s="303" t="str">
        <f>INDEX(BrokerTBL!$C:$C,MATCH(D360,BrokerTBL!$A:$A,0))</f>
        <v>Plano</v>
      </c>
      <c r="H360" s="4" t="str">
        <f>INDEX(BrokerTBL!$D:$D,MATCH(D360,BrokerTBL!$A:$A,0))</f>
        <v>Tx</v>
      </c>
      <c r="I360" s="4" t="str">
        <f>INDEX(BrokerTBL!$E:$E,MATCH(D360,BrokerTBL!$A:$A,0))</f>
        <v>US</v>
      </c>
      <c r="J360" s="4">
        <f>INDEX(BrokerTBL!$F:$F,MATCH(D360,BrokerTBL!$A:$A,0))</f>
        <v>75024</v>
      </c>
      <c r="K360" s="300" t="s">
        <v>2517</v>
      </c>
      <c r="L360" s="302" t="s">
        <v>2518</v>
      </c>
      <c r="M360" s="301">
        <v>42465</v>
      </c>
      <c r="N360" s="305">
        <v>0.5625</v>
      </c>
      <c r="O360" s="303" t="s">
        <v>2519</v>
      </c>
      <c r="P360" s="300" t="s">
        <v>2520</v>
      </c>
      <c r="Q360" s="300" t="s">
        <v>2206</v>
      </c>
      <c r="R360" s="300">
        <v>92880</v>
      </c>
      <c r="S360" s="300" t="s">
        <v>2207</v>
      </c>
      <c r="T360" s="300" t="s">
        <v>2521</v>
      </c>
      <c r="U360" s="300" t="s">
        <v>120</v>
      </c>
      <c r="V360" s="300">
        <v>53</v>
      </c>
      <c r="W360" s="300" t="s">
        <v>450</v>
      </c>
      <c r="X360" s="144" t="s">
        <v>123</v>
      </c>
      <c r="Y360" s="303" t="s">
        <v>123</v>
      </c>
      <c r="Z360" s="300" t="s">
        <v>123</v>
      </c>
      <c r="AA360" s="300" t="s">
        <v>123</v>
      </c>
      <c r="AB360" s="300" t="s">
        <v>123</v>
      </c>
      <c r="AC360" s="300" t="s">
        <v>2517</v>
      </c>
      <c r="AD360" s="302" t="s">
        <v>2518</v>
      </c>
      <c r="AE360" s="301">
        <v>42466</v>
      </c>
      <c r="AF360" s="305">
        <v>0.33333333333333331</v>
      </c>
      <c r="AG360" s="300" t="s">
        <v>2522</v>
      </c>
      <c r="AH360" s="300" t="s">
        <v>2523</v>
      </c>
      <c r="AI360" s="300" t="s">
        <v>2206</v>
      </c>
      <c r="AJ360" s="300">
        <v>95691</v>
      </c>
      <c r="AK360" s="300" t="s">
        <v>2207</v>
      </c>
      <c r="AL360" s="300" t="s">
        <v>2524</v>
      </c>
      <c r="AM360" s="171" t="str">
        <f>INDEX(CarrierDriverTBL!$B:$B,MATCH(Table1[[#This Row],[DriverID]],CarrierDriverTBL!$A:$A,0))</f>
        <v>UBTrucking</v>
      </c>
      <c r="AN360" s="10" t="s">
        <v>2234</v>
      </c>
      <c r="AO360" s="171" t="str">
        <f>INDEX(CarrierDriverTBL!$C:$C,MATCH(Table1[[#This Row],[DriverID]],CarrierDriverTBL!$A:$A,0))</f>
        <v>Arturo</v>
      </c>
      <c r="AP360" s="171" t="str">
        <f>INDEX(CarrierDriverTBL!$D:$D,MATCH(Table1[[#This Row],[DriverID]],CarrierDriverTBL!$A:$A,0))</f>
        <v>Carrillo</v>
      </c>
      <c r="AQ360" s="171" t="str">
        <f>INDEX(CarrierDriverTBL!$X:$X,MATCH(Table1[[#This Row],[DriverID]],CarrierDriverTBL!$A:$A,0))</f>
        <v>C7056793</v>
      </c>
      <c r="AR360" s="160">
        <f>INDEX(CarrierDriverTBL!$Y:$Y,MATCH(Table1[[#This Row],[DriverID]],CarrierDriverTBL!$A:$A,0))</f>
        <v>43410</v>
      </c>
      <c r="AS360" s="142" t="str">
        <f t="shared" si="146"/>
        <v>GOOD</v>
      </c>
      <c r="AT360" s="172">
        <f>INDEX(CarrierDriverTBL!$E:$E,MATCH(Table1[[#This Row],[DriverID]],CarrierDriverTBL!$A:$A,0))</f>
        <v>24782</v>
      </c>
      <c r="AU360" s="163">
        <f ca="1">INDEX(CarrierDriverTBL!$F:$F,MATCH(Table1[[#This Row],[DriverID]],CarrierDriverTBL!$A:$A,0))</f>
        <v>48.750684931506846</v>
      </c>
      <c r="AV360" s="171" t="str">
        <f>INDEX(CarrierDriverTBL!$K:$K,MATCH(Table1[[#This Row],[DriverID]],CarrierDriverTBL!$A:$A,0))</f>
        <v>209-276-9785</v>
      </c>
      <c r="AW360" s="171" t="str">
        <f>INDEX(CarrierDriverTBL!$M:$M,MATCH(Table1[[#This Row],[DriverID]],CarrierDriverTBL!$A:$A,0))</f>
        <v>1685 Winthrop Ln</v>
      </c>
      <c r="AX360" s="171" t="str">
        <f>INDEX(CarrierDriverTBL!$N:$N,MATCH(Table1[[#This Row],[DriverID]],CarrierDriverTBL!$A:$A,0))</f>
        <v>Ceres</v>
      </c>
      <c r="AY360" s="171" t="str">
        <f>INDEX(CarrierDriverTBL!$O:$O,MATCH(Table1[[#This Row],[DriverID]],CarrierDriverTBL!$A:$A,0))</f>
        <v>CA</v>
      </c>
      <c r="AZ360" s="171">
        <f>INDEX(CarrierDriverTBL!$P:$P,MATCH(Table1[[#This Row],[DriverID]],CarrierDriverTBL!$A:$A,0))</f>
        <v>95307</v>
      </c>
      <c r="BA360" s="171" t="str">
        <f>INDEX(CarrierDriverTBL!$Q:$Q,MATCH(Table1[[#This Row],[DriverID]],CarrierDriverTBL!$A:$A,0))</f>
        <v>US</v>
      </c>
      <c r="BB360" s="173" t="str">
        <f>INDEX(CarrierDriverTBL!$R:$R,MATCH(Table1[[#This Row],[DriverID]],CarrierDriverTBL!$A:$A,0))</f>
        <v>arturocarr777@gmail.com</v>
      </c>
      <c r="BC360" s="160">
        <f>INDEX(CarrierDriverTBL!$AB:$AB,MATCH(Table1[[#This Row],[DriverID]],CarrierDriverTBL!$A:$A,0))</f>
        <v>42418</v>
      </c>
      <c r="BD360" s="142" t="str">
        <f ca="1">INDEX(CarrierDriverTBL!$AD:$AD,MATCH(LoadMaster!$AN:$AN,CarrierDriverTBL!$A:$A,0))</f>
        <v>MISSING</v>
      </c>
      <c r="BE360" s="171">
        <f>INDEX(CarrierDriverTBL!$AE:$AE,MATCH(Table1[DriverID],CarrierDriverTBL!$A:$A,0))</f>
        <v>913971</v>
      </c>
      <c r="BF360" s="171">
        <f>INDEX(CarrierDriverTBL!$AF:$AF,MATCH(Table1[DriverID],CarrierDriverTBL!$A:$A,0))</f>
        <v>2627544</v>
      </c>
      <c r="BG360" s="10">
        <f>INDEX(CarrierDriverTBL!$AG:$AG,MATCH(Table1[DriverID],CarrierDriverTBL!$A:$A,0))</f>
        <v>466133</v>
      </c>
      <c r="BH360" s="171" t="str">
        <f>INDEX(CarrierDriverTBL!$AH:$AH,MATCH(Table1[DriverID],CarrierDriverTBL!$A:$A,0))</f>
        <v>GM Lawrence Ins</v>
      </c>
      <c r="BI360" s="171" t="str">
        <f>INDEX(CarrierDriverTBL!$AI:$AI,MATCH(Table1[DriverID],CarrierDriverTBL!$A:$A,0))</f>
        <v>DSK2842P160210</v>
      </c>
      <c r="BJ360" s="172">
        <f>INDEX(CarrierDriverTBL!$AJ:$AJ,MATCH(Table1[[#This Row],[DriverID]],CarrierDriverTBL!$A:$A,0))</f>
        <v>42778</v>
      </c>
      <c r="BK360" s="10">
        <f t="shared" si="147"/>
        <v>313</v>
      </c>
      <c r="BL360" s="5">
        <v>800</v>
      </c>
      <c r="BM360" s="306">
        <v>430</v>
      </c>
      <c r="BN360" s="307">
        <f t="shared" si="164"/>
        <v>1.8604651162790697</v>
      </c>
      <c r="BO360" s="134">
        <f>0.93*800</f>
        <v>744</v>
      </c>
      <c r="BP360" s="307">
        <f t="shared" si="165"/>
        <v>1.7302325581395348</v>
      </c>
      <c r="BQ360" s="133">
        <v>2.6</v>
      </c>
      <c r="BR360" s="308">
        <f t="shared" si="166"/>
        <v>0.1166666666666667</v>
      </c>
      <c r="BS360" s="307">
        <f t="shared" si="148"/>
        <v>1.6135658914728681</v>
      </c>
      <c r="BT360" s="307">
        <f t="shared" si="149"/>
        <v>50.166666666666679</v>
      </c>
      <c r="BU360" s="10" t="str">
        <f t="shared" si="150"/>
        <v>Pepsi Logistics Company Inc</v>
      </c>
      <c r="BV360" s="303"/>
      <c r="BW360" s="4" t="str">
        <f>Table1[[#This Row],[BrokerAddress]]</f>
        <v>5600 Headquarters Drive C2D11</v>
      </c>
      <c r="BX360" s="4" t="str">
        <f t="shared" si="151"/>
        <v>Plano</v>
      </c>
      <c r="BY360" s="4" t="str">
        <f t="shared" si="152"/>
        <v>Tx</v>
      </c>
      <c r="BZ360" s="4">
        <f t="shared" si="153"/>
        <v>75024</v>
      </c>
      <c r="CA360" s="10" t="str">
        <f t="shared" si="154"/>
        <v>US</v>
      </c>
      <c r="CB360" s="15" t="s">
        <v>131</v>
      </c>
      <c r="CC360" s="62"/>
      <c r="CD360" s="15" t="s">
        <v>132</v>
      </c>
      <c r="CE360" s="64">
        <v>0</v>
      </c>
      <c r="CF360" s="4">
        <v>0</v>
      </c>
      <c r="CG360" s="132">
        <f t="shared" si="155"/>
        <v>0</v>
      </c>
      <c r="CH360" s="4" t="s">
        <v>132</v>
      </c>
      <c r="CI360" s="5">
        <v>0</v>
      </c>
      <c r="CJ360" s="4">
        <v>0</v>
      </c>
      <c r="CK360" s="132">
        <f t="shared" si="156"/>
        <v>0</v>
      </c>
      <c r="CL360" s="4" t="s">
        <v>132</v>
      </c>
      <c r="CM360" s="5">
        <v>0</v>
      </c>
      <c r="CN360" s="4">
        <v>0</v>
      </c>
      <c r="CO360" s="132">
        <f t="shared" si="157"/>
        <v>0</v>
      </c>
      <c r="CP360" s="4" t="s">
        <v>132</v>
      </c>
      <c r="CQ360" s="5">
        <v>0</v>
      </c>
      <c r="CR360" s="4">
        <v>0</v>
      </c>
      <c r="CS360" s="132">
        <f t="shared" si="158"/>
        <v>0</v>
      </c>
      <c r="CT360" s="132">
        <f t="shared" si="159"/>
        <v>0</v>
      </c>
      <c r="CU360" s="168">
        <f t="shared" si="160"/>
        <v>800</v>
      </c>
      <c r="CV360" s="177">
        <f t="shared" si="143"/>
        <v>0</v>
      </c>
      <c r="CW360" s="82">
        <f t="shared" si="144"/>
        <v>744</v>
      </c>
      <c r="CX360" s="79">
        <f>IF(ISBLANK(E360),"AddQuickPay",IF(E360=2,CU360*0.98,IF(E360=2.4,CU360*0.976,IF(E360=3,CU360*0.97,IF(E360=5,CU360*0.95,IF(E360=1.5,CU360*0.985,IF(E360=2.5,CU360*0.975,IF(E360=1.3,CU360*0.987,IF(E360=1,CU360*0.99,IF(E360=4,CU360*0.96,CU360*1))))))))))-Table1[[#This Row],[ComCheck+QuickPayFee]]</f>
        <v>780</v>
      </c>
      <c r="CY360" s="5">
        <f t="shared" si="161"/>
        <v>56</v>
      </c>
      <c r="CZ360" s="5">
        <f t="shared" si="162"/>
        <v>20</v>
      </c>
      <c r="DA360" s="258">
        <f>Table1[[#This Row],[OriginalDispatch]]-Table1[[#This Row],[QuickPayCharge]]</f>
        <v>36</v>
      </c>
      <c r="DB360" s="5">
        <v>0</v>
      </c>
      <c r="DC360" s="5" t="s">
        <v>1287</v>
      </c>
      <c r="DD360" s="309">
        <f t="shared" si="163"/>
        <v>42468</v>
      </c>
      <c r="DE360" s="306">
        <f>MONTH(Table1[[#This Row],[Weekending]])</f>
        <v>4</v>
      </c>
      <c r="DF360" s="306">
        <f>YEAR(Table1[[#This Row],[Weekending]])</f>
        <v>2016</v>
      </c>
      <c r="DG360" s="4"/>
    </row>
    <row r="361" spans="1:111">
      <c r="A361" s="300" t="str">
        <f t="shared" si="145"/>
        <v>83464693</v>
      </c>
      <c r="B361" s="301">
        <v>42466</v>
      </c>
      <c r="C361" s="303">
        <v>2176383</v>
      </c>
      <c r="D361" s="300" t="s">
        <v>2004</v>
      </c>
      <c r="E361" s="303">
        <v>0</v>
      </c>
      <c r="F361" s="304" t="str">
        <f>INDEX(BrokerTBL!$B:$B,MATCH(D361,BrokerTBL!$A:$A,0))</f>
        <v>P.O. Box 23968</v>
      </c>
      <c r="G361" s="303" t="str">
        <f>INDEX(BrokerTBL!$C:$C,MATCH(D361,BrokerTBL!$A:$A,0))</f>
        <v>Chattanooga</v>
      </c>
      <c r="H361" s="4" t="str">
        <f>INDEX(BrokerTBL!$D:$D,MATCH(D361,BrokerTBL!$A:$A,0))</f>
        <v>Tn</v>
      </c>
      <c r="I361" s="4" t="str">
        <f>INDEX(BrokerTBL!$E:$E,MATCH(D361,BrokerTBL!$A:$A,0))</f>
        <v>US</v>
      </c>
      <c r="J361" s="4" t="str">
        <f>INDEX(BrokerTBL!$F:$F,MATCH(D361,BrokerTBL!$A:$A,0))</f>
        <v>37422-2997</v>
      </c>
      <c r="K361" s="300" t="s">
        <v>2476</v>
      </c>
      <c r="L361" s="302">
        <v>2205163446</v>
      </c>
      <c r="M361" s="301">
        <v>42466</v>
      </c>
      <c r="N361" s="303" t="s">
        <v>427</v>
      </c>
      <c r="O361" s="303" t="s">
        <v>2477</v>
      </c>
      <c r="P361" s="300" t="s">
        <v>2478</v>
      </c>
      <c r="Q361" s="300" t="s">
        <v>2206</v>
      </c>
      <c r="R361" s="300">
        <v>95624</v>
      </c>
      <c r="S361" s="300" t="s">
        <v>2207</v>
      </c>
      <c r="T361" s="300" t="s">
        <v>2479</v>
      </c>
      <c r="U361" s="300" t="s">
        <v>120</v>
      </c>
      <c r="V361" s="300">
        <v>53</v>
      </c>
      <c r="W361" s="300" t="s">
        <v>1205</v>
      </c>
      <c r="X361" s="144" t="s">
        <v>123</v>
      </c>
      <c r="Y361" s="303" t="s">
        <v>123</v>
      </c>
      <c r="Z361" s="300" t="s">
        <v>123</v>
      </c>
      <c r="AA361" s="300" t="s">
        <v>123</v>
      </c>
      <c r="AB361" s="300" t="s">
        <v>123</v>
      </c>
      <c r="AC361" s="300" t="s">
        <v>2525</v>
      </c>
      <c r="AD361" s="302">
        <v>2205163446</v>
      </c>
      <c r="AE361" s="301">
        <v>42467</v>
      </c>
      <c r="AF361" s="301" t="s">
        <v>427</v>
      </c>
      <c r="AG361" s="300" t="s">
        <v>2526</v>
      </c>
      <c r="AH361" s="300" t="s">
        <v>2527</v>
      </c>
      <c r="AI361" s="300" t="s">
        <v>2233</v>
      </c>
      <c r="AJ361" s="300">
        <v>89445</v>
      </c>
      <c r="AK361" s="300" t="s">
        <v>2207</v>
      </c>
      <c r="AL361" s="300" t="s">
        <v>123</v>
      </c>
      <c r="AM361" s="171" t="str">
        <f>INDEX(CarrierDriverTBL!$B:$B,MATCH(Table1[[#This Row],[DriverID]],CarrierDriverTBL!$A:$A,0))</f>
        <v>UBTrucking</v>
      </c>
      <c r="AN361" s="10" t="s">
        <v>2234</v>
      </c>
      <c r="AO361" s="171" t="str">
        <f>INDEX(CarrierDriverTBL!$C:$C,MATCH(Table1[[#This Row],[DriverID]],CarrierDriverTBL!$A:$A,0))</f>
        <v>Arturo</v>
      </c>
      <c r="AP361" s="171" t="str">
        <f>INDEX(CarrierDriverTBL!$D:$D,MATCH(Table1[[#This Row],[DriverID]],CarrierDriverTBL!$A:$A,0))</f>
        <v>Carrillo</v>
      </c>
      <c r="AQ361" s="171" t="str">
        <f>INDEX(CarrierDriverTBL!$X:$X,MATCH(Table1[[#This Row],[DriverID]],CarrierDriverTBL!$A:$A,0))</f>
        <v>C7056793</v>
      </c>
      <c r="AR361" s="160">
        <f>INDEX(CarrierDriverTBL!$Y:$Y,MATCH(Table1[[#This Row],[DriverID]],CarrierDriverTBL!$A:$A,0))</f>
        <v>43410</v>
      </c>
      <c r="AS361" s="142" t="str">
        <f t="shared" si="146"/>
        <v>GOOD</v>
      </c>
      <c r="AT361" s="172">
        <f>INDEX(CarrierDriverTBL!$E:$E,MATCH(Table1[[#This Row],[DriverID]],CarrierDriverTBL!$A:$A,0))</f>
        <v>24782</v>
      </c>
      <c r="AU361" s="163">
        <f ca="1">INDEX(CarrierDriverTBL!$F:$F,MATCH(Table1[[#This Row],[DriverID]],CarrierDriverTBL!$A:$A,0))</f>
        <v>48.750684931506846</v>
      </c>
      <c r="AV361" s="171" t="str">
        <f>INDEX(CarrierDriverTBL!$K:$K,MATCH(Table1[[#This Row],[DriverID]],CarrierDriverTBL!$A:$A,0))</f>
        <v>209-276-9785</v>
      </c>
      <c r="AW361" s="171" t="str">
        <f>INDEX(CarrierDriverTBL!$M:$M,MATCH(Table1[[#This Row],[DriverID]],CarrierDriverTBL!$A:$A,0))</f>
        <v>1685 Winthrop Ln</v>
      </c>
      <c r="AX361" s="171" t="str">
        <f>INDEX(CarrierDriverTBL!$N:$N,MATCH(Table1[[#This Row],[DriverID]],CarrierDriverTBL!$A:$A,0))</f>
        <v>Ceres</v>
      </c>
      <c r="AY361" s="171" t="str">
        <f>INDEX(CarrierDriverTBL!$O:$O,MATCH(Table1[[#This Row],[DriverID]],CarrierDriverTBL!$A:$A,0))</f>
        <v>CA</v>
      </c>
      <c r="AZ361" s="171">
        <f>INDEX(CarrierDriverTBL!$P:$P,MATCH(Table1[[#This Row],[DriverID]],CarrierDriverTBL!$A:$A,0))</f>
        <v>95307</v>
      </c>
      <c r="BA361" s="171" t="str">
        <f>INDEX(CarrierDriverTBL!$Q:$Q,MATCH(Table1[[#This Row],[DriverID]],CarrierDriverTBL!$A:$A,0))</f>
        <v>US</v>
      </c>
      <c r="BB361" s="173" t="str">
        <f>INDEX(CarrierDriverTBL!$R:$R,MATCH(Table1[[#This Row],[DriverID]],CarrierDriverTBL!$A:$A,0))</f>
        <v>arturocarr777@gmail.com</v>
      </c>
      <c r="BC361" s="160">
        <f>INDEX(CarrierDriverTBL!$AB:$AB,MATCH(Table1[[#This Row],[DriverID]],CarrierDriverTBL!$A:$A,0))</f>
        <v>42418</v>
      </c>
      <c r="BD361" s="142" t="str">
        <f ca="1">INDEX(CarrierDriverTBL!$AD:$AD,MATCH(LoadMaster!$AN:$AN,CarrierDriverTBL!$A:$A,0))</f>
        <v>MISSING</v>
      </c>
      <c r="BE361" s="171">
        <f>INDEX(CarrierDriverTBL!$AE:$AE,MATCH(Table1[DriverID],CarrierDriverTBL!$A:$A,0))</f>
        <v>913971</v>
      </c>
      <c r="BF361" s="171">
        <f>INDEX(CarrierDriverTBL!$AF:$AF,MATCH(Table1[DriverID],CarrierDriverTBL!$A:$A,0))</f>
        <v>2627544</v>
      </c>
      <c r="BG361" s="10">
        <f>INDEX(CarrierDriverTBL!$AG:$AG,MATCH(Table1[DriverID],CarrierDriverTBL!$A:$A,0))</f>
        <v>466133</v>
      </c>
      <c r="BH361" s="171" t="str">
        <f>INDEX(CarrierDriverTBL!$AH:$AH,MATCH(Table1[DriverID],CarrierDriverTBL!$A:$A,0))</f>
        <v>GM Lawrence Ins</v>
      </c>
      <c r="BI361" s="171" t="str">
        <f>INDEX(CarrierDriverTBL!$AI:$AI,MATCH(Table1[DriverID],CarrierDriverTBL!$A:$A,0))</f>
        <v>DSK2842P160210</v>
      </c>
      <c r="BJ361" s="172">
        <f>INDEX(CarrierDriverTBL!$AJ:$AJ,MATCH(Table1[[#This Row],[DriverID]],CarrierDriverTBL!$A:$A,0))</f>
        <v>42778</v>
      </c>
      <c r="BK361" s="10">
        <f t="shared" si="147"/>
        <v>312</v>
      </c>
      <c r="BL361" s="5">
        <v>750</v>
      </c>
      <c r="BM361" s="306">
        <v>309.7</v>
      </c>
      <c r="BN361" s="307">
        <f t="shared" si="164"/>
        <v>2.4216984178237007</v>
      </c>
      <c r="BO361" s="134">
        <f>0.93*750</f>
        <v>697.5</v>
      </c>
      <c r="BP361" s="307">
        <f t="shared" si="165"/>
        <v>2.2521795285760415</v>
      </c>
      <c r="BQ361" s="133">
        <v>2.6</v>
      </c>
      <c r="BR361" s="308">
        <f t="shared" si="166"/>
        <v>0.1166666666666667</v>
      </c>
      <c r="BS361" s="307">
        <f t="shared" si="148"/>
        <v>2.1355128619093748</v>
      </c>
      <c r="BT361" s="307">
        <f t="shared" si="149"/>
        <v>36.131666666666675</v>
      </c>
      <c r="BU361" s="10" t="str">
        <f t="shared" si="150"/>
        <v>Covenant Transport Solutions</v>
      </c>
      <c r="BV361" s="303"/>
      <c r="BW361" s="4" t="str">
        <f>Table1[[#This Row],[BrokerAddress]]</f>
        <v>P.O. Box 23968</v>
      </c>
      <c r="BX361" s="4" t="str">
        <f t="shared" si="151"/>
        <v>Chattanooga</v>
      </c>
      <c r="BY361" s="4" t="str">
        <f t="shared" si="152"/>
        <v>Tn</v>
      </c>
      <c r="BZ361" s="4" t="str">
        <f t="shared" si="153"/>
        <v>37422-2997</v>
      </c>
      <c r="CA361" s="10" t="str">
        <f t="shared" si="154"/>
        <v>US</v>
      </c>
      <c r="CB361" s="15" t="s">
        <v>131</v>
      </c>
      <c r="CC361" s="62"/>
      <c r="CD361" s="15" t="s">
        <v>132</v>
      </c>
      <c r="CE361" s="64">
        <v>0</v>
      </c>
      <c r="CF361" s="4">
        <v>0</v>
      </c>
      <c r="CG361" s="132">
        <f t="shared" si="155"/>
        <v>0</v>
      </c>
      <c r="CH361" s="4" t="s">
        <v>132</v>
      </c>
      <c r="CI361" s="5">
        <v>0</v>
      </c>
      <c r="CJ361" s="4">
        <v>0</v>
      </c>
      <c r="CK361" s="132">
        <f t="shared" si="156"/>
        <v>0</v>
      </c>
      <c r="CL361" s="4" t="s">
        <v>132</v>
      </c>
      <c r="CM361" s="5">
        <v>0</v>
      </c>
      <c r="CN361" s="4">
        <v>0</v>
      </c>
      <c r="CO361" s="132">
        <f t="shared" si="157"/>
        <v>0</v>
      </c>
      <c r="CP361" s="4" t="s">
        <v>132</v>
      </c>
      <c r="CQ361" s="5">
        <v>0</v>
      </c>
      <c r="CR361" s="4">
        <v>0</v>
      </c>
      <c r="CS361" s="132">
        <f t="shared" si="158"/>
        <v>0</v>
      </c>
      <c r="CT361" s="132">
        <f t="shared" si="159"/>
        <v>0</v>
      </c>
      <c r="CU361" s="168">
        <f t="shared" si="160"/>
        <v>750</v>
      </c>
      <c r="CV361" s="177">
        <f t="shared" si="143"/>
        <v>0</v>
      </c>
      <c r="CW361" s="82">
        <f t="shared" si="144"/>
        <v>697.5</v>
      </c>
      <c r="CX361" s="79">
        <f>IF(ISBLANK(E361),"AddQuickPay",IF(E361=2,CU361*0.98,IF(E361=2.4,CU361*0.976,IF(E361=3,CU361*0.97,IF(E361=5,CU361*0.95,IF(E361=1.5,CU361*0.985,IF(E361=2.5,CU361*0.975,IF(E361=1.3,CU361*0.987,IF(E361=1,CU361*0.99,IF(E361=4,CU361*0.96,CU361*1))))))))))-Table1[[#This Row],[ComCheck+QuickPayFee]]</f>
        <v>750</v>
      </c>
      <c r="CY361" s="5">
        <f t="shared" si="161"/>
        <v>52.5</v>
      </c>
      <c r="CZ361" s="5">
        <f t="shared" si="162"/>
        <v>0</v>
      </c>
      <c r="DA361" s="258">
        <f>Table1[[#This Row],[OriginalDispatch]]-Table1[[#This Row],[QuickPayCharge]]</f>
        <v>52.5</v>
      </c>
      <c r="DB361" s="5">
        <v>0</v>
      </c>
      <c r="DC361" s="5" t="s">
        <v>1287</v>
      </c>
      <c r="DD361" s="309">
        <f t="shared" si="163"/>
        <v>42468</v>
      </c>
      <c r="DE361" s="306">
        <f>MONTH(Table1[[#This Row],[Weekending]])</f>
        <v>4</v>
      </c>
      <c r="DF361" s="306">
        <f>YEAR(Table1[[#This Row],[Weekending]])</f>
        <v>2016</v>
      </c>
      <c r="DG361" s="4"/>
    </row>
    <row r="362" spans="1:111">
      <c r="A362" s="300" t="str">
        <f t="shared" si="145"/>
        <v>69BRwn19</v>
      </c>
      <c r="B362" s="301">
        <v>42466</v>
      </c>
      <c r="C362" s="303">
        <v>8493569</v>
      </c>
      <c r="D362" s="300" t="s">
        <v>2107</v>
      </c>
      <c r="E362" s="303">
        <v>2.5</v>
      </c>
      <c r="F362" s="304" t="str">
        <f>INDEX(BrokerTBL!$B:$B,MATCH(D362,BrokerTBL!$A:$A,0))</f>
        <v>6413 Congress Ave., Suite 260</v>
      </c>
      <c r="G362" s="303" t="str">
        <f>INDEX(BrokerTBL!$C:$C,MATCH(D362,BrokerTBL!$A:$A,0))</f>
        <v>Boca Raton</v>
      </c>
      <c r="H362" s="4" t="str">
        <f>INDEX(BrokerTBL!$D:$D,MATCH(D362,BrokerTBL!$A:$A,0))</f>
        <v>Fl</v>
      </c>
      <c r="I362" s="4" t="str">
        <f>INDEX(BrokerTBL!$E:$E,MATCH(D362,BrokerTBL!$A:$A,0))</f>
        <v>US</v>
      </c>
      <c r="J362" s="4">
        <f>INDEX(BrokerTBL!$F:$F,MATCH(D362,BrokerTBL!$A:$A,0))</f>
        <v>33487</v>
      </c>
      <c r="K362" s="300" t="s">
        <v>2331</v>
      </c>
      <c r="L362" s="302" t="s">
        <v>2528</v>
      </c>
      <c r="M362" s="301">
        <v>42466</v>
      </c>
      <c r="N362" s="303" t="s">
        <v>1045</v>
      </c>
      <c r="O362" s="303" t="s">
        <v>2332</v>
      </c>
      <c r="P362" s="300" t="s">
        <v>2333</v>
      </c>
      <c r="Q362" s="300" t="s">
        <v>2206</v>
      </c>
      <c r="R362" s="300">
        <v>94572</v>
      </c>
      <c r="S362" s="300" t="s">
        <v>2207</v>
      </c>
      <c r="T362" s="298" t="s">
        <v>123</v>
      </c>
      <c r="U362" s="300" t="s">
        <v>120</v>
      </c>
      <c r="V362" s="300">
        <v>53</v>
      </c>
      <c r="W362" s="300" t="s">
        <v>1205</v>
      </c>
      <c r="X362" s="310">
        <v>41500</v>
      </c>
      <c r="Y362" s="303" t="s">
        <v>123</v>
      </c>
      <c r="Z362" s="300" t="s">
        <v>123</v>
      </c>
      <c r="AA362" s="300" t="s">
        <v>123</v>
      </c>
      <c r="AB362" s="300" t="s">
        <v>123</v>
      </c>
      <c r="AC362" s="300" t="s">
        <v>2334</v>
      </c>
      <c r="AD362" s="302" t="s">
        <v>1205</v>
      </c>
      <c r="AE362" s="301">
        <v>42467</v>
      </c>
      <c r="AF362" s="301" t="s">
        <v>427</v>
      </c>
      <c r="AG362" s="300" t="s">
        <v>2335</v>
      </c>
      <c r="AH362" s="300" t="s">
        <v>2336</v>
      </c>
      <c r="AI362" s="300" t="s">
        <v>2233</v>
      </c>
      <c r="AJ362" s="300">
        <v>89406</v>
      </c>
      <c r="AK362" s="300" t="s">
        <v>2207</v>
      </c>
      <c r="AL362" s="300" t="s">
        <v>123</v>
      </c>
      <c r="AM362" s="171" t="str">
        <f>INDEX(CarrierDriverTBL!$B:$B,MATCH(Table1[[#This Row],[DriverID]],CarrierDriverTBL!$A:$A,0))</f>
        <v>UBTrucking</v>
      </c>
      <c r="AN362" s="10" t="s">
        <v>1409</v>
      </c>
      <c r="AO362" s="298" t="str">
        <f>INDEX(CarrierDriverTBL!$C:$C,MATCH(Table1[[#This Row],[DriverID]],CarrierDriverTBL!$A:$A,0))</f>
        <v>Miguel Jaime</v>
      </c>
      <c r="AP362" s="298" t="str">
        <f>INDEX(CarrierDriverTBL!$D:$D,MATCH(Table1[[#This Row],[DriverID]],CarrierDriverTBL!$A:$A,0))</f>
        <v>Martin Del Campo Velarca</v>
      </c>
      <c r="AQ362" s="142" t="str">
        <f>INDEX(CarrierDriverTBL!$X:$X,MATCH(Table1[[#This Row],[DriverID]],CarrierDriverTBL!$A:$A,0))</f>
        <v>D5179619</v>
      </c>
      <c r="AR362" s="160">
        <f>INDEX(CarrierDriverTBL!$Y:$Y,MATCH(Table1[[#This Row],[DriverID]],CarrierDriverTBL!$A:$A,0))</f>
        <v>43843</v>
      </c>
      <c r="AS362" s="142" t="str">
        <f t="shared" si="146"/>
        <v>GOOD</v>
      </c>
      <c r="AT362" s="146">
        <f>INDEX(CarrierDriverTBL!$E:$E,MATCH(Table1[[#This Row],[DriverID]],CarrierDriverTBL!$A:$A,0))</f>
        <v>21198</v>
      </c>
      <c r="AU362" s="163">
        <f ca="1">INDEX(CarrierDriverTBL!$F:$F,MATCH(Table1[[#This Row],[DriverID]],CarrierDriverTBL!$A:$A,0))</f>
        <v>58.56986301369863</v>
      </c>
      <c r="AV362" s="298" t="str">
        <f>INDEX(CarrierDriverTBL!$K:$K,MATCH(Table1[[#This Row],[DriverID]],CarrierDriverTBL!$A:$A,0))</f>
        <v>209-322-5231</v>
      </c>
      <c r="AW362" s="298" t="str">
        <f>INDEX(CarrierDriverTBL!$M:$M,MATCH(Table1[[#This Row],[DriverID]],CarrierDriverTBL!$A:$A,0))</f>
        <v>572 Predersen RD</v>
      </c>
      <c r="AX362" s="298" t="str">
        <f>INDEX(CarrierDriverTBL!$N:$N,MATCH(Table1[[#This Row],[DriverID]],CarrierDriverTBL!$A:$A,0))</f>
        <v>Oakdale</v>
      </c>
      <c r="AY362" s="142" t="str">
        <f>INDEX(CarrierDriverTBL!$O:$O,MATCH(Table1[[#This Row],[DriverID]],CarrierDriverTBL!$A:$A,0))</f>
        <v>CA</v>
      </c>
      <c r="AZ362" s="298">
        <f>INDEX(CarrierDriverTBL!$P:$P,MATCH(Table1[[#This Row],[DriverID]],CarrierDriverTBL!$A:$A,0))</f>
        <v>95361</v>
      </c>
      <c r="BA362" s="298" t="str">
        <f>INDEX(CarrierDriverTBL!$Q:$Q,MATCH(Table1[[#This Row],[DriverID]],CarrierDriverTBL!$A:$A,0))</f>
        <v>US</v>
      </c>
      <c r="BB362" s="176" t="str">
        <f>INDEX(CarrierDriverTBL!$R:$R,MATCH(Table1[[#This Row],[DriverID]],CarrierDriverTBL!$A:$A,0))</f>
        <v>Miguelmartin52@yahoo.com</v>
      </c>
      <c r="BC362" s="160">
        <f>INDEX(CarrierDriverTBL!$AB:$AB,MATCH(Table1[[#This Row],[DriverID]],CarrierDriverTBL!$A:$A,0))</f>
        <v>42334</v>
      </c>
      <c r="BD362" s="142" t="str">
        <f ca="1">INDEX(CarrierDriverTBL!$AD:$AD,MATCH(LoadMaster!$AN:$AN,CarrierDriverTBL!$A:$A,0))</f>
        <v>MISSING</v>
      </c>
      <c r="BE362" s="142">
        <f>INDEX(CarrierDriverTBL!$AE:$AE,MATCH(Table1[DriverID],CarrierDriverTBL!$A:$A,0))</f>
        <v>913971</v>
      </c>
      <c r="BF362" s="142">
        <f>INDEX(CarrierDriverTBL!$AF:$AF,MATCH(Table1[DriverID],CarrierDriverTBL!$A:$A,0))</f>
        <v>2627544</v>
      </c>
      <c r="BG362" s="142">
        <f>INDEX(CarrierDriverTBL!$AG:$AG,MATCH(Table1[DriverID],CarrierDriverTBL!$A:$A,0))</f>
        <v>466133</v>
      </c>
      <c r="BH362" s="142" t="str">
        <f>INDEX(CarrierDriverTBL!$AH:$AH,MATCH(Table1[DriverID],CarrierDriverTBL!$A:$A,0))</f>
        <v>GM Lawrence Ins</v>
      </c>
      <c r="BI362" s="142" t="str">
        <f>INDEX(CarrierDriverTBL!$AI:$AI,MATCH(Table1[DriverID],CarrierDriverTBL!$A:$A,0))</f>
        <v>DSK2842P160210</v>
      </c>
      <c r="BJ362" s="172">
        <f>INDEX(CarrierDriverTBL!$AJ:$AJ,MATCH(Table1[[#This Row],[DriverID]],CarrierDriverTBL!$A:$A,0))</f>
        <v>42778</v>
      </c>
      <c r="BK362" s="10">
        <f t="shared" si="147"/>
        <v>312</v>
      </c>
      <c r="BL362" s="5">
        <v>600</v>
      </c>
      <c r="BM362" s="306">
        <v>256.5</v>
      </c>
      <c r="BN362" s="307">
        <f t="shared" si="164"/>
        <v>2.3391812865497075</v>
      </c>
      <c r="BO362" s="134">
        <f>0.93*600</f>
        <v>558</v>
      </c>
      <c r="BP362" s="307">
        <f t="shared" si="165"/>
        <v>2.1754385964912282</v>
      </c>
      <c r="BQ362" s="133">
        <v>2.6</v>
      </c>
      <c r="BR362" s="308">
        <f t="shared" si="166"/>
        <v>0.1166666666666667</v>
      </c>
      <c r="BS362" s="307">
        <f t="shared" si="148"/>
        <v>2.0587719298245615</v>
      </c>
      <c r="BT362" s="307">
        <f t="shared" si="149"/>
        <v>29.925000000000008</v>
      </c>
      <c r="BU362" s="10" t="str">
        <f t="shared" si="150"/>
        <v>Sunteck Transport Co. Inc</v>
      </c>
      <c r="BV362" s="303"/>
      <c r="BW362" s="4" t="str">
        <f>Table1[[#This Row],[BrokerAddress]]</f>
        <v>6413 Congress Ave., Suite 260</v>
      </c>
      <c r="BX362" s="4" t="str">
        <f t="shared" si="151"/>
        <v>Boca Raton</v>
      </c>
      <c r="BY362" s="4" t="str">
        <f t="shared" si="152"/>
        <v>Fl</v>
      </c>
      <c r="BZ362" s="4">
        <f t="shared" si="153"/>
        <v>33487</v>
      </c>
      <c r="CA362" s="10" t="str">
        <f t="shared" si="154"/>
        <v>US</v>
      </c>
      <c r="CB362" s="15" t="s">
        <v>131</v>
      </c>
      <c r="CC362" s="62"/>
      <c r="CD362" s="15" t="s">
        <v>132</v>
      </c>
      <c r="CE362" s="64">
        <v>0</v>
      </c>
      <c r="CF362" s="4">
        <v>0</v>
      </c>
      <c r="CG362" s="132">
        <f t="shared" si="155"/>
        <v>0</v>
      </c>
      <c r="CH362" s="4" t="s">
        <v>132</v>
      </c>
      <c r="CI362" s="5">
        <v>0</v>
      </c>
      <c r="CJ362" s="4">
        <v>0</v>
      </c>
      <c r="CK362" s="132">
        <f t="shared" si="156"/>
        <v>0</v>
      </c>
      <c r="CL362" s="4" t="s">
        <v>132</v>
      </c>
      <c r="CM362" s="5">
        <v>0</v>
      </c>
      <c r="CN362" s="4">
        <v>0</v>
      </c>
      <c r="CO362" s="132">
        <f t="shared" si="157"/>
        <v>0</v>
      </c>
      <c r="CP362" s="4" t="s">
        <v>132</v>
      </c>
      <c r="CQ362" s="5">
        <v>0</v>
      </c>
      <c r="CR362" s="4">
        <v>0</v>
      </c>
      <c r="CS362" s="132">
        <f t="shared" si="158"/>
        <v>0</v>
      </c>
      <c r="CT362" s="132">
        <f t="shared" si="159"/>
        <v>0</v>
      </c>
      <c r="CU362" s="168">
        <f t="shared" si="160"/>
        <v>600</v>
      </c>
      <c r="CV362" s="177">
        <f t="shared" si="143"/>
        <v>0</v>
      </c>
      <c r="CW362" s="82">
        <f t="shared" si="144"/>
        <v>558</v>
      </c>
      <c r="CX362" s="79">
        <f>IF(ISBLANK(E362),"AddQuickPay",IF(E362=2,CU362*0.98,IF(E362=2.4,CU362*0.976,IF(E362=3,CU362*0.97,IF(E362=5,CU362*0.95,IF(E362=1.5,CU362*0.985,IF(E362=2.5,CU362*0.975,IF(E362=1.3,CU362*0.987,IF(E362=1,CU362*0.99,IF(E362=4,CU362*0.96,CU362*1))))))))))-Table1[[#This Row],[ComCheck+QuickPayFee]]</f>
        <v>585</v>
      </c>
      <c r="CY362" s="5">
        <f t="shared" si="161"/>
        <v>42</v>
      </c>
      <c r="CZ362" s="5">
        <f t="shared" si="162"/>
        <v>15</v>
      </c>
      <c r="DA362" s="258">
        <f>Table1[[#This Row],[OriginalDispatch]]-Table1[[#This Row],[QuickPayCharge]]</f>
        <v>27</v>
      </c>
      <c r="DB362" s="5">
        <v>0</v>
      </c>
      <c r="DC362" s="5" t="s">
        <v>1287</v>
      </c>
      <c r="DD362" s="309">
        <f t="shared" si="163"/>
        <v>42468</v>
      </c>
      <c r="DE362" s="306">
        <f>MONTH(Table1[[#This Row],[Weekending]])</f>
        <v>4</v>
      </c>
      <c r="DF362" s="306">
        <f>YEAR(Table1[[#This Row],[Weekending]])</f>
        <v>2016</v>
      </c>
      <c r="DG362" s="4"/>
    </row>
    <row r="363" spans="1:111">
      <c r="A363" s="416" t="str">
        <f t="shared" si="145"/>
        <v>0202wn49</v>
      </c>
      <c r="B363" s="104">
        <v>42471</v>
      </c>
      <c r="C363" s="15">
        <v>1939302</v>
      </c>
      <c r="D363" s="416" t="s">
        <v>2405</v>
      </c>
      <c r="E363" s="15">
        <v>3</v>
      </c>
      <c r="F363" s="144" t="str">
        <f>INDEX(BrokerTBL!$B:$B,MATCH(D363,BrokerTBL!$A:$A,0))</f>
        <v xml:space="preserve">303 E Wacker Dr. </v>
      </c>
      <c r="G363" s="15" t="str">
        <f>INDEX(BrokerTBL!$C:$C,MATCH(D363,BrokerTBL!$A:$A,0))</f>
        <v>Chicago</v>
      </c>
      <c r="H363" s="4" t="str">
        <f>INDEX(BrokerTBL!$D:$D,MATCH(D363,BrokerTBL!$A:$A,0))</f>
        <v>IL</v>
      </c>
      <c r="I363" s="4" t="str">
        <f>INDEX(BrokerTBL!$E:$E,MATCH(D363,BrokerTBL!$A:$A,0))</f>
        <v>US</v>
      </c>
      <c r="J363" s="4">
        <f>INDEX(BrokerTBL!$F:$F,MATCH(D363,BrokerTBL!$A:$A,0))</f>
        <v>60601</v>
      </c>
      <c r="K363" s="416" t="s">
        <v>2529</v>
      </c>
      <c r="L363" s="81">
        <v>1939302</v>
      </c>
      <c r="M363" s="104">
        <v>42466</v>
      </c>
      <c r="N363" s="162" t="s">
        <v>123</v>
      </c>
      <c r="O363" s="15" t="s">
        <v>2530</v>
      </c>
      <c r="P363" s="416" t="s">
        <v>2531</v>
      </c>
      <c r="Q363" s="416" t="s">
        <v>2233</v>
      </c>
      <c r="R363" s="416">
        <v>89445</v>
      </c>
      <c r="S363" s="416" t="s">
        <v>2207</v>
      </c>
      <c r="T363" s="298" t="s">
        <v>123</v>
      </c>
      <c r="U363" s="416" t="s">
        <v>120</v>
      </c>
      <c r="V363" s="416">
        <v>53</v>
      </c>
      <c r="W363" s="416" t="s">
        <v>836</v>
      </c>
      <c r="X363" s="225">
        <v>44500</v>
      </c>
      <c r="Y363" s="15" t="s">
        <v>123</v>
      </c>
      <c r="Z363" s="416" t="s">
        <v>123</v>
      </c>
      <c r="AA363" s="416" t="s">
        <v>123</v>
      </c>
      <c r="AB363" s="416" t="s">
        <v>123</v>
      </c>
      <c r="AC363" s="416" t="s">
        <v>2532</v>
      </c>
      <c r="AD363" s="81" t="s">
        <v>1205</v>
      </c>
      <c r="AE363" s="104">
        <v>42467</v>
      </c>
      <c r="AF363" s="416" t="s">
        <v>123</v>
      </c>
      <c r="AG363" s="416" t="s">
        <v>2533</v>
      </c>
      <c r="AH363" s="416" t="s">
        <v>184</v>
      </c>
      <c r="AI363" s="416" t="s">
        <v>2206</v>
      </c>
      <c r="AJ363" s="416">
        <v>95206</v>
      </c>
      <c r="AK363" s="416" t="s">
        <v>2207</v>
      </c>
      <c r="AL363" s="416" t="s">
        <v>123</v>
      </c>
      <c r="AM363" s="171" t="str">
        <f>INDEX(CarrierDriverTBL!$B:$B,MATCH(Table1[[#This Row],[DriverID]],CarrierDriverTBL!$A:$A,0))</f>
        <v>UBTrucking</v>
      </c>
      <c r="AN363" s="10" t="s">
        <v>192</v>
      </c>
      <c r="AO363" s="10" t="str">
        <f>INDEX(CarrierDriverTBL!$C:$C,MATCH(Table1[[#This Row],[DriverID]],CarrierDriverTBL!$A:$A,0))</f>
        <v>Albel</v>
      </c>
      <c r="AP363" s="142" t="str">
        <f>INDEX(CarrierDriverTBL!$D:$D,MATCH(Table1[[#This Row],[DriverID]],CarrierDriverTBL!$A:$A,0))</f>
        <v>Chahil</v>
      </c>
      <c r="AQ363" s="142" t="str">
        <f>INDEX(CarrierDriverTBL!$X:$X,MATCH(Table1[[#This Row],[DriverID]],CarrierDriverTBL!$A:$A,0))</f>
        <v>A8390649</v>
      </c>
      <c r="AR363" s="160">
        <f>INDEX(CarrierDriverTBL!$Y:$Y,MATCH(Table1[[#This Row],[DriverID]],CarrierDriverTBL!$A:$A,0))</f>
        <v>42402</v>
      </c>
      <c r="AS363" s="142" t="str">
        <f t="shared" si="146"/>
        <v>EXPIRED</v>
      </c>
      <c r="AT363" s="160">
        <f>INDEX(CarrierDriverTBL!$E:$E,MATCH(Table1[[#This Row],[DriverID]],CarrierDriverTBL!$A:$A,0))</f>
        <v>22314</v>
      </c>
      <c r="AU363" s="163">
        <f ca="1">INDEX(CarrierDriverTBL!$F:$F,MATCH(Table1[[#This Row],[DriverID]],CarrierDriverTBL!$A:$A,0))</f>
        <v>55.512328767123286</v>
      </c>
      <c r="AV363" s="142" t="str">
        <f>INDEX(CarrierDriverTBL!$K:$K,MATCH(Table1[[#This Row],[DriverID]],CarrierDriverTBL!$A:$A,0))</f>
        <v>510-773-9450</v>
      </c>
      <c r="AW363" s="142" t="str">
        <f>INDEX(CarrierDriverTBL!$M:$M,MATCH(Table1[[#This Row],[DriverID]],CarrierDriverTBL!$A:$A,0))</f>
        <v>3124 Cynthia CT</v>
      </c>
      <c r="AX363" s="142" t="str">
        <f>INDEX(CarrierDriverTBL!$N:$N,MATCH(Table1[[#This Row],[DriverID]],CarrierDriverTBL!$A:$A,0))</f>
        <v>Tracy</v>
      </c>
      <c r="AY363" s="142" t="str">
        <f>INDEX(CarrierDriverTBL!$O:$O,MATCH(Table1[[#This Row],[DriverID]],CarrierDriverTBL!$A:$A,0))</f>
        <v>CA</v>
      </c>
      <c r="AZ363" s="142">
        <f>INDEX(CarrierDriverTBL!$P:$P,MATCH(Table1[[#This Row],[DriverID]],CarrierDriverTBL!$A:$A,0))</f>
        <v>95377</v>
      </c>
      <c r="BA363" s="142" t="str">
        <f>INDEX(CarrierDriverTBL!$Q:$Q,MATCH(Table1[[#This Row],[DriverID]],CarrierDriverTBL!$A:$A,0))</f>
        <v>US</v>
      </c>
      <c r="BB363" s="176" t="str">
        <f>INDEX(CarrierDriverTBL!$R:$R,MATCH(Table1[[#This Row],[DriverID]],CarrierDriverTBL!$A:$A,0))</f>
        <v>ubgollc@gmail.com</v>
      </c>
      <c r="BC363" s="160">
        <f>INDEX(CarrierDriverTBL!$AB:$AB,MATCH(Table1[[#This Row],[DriverID]],CarrierDriverTBL!$A:$A,0))</f>
        <v>42167</v>
      </c>
      <c r="BD363" s="142" t="str">
        <f ca="1">INDEX(CarrierDriverTBL!$AD:$AD,MATCH(LoadMaster!$AN:$AN,CarrierDriverTBL!$A:$A,0))</f>
        <v>MISSING</v>
      </c>
      <c r="BE363" s="142">
        <f>INDEX(CarrierDriverTBL!$AE:$AE,MATCH(Table1[DriverID],CarrierDriverTBL!$A:$A,0))</f>
        <v>913971</v>
      </c>
      <c r="BF363" s="142">
        <f>INDEX(CarrierDriverTBL!$AF:$AF,MATCH(Table1[DriverID],CarrierDriverTBL!$A:$A,0))</f>
        <v>2627544</v>
      </c>
      <c r="BG363" s="142">
        <f>INDEX(CarrierDriverTBL!$AG:$AG,MATCH(Table1[DriverID],CarrierDriverTBL!$A:$A,0))</f>
        <v>466133</v>
      </c>
      <c r="BH363" s="142" t="str">
        <f>INDEX(CarrierDriverTBL!$AH:$AH,MATCH(Table1[DriverID],CarrierDriverTBL!$A:$A,0))</f>
        <v>GM Lawrence Ins</v>
      </c>
      <c r="BI363" s="142" t="str">
        <f>INDEX(CarrierDriverTBL!$AI:$AI,MATCH(Table1[DriverID],CarrierDriverTBL!$A:$A,0))</f>
        <v>DSK2842P160210</v>
      </c>
      <c r="BJ363" s="160">
        <f>INDEX(CarrierDriverTBL!$AJ:$AJ,MATCH(Table1[[#This Row],[DriverID]],CarrierDriverTBL!$A:$A,0))</f>
        <v>42778</v>
      </c>
      <c r="BK363" s="10">
        <f t="shared" si="147"/>
        <v>312</v>
      </c>
      <c r="BL363" s="5">
        <v>1000</v>
      </c>
      <c r="BM363" s="171">
        <v>344</v>
      </c>
      <c r="BN363" s="133">
        <f t="shared" si="164"/>
        <v>2.9069767441860463</v>
      </c>
      <c r="BO363" s="134">
        <f>0.93*Table1[[#This Row],[ChargeBroker]]</f>
        <v>930</v>
      </c>
      <c r="BP363" s="133">
        <f t="shared" si="165"/>
        <v>2.7034883720930232</v>
      </c>
      <c r="BQ363" s="133">
        <v>2.6</v>
      </c>
      <c r="BR363" s="215">
        <f t="shared" si="166"/>
        <v>0.1166666666666667</v>
      </c>
      <c r="BS363" s="133">
        <f t="shared" si="148"/>
        <v>2.5868217054263565</v>
      </c>
      <c r="BT363" s="133">
        <f t="shared" si="149"/>
        <v>40.13333333333334</v>
      </c>
      <c r="BU363" s="10" t="str">
        <f t="shared" si="150"/>
        <v>XPOLogistics</v>
      </c>
      <c r="BV363" s="15"/>
      <c r="BW363" s="4" t="str">
        <f>Table1[[#This Row],[BrokerAddress]]</f>
        <v xml:space="preserve">303 E Wacker Dr. </v>
      </c>
      <c r="BX363" s="4" t="str">
        <f t="shared" si="151"/>
        <v>Chicago</v>
      </c>
      <c r="BY363" s="4" t="str">
        <f t="shared" si="152"/>
        <v>IL</v>
      </c>
      <c r="BZ363" s="4">
        <f t="shared" si="153"/>
        <v>60601</v>
      </c>
      <c r="CA363" s="10" t="str">
        <f t="shared" si="154"/>
        <v>US</v>
      </c>
      <c r="CB363" s="15" t="s">
        <v>131</v>
      </c>
      <c r="CC363" s="62"/>
      <c r="CD363" s="15" t="s">
        <v>132</v>
      </c>
      <c r="CE363" s="64">
        <v>0</v>
      </c>
      <c r="CF363" s="4">
        <v>0</v>
      </c>
      <c r="CG363" s="132">
        <f t="shared" si="155"/>
        <v>0</v>
      </c>
      <c r="CH363" s="4" t="s">
        <v>132</v>
      </c>
      <c r="CI363" s="5">
        <v>0</v>
      </c>
      <c r="CJ363" s="4">
        <v>0</v>
      </c>
      <c r="CK363" s="132">
        <f t="shared" si="156"/>
        <v>0</v>
      </c>
      <c r="CL363" s="4" t="s">
        <v>132</v>
      </c>
      <c r="CM363" s="5">
        <v>0</v>
      </c>
      <c r="CN363" s="4">
        <v>0</v>
      </c>
      <c r="CO363" s="132">
        <f t="shared" si="157"/>
        <v>0</v>
      </c>
      <c r="CP363" s="4" t="s">
        <v>132</v>
      </c>
      <c r="CQ363" s="5">
        <v>0</v>
      </c>
      <c r="CR363" s="4">
        <v>0</v>
      </c>
      <c r="CS363" s="132">
        <f t="shared" si="158"/>
        <v>0</v>
      </c>
      <c r="CT363" s="132">
        <f t="shared" si="159"/>
        <v>0</v>
      </c>
      <c r="CU363" s="168">
        <f t="shared" si="160"/>
        <v>1000</v>
      </c>
      <c r="CV363" s="177">
        <f t="shared" si="143"/>
        <v>0</v>
      </c>
      <c r="CW363" s="82">
        <f t="shared" si="144"/>
        <v>930</v>
      </c>
      <c r="CX363" s="79">
        <f>IF(ISBLANK(E363),"AddQuickPay",IF(E363=2,CU363*0.98,IF(E363=2.4,CU363*0.976,IF(E363=3,CU363*0.97,IF(E363=5,CU363*0.95,IF(E363=1.5,CU363*0.985,IF(E363=2.5,CU363*0.975,IF(E363=1.3,CU363*0.987,IF(E363=1,CU363*0.99,IF(E363=4,CU363*0.96,CU363*1))))))))))-Table1[[#This Row],[ComCheck+QuickPayFee]]</f>
        <v>970</v>
      </c>
      <c r="CY363" s="5">
        <f t="shared" si="161"/>
        <v>70</v>
      </c>
      <c r="CZ363" s="5">
        <f t="shared" si="162"/>
        <v>30</v>
      </c>
      <c r="DA363" s="258">
        <f>Table1[[#This Row],[OriginalDispatch]]-Table1[[#This Row],[QuickPayCharge]]</f>
        <v>40</v>
      </c>
      <c r="DB363" s="5">
        <v>0</v>
      </c>
      <c r="DC363" s="5" t="s">
        <v>1287</v>
      </c>
      <c r="DD363" s="172">
        <f t="shared" si="163"/>
        <v>42468</v>
      </c>
      <c r="DE363" s="171">
        <f>MONTH(Table1[[#This Row],[Weekending]])</f>
        <v>4</v>
      </c>
      <c r="DF363" s="171">
        <f>YEAR(Table1[[#This Row],[Weekending]])</f>
        <v>2016</v>
      </c>
      <c r="DG363" s="4"/>
    </row>
    <row r="364" spans="1:111">
      <c r="A364" s="548" t="str">
        <f t="shared" si="145"/>
        <v>98525019</v>
      </c>
      <c r="B364" s="104">
        <v>42471</v>
      </c>
      <c r="C364" s="550">
        <v>8398</v>
      </c>
      <c r="D364" s="548" t="s">
        <v>2534</v>
      </c>
      <c r="E364" s="550">
        <v>1</v>
      </c>
      <c r="F364" s="551" t="str">
        <f>INDEX(BrokerTBL!$B:$B,MATCH(D364,BrokerTBL!$A:$A,0))</f>
        <v>2 Park Ave, 4th Floor</v>
      </c>
      <c r="G364" s="550" t="str">
        <f>INDEX(BrokerTBL!$C:$C,MATCH(D364,BrokerTBL!$A:$A,0))</f>
        <v>New York</v>
      </c>
      <c r="H364" s="235" t="str">
        <f>INDEX(BrokerTBL!$D:$D,MATCH(D364,BrokerTBL!$A:$A,0))</f>
        <v>NY</v>
      </c>
      <c r="I364" s="235" t="str">
        <f>INDEX(BrokerTBL!$E:$E,MATCH(D364,BrokerTBL!$A:$A,0))</f>
        <v>US</v>
      </c>
      <c r="J364" s="235">
        <f>INDEX(BrokerTBL!$F:$F,MATCH(D364,BrokerTBL!$A:$A,0))</f>
        <v>10016</v>
      </c>
      <c r="K364" s="548" t="s">
        <v>2535</v>
      </c>
      <c r="L364" s="552">
        <v>272952</v>
      </c>
      <c r="M364" s="549">
        <v>42467</v>
      </c>
      <c r="N364" s="162" t="s">
        <v>123</v>
      </c>
      <c r="O364" s="550" t="s">
        <v>2536</v>
      </c>
      <c r="P364" s="548" t="s">
        <v>263</v>
      </c>
      <c r="Q364" s="548" t="s">
        <v>2233</v>
      </c>
      <c r="R364" s="548">
        <v>89431</v>
      </c>
      <c r="S364" s="548" t="s">
        <v>2207</v>
      </c>
      <c r="T364" s="298" t="s">
        <v>123</v>
      </c>
      <c r="U364" s="548" t="s">
        <v>120</v>
      </c>
      <c r="V364" s="548">
        <v>53</v>
      </c>
      <c r="W364" s="548" t="s">
        <v>2537</v>
      </c>
      <c r="X364" s="553">
        <v>40000</v>
      </c>
      <c r="Y364" s="550" t="s">
        <v>123</v>
      </c>
      <c r="Z364" s="548" t="s">
        <v>123</v>
      </c>
      <c r="AA364" s="548" t="s">
        <v>123</v>
      </c>
      <c r="AB364" s="548" t="s">
        <v>123</v>
      </c>
      <c r="AC364" s="548" t="s">
        <v>2538</v>
      </c>
      <c r="AD364" s="552" t="s">
        <v>2539</v>
      </c>
      <c r="AE364" s="549">
        <v>42468</v>
      </c>
      <c r="AF364" s="416" t="s">
        <v>123</v>
      </c>
      <c r="AG364" s="548" t="s">
        <v>2540</v>
      </c>
      <c r="AH364" s="548" t="s">
        <v>470</v>
      </c>
      <c r="AI364" s="548" t="s">
        <v>2206</v>
      </c>
      <c r="AJ364" s="548">
        <v>93901</v>
      </c>
      <c r="AK364" s="548" t="s">
        <v>2207</v>
      </c>
      <c r="AL364" s="548" t="s">
        <v>123</v>
      </c>
      <c r="AM364" s="554" t="str">
        <f>INDEX(CarrierDriverTBL!$B:$B,MATCH(Table1[[#This Row],[DriverID]],CarrierDriverTBL!$A:$A,0))</f>
        <v>UBTrucking</v>
      </c>
      <c r="AN364" s="10" t="s">
        <v>1409</v>
      </c>
      <c r="AO364" s="298" t="str">
        <f>INDEX(CarrierDriverTBL!$C:$C,MATCH(Table1[[#This Row],[DriverID]],CarrierDriverTBL!$A:$A,0))</f>
        <v>Miguel Jaime</v>
      </c>
      <c r="AP364" s="298" t="str">
        <f>INDEX(CarrierDriverTBL!$D:$D,MATCH(Table1[[#This Row],[DriverID]],CarrierDriverTBL!$A:$A,0))</f>
        <v>Martin Del Campo Velarca</v>
      </c>
      <c r="AQ364" s="142" t="str">
        <f>INDEX(CarrierDriverTBL!$X:$X,MATCH(Table1[[#This Row],[DriverID]],CarrierDriverTBL!$A:$A,0))</f>
        <v>D5179619</v>
      </c>
      <c r="AR364" s="160">
        <f>INDEX(CarrierDriverTBL!$Y:$Y,MATCH(Table1[[#This Row],[DriverID]],CarrierDriverTBL!$A:$A,0))</f>
        <v>43843</v>
      </c>
      <c r="AS364" s="142" t="str">
        <f t="shared" si="146"/>
        <v>GOOD</v>
      </c>
      <c r="AT364" s="146">
        <f>INDEX(CarrierDriverTBL!$E:$E,MATCH(Table1[[#This Row],[DriverID]],CarrierDriverTBL!$A:$A,0))</f>
        <v>21198</v>
      </c>
      <c r="AU364" s="163">
        <f ca="1">INDEX(CarrierDriverTBL!$F:$F,MATCH(Table1[[#This Row],[DriverID]],CarrierDriverTBL!$A:$A,0))</f>
        <v>58.56986301369863</v>
      </c>
      <c r="AV364" s="298" t="str">
        <f>INDEX(CarrierDriverTBL!$K:$K,MATCH(Table1[[#This Row],[DriverID]],CarrierDriverTBL!$A:$A,0))</f>
        <v>209-322-5231</v>
      </c>
      <c r="AW364" s="298" t="str">
        <f>INDEX(CarrierDriverTBL!$M:$M,MATCH(Table1[[#This Row],[DriverID]],CarrierDriverTBL!$A:$A,0))</f>
        <v>572 Predersen RD</v>
      </c>
      <c r="AX364" s="298" t="str">
        <f>INDEX(CarrierDriverTBL!$N:$N,MATCH(Table1[[#This Row],[DriverID]],CarrierDriverTBL!$A:$A,0))</f>
        <v>Oakdale</v>
      </c>
      <c r="AY364" s="142" t="str">
        <f>INDEX(CarrierDriverTBL!$O:$O,MATCH(Table1[[#This Row],[DriverID]],CarrierDriverTBL!$A:$A,0))</f>
        <v>CA</v>
      </c>
      <c r="AZ364" s="298">
        <f>INDEX(CarrierDriverTBL!$P:$P,MATCH(Table1[[#This Row],[DriverID]],CarrierDriverTBL!$A:$A,0))</f>
        <v>95361</v>
      </c>
      <c r="BA364" s="298" t="str">
        <f>INDEX(CarrierDriverTBL!$Q:$Q,MATCH(Table1[[#This Row],[DriverID]],CarrierDriverTBL!$A:$A,0))</f>
        <v>US</v>
      </c>
      <c r="BB364" s="176" t="str">
        <f>INDEX(CarrierDriverTBL!$R:$R,MATCH(Table1[[#This Row],[DriverID]],CarrierDriverTBL!$A:$A,0))</f>
        <v>Miguelmartin52@yahoo.com</v>
      </c>
      <c r="BC364" s="160">
        <f>INDEX(CarrierDriverTBL!$AB:$AB,MATCH(Table1[[#This Row],[DriverID]],CarrierDriverTBL!$A:$A,0))</f>
        <v>42334</v>
      </c>
      <c r="BD364" s="142" t="str">
        <f ca="1">INDEX(CarrierDriverTBL!$AD:$AD,MATCH(LoadMaster!$AN:$AN,CarrierDriverTBL!$A:$A,0))</f>
        <v>MISSING</v>
      </c>
      <c r="BE364" s="142">
        <f>INDEX(CarrierDriverTBL!$AE:$AE,MATCH(Table1[DriverID],CarrierDriverTBL!$A:$A,0))</f>
        <v>913971</v>
      </c>
      <c r="BF364" s="142">
        <f>INDEX(CarrierDriverTBL!$AF:$AF,MATCH(Table1[DriverID],CarrierDriverTBL!$A:$A,0))</f>
        <v>2627544</v>
      </c>
      <c r="BG364" s="142">
        <f>INDEX(CarrierDriverTBL!$AG:$AG,MATCH(Table1[DriverID],CarrierDriverTBL!$A:$A,0))</f>
        <v>466133</v>
      </c>
      <c r="BH364" s="142" t="str">
        <f>INDEX(CarrierDriverTBL!$AH:$AH,MATCH(Table1[DriverID],CarrierDriverTBL!$A:$A,0))</f>
        <v>GM Lawrence Ins</v>
      </c>
      <c r="BI364" s="142" t="str">
        <f>INDEX(CarrierDriverTBL!$AI:$AI,MATCH(Table1[DriverID],CarrierDriverTBL!$A:$A,0))</f>
        <v>DSK2842P160210</v>
      </c>
      <c r="BJ364" s="172">
        <f>INDEX(CarrierDriverTBL!$AJ:$AJ,MATCH(Table1[[#This Row],[DriverID]],CarrierDriverTBL!$A:$A,0))</f>
        <v>42778</v>
      </c>
      <c r="BK364" s="10">
        <f t="shared" si="147"/>
        <v>311</v>
      </c>
      <c r="BL364" s="237">
        <v>500</v>
      </c>
      <c r="BM364" s="554">
        <v>313</v>
      </c>
      <c r="BN364" s="558">
        <f t="shared" si="164"/>
        <v>1.5974440894568691</v>
      </c>
      <c r="BO364" s="134">
        <f>0.93*Table1[[#This Row],[ChargeBroker]]</f>
        <v>465</v>
      </c>
      <c r="BP364" s="558">
        <f t="shared" si="165"/>
        <v>1.4856230031948883</v>
      </c>
      <c r="BQ364" s="133">
        <v>2.6</v>
      </c>
      <c r="BR364" s="559">
        <f t="shared" si="166"/>
        <v>0.1166666666666667</v>
      </c>
      <c r="BS364" s="558">
        <f t="shared" si="148"/>
        <v>1.3689563365282216</v>
      </c>
      <c r="BT364" s="558">
        <f t="shared" si="149"/>
        <v>36.516666666666673</v>
      </c>
      <c r="BU364" s="236" t="str">
        <f t="shared" si="150"/>
        <v>Transfix</v>
      </c>
      <c r="BV364" s="550"/>
      <c r="BW364" s="235" t="str">
        <f>Table1[[#This Row],[BrokerAddress]]</f>
        <v>2 Park Ave, 4th Floor</v>
      </c>
      <c r="BX364" s="235" t="str">
        <f t="shared" si="151"/>
        <v>New York</v>
      </c>
      <c r="BY364" s="235" t="str">
        <f t="shared" si="152"/>
        <v>NY</v>
      </c>
      <c r="BZ364" s="235">
        <f t="shared" si="153"/>
        <v>10016</v>
      </c>
      <c r="CA364" s="236" t="str">
        <f t="shared" si="154"/>
        <v>US</v>
      </c>
      <c r="CB364" s="15" t="s">
        <v>131</v>
      </c>
      <c r="CC364" s="62"/>
      <c r="CD364" s="15" t="s">
        <v>132</v>
      </c>
      <c r="CE364" s="64">
        <v>0</v>
      </c>
      <c r="CF364" s="4">
        <v>0</v>
      </c>
      <c r="CG364" s="132">
        <f t="shared" si="155"/>
        <v>0</v>
      </c>
      <c r="CH364" s="4" t="s">
        <v>132</v>
      </c>
      <c r="CI364" s="5">
        <v>0</v>
      </c>
      <c r="CJ364" s="4">
        <v>0</v>
      </c>
      <c r="CK364" s="132">
        <f t="shared" si="156"/>
        <v>0</v>
      </c>
      <c r="CL364" s="4" t="s">
        <v>132</v>
      </c>
      <c r="CM364" s="5">
        <v>0</v>
      </c>
      <c r="CN364" s="4">
        <v>0</v>
      </c>
      <c r="CO364" s="132">
        <f t="shared" si="157"/>
        <v>0</v>
      </c>
      <c r="CP364" s="4" t="s">
        <v>132</v>
      </c>
      <c r="CQ364" s="5">
        <v>0</v>
      </c>
      <c r="CR364" s="4">
        <v>0</v>
      </c>
      <c r="CS364" s="132">
        <f t="shared" si="158"/>
        <v>0</v>
      </c>
      <c r="CT364" s="132">
        <f t="shared" si="159"/>
        <v>0</v>
      </c>
      <c r="CU364" s="238">
        <f t="shared" si="160"/>
        <v>500</v>
      </c>
      <c r="CV364" s="239">
        <f t="shared" si="143"/>
        <v>0</v>
      </c>
      <c r="CW364" s="240">
        <f t="shared" si="144"/>
        <v>465</v>
      </c>
      <c r="CX364" s="79">
        <f>IF(ISBLANK(E364),"AddQuickPay",IF(E364=2,CU364*0.98,IF(E364=2.4,CU364*0.976,IF(E364=3,CU364*0.97,IF(E364=5,CU364*0.95,IF(E364=1.5,CU364*0.985,IF(E364=2.5,CU364*0.975,IF(E364=1.3,CU364*0.987,IF(E364=1,CU364*0.99,IF(E364=4,CU364*0.96,CU364*1))))))))))-Table1[[#This Row],[ComCheck+QuickPayFee]]</f>
        <v>495</v>
      </c>
      <c r="CY364" s="237">
        <f t="shared" si="161"/>
        <v>35</v>
      </c>
      <c r="CZ364" s="237">
        <f t="shared" si="162"/>
        <v>5</v>
      </c>
      <c r="DA364" s="263">
        <f>Table1[[#This Row],[OriginalDispatch]]-Table1[[#This Row],[QuickPayCharge]]</f>
        <v>30</v>
      </c>
      <c r="DB364" s="5">
        <v>0</v>
      </c>
      <c r="DC364" s="237" t="s">
        <v>1287</v>
      </c>
      <c r="DD364" s="556">
        <f t="shared" si="163"/>
        <v>42468</v>
      </c>
      <c r="DE364" s="554">
        <f>MONTH(Table1[[#This Row],[Weekending]])</f>
        <v>4</v>
      </c>
      <c r="DF364" s="554">
        <f>YEAR(Table1[[#This Row],[Weekending]])</f>
        <v>2016</v>
      </c>
      <c r="DG364" s="235"/>
    </row>
    <row r="365" spans="1:111">
      <c r="A365" s="548" t="str">
        <f t="shared" si="145"/>
        <v>3131ng49</v>
      </c>
      <c r="B365" s="104">
        <v>42471</v>
      </c>
      <c r="C365" s="550">
        <v>6097031</v>
      </c>
      <c r="D365" s="548" t="s">
        <v>2541</v>
      </c>
      <c r="E365" s="550">
        <v>0</v>
      </c>
      <c r="F365" s="551" t="str">
        <f>INDEX(BrokerTBL!$B:$B,MATCH(D365,BrokerTBL!$A:$A,0))</f>
        <v>2043 Corporate Lane</v>
      </c>
      <c r="G365" s="550" t="str">
        <f>INDEX(BrokerTBL!$C:$C,MATCH(D365,BrokerTBL!$A:$A,0))</f>
        <v>Naperville</v>
      </c>
      <c r="H365" s="235" t="str">
        <f>INDEX(BrokerTBL!$D:$D,MATCH(D365,BrokerTBL!$A:$A,0))</f>
        <v>IL</v>
      </c>
      <c r="I365" s="235" t="str">
        <f>INDEX(BrokerTBL!$E:$E,MATCH(D365,BrokerTBL!$A:$A,0))</f>
        <v>US</v>
      </c>
      <c r="J365" s="235">
        <f>INDEX(BrokerTBL!$F:$F,MATCH(D365,BrokerTBL!$A:$A,0))</f>
        <v>60563</v>
      </c>
      <c r="K365" s="548" t="s">
        <v>2542</v>
      </c>
      <c r="L365" s="552">
        <v>6097031</v>
      </c>
      <c r="M365" s="549">
        <v>42467</v>
      </c>
      <c r="N365" s="162" t="s">
        <v>123</v>
      </c>
      <c r="O365" s="550" t="s">
        <v>2543</v>
      </c>
      <c r="P365" s="548" t="s">
        <v>2544</v>
      </c>
      <c r="Q365" s="548" t="s">
        <v>2206</v>
      </c>
      <c r="R365" s="548">
        <v>94607</v>
      </c>
      <c r="S365" s="548" t="s">
        <v>2207</v>
      </c>
      <c r="T365" s="548" t="s">
        <v>2545</v>
      </c>
      <c r="U365" s="548" t="s">
        <v>120</v>
      </c>
      <c r="V365" s="548">
        <v>53</v>
      </c>
      <c r="W365" s="298" t="s">
        <v>123</v>
      </c>
      <c r="X365" s="553">
        <v>17300</v>
      </c>
      <c r="Y365" s="550" t="s">
        <v>1710</v>
      </c>
      <c r="Z365" s="548">
        <v>29</v>
      </c>
      <c r="AA365" s="548" t="s">
        <v>123</v>
      </c>
      <c r="AB365" s="548" t="s">
        <v>123</v>
      </c>
      <c r="AC365" s="548" t="s">
        <v>2546</v>
      </c>
      <c r="AD365" s="552" t="s">
        <v>1309</v>
      </c>
      <c r="AE365" s="549">
        <v>42468</v>
      </c>
      <c r="AF365" s="416" t="s">
        <v>123</v>
      </c>
      <c r="AG365" s="548" t="s">
        <v>2547</v>
      </c>
      <c r="AH365" s="548" t="s">
        <v>2451</v>
      </c>
      <c r="AI365" s="548" t="s">
        <v>2233</v>
      </c>
      <c r="AJ365" s="548">
        <v>89431</v>
      </c>
      <c r="AK365" s="548" t="s">
        <v>2207</v>
      </c>
      <c r="AL365" s="548" t="s">
        <v>2548</v>
      </c>
      <c r="AM365" s="554" t="str">
        <f>INDEX(CarrierDriverTBL!$B:$B,MATCH(Table1[[#This Row],[DriverID]],CarrierDriverTBL!$A:$A,0))</f>
        <v>UBTrucking</v>
      </c>
      <c r="AN365" s="10" t="s">
        <v>192</v>
      </c>
      <c r="AO365" s="10" t="str">
        <f>INDEX(CarrierDriverTBL!$C:$C,MATCH(Table1[[#This Row],[DriverID]],CarrierDriverTBL!$A:$A,0))</f>
        <v>Albel</v>
      </c>
      <c r="AP365" s="142" t="str">
        <f>INDEX(CarrierDriverTBL!$D:$D,MATCH(Table1[[#This Row],[DriverID]],CarrierDriverTBL!$A:$A,0))</f>
        <v>Chahil</v>
      </c>
      <c r="AQ365" s="142" t="str">
        <f>INDEX(CarrierDriverTBL!$X:$X,MATCH(Table1[[#This Row],[DriverID]],CarrierDriverTBL!$A:$A,0))</f>
        <v>A8390649</v>
      </c>
      <c r="AR365" s="160">
        <f>INDEX(CarrierDriverTBL!$Y:$Y,MATCH(Table1[[#This Row],[DriverID]],CarrierDriverTBL!$A:$A,0))</f>
        <v>42402</v>
      </c>
      <c r="AS365" s="142" t="str">
        <f t="shared" si="146"/>
        <v>EXPIRED</v>
      </c>
      <c r="AT365" s="160">
        <f>INDEX(CarrierDriverTBL!$E:$E,MATCH(Table1[[#This Row],[DriverID]],CarrierDriverTBL!$A:$A,0))</f>
        <v>22314</v>
      </c>
      <c r="AU365" s="163">
        <f ca="1">INDEX(CarrierDriverTBL!$F:$F,MATCH(Table1[[#This Row],[DriverID]],CarrierDriverTBL!$A:$A,0))</f>
        <v>55.512328767123286</v>
      </c>
      <c r="AV365" s="142" t="str">
        <f>INDEX(CarrierDriverTBL!$K:$K,MATCH(Table1[[#This Row],[DriverID]],CarrierDriverTBL!$A:$A,0))</f>
        <v>510-773-9450</v>
      </c>
      <c r="AW365" s="142" t="str">
        <f>INDEX(CarrierDriverTBL!$M:$M,MATCH(Table1[[#This Row],[DriverID]],CarrierDriverTBL!$A:$A,0))</f>
        <v>3124 Cynthia CT</v>
      </c>
      <c r="AX365" s="142" t="str">
        <f>INDEX(CarrierDriverTBL!$N:$N,MATCH(Table1[[#This Row],[DriverID]],CarrierDriverTBL!$A:$A,0))</f>
        <v>Tracy</v>
      </c>
      <c r="AY365" s="142" t="str">
        <f>INDEX(CarrierDriverTBL!$O:$O,MATCH(Table1[[#This Row],[DriverID]],CarrierDriverTBL!$A:$A,0))</f>
        <v>CA</v>
      </c>
      <c r="AZ365" s="142">
        <f>INDEX(CarrierDriverTBL!$P:$P,MATCH(Table1[[#This Row],[DriverID]],CarrierDriverTBL!$A:$A,0))</f>
        <v>95377</v>
      </c>
      <c r="BA365" s="142" t="str">
        <f>INDEX(CarrierDriverTBL!$Q:$Q,MATCH(Table1[[#This Row],[DriverID]],CarrierDriverTBL!$A:$A,0))</f>
        <v>US</v>
      </c>
      <c r="BB365" s="176" t="str">
        <f>INDEX(CarrierDriverTBL!$R:$R,MATCH(Table1[[#This Row],[DriverID]],CarrierDriverTBL!$A:$A,0))</f>
        <v>ubgollc@gmail.com</v>
      </c>
      <c r="BC365" s="160">
        <f>INDEX(CarrierDriverTBL!$AB:$AB,MATCH(Table1[[#This Row],[DriverID]],CarrierDriverTBL!$A:$A,0))</f>
        <v>42167</v>
      </c>
      <c r="BD365" s="142" t="str">
        <f ca="1">INDEX(CarrierDriverTBL!$AD:$AD,MATCH(LoadMaster!$AN:$AN,CarrierDriverTBL!$A:$A,0))</f>
        <v>MISSING</v>
      </c>
      <c r="BE365" s="142">
        <f>INDEX(CarrierDriverTBL!$AE:$AE,MATCH(Table1[DriverID],CarrierDriverTBL!$A:$A,0))</f>
        <v>913971</v>
      </c>
      <c r="BF365" s="142">
        <f>INDEX(CarrierDriverTBL!$AF:$AF,MATCH(Table1[DriverID],CarrierDriverTBL!$A:$A,0))</f>
        <v>2627544</v>
      </c>
      <c r="BG365" s="142">
        <f>INDEX(CarrierDriverTBL!$AG:$AG,MATCH(Table1[DriverID],CarrierDriverTBL!$A:$A,0))</f>
        <v>466133</v>
      </c>
      <c r="BH365" s="142" t="str">
        <f>INDEX(CarrierDriverTBL!$AH:$AH,MATCH(Table1[DriverID],CarrierDriverTBL!$A:$A,0))</f>
        <v>GM Lawrence Ins</v>
      </c>
      <c r="BI365" s="142" t="str">
        <f>INDEX(CarrierDriverTBL!$AI:$AI,MATCH(Table1[DriverID],CarrierDriverTBL!$A:$A,0))</f>
        <v>DSK2842P160210</v>
      </c>
      <c r="BJ365" s="160">
        <f>INDEX(CarrierDriverTBL!$AJ:$AJ,MATCH(Table1[[#This Row],[DriverID]],CarrierDriverTBL!$A:$A,0))</f>
        <v>42778</v>
      </c>
      <c r="BK365" s="10">
        <f t="shared" si="147"/>
        <v>311</v>
      </c>
      <c r="BL365" s="237">
        <v>700</v>
      </c>
      <c r="BM365" s="554">
        <v>215</v>
      </c>
      <c r="BN365" s="558">
        <f t="shared" si="164"/>
        <v>3.2558139534883721</v>
      </c>
      <c r="BO365" s="134">
        <f>0.93*Table1[[#This Row],[ChargeBroker]]</f>
        <v>651</v>
      </c>
      <c r="BP365" s="558">
        <f t="shared" si="165"/>
        <v>3.0279069767441862</v>
      </c>
      <c r="BQ365" s="133">
        <v>2.6</v>
      </c>
      <c r="BR365" s="559">
        <f t="shared" si="166"/>
        <v>0.1166666666666667</v>
      </c>
      <c r="BS365" s="558">
        <f t="shared" si="148"/>
        <v>2.9112403100775195</v>
      </c>
      <c r="BT365" s="558">
        <f t="shared" si="149"/>
        <v>25.083333333333339</v>
      </c>
      <c r="BU365" s="236" t="str">
        <f t="shared" si="150"/>
        <v>JBS Logistics</v>
      </c>
      <c r="BV365" s="550"/>
      <c r="BW365" s="235" t="str">
        <f>Table1[[#This Row],[BrokerAddress]]</f>
        <v>2043 Corporate Lane</v>
      </c>
      <c r="BX365" s="235" t="str">
        <f t="shared" si="151"/>
        <v>Naperville</v>
      </c>
      <c r="BY365" s="235" t="str">
        <f t="shared" si="152"/>
        <v>IL</v>
      </c>
      <c r="BZ365" s="235">
        <f t="shared" si="153"/>
        <v>60563</v>
      </c>
      <c r="CA365" s="236" t="str">
        <f t="shared" si="154"/>
        <v>US</v>
      </c>
      <c r="CB365" s="15" t="s">
        <v>131</v>
      </c>
      <c r="CC365" s="62"/>
      <c r="CD365" s="15" t="s">
        <v>132</v>
      </c>
      <c r="CE365" s="64">
        <v>0</v>
      </c>
      <c r="CF365" s="4">
        <v>0</v>
      </c>
      <c r="CG365" s="132">
        <f t="shared" si="155"/>
        <v>0</v>
      </c>
      <c r="CH365" s="4" t="s">
        <v>132</v>
      </c>
      <c r="CI365" s="5">
        <v>0</v>
      </c>
      <c r="CJ365" s="4">
        <v>0</v>
      </c>
      <c r="CK365" s="132">
        <f t="shared" si="156"/>
        <v>0</v>
      </c>
      <c r="CL365" s="4" t="s">
        <v>132</v>
      </c>
      <c r="CM365" s="5">
        <v>0</v>
      </c>
      <c r="CN365" s="4">
        <v>0</v>
      </c>
      <c r="CO365" s="132">
        <f t="shared" si="157"/>
        <v>0</v>
      </c>
      <c r="CP365" s="4" t="s">
        <v>132</v>
      </c>
      <c r="CQ365" s="5">
        <v>0</v>
      </c>
      <c r="CR365" s="4">
        <v>0</v>
      </c>
      <c r="CS365" s="132">
        <f t="shared" si="158"/>
        <v>0</v>
      </c>
      <c r="CT365" s="132">
        <f t="shared" si="159"/>
        <v>0</v>
      </c>
      <c r="CU365" s="238">
        <f t="shared" si="160"/>
        <v>700</v>
      </c>
      <c r="CV365" s="239">
        <f t="shared" si="143"/>
        <v>0</v>
      </c>
      <c r="CW365" s="240">
        <f t="shared" si="144"/>
        <v>651</v>
      </c>
      <c r="CX365" s="79">
        <f>IF(ISBLANK(E365),"AddQuickPay",IF(E365=2,CU365*0.98,IF(E365=2.4,CU365*0.976,IF(E365=3,CU365*0.97,IF(E365=5,CU365*0.95,IF(E365=1.5,CU365*0.985,IF(E365=2.5,CU365*0.975,IF(E365=1.3,CU365*0.987,IF(E365=1,CU365*0.99,IF(E365=4,CU365*0.96,CU365*1))))))))))-Table1[[#This Row],[ComCheck+QuickPayFee]]</f>
        <v>700</v>
      </c>
      <c r="CY365" s="237">
        <f t="shared" si="161"/>
        <v>49</v>
      </c>
      <c r="CZ365" s="237">
        <f t="shared" si="162"/>
        <v>0</v>
      </c>
      <c r="DA365" s="263">
        <f>Table1[[#This Row],[OriginalDispatch]]-Table1[[#This Row],[QuickPayCharge]]</f>
        <v>49</v>
      </c>
      <c r="DB365" s="5">
        <v>0</v>
      </c>
      <c r="DC365" s="5" t="s">
        <v>1287</v>
      </c>
      <c r="DD365" s="556">
        <f t="shared" si="163"/>
        <v>42468</v>
      </c>
      <c r="DE365" s="554">
        <f>MONTH(Table1[[#This Row],[Weekending]])</f>
        <v>4</v>
      </c>
      <c r="DF365" s="554">
        <f>YEAR(Table1[[#This Row],[Weekending]])</f>
        <v>2016</v>
      </c>
      <c r="DG365" s="235"/>
    </row>
    <row r="366" spans="1:111">
      <c r="A366" s="416" t="str">
        <f t="shared" si="145"/>
        <v>5716ne49</v>
      </c>
      <c r="B366" s="104">
        <v>42471</v>
      </c>
      <c r="C366" s="15">
        <v>2422057</v>
      </c>
      <c r="D366" s="416" t="s">
        <v>1638</v>
      </c>
      <c r="E366" s="15">
        <v>2</v>
      </c>
      <c r="F366" s="144" t="str">
        <f>INDEX(BrokerTBL!$B:$B,MATCH(D366,BrokerTBL!$A:$A,0))</f>
        <v>4040 Embassy Parkway Suite 370</v>
      </c>
      <c r="G366" s="15" t="str">
        <f>INDEX(BrokerTBL!$C:$C,MATCH(D366,BrokerTBL!$A:$A,0))</f>
        <v>Akron</v>
      </c>
      <c r="H366" s="4" t="str">
        <f>INDEX(BrokerTBL!$D:$D,MATCH(D366,BrokerTBL!$A:$A,0))</f>
        <v>Ohio</v>
      </c>
      <c r="I366" s="4" t="str">
        <f>INDEX(BrokerTBL!$E:$E,MATCH(D366,BrokerTBL!$A:$A,0))</f>
        <v>US</v>
      </c>
      <c r="J366" s="4">
        <f>INDEX(BrokerTBL!$F:$F,MATCH(D366,BrokerTBL!$A:$A,0))</f>
        <v>44333</v>
      </c>
      <c r="K366" s="416" t="s">
        <v>2239</v>
      </c>
      <c r="L366" s="81" t="s">
        <v>2549</v>
      </c>
      <c r="M366" s="104">
        <v>42468</v>
      </c>
      <c r="N366" s="162" t="s">
        <v>123</v>
      </c>
      <c r="O366" s="15" t="s">
        <v>2242</v>
      </c>
      <c r="P366" s="416" t="s">
        <v>2243</v>
      </c>
      <c r="Q366" s="416" t="s">
        <v>2233</v>
      </c>
      <c r="R366" s="416">
        <v>89706</v>
      </c>
      <c r="S366" s="416" t="s">
        <v>2207</v>
      </c>
      <c r="T366" s="416" t="s">
        <v>1643</v>
      </c>
      <c r="U366" s="416" t="s">
        <v>2550</v>
      </c>
      <c r="V366" s="416">
        <v>53</v>
      </c>
      <c r="W366" s="416" t="s">
        <v>2244</v>
      </c>
      <c r="X366" s="225">
        <v>44000</v>
      </c>
      <c r="Y366" s="15" t="s">
        <v>2282</v>
      </c>
      <c r="Z366" s="416" t="s">
        <v>123</v>
      </c>
      <c r="AA366" s="416" t="s">
        <v>123</v>
      </c>
      <c r="AB366" s="416" t="s">
        <v>123</v>
      </c>
      <c r="AC366" s="416" t="s">
        <v>2245</v>
      </c>
      <c r="AD366" s="81" t="s">
        <v>132</v>
      </c>
      <c r="AE366" s="104">
        <v>42471</v>
      </c>
      <c r="AF366" s="104">
        <v>42471</v>
      </c>
      <c r="AG366" s="416" t="s">
        <v>2246</v>
      </c>
      <c r="AH366" s="416" t="s">
        <v>2247</v>
      </c>
      <c r="AI366" s="416" t="s">
        <v>2206</v>
      </c>
      <c r="AJ366" s="416">
        <v>93235</v>
      </c>
      <c r="AK366" s="416" t="s">
        <v>2207</v>
      </c>
      <c r="AL366" s="416" t="s">
        <v>2356</v>
      </c>
      <c r="AM366" s="171" t="str">
        <f>INDEX(CarrierDriverTBL!$B:$B,MATCH(Table1[[#This Row],[DriverID]],CarrierDriverTBL!$A:$A,0))</f>
        <v>UBTrucking</v>
      </c>
      <c r="AN366" s="10" t="s">
        <v>192</v>
      </c>
      <c r="AO366" s="10" t="str">
        <f>INDEX(CarrierDriverTBL!$C:$C,MATCH(Table1[[#This Row],[DriverID]],CarrierDriverTBL!$A:$A,0))</f>
        <v>Albel</v>
      </c>
      <c r="AP366" s="142" t="str">
        <f>INDEX(CarrierDriverTBL!$D:$D,MATCH(Table1[[#This Row],[DriverID]],CarrierDriverTBL!$A:$A,0))</f>
        <v>Chahil</v>
      </c>
      <c r="AQ366" s="142" t="str">
        <f>INDEX(CarrierDriverTBL!$X:$X,MATCH(Table1[[#This Row],[DriverID]],CarrierDriverTBL!$A:$A,0))</f>
        <v>A8390649</v>
      </c>
      <c r="AR366" s="160">
        <f>INDEX(CarrierDriverTBL!$Y:$Y,MATCH(Table1[[#This Row],[DriverID]],CarrierDriverTBL!$A:$A,0))</f>
        <v>42402</v>
      </c>
      <c r="AS366" s="142" t="str">
        <f t="shared" si="146"/>
        <v>EXPIRED</v>
      </c>
      <c r="AT366" s="160">
        <f>INDEX(CarrierDriverTBL!$E:$E,MATCH(Table1[[#This Row],[DriverID]],CarrierDriverTBL!$A:$A,0))</f>
        <v>22314</v>
      </c>
      <c r="AU366" s="163">
        <f ca="1">INDEX(CarrierDriverTBL!$F:$F,MATCH(Table1[[#This Row],[DriverID]],CarrierDriverTBL!$A:$A,0))</f>
        <v>55.512328767123286</v>
      </c>
      <c r="AV366" s="142" t="str">
        <f>INDEX(CarrierDriverTBL!$K:$K,MATCH(Table1[[#This Row],[DriverID]],CarrierDriverTBL!$A:$A,0))</f>
        <v>510-773-9450</v>
      </c>
      <c r="AW366" s="142" t="str">
        <f>INDEX(CarrierDriverTBL!$M:$M,MATCH(Table1[[#This Row],[DriverID]],CarrierDriverTBL!$A:$A,0))</f>
        <v>3124 Cynthia CT</v>
      </c>
      <c r="AX366" s="142" t="str">
        <f>INDEX(CarrierDriverTBL!$N:$N,MATCH(Table1[[#This Row],[DriverID]],CarrierDriverTBL!$A:$A,0))</f>
        <v>Tracy</v>
      </c>
      <c r="AY366" s="142" t="str">
        <f>INDEX(CarrierDriverTBL!$O:$O,MATCH(Table1[[#This Row],[DriverID]],CarrierDriverTBL!$A:$A,0))</f>
        <v>CA</v>
      </c>
      <c r="AZ366" s="142">
        <f>INDEX(CarrierDriverTBL!$P:$P,MATCH(Table1[[#This Row],[DriverID]],CarrierDriverTBL!$A:$A,0))</f>
        <v>95377</v>
      </c>
      <c r="BA366" s="142" t="str">
        <f>INDEX(CarrierDriverTBL!$Q:$Q,MATCH(Table1[[#This Row],[DriverID]],CarrierDriverTBL!$A:$A,0))</f>
        <v>US</v>
      </c>
      <c r="BB366" s="176" t="str">
        <f>INDEX(CarrierDriverTBL!$R:$R,MATCH(Table1[[#This Row],[DriverID]],CarrierDriverTBL!$A:$A,0))</f>
        <v>ubgollc@gmail.com</v>
      </c>
      <c r="BC366" s="160">
        <f>INDEX(CarrierDriverTBL!$AB:$AB,MATCH(Table1[[#This Row],[DriverID]],CarrierDriverTBL!$A:$A,0))</f>
        <v>42167</v>
      </c>
      <c r="BD366" s="142" t="str">
        <f ca="1">INDEX(CarrierDriverTBL!$AD:$AD,MATCH(LoadMaster!$AN:$AN,CarrierDriverTBL!$A:$A,0))</f>
        <v>MISSING</v>
      </c>
      <c r="BE366" s="142">
        <f>INDEX(CarrierDriverTBL!$AE:$AE,MATCH(Table1[DriverID],CarrierDriverTBL!$A:$A,0))</f>
        <v>913971</v>
      </c>
      <c r="BF366" s="142">
        <f>INDEX(CarrierDriverTBL!$AF:$AF,MATCH(Table1[DriverID],CarrierDriverTBL!$A:$A,0))</f>
        <v>2627544</v>
      </c>
      <c r="BG366" s="142">
        <f>INDEX(CarrierDriverTBL!$AG:$AG,MATCH(Table1[DriverID],CarrierDriverTBL!$A:$A,0))</f>
        <v>466133</v>
      </c>
      <c r="BH366" s="142" t="str">
        <f>INDEX(CarrierDriverTBL!$AH:$AH,MATCH(Table1[DriverID],CarrierDriverTBL!$A:$A,0))</f>
        <v>GM Lawrence Ins</v>
      </c>
      <c r="BI366" s="142" t="str">
        <f>INDEX(CarrierDriverTBL!$AI:$AI,MATCH(Table1[DriverID],CarrierDriverTBL!$A:$A,0))</f>
        <v>DSK2842P160210</v>
      </c>
      <c r="BJ366" s="160">
        <f>INDEX(CarrierDriverTBL!$AJ:$AJ,MATCH(Table1[[#This Row],[DriverID]],CarrierDriverTBL!$A:$A,0))</f>
        <v>42778</v>
      </c>
      <c r="BK366" s="10">
        <f t="shared" si="147"/>
        <v>310</v>
      </c>
      <c r="BL366" s="5">
        <v>600</v>
      </c>
      <c r="BM366" s="171">
        <v>320</v>
      </c>
      <c r="BN366" s="133">
        <f t="shared" si="164"/>
        <v>1.875</v>
      </c>
      <c r="BO366" s="134">
        <f>0.93*Table1[[#This Row],[ChargeBroker]]</f>
        <v>558</v>
      </c>
      <c r="BP366" s="133">
        <f t="shared" si="165"/>
        <v>1.7437499999999999</v>
      </c>
      <c r="BQ366" s="133">
        <v>2.6</v>
      </c>
      <c r="BR366" s="215">
        <f t="shared" si="166"/>
        <v>0.1166666666666667</v>
      </c>
      <c r="BS366" s="133">
        <f t="shared" si="148"/>
        <v>1.6270833333333332</v>
      </c>
      <c r="BT366" s="133">
        <f t="shared" si="149"/>
        <v>37.333333333333343</v>
      </c>
      <c r="BU366" s="10" t="str">
        <f t="shared" si="150"/>
        <v>Matson Logistics</v>
      </c>
      <c r="BV366" s="15"/>
      <c r="BW366" s="4" t="str">
        <f>Table1[[#This Row],[BrokerAddress]]</f>
        <v>4040 Embassy Parkway Suite 370</v>
      </c>
      <c r="BX366" s="4" t="str">
        <f t="shared" si="151"/>
        <v>Akron</v>
      </c>
      <c r="BY366" s="4" t="str">
        <f t="shared" si="152"/>
        <v>Ohio</v>
      </c>
      <c r="BZ366" s="4">
        <f t="shared" si="153"/>
        <v>44333</v>
      </c>
      <c r="CA366" s="10" t="str">
        <f t="shared" si="154"/>
        <v>US</v>
      </c>
      <c r="CB366" s="15" t="s">
        <v>131</v>
      </c>
      <c r="CC366" s="62"/>
      <c r="CD366" s="15" t="s">
        <v>132</v>
      </c>
      <c r="CE366" s="64">
        <v>0</v>
      </c>
      <c r="CF366" s="4">
        <v>0</v>
      </c>
      <c r="CG366" s="132">
        <f t="shared" si="155"/>
        <v>0</v>
      </c>
      <c r="CH366" s="4" t="s">
        <v>132</v>
      </c>
      <c r="CI366" s="5">
        <v>0</v>
      </c>
      <c r="CJ366" s="4">
        <v>0</v>
      </c>
      <c r="CK366" s="132">
        <f t="shared" si="156"/>
        <v>0</v>
      </c>
      <c r="CL366" s="4" t="s">
        <v>132</v>
      </c>
      <c r="CM366" s="5">
        <v>0</v>
      </c>
      <c r="CN366" s="4">
        <v>0</v>
      </c>
      <c r="CO366" s="132">
        <f t="shared" si="157"/>
        <v>0</v>
      </c>
      <c r="CP366" s="4" t="s">
        <v>132</v>
      </c>
      <c r="CQ366" s="5">
        <v>0</v>
      </c>
      <c r="CR366" s="4">
        <v>0</v>
      </c>
      <c r="CS366" s="132">
        <f t="shared" si="158"/>
        <v>0</v>
      </c>
      <c r="CT366" s="132">
        <f t="shared" si="159"/>
        <v>0</v>
      </c>
      <c r="CU366" s="168">
        <f t="shared" si="160"/>
        <v>600</v>
      </c>
      <c r="CV366" s="177">
        <f t="shared" si="143"/>
        <v>0</v>
      </c>
      <c r="CW366" s="82">
        <f t="shared" si="144"/>
        <v>558</v>
      </c>
      <c r="CX366" s="79">
        <f>IF(ISBLANK(E366),"AddQuickPay",IF(E366=2,CU366*0.98,IF(E366=2.4,CU366*0.976,IF(E366=3,CU366*0.97,IF(E366=5,CU366*0.95,IF(E366=1.5,CU366*0.985,IF(E366=2.5,CU366*0.975,IF(E366=1.3,CU366*0.987,IF(E366=1,CU366*0.99,IF(E366=4,CU366*0.96,CU366*1))))))))))-Table1[[#This Row],[ComCheck+QuickPayFee]]</f>
        <v>588</v>
      </c>
      <c r="CY366" s="5">
        <f t="shared" si="161"/>
        <v>42</v>
      </c>
      <c r="CZ366" s="5">
        <f t="shared" si="162"/>
        <v>12</v>
      </c>
      <c r="DA366" s="258">
        <f>Table1[[#This Row],[OriginalDispatch]]-Table1[[#This Row],[QuickPayCharge]]</f>
        <v>30</v>
      </c>
      <c r="DB366" s="5">
        <v>0</v>
      </c>
      <c r="DC366" s="237" t="s">
        <v>1287</v>
      </c>
      <c r="DD366" s="172">
        <f t="shared" si="163"/>
        <v>42468</v>
      </c>
      <c r="DE366" s="171">
        <f>MONTH(Table1[[#This Row],[Weekending]])</f>
        <v>4</v>
      </c>
      <c r="DF366" s="171">
        <f>YEAR(Table1[[#This Row],[Weekending]])</f>
        <v>2016</v>
      </c>
      <c r="DG366" s="4"/>
    </row>
    <row r="367" spans="1:111">
      <c r="A367" s="416" t="str">
        <f t="shared" si="145"/>
        <v>44010193</v>
      </c>
      <c r="B367" s="104">
        <v>42471</v>
      </c>
      <c r="C367" s="15">
        <v>197738044</v>
      </c>
      <c r="D367" s="416" t="s">
        <v>111</v>
      </c>
      <c r="E367" s="15">
        <v>2</v>
      </c>
      <c r="F367" s="144" t="str">
        <f>INDEX(BrokerTBL!$B:$B,MATCH(D367,BrokerTBL!$A:$A,0))</f>
        <v>P.O. Box 3474</v>
      </c>
      <c r="G367" s="15" t="str">
        <f>INDEX(BrokerTBL!$C:$C,MATCH(D367,BrokerTBL!$A:$A,0))</f>
        <v>Chicago</v>
      </c>
      <c r="H367" s="4" t="str">
        <f>INDEX(BrokerTBL!$D:$D,MATCH(D367,BrokerTBL!$A:$A,0))</f>
        <v>Il</v>
      </c>
      <c r="I367" s="4" t="str">
        <f>INDEX(BrokerTBL!$E:$E,MATCH(D367,BrokerTBL!$A:$A,0))</f>
        <v>US</v>
      </c>
      <c r="J367" s="4">
        <f>INDEX(BrokerTBL!$F:$F,MATCH(D367,BrokerTBL!$A:$A,0))</f>
        <v>60654</v>
      </c>
      <c r="K367" s="416" t="s">
        <v>898</v>
      </c>
      <c r="L367" s="81">
        <v>131030501</v>
      </c>
      <c r="M367" s="104">
        <v>42468</v>
      </c>
      <c r="N367" s="15" t="s">
        <v>1041</v>
      </c>
      <c r="O367" s="15" t="s">
        <v>899</v>
      </c>
      <c r="P367" s="416" t="s">
        <v>900</v>
      </c>
      <c r="Q367" s="416" t="s">
        <v>2206</v>
      </c>
      <c r="R367" s="416">
        <v>95348</v>
      </c>
      <c r="S367" s="416" t="s">
        <v>2207</v>
      </c>
      <c r="T367" s="416" t="s">
        <v>2551</v>
      </c>
      <c r="U367" s="548" t="s">
        <v>120</v>
      </c>
      <c r="V367" s="548">
        <v>53</v>
      </c>
      <c r="W367" s="416" t="s">
        <v>2552</v>
      </c>
      <c r="X367" s="225">
        <v>4450</v>
      </c>
      <c r="Y367" s="15" t="s">
        <v>2553</v>
      </c>
      <c r="Z367" s="416">
        <v>17</v>
      </c>
      <c r="AA367" s="416" t="s">
        <v>123</v>
      </c>
      <c r="AB367" s="416" t="s">
        <v>123</v>
      </c>
      <c r="AC367" s="416" t="s">
        <v>903</v>
      </c>
      <c r="AD367" s="81">
        <v>131030501</v>
      </c>
      <c r="AE367" s="104">
        <v>42471</v>
      </c>
      <c r="AF367" s="104" t="s">
        <v>1150</v>
      </c>
      <c r="AG367" s="416" t="s">
        <v>905</v>
      </c>
      <c r="AH367" s="416" t="s">
        <v>906</v>
      </c>
      <c r="AI367" s="416" t="s">
        <v>2206</v>
      </c>
      <c r="AJ367" s="416">
        <v>95449</v>
      </c>
      <c r="AK367" s="416" t="s">
        <v>2207</v>
      </c>
      <c r="AL367" s="416" t="s">
        <v>2554</v>
      </c>
      <c r="AM367" s="171" t="str">
        <f>INDEX(CarrierDriverTBL!$B:$B,MATCH(Table1[[#This Row],[DriverID]],CarrierDriverTBL!$A:$A,0))</f>
        <v>UBTrucking</v>
      </c>
      <c r="AN367" s="10" t="s">
        <v>2234</v>
      </c>
      <c r="AO367" s="171" t="str">
        <f>INDEX(CarrierDriverTBL!$C:$C,MATCH(Table1[[#This Row],[DriverID]],CarrierDriverTBL!$A:$A,0))</f>
        <v>Arturo</v>
      </c>
      <c r="AP367" s="171" t="str">
        <f>INDEX(CarrierDriverTBL!$D:$D,MATCH(Table1[[#This Row],[DriverID]],CarrierDriverTBL!$A:$A,0))</f>
        <v>Carrillo</v>
      </c>
      <c r="AQ367" s="171" t="str">
        <f>INDEX(CarrierDriverTBL!$X:$X,MATCH(Table1[[#This Row],[DriverID]],CarrierDriverTBL!$A:$A,0))</f>
        <v>C7056793</v>
      </c>
      <c r="AR367" s="160">
        <f>INDEX(CarrierDriverTBL!$Y:$Y,MATCH(Table1[[#This Row],[DriverID]],CarrierDriverTBL!$A:$A,0))</f>
        <v>43410</v>
      </c>
      <c r="AS367" s="142" t="str">
        <f t="shared" si="146"/>
        <v>GOOD</v>
      </c>
      <c r="AT367" s="172">
        <f>INDEX(CarrierDriverTBL!$E:$E,MATCH(Table1[[#This Row],[DriverID]],CarrierDriverTBL!$A:$A,0))</f>
        <v>24782</v>
      </c>
      <c r="AU367" s="163">
        <f ca="1">INDEX(CarrierDriverTBL!$F:$F,MATCH(Table1[[#This Row],[DriverID]],CarrierDriverTBL!$A:$A,0))</f>
        <v>48.750684931506846</v>
      </c>
      <c r="AV367" s="171" t="str">
        <f>INDEX(CarrierDriverTBL!$K:$K,MATCH(Table1[[#This Row],[DriverID]],CarrierDriverTBL!$A:$A,0))</f>
        <v>209-276-9785</v>
      </c>
      <c r="AW367" s="171" t="str">
        <f>INDEX(CarrierDriverTBL!$M:$M,MATCH(Table1[[#This Row],[DriverID]],CarrierDriverTBL!$A:$A,0))</f>
        <v>1685 Winthrop Ln</v>
      </c>
      <c r="AX367" s="171" t="str">
        <f>INDEX(CarrierDriverTBL!$N:$N,MATCH(Table1[[#This Row],[DriverID]],CarrierDriverTBL!$A:$A,0))</f>
        <v>Ceres</v>
      </c>
      <c r="AY367" s="171" t="str">
        <f>INDEX(CarrierDriverTBL!$O:$O,MATCH(Table1[[#This Row],[DriverID]],CarrierDriverTBL!$A:$A,0))</f>
        <v>CA</v>
      </c>
      <c r="AZ367" s="171">
        <f>INDEX(CarrierDriverTBL!$P:$P,MATCH(Table1[[#This Row],[DriverID]],CarrierDriverTBL!$A:$A,0))</f>
        <v>95307</v>
      </c>
      <c r="BA367" s="171" t="str">
        <f>INDEX(CarrierDriverTBL!$Q:$Q,MATCH(Table1[[#This Row],[DriverID]],CarrierDriverTBL!$A:$A,0))</f>
        <v>US</v>
      </c>
      <c r="BB367" s="173" t="str">
        <f>INDEX(CarrierDriverTBL!$R:$R,MATCH(Table1[[#This Row],[DriverID]],CarrierDriverTBL!$A:$A,0))</f>
        <v>arturocarr777@gmail.com</v>
      </c>
      <c r="BC367" s="160">
        <f>INDEX(CarrierDriverTBL!$AB:$AB,MATCH(Table1[[#This Row],[DriverID]],CarrierDriverTBL!$A:$A,0))</f>
        <v>42418</v>
      </c>
      <c r="BD367" s="142" t="str">
        <f ca="1">INDEX(CarrierDriverTBL!$AD:$AD,MATCH(LoadMaster!$AN:$AN,CarrierDriverTBL!$A:$A,0))</f>
        <v>MISSING</v>
      </c>
      <c r="BE367" s="171">
        <f>INDEX(CarrierDriverTBL!$AE:$AE,MATCH(Table1[DriverID],CarrierDriverTBL!$A:$A,0))</f>
        <v>913971</v>
      </c>
      <c r="BF367" s="171">
        <f>INDEX(CarrierDriverTBL!$AF:$AF,MATCH(Table1[DriverID],CarrierDriverTBL!$A:$A,0))</f>
        <v>2627544</v>
      </c>
      <c r="BG367" s="10">
        <f>INDEX(CarrierDriverTBL!$AG:$AG,MATCH(Table1[DriverID],CarrierDriverTBL!$A:$A,0))</f>
        <v>466133</v>
      </c>
      <c r="BH367" s="171" t="str">
        <f>INDEX(CarrierDriverTBL!$AH:$AH,MATCH(Table1[DriverID],CarrierDriverTBL!$A:$A,0))</f>
        <v>GM Lawrence Ins</v>
      </c>
      <c r="BI367" s="171" t="str">
        <f>INDEX(CarrierDriverTBL!$AI:$AI,MATCH(Table1[DriverID],CarrierDriverTBL!$A:$A,0))</f>
        <v>DSK2842P160210</v>
      </c>
      <c r="BJ367" s="172">
        <f>INDEX(CarrierDriverTBL!$AJ:$AJ,MATCH(Table1[[#This Row],[DriverID]],CarrierDriverTBL!$A:$A,0))</f>
        <v>42778</v>
      </c>
      <c r="BK367" s="10">
        <f t="shared" si="147"/>
        <v>310</v>
      </c>
      <c r="BL367" s="5">
        <v>500</v>
      </c>
      <c r="BM367" s="171">
        <v>230</v>
      </c>
      <c r="BN367" s="133">
        <f t="shared" si="164"/>
        <v>2.1739130434782608</v>
      </c>
      <c r="BO367" s="134">
        <f>0.93*Table1[[#This Row],[ChargeBroker]]</f>
        <v>465</v>
      </c>
      <c r="BP367" s="133">
        <f t="shared" si="165"/>
        <v>2.0217391304347827</v>
      </c>
      <c r="BQ367" s="133">
        <v>2.6</v>
      </c>
      <c r="BR367" s="215">
        <f t="shared" si="166"/>
        <v>0.1166666666666667</v>
      </c>
      <c r="BS367" s="133">
        <f t="shared" si="148"/>
        <v>1.905072463768116</v>
      </c>
      <c r="BT367" s="133">
        <f t="shared" si="149"/>
        <v>26.833333333333339</v>
      </c>
      <c r="BU367" s="10" t="str">
        <f t="shared" si="150"/>
        <v>Ch Robinson</v>
      </c>
      <c r="BV367" s="15"/>
      <c r="BW367" s="4" t="str">
        <f>Table1[[#This Row],[BrokerAddress]]</f>
        <v>P.O. Box 3474</v>
      </c>
      <c r="BX367" s="4" t="str">
        <f t="shared" si="151"/>
        <v>Chicago</v>
      </c>
      <c r="BY367" s="4" t="str">
        <f t="shared" si="152"/>
        <v>Il</v>
      </c>
      <c r="BZ367" s="4">
        <f t="shared" si="153"/>
        <v>60654</v>
      </c>
      <c r="CA367" s="10" t="str">
        <f t="shared" si="154"/>
        <v>US</v>
      </c>
      <c r="CB367" s="15" t="s">
        <v>131</v>
      </c>
      <c r="CC367" s="62"/>
      <c r="CD367" s="15" t="s">
        <v>132</v>
      </c>
      <c r="CE367" s="64">
        <v>0</v>
      </c>
      <c r="CF367" s="4">
        <v>0</v>
      </c>
      <c r="CG367" s="132">
        <f t="shared" si="155"/>
        <v>0</v>
      </c>
      <c r="CH367" s="4" t="s">
        <v>132</v>
      </c>
      <c r="CI367" s="5">
        <v>0</v>
      </c>
      <c r="CJ367" s="4">
        <v>0</v>
      </c>
      <c r="CK367" s="132">
        <f t="shared" si="156"/>
        <v>0</v>
      </c>
      <c r="CL367" s="4" t="s">
        <v>132</v>
      </c>
      <c r="CM367" s="5">
        <v>0</v>
      </c>
      <c r="CN367" s="4">
        <v>0</v>
      </c>
      <c r="CO367" s="132">
        <f t="shared" si="157"/>
        <v>0</v>
      </c>
      <c r="CP367" s="4" t="s">
        <v>132</v>
      </c>
      <c r="CQ367" s="5">
        <v>0</v>
      </c>
      <c r="CR367" s="4">
        <v>0</v>
      </c>
      <c r="CS367" s="132">
        <f t="shared" si="158"/>
        <v>0</v>
      </c>
      <c r="CT367" s="132">
        <f t="shared" si="159"/>
        <v>0</v>
      </c>
      <c r="CU367" s="168">
        <f t="shared" si="160"/>
        <v>500</v>
      </c>
      <c r="CV367" s="177">
        <f t="shared" si="143"/>
        <v>0</v>
      </c>
      <c r="CW367" s="82">
        <f t="shared" si="144"/>
        <v>465</v>
      </c>
      <c r="CX367" s="79">
        <f>IF(ISBLANK(E367),"AddQuickPay",IF(E367=2,CU367*0.98,IF(E367=2.4,CU367*0.976,IF(E367=3,CU367*0.97,IF(E367=5,CU367*0.95,IF(E367=1.5,CU367*0.985,IF(E367=2.5,CU367*0.975,IF(E367=1.3,CU367*0.987,IF(E367=1,CU367*0.99,IF(E367=4,CU367*0.96,CU367*1))))))))))-Table1[[#This Row],[ComCheck+QuickPayFee]]</f>
        <v>490</v>
      </c>
      <c r="CY367" s="5">
        <f t="shared" si="161"/>
        <v>35</v>
      </c>
      <c r="CZ367" s="5">
        <f t="shared" si="162"/>
        <v>10</v>
      </c>
      <c r="DA367" s="258">
        <f>Table1[[#This Row],[OriginalDispatch]]-Table1[[#This Row],[QuickPayCharge]]</f>
        <v>25</v>
      </c>
      <c r="DB367" s="5">
        <v>0</v>
      </c>
      <c r="DC367" s="237" t="s">
        <v>1287</v>
      </c>
      <c r="DD367" s="172">
        <f t="shared" si="163"/>
        <v>42468</v>
      </c>
      <c r="DE367" s="171">
        <f>MONTH(Table1[[#This Row],[Weekending]])</f>
        <v>4</v>
      </c>
      <c r="DF367" s="171">
        <f>YEAR(Table1[[#This Row],[Weekending]])</f>
        <v>2016</v>
      </c>
      <c r="DG367" s="4"/>
    </row>
    <row r="368" spans="1:111">
      <c r="A368" s="548" t="str">
        <f t="shared" si="145"/>
        <v>80wnwn93</v>
      </c>
      <c r="B368" s="549">
        <v>42474</v>
      </c>
      <c r="C368" s="550">
        <v>72380</v>
      </c>
      <c r="D368" s="548" t="s">
        <v>2153</v>
      </c>
      <c r="E368" s="550">
        <v>4</v>
      </c>
      <c r="F368" s="551" t="str">
        <f>INDEX(BrokerTBL!$B:$B,MATCH(D368,BrokerTBL!$A:$A,0))</f>
        <v>241 Regency Parkway</v>
      </c>
      <c r="G368" s="550" t="str">
        <f>INDEX(BrokerTBL!$C:$C,MATCH(D368,BrokerTBL!$A:$A,0))</f>
        <v>Mansfield</v>
      </c>
      <c r="H368" s="235" t="str">
        <f>INDEX(BrokerTBL!$D:$D,MATCH(D368,BrokerTBL!$A:$A,0))</f>
        <v>Tx</v>
      </c>
      <c r="I368" s="235" t="str">
        <f>INDEX(BrokerTBL!$E:$E,MATCH(D368,BrokerTBL!$A:$A,0))</f>
        <v>US</v>
      </c>
      <c r="J368" s="235">
        <f>INDEX(BrokerTBL!$F:$F,MATCH(D368,BrokerTBL!$A:$A,0))</f>
        <v>76063</v>
      </c>
      <c r="K368" s="548" t="s">
        <v>2154</v>
      </c>
      <c r="L368" s="552" t="s">
        <v>1205</v>
      </c>
      <c r="M368" s="549">
        <v>42471</v>
      </c>
      <c r="N368" s="560">
        <v>0.54166666666666663</v>
      </c>
      <c r="O368" s="550" t="s">
        <v>2555</v>
      </c>
      <c r="P368" s="548" t="s">
        <v>299</v>
      </c>
      <c r="Q368" s="548" t="s">
        <v>2206</v>
      </c>
      <c r="R368" s="548">
        <v>94607</v>
      </c>
      <c r="S368" s="548" t="s">
        <v>2207</v>
      </c>
      <c r="T368" s="298" t="s">
        <v>123</v>
      </c>
      <c r="U368" s="548" t="s">
        <v>120</v>
      </c>
      <c r="V368" s="548">
        <v>53</v>
      </c>
      <c r="W368" s="548" t="s">
        <v>2556</v>
      </c>
      <c r="X368" s="553">
        <v>44057</v>
      </c>
      <c r="Y368" s="550" t="s">
        <v>123</v>
      </c>
      <c r="Z368" s="548" t="s">
        <v>123</v>
      </c>
      <c r="AA368" s="548" t="s">
        <v>123</v>
      </c>
      <c r="AB368" s="548" t="s">
        <v>123</v>
      </c>
      <c r="AC368" s="548" t="s">
        <v>2157</v>
      </c>
      <c r="AD368" s="552" t="s">
        <v>1205</v>
      </c>
      <c r="AE368" s="549">
        <v>42472</v>
      </c>
      <c r="AF368" s="560">
        <v>0.33333333333333331</v>
      </c>
      <c r="AG368" s="548" t="s">
        <v>2158</v>
      </c>
      <c r="AH368" s="548" t="s">
        <v>1920</v>
      </c>
      <c r="AI368" s="548" t="s">
        <v>2233</v>
      </c>
      <c r="AJ368" s="548">
        <v>89434</v>
      </c>
      <c r="AK368" s="548" t="s">
        <v>2207</v>
      </c>
      <c r="AL368" s="548" t="s">
        <v>123</v>
      </c>
      <c r="AM368" s="171" t="str">
        <f>INDEX(CarrierDriverTBL!$B:$B,MATCH(Table1[[#This Row],[DriverID]],CarrierDriverTBL!$A:$A,0))</f>
        <v>UBTrucking</v>
      </c>
      <c r="AN368" s="10" t="s">
        <v>2234</v>
      </c>
      <c r="AO368" s="171" t="str">
        <f>INDEX(CarrierDriverTBL!$C:$C,MATCH(Table1[[#This Row],[DriverID]],CarrierDriverTBL!$A:$A,0))</f>
        <v>Arturo</v>
      </c>
      <c r="AP368" s="171" t="str">
        <f>INDEX(CarrierDriverTBL!$D:$D,MATCH(Table1[[#This Row],[DriverID]],CarrierDriverTBL!$A:$A,0))</f>
        <v>Carrillo</v>
      </c>
      <c r="AQ368" s="171" t="str">
        <f>INDEX(CarrierDriverTBL!$X:$X,MATCH(Table1[[#This Row],[DriverID]],CarrierDriverTBL!$A:$A,0))</f>
        <v>C7056793</v>
      </c>
      <c r="AR368" s="160">
        <f>INDEX(CarrierDriverTBL!$Y:$Y,MATCH(Table1[[#This Row],[DriverID]],CarrierDriverTBL!$A:$A,0))</f>
        <v>43410</v>
      </c>
      <c r="AS368" s="142" t="str">
        <f t="shared" si="146"/>
        <v>GOOD</v>
      </c>
      <c r="AT368" s="172">
        <f>INDEX(CarrierDriverTBL!$E:$E,MATCH(Table1[[#This Row],[DriverID]],CarrierDriverTBL!$A:$A,0))</f>
        <v>24782</v>
      </c>
      <c r="AU368" s="163">
        <f ca="1">INDEX(CarrierDriverTBL!$F:$F,MATCH(Table1[[#This Row],[DriverID]],CarrierDriverTBL!$A:$A,0))</f>
        <v>48.750684931506846</v>
      </c>
      <c r="AV368" s="171" t="str">
        <f>INDEX(CarrierDriverTBL!$K:$K,MATCH(Table1[[#This Row],[DriverID]],CarrierDriverTBL!$A:$A,0))</f>
        <v>209-276-9785</v>
      </c>
      <c r="AW368" s="171" t="str">
        <f>INDEX(CarrierDriverTBL!$M:$M,MATCH(Table1[[#This Row],[DriverID]],CarrierDriverTBL!$A:$A,0))</f>
        <v>1685 Winthrop Ln</v>
      </c>
      <c r="AX368" s="171" t="str">
        <f>INDEX(CarrierDriverTBL!$N:$N,MATCH(Table1[[#This Row],[DriverID]],CarrierDriverTBL!$A:$A,0))</f>
        <v>Ceres</v>
      </c>
      <c r="AY368" s="171" t="str">
        <f>INDEX(CarrierDriverTBL!$O:$O,MATCH(Table1[[#This Row],[DriverID]],CarrierDriverTBL!$A:$A,0))</f>
        <v>CA</v>
      </c>
      <c r="AZ368" s="171">
        <f>INDEX(CarrierDriverTBL!$P:$P,MATCH(Table1[[#This Row],[DriverID]],CarrierDriverTBL!$A:$A,0))</f>
        <v>95307</v>
      </c>
      <c r="BA368" s="171" t="str">
        <f>INDEX(CarrierDriverTBL!$Q:$Q,MATCH(Table1[[#This Row],[DriverID]],CarrierDriverTBL!$A:$A,0))</f>
        <v>US</v>
      </c>
      <c r="BB368" s="173" t="str">
        <f>INDEX(CarrierDriverTBL!$R:$R,MATCH(Table1[[#This Row],[DriverID]],CarrierDriverTBL!$A:$A,0))</f>
        <v>arturocarr777@gmail.com</v>
      </c>
      <c r="BC368" s="160">
        <f>INDEX(CarrierDriverTBL!$AB:$AB,MATCH(Table1[[#This Row],[DriverID]],CarrierDriverTBL!$A:$A,0))</f>
        <v>42418</v>
      </c>
      <c r="BD368" s="142" t="str">
        <f ca="1">INDEX(CarrierDriverTBL!$AD:$AD,MATCH(LoadMaster!$AN:$AN,CarrierDriverTBL!$A:$A,0))</f>
        <v>MISSING</v>
      </c>
      <c r="BE368" s="171">
        <f>INDEX(CarrierDriverTBL!$AE:$AE,MATCH(Table1[DriverID],CarrierDriverTBL!$A:$A,0))</f>
        <v>913971</v>
      </c>
      <c r="BF368" s="171">
        <f>INDEX(CarrierDriverTBL!$AF:$AF,MATCH(Table1[DriverID],CarrierDriverTBL!$A:$A,0))</f>
        <v>2627544</v>
      </c>
      <c r="BG368" s="10">
        <f>INDEX(CarrierDriverTBL!$AG:$AG,MATCH(Table1[DriverID],CarrierDriverTBL!$A:$A,0))</f>
        <v>466133</v>
      </c>
      <c r="BH368" s="171" t="str">
        <f>INDEX(CarrierDriverTBL!$AH:$AH,MATCH(Table1[DriverID],CarrierDriverTBL!$A:$A,0))</f>
        <v>GM Lawrence Ins</v>
      </c>
      <c r="BI368" s="171" t="str">
        <f>INDEX(CarrierDriverTBL!$AI:$AI,MATCH(Table1[DriverID],CarrierDriverTBL!$A:$A,0))</f>
        <v>DSK2842P160210</v>
      </c>
      <c r="BJ368" s="172">
        <f>INDEX(CarrierDriverTBL!$AJ:$AJ,MATCH(Table1[[#This Row],[DriverID]],CarrierDriverTBL!$A:$A,0))</f>
        <v>42778</v>
      </c>
      <c r="BK368" s="10">
        <f t="shared" si="147"/>
        <v>307</v>
      </c>
      <c r="BL368" s="237">
        <v>625</v>
      </c>
      <c r="BM368" s="554">
        <v>215</v>
      </c>
      <c r="BN368" s="558">
        <f t="shared" si="164"/>
        <v>2.9069767441860463</v>
      </c>
      <c r="BO368" s="241">
        <f>0.93*625</f>
        <v>581.25</v>
      </c>
      <c r="BP368" s="558">
        <f t="shared" si="165"/>
        <v>2.7034883720930232</v>
      </c>
      <c r="BQ368" s="133">
        <v>2.6</v>
      </c>
      <c r="BR368" s="559">
        <f t="shared" si="166"/>
        <v>0.1166666666666667</v>
      </c>
      <c r="BS368" s="558">
        <f t="shared" si="148"/>
        <v>2.5868217054263565</v>
      </c>
      <c r="BT368" s="558">
        <f t="shared" si="149"/>
        <v>25.083333333333339</v>
      </c>
      <c r="BU368" s="236" t="str">
        <f t="shared" si="150"/>
        <v>Ta Services Inc.</v>
      </c>
      <c r="BV368" s="550"/>
      <c r="BW368" s="235" t="str">
        <f>Table1[[#This Row],[BrokerAddress]]</f>
        <v>241 Regency Parkway</v>
      </c>
      <c r="BX368" s="235" t="str">
        <f t="shared" si="151"/>
        <v>Mansfield</v>
      </c>
      <c r="BY368" s="235" t="str">
        <f t="shared" si="152"/>
        <v>Tx</v>
      </c>
      <c r="BZ368" s="235">
        <f t="shared" si="153"/>
        <v>76063</v>
      </c>
      <c r="CA368" s="236" t="str">
        <f t="shared" si="154"/>
        <v>US</v>
      </c>
      <c r="CB368" s="15" t="s">
        <v>131</v>
      </c>
      <c r="CC368" s="62"/>
      <c r="CD368" s="15" t="s">
        <v>132</v>
      </c>
      <c r="CE368" s="64">
        <v>0</v>
      </c>
      <c r="CF368" s="4">
        <v>0</v>
      </c>
      <c r="CG368" s="132">
        <f t="shared" si="155"/>
        <v>0</v>
      </c>
      <c r="CH368" s="4" t="s">
        <v>132</v>
      </c>
      <c r="CI368" s="5">
        <v>0</v>
      </c>
      <c r="CJ368" s="4">
        <v>0</v>
      </c>
      <c r="CK368" s="132">
        <f t="shared" si="156"/>
        <v>0</v>
      </c>
      <c r="CL368" s="4" t="s">
        <v>132</v>
      </c>
      <c r="CM368" s="5">
        <v>0</v>
      </c>
      <c r="CN368" s="4">
        <v>0</v>
      </c>
      <c r="CO368" s="132">
        <f t="shared" si="157"/>
        <v>0</v>
      </c>
      <c r="CP368" s="4" t="s">
        <v>132</v>
      </c>
      <c r="CQ368" s="5">
        <v>0</v>
      </c>
      <c r="CR368" s="4">
        <v>0</v>
      </c>
      <c r="CS368" s="132">
        <f t="shared" si="158"/>
        <v>0</v>
      </c>
      <c r="CT368" s="132">
        <f t="shared" si="159"/>
        <v>0</v>
      </c>
      <c r="CU368" s="238">
        <f t="shared" si="160"/>
        <v>625</v>
      </c>
      <c r="CV368" s="239">
        <f t="shared" si="143"/>
        <v>0</v>
      </c>
      <c r="CW368" s="240">
        <f t="shared" si="144"/>
        <v>581.25</v>
      </c>
      <c r="CX368" s="79">
        <f>IF(ISBLANK(E368),"AddQuickPay",IF(E368=2,CU368*0.98,IF(E368=2.4,CU368*0.976,IF(E368=3,CU368*0.97,IF(E368=5,CU368*0.95,IF(E368=1.5,CU368*0.985,IF(E368=2.5,CU368*0.975,IF(E368=1.3,CU368*0.987,IF(E368=1,CU368*0.99,IF(E368=4,CU368*0.96,CU368*1))))))))))-Table1[[#This Row],[ComCheck+QuickPayFee]]</f>
        <v>600</v>
      </c>
      <c r="CY368" s="237">
        <f t="shared" si="161"/>
        <v>43.75</v>
      </c>
      <c r="CZ368" s="237">
        <f t="shared" si="162"/>
        <v>25</v>
      </c>
      <c r="DA368" s="263">
        <f>Table1[[#This Row],[OriginalDispatch]]-Table1[[#This Row],[QuickPayCharge]]</f>
        <v>18.75</v>
      </c>
      <c r="DB368" s="5">
        <v>0</v>
      </c>
      <c r="DC368" s="237" t="s">
        <v>1287</v>
      </c>
      <c r="DD368" s="556">
        <f t="shared" si="163"/>
        <v>42475</v>
      </c>
      <c r="DE368" s="554">
        <f>MONTH(Table1[[#This Row],[Weekending]])</f>
        <v>4</v>
      </c>
      <c r="DF368" s="554">
        <f>YEAR(Table1[[#This Row],[Weekending]])</f>
        <v>2016</v>
      </c>
      <c r="DG368" s="235"/>
    </row>
    <row r="369" spans="1:111">
      <c r="A369" s="548" t="str">
        <f t="shared" si="145"/>
        <v>05173349</v>
      </c>
      <c r="B369" s="549">
        <v>42474</v>
      </c>
      <c r="C369" s="550">
        <v>6817405</v>
      </c>
      <c r="D369" s="548" t="s">
        <v>555</v>
      </c>
      <c r="E369" s="550">
        <v>5</v>
      </c>
      <c r="F369" s="551" t="str">
        <f>INDEX(BrokerTBL!$B:$B,MATCH(D369,BrokerTBL!$A:$A,0))</f>
        <v>P.O. Box 799</v>
      </c>
      <c r="G369" s="550" t="str">
        <f>INDEX(BrokerTBL!$C:$C,MATCH(D369,BrokerTBL!$A:$A,0))</f>
        <v>Milford</v>
      </c>
      <c r="H369" s="235" t="str">
        <f>INDEX(BrokerTBL!$D:$D,MATCH(D369,BrokerTBL!$A:$A,0))</f>
        <v>Ohio</v>
      </c>
      <c r="I369" s="235" t="str">
        <f>INDEX(BrokerTBL!$E:$E,MATCH(D369,BrokerTBL!$A:$A,0))</f>
        <v>US</v>
      </c>
      <c r="J369" s="235">
        <f>INDEX(BrokerTBL!$F:$F,MATCH(D369,BrokerTBL!$A:$A,0))</f>
        <v>45150</v>
      </c>
      <c r="K369" s="548" t="s">
        <v>2557</v>
      </c>
      <c r="L369" s="552">
        <v>43517</v>
      </c>
      <c r="M369" s="549">
        <v>42471</v>
      </c>
      <c r="N369" s="560">
        <v>0.41180555555555554</v>
      </c>
      <c r="O369" s="550" t="s">
        <v>2558</v>
      </c>
      <c r="P369" s="548" t="s">
        <v>479</v>
      </c>
      <c r="Q369" s="548" t="s">
        <v>2206</v>
      </c>
      <c r="R369" s="548">
        <v>95363</v>
      </c>
      <c r="S369" s="548" t="s">
        <v>2207</v>
      </c>
      <c r="T369" s="548" t="s">
        <v>2559</v>
      </c>
      <c r="U369" s="548" t="s">
        <v>120</v>
      </c>
      <c r="V369" s="548">
        <v>53</v>
      </c>
      <c r="W369" s="548" t="s">
        <v>2560</v>
      </c>
      <c r="X369" s="553">
        <v>40000</v>
      </c>
      <c r="Y369" s="550" t="s">
        <v>1859</v>
      </c>
      <c r="Z369" s="548">
        <v>1</v>
      </c>
      <c r="AA369" s="548" t="s">
        <v>123</v>
      </c>
      <c r="AB369" s="548" t="s">
        <v>123</v>
      </c>
      <c r="AC369" s="548" t="s">
        <v>2561</v>
      </c>
      <c r="AD369" s="552">
        <v>6320530633</v>
      </c>
      <c r="AE369" s="549">
        <v>42472</v>
      </c>
      <c r="AF369" s="560">
        <v>0.33333333333333331</v>
      </c>
      <c r="AG369" s="548" t="s">
        <v>2561</v>
      </c>
      <c r="AH369" s="548" t="s">
        <v>2562</v>
      </c>
      <c r="AI369" s="548" t="s">
        <v>2206</v>
      </c>
      <c r="AJ369" s="548">
        <v>96130</v>
      </c>
      <c r="AK369" s="548" t="s">
        <v>2207</v>
      </c>
      <c r="AL369" s="548" t="s">
        <v>123</v>
      </c>
      <c r="AM369" s="554" t="str">
        <f>INDEX(CarrierDriverTBL!$B:$B,MATCH(Table1[[#This Row],[DriverID]],CarrierDriverTBL!$A:$A,0))</f>
        <v>UBTrucking</v>
      </c>
      <c r="AN369" s="10" t="s">
        <v>192</v>
      </c>
      <c r="AO369" s="10" t="str">
        <f>INDEX(CarrierDriverTBL!$C:$C,MATCH(Table1[[#This Row],[DriverID]],CarrierDriverTBL!$A:$A,0))</f>
        <v>Albel</v>
      </c>
      <c r="AP369" s="142" t="str">
        <f>INDEX(CarrierDriverTBL!$D:$D,MATCH(Table1[[#This Row],[DriverID]],CarrierDriverTBL!$A:$A,0))</f>
        <v>Chahil</v>
      </c>
      <c r="AQ369" s="142" t="str">
        <f>INDEX(CarrierDriverTBL!$X:$X,MATCH(Table1[[#This Row],[DriverID]],CarrierDriverTBL!$A:$A,0))</f>
        <v>A8390649</v>
      </c>
      <c r="AR369" s="160">
        <f>INDEX(CarrierDriverTBL!$Y:$Y,MATCH(Table1[[#This Row],[DriverID]],CarrierDriverTBL!$A:$A,0))</f>
        <v>42402</v>
      </c>
      <c r="AS369" s="142" t="str">
        <f t="shared" si="146"/>
        <v>EXPIRED</v>
      </c>
      <c r="AT369" s="160">
        <f>INDEX(CarrierDriverTBL!$E:$E,MATCH(Table1[[#This Row],[DriverID]],CarrierDriverTBL!$A:$A,0))</f>
        <v>22314</v>
      </c>
      <c r="AU369" s="163">
        <f ca="1">INDEX(CarrierDriverTBL!$F:$F,MATCH(Table1[[#This Row],[DriverID]],CarrierDriverTBL!$A:$A,0))</f>
        <v>55.512328767123286</v>
      </c>
      <c r="AV369" s="142" t="str">
        <f>INDEX(CarrierDriverTBL!$K:$K,MATCH(Table1[[#This Row],[DriverID]],CarrierDriverTBL!$A:$A,0))</f>
        <v>510-773-9450</v>
      </c>
      <c r="AW369" s="142" t="str">
        <f>INDEX(CarrierDriverTBL!$M:$M,MATCH(Table1[[#This Row],[DriverID]],CarrierDriverTBL!$A:$A,0))</f>
        <v>3124 Cynthia CT</v>
      </c>
      <c r="AX369" s="142" t="str">
        <f>INDEX(CarrierDriverTBL!$N:$N,MATCH(Table1[[#This Row],[DriverID]],CarrierDriverTBL!$A:$A,0))</f>
        <v>Tracy</v>
      </c>
      <c r="AY369" s="142" t="str">
        <f>INDEX(CarrierDriverTBL!$O:$O,MATCH(Table1[[#This Row],[DriverID]],CarrierDriverTBL!$A:$A,0))</f>
        <v>CA</v>
      </c>
      <c r="AZ369" s="142">
        <f>INDEX(CarrierDriverTBL!$P:$P,MATCH(Table1[[#This Row],[DriverID]],CarrierDriverTBL!$A:$A,0))</f>
        <v>95377</v>
      </c>
      <c r="BA369" s="142" t="str">
        <f>INDEX(CarrierDriverTBL!$Q:$Q,MATCH(Table1[[#This Row],[DriverID]],CarrierDriverTBL!$A:$A,0))</f>
        <v>US</v>
      </c>
      <c r="BB369" s="176" t="str">
        <f>INDEX(CarrierDriverTBL!$R:$R,MATCH(Table1[[#This Row],[DriverID]],CarrierDriverTBL!$A:$A,0))</f>
        <v>ubgollc@gmail.com</v>
      </c>
      <c r="BC369" s="160">
        <f>INDEX(CarrierDriverTBL!$AB:$AB,MATCH(Table1[[#This Row],[DriverID]],CarrierDriverTBL!$A:$A,0))</f>
        <v>42167</v>
      </c>
      <c r="BD369" s="142" t="str">
        <f ca="1">INDEX(CarrierDriverTBL!$AD:$AD,MATCH(LoadMaster!$AN:$AN,CarrierDriverTBL!$A:$A,0))</f>
        <v>MISSING</v>
      </c>
      <c r="BE369" s="142">
        <f>INDEX(CarrierDriverTBL!$AE:$AE,MATCH(Table1[DriverID],CarrierDriverTBL!$A:$A,0))</f>
        <v>913971</v>
      </c>
      <c r="BF369" s="142">
        <f>INDEX(CarrierDriverTBL!$AF:$AF,MATCH(Table1[DriverID],CarrierDriverTBL!$A:$A,0))</f>
        <v>2627544</v>
      </c>
      <c r="BG369" s="142">
        <f>INDEX(CarrierDriverTBL!$AG:$AG,MATCH(Table1[DriverID],CarrierDriverTBL!$A:$A,0))</f>
        <v>466133</v>
      </c>
      <c r="BH369" s="142" t="str">
        <f>INDEX(CarrierDriverTBL!$AH:$AH,MATCH(Table1[DriverID],CarrierDriverTBL!$A:$A,0))</f>
        <v>GM Lawrence Ins</v>
      </c>
      <c r="BI369" s="142" t="str">
        <f>INDEX(CarrierDriverTBL!$AI:$AI,MATCH(Table1[DriverID],CarrierDriverTBL!$A:$A,0))</f>
        <v>DSK2842P160210</v>
      </c>
      <c r="BJ369" s="160">
        <f>INDEX(CarrierDriverTBL!$AJ:$AJ,MATCH(Table1[[#This Row],[DriverID]],CarrierDriverTBL!$A:$A,0))</f>
        <v>42778</v>
      </c>
      <c r="BK369" s="10">
        <f t="shared" si="147"/>
        <v>307</v>
      </c>
      <c r="BL369" s="237">
        <v>600</v>
      </c>
      <c r="BM369" s="554">
        <v>273.39999999999998</v>
      </c>
      <c r="BN369" s="558">
        <f t="shared" si="164"/>
        <v>2.1945866861741039</v>
      </c>
      <c r="BO369" s="241">
        <f>0.93*600</f>
        <v>558</v>
      </c>
      <c r="BP369" s="558">
        <f t="shared" si="165"/>
        <v>2.0409656181419167</v>
      </c>
      <c r="BQ369" s="133">
        <v>2.6</v>
      </c>
      <c r="BR369" s="559">
        <f t="shared" si="166"/>
        <v>0.1166666666666667</v>
      </c>
      <c r="BS369" s="558">
        <f t="shared" si="148"/>
        <v>1.92429895147525</v>
      </c>
      <c r="BT369" s="558">
        <f t="shared" si="149"/>
        <v>31.896666666666672</v>
      </c>
      <c r="BU369" s="236" t="str">
        <f t="shared" si="150"/>
        <v>Tql</v>
      </c>
      <c r="BV369" s="550"/>
      <c r="BW369" s="235" t="str">
        <f>Table1[[#This Row],[BrokerAddress]]</f>
        <v>P.O. Box 799</v>
      </c>
      <c r="BX369" s="235" t="str">
        <f t="shared" si="151"/>
        <v>Milford</v>
      </c>
      <c r="BY369" s="235" t="str">
        <f t="shared" si="152"/>
        <v>Ohio</v>
      </c>
      <c r="BZ369" s="235">
        <f t="shared" si="153"/>
        <v>45150</v>
      </c>
      <c r="CA369" s="236" t="str">
        <f t="shared" si="154"/>
        <v>US</v>
      </c>
      <c r="CB369" s="15" t="s">
        <v>131</v>
      </c>
      <c r="CC369" s="62"/>
      <c r="CD369" s="15" t="s">
        <v>132</v>
      </c>
      <c r="CE369" s="64">
        <v>0</v>
      </c>
      <c r="CF369" s="4">
        <v>0</v>
      </c>
      <c r="CG369" s="132">
        <f t="shared" si="155"/>
        <v>0</v>
      </c>
      <c r="CH369" s="4" t="s">
        <v>132</v>
      </c>
      <c r="CI369" s="5">
        <v>0</v>
      </c>
      <c r="CJ369" s="4">
        <v>0</v>
      </c>
      <c r="CK369" s="132">
        <f t="shared" si="156"/>
        <v>0</v>
      </c>
      <c r="CL369" s="4" t="s">
        <v>132</v>
      </c>
      <c r="CM369" s="5">
        <v>0</v>
      </c>
      <c r="CN369" s="4">
        <v>0</v>
      </c>
      <c r="CO369" s="132">
        <f t="shared" si="157"/>
        <v>0</v>
      </c>
      <c r="CP369" s="4" t="s">
        <v>132</v>
      </c>
      <c r="CQ369" s="5">
        <v>0</v>
      </c>
      <c r="CR369" s="4">
        <v>0</v>
      </c>
      <c r="CS369" s="132">
        <f t="shared" si="158"/>
        <v>0</v>
      </c>
      <c r="CT369" s="132">
        <f t="shared" si="159"/>
        <v>0</v>
      </c>
      <c r="CU369" s="238">
        <f t="shared" si="160"/>
        <v>600</v>
      </c>
      <c r="CV369" s="239">
        <f t="shared" si="143"/>
        <v>0</v>
      </c>
      <c r="CW369" s="240">
        <f t="shared" si="144"/>
        <v>558</v>
      </c>
      <c r="CX369" s="79">
        <f>IF(ISBLANK(E369),"AddQuickPay",IF(E369=2,CU369*0.98,IF(E369=2.4,CU369*0.976,IF(E369=3,CU369*0.97,IF(E369=5,CU369*0.95,IF(E369=1.5,CU369*0.985,IF(E369=2.5,CU369*0.975,IF(E369=1.3,CU369*0.987,IF(E369=1,CU369*0.99,IF(E369=4,CU369*0.96,CU369*1))))))))))-Table1[[#This Row],[ComCheck+QuickPayFee]]</f>
        <v>570</v>
      </c>
      <c r="CY369" s="237">
        <f t="shared" si="161"/>
        <v>42</v>
      </c>
      <c r="CZ369" s="237">
        <f t="shared" si="162"/>
        <v>30</v>
      </c>
      <c r="DA369" s="263">
        <f>Table1[[#This Row],[OriginalDispatch]]-Table1[[#This Row],[QuickPayCharge]]</f>
        <v>12</v>
      </c>
      <c r="DB369" s="5">
        <v>0</v>
      </c>
      <c r="DC369" s="237" t="s">
        <v>1287</v>
      </c>
      <c r="DD369" s="556">
        <f t="shared" si="163"/>
        <v>42475</v>
      </c>
      <c r="DE369" s="554">
        <f>MONTH(Table1[[#This Row],[Weekending]])</f>
        <v>4</v>
      </c>
      <c r="DF369" s="554">
        <f>YEAR(Table1[[#This Row],[Weekending]])</f>
        <v>2016</v>
      </c>
      <c r="DG369" s="235"/>
    </row>
    <row r="370" spans="1:111">
      <c r="A370" s="548" t="str">
        <f t="shared" si="145"/>
        <v>89848419</v>
      </c>
      <c r="B370" s="549">
        <v>42474</v>
      </c>
      <c r="C370" s="550">
        <v>197701189</v>
      </c>
      <c r="D370" s="548" t="s">
        <v>111</v>
      </c>
      <c r="E370" s="550">
        <v>2</v>
      </c>
      <c r="F370" s="551" t="str">
        <f>INDEX(BrokerTBL!$B:$B,MATCH(D370,BrokerTBL!$A:$A,0))</f>
        <v>P.O. Box 3474</v>
      </c>
      <c r="G370" s="550" t="str">
        <f>INDEX(BrokerTBL!$C:$C,MATCH(D370,BrokerTBL!$A:$A,0))</f>
        <v>Chicago</v>
      </c>
      <c r="H370" s="235" t="str">
        <f>INDEX(BrokerTBL!$D:$D,MATCH(D370,BrokerTBL!$A:$A,0))</f>
        <v>Il</v>
      </c>
      <c r="I370" s="235" t="str">
        <f>INDEX(BrokerTBL!$E:$E,MATCH(D370,BrokerTBL!$A:$A,0))</f>
        <v>US</v>
      </c>
      <c r="J370" s="235">
        <f>INDEX(BrokerTBL!$F:$F,MATCH(D370,BrokerTBL!$A:$A,0))</f>
        <v>60654</v>
      </c>
      <c r="K370" s="548" t="s">
        <v>2563</v>
      </c>
      <c r="L370" s="552" t="s">
        <v>2564</v>
      </c>
      <c r="M370" s="549">
        <v>42472</v>
      </c>
      <c r="N370" s="550" t="s">
        <v>1041</v>
      </c>
      <c r="O370" s="550" t="s">
        <v>2565</v>
      </c>
      <c r="P370" s="548" t="s">
        <v>1391</v>
      </c>
      <c r="Q370" s="548" t="s">
        <v>2206</v>
      </c>
      <c r="R370" s="548">
        <v>94005</v>
      </c>
      <c r="S370" s="548" t="s">
        <v>2207</v>
      </c>
      <c r="T370" s="548" t="s">
        <v>2566</v>
      </c>
      <c r="U370" s="548" t="s">
        <v>120</v>
      </c>
      <c r="V370" s="548">
        <v>53</v>
      </c>
      <c r="W370" s="548" t="s">
        <v>2567</v>
      </c>
      <c r="X370" s="553">
        <v>41900</v>
      </c>
      <c r="Y370" s="550" t="s">
        <v>1537</v>
      </c>
      <c r="Z370" s="548" t="s">
        <v>123</v>
      </c>
      <c r="AA370" s="548">
        <v>54</v>
      </c>
      <c r="AB370" s="548" t="s">
        <v>123</v>
      </c>
      <c r="AC370" s="548" t="s">
        <v>2568</v>
      </c>
      <c r="AD370" s="552" t="s">
        <v>2564</v>
      </c>
      <c r="AE370" s="549">
        <v>42472</v>
      </c>
      <c r="AF370" s="560" t="s">
        <v>256</v>
      </c>
      <c r="AG370" s="548" t="s">
        <v>2569</v>
      </c>
      <c r="AH370" s="548" t="s">
        <v>2570</v>
      </c>
      <c r="AI370" s="548" t="s">
        <v>2206</v>
      </c>
      <c r="AJ370" s="548">
        <v>95377</v>
      </c>
      <c r="AK370" s="548" t="s">
        <v>2207</v>
      </c>
      <c r="AL370" s="548" t="s">
        <v>2571</v>
      </c>
      <c r="AM370" s="554" t="str">
        <f>INDEX(CarrierDriverTBL!$B:$B,MATCH(Table1[[#This Row],[DriverID]],CarrierDriverTBL!$A:$A,0))</f>
        <v>UBTrucking</v>
      </c>
      <c r="AN370" s="10" t="s">
        <v>1409</v>
      </c>
      <c r="AO370" s="298" t="str">
        <f>INDEX(CarrierDriverTBL!$C:$C,MATCH(Table1[[#This Row],[DriverID]],CarrierDriverTBL!$A:$A,0))</f>
        <v>Miguel Jaime</v>
      </c>
      <c r="AP370" s="298" t="str">
        <f>INDEX(CarrierDriverTBL!$D:$D,MATCH(Table1[[#This Row],[DriverID]],CarrierDriverTBL!$A:$A,0))</f>
        <v>Martin Del Campo Velarca</v>
      </c>
      <c r="AQ370" s="142" t="str">
        <f>INDEX(CarrierDriverTBL!$X:$X,MATCH(Table1[[#This Row],[DriverID]],CarrierDriverTBL!$A:$A,0))</f>
        <v>D5179619</v>
      </c>
      <c r="AR370" s="160">
        <f>INDEX(CarrierDriverTBL!$Y:$Y,MATCH(Table1[[#This Row],[DriverID]],CarrierDriverTBL!$A:$A,0))</f>
        <v>43843</v>
      </c>
      <c r="AS370" s="142" t="str">
        <f t="shared" si="146"/>
        <v>GOOD</v>
      </c>
      <c r="AT370" s="146">
        <f>INDEX(CarrierDriverTBL!$E:$E,MATCH(Table1[[#This Row],[DriverID]],CarrierDriverTBL!$A:$A,0))</f>
        <v>21198</v>
      </c>
      <c r="AU370" s="163">
        <f ca="1">INDEX(CarrierDriverTBL!$F:$F,MATCH(Table1[[#This Row],[DriverID]],CarrierDriverTBL!$A:$A,0))</f>
        <v>58.56986301369863</v>
      </c>
      <c r="AV370" s="298" t="str">
        <f>INDEX(CarrierDriverTBL!$K:$K,MATCH(Table1[[#This Row],[DriverID]],CarrierDriverTBL!$A:$A,0))</f>
        <v>209-322-5231</v>
      </c>
      <c r="AW370" s="298" t="str">
        <f>INDEX(CarrierDriverTBL!$M:$M,MATCH(Table1[[#This Row],[DriverID]],CarrierDriverTBL!$A:$A,0))</f>
        <v>572 Predersen RD</v>
      </c>
      <c r="AX370" s="298" t="str">
        <f>INDEX(CarrierDriverTBL!$N:$N,MATCH(Table1[[#This Row],[DriverID]],CarrierDriverTBL!$A:$A,0))</f>
        <v>Oakdale</v>
      </c>
      <c r="AY370" s="142" t="str">
        <f>INDEX(CarrierDriverTBL!$O:$O,MATCH(Table1[[#This Row],[DriverID]],CarrierDriverTBL!$A:$A,0))</f>
        <v>CA</v>
      </c>
      <c r="AZ370" s="298">
        <f>INDEX(CarrierDriverTBL!$P:$P,MATCH(Table1[[#This Row],[DriverID]],CarrierDriverTBL!$A:$A,0))</f>
        <v>95361</v>
      </c>
      <c r="BA370" s="298" t="str">
        <f>INDEX(CarrierDriverTBL!$Q:$Q,MATCH(Table1[[#This Row],[DriverID]],CarrierDriverTBL!$A:$A,0))</f>
        <v>US</v>
      </c>
      <c r="BB370" s="176" t="str">
        <f>INDEX(CarrierDriverTBL!$R:$R,MATCH(Table1[[#This Row],[DriverID]],CarrierDriverTBL!$A:$A,0))</f>
        <v>Miguelmartin52@yahoo.com</v>
      </c>
      <c r="BC370" s="160">
        <f>INDEX(CarrierDriverTBL!$AB:$AB,MATCH(Table1[[#This Row],[DriverID]],CarrierDriverTBL!$A:$A,0))</f>
        <v>42334</v>
      </c>
      <c r="BD370" s="142" t="str">
        <f ca="1">INDEX(CarrierDriverTBL!$AD:$AD,MATCH(LoadMaster!$AN:$AN,CarrierDriverTBL!$A:$A,0))</f>
        <v>MISSING</v>
      </c>
      <c r="BE370" s="142">
        <f>INDEX(CarrierDriverTBL!$AE:$AE,MATCH(Table1[DriverID],CarrierDriverTBL!$A:$A,0))</f>
        <v>913971</v>
      </c>
      <c r="BF370" s="142">
        <f>INDEX(CarrierDriverTBL!$AF:$AF,MATCH(Table1[DriverID],CarrierDriverTBL!$A:$A,0))</f>
        <v>2627544</v>
      </c>
      <c r="BG370" s="142">
        <f>INDEX(CarrierDriverTBL!$AG:$AG,MATCH(Table1[DriverID],CarrierDriverTBL!$A:$A,0))</f>
        <v>466133</v>
      </c>
      <c r="BH370" s="142" t="str">
        <f>INDEX(CarrierDriverTBL!$AH:$AH,MATCH(Table1[DriverID],CarrierDriverTBL!$A:$A,0))</f>
        <v>GM Lawrence Ins</v>
      </c>
      <c r="BI370" s="142" t="str">
        <f>INDEX(CarrierDriverTBL!$AI:$AI,MATCH(Table1[DriverID],CarrierDriverTBL!$A:$A,0))</f>
        <v>DSK2842P160210</v>
      </c>
      <c r="BJ370" s="172">
        <f>INDEX(CarrierDriverTBL!$AJ:$AJ,MATCH(Table1[[#This Row],[DriverID]],CarrierDriverTBL!$A:$A,0))</f>
        <v>42778</v>
      </c>
      <c r="BK370" s="10">
        <f t="shared" si="147"/>
        <v>306</v>
      </c>
      <c r="BL370" s="237">
        <v>385</v>
      </c>
      <c r="BM370" s="554">
        <v>69.599999999999994</v>
      </c>
      <c r="BN370" s="558">
        <f t="shared" si="164"/>
        <v>5.5316091954022992</v>
      </c>
      <c r="BO370" s="241">
        <f>0.93*400</f>
        <v>372</v>
      </c>
      <c r="BP370" s="558">
        <f t="shared" si="165"/>
        <v>5.3448275862068968</v>
      </c>
      <c r="BQ370" s="133">
        <v>2.6</v>
      </c>
      <c r="BR370" s="559">
        <f t="shared" si="166"/>
        <v>0.1166666666666667</v>
      </c>
      <c r="BS370" s="558">
        <f t="shared" si="148"/>
        <v>5.2281609195402297</v>
      </c>
      <c r="BT370" s="558">
        <f t="shared" si="149"/>
        <v>8.120000000000001</v>
      </c>
      <c r="BU370" s="236" t="str">
        <f t="shared" si="150"/>
        <v>Ch Robinson</v>
      </c>
      <c r="BV370" s="550"/>
      <c r="BW370" s="235" t="str">
        <f>Table1[[#This Row],[BrokerAddress]]</f>
        <v>P.O. Box 3474</v>
      </c>
      <c r="BX370" s="235" t="str">
        <f t="shared" si="151"/>
        <v>Chicago</v>
      </c>
      <c r="BY370" s="235" t="str">
        <f t="shared" si="152"/>
        <v>Il</v>
      </c>
      <c r="BZ370" s="235">
        <f t="shared" si="153"/>
        <v>60654</v>
      </c>
      <c r="CA370" s="236" t="str">
        <f t="shared" si="154"/>
        <v>US</v>
      </c>
      <c r="CB370" s="15" t="s">
        <v>131</v>
      </c>
      <c r="CC370" s="62"/>
      <c r="CD370" s="15" t="s">
        <v>132</v>
      </c>
      <c r="CE370" s="64">
        <v>0</v>
      </c>
      <c r="CF370" s="4">
        <v>0</v>
      </c>
      <c r="CG370" s="132">
        <f t="shared" si="155"/>
        <v>0</v>
      </c>
      <c r="CH370" s="4" t="s">
        <v>132</v>
      </c>
      <c r="CI370" s="5">
        <v>0</v>
      </c>
      <c r="CJ370" s="4">
        <v>0</v>
      </c>
      <c r="CK370" s="132">
        <f t="shared" si="156"/>
        <v>0</v>
      </c>
      <c r="CL370" s="4" t="s">
        <v>132</v>
      </c>
      <c r="CM370" s="5">
        <v>0</v>
      </c>
      <c r="CN370" s="4">
        <v>0</v>
      </c>
      <c r="CO370" s="132">
        <f t="shared" si="157"/>
        <v>0</v>
      </c>
      <c r="CP370" s="4" t="s">
        <v>132</v>
      </c>
      <c r="CQ370" s="5">
        <v>0</v>
      </c>
      <c r="CR370" s="4">
        <v>0</v>
      </c>
      <c r="CS370" s="132">
        <f t="shared" si="158"/>
        <v>0</v>
      </c>
      <c r="CT370" s="132">
        <f t="shared" si="159"/>
        <v>0</v>
      </c>
      <c r="CU370" s="238">
        <f t="shared" si="160"/>
        <v>385</v>
      </c>
      <c r="CV370" s="239">
        <f t="shared" si="143"/>
        <v>0</v>
      </c>
      <c r="CW370" s="240">
        <f t="shared" si="144"/>
        <v>372</v>
      </c>
      <c r="CX370" s="79">
        <f>IF(ISBLANK(E370),"AddQuickPay",IF(E370=2,CU370*0.98,IF(E370=2.4,CU370*0.976,IF(E370=3,CU370*0.97,IF(E370=5,CU370*0.95,IF(E370=1.5,CU370*0.985,IF(E370=2.5,CU370*0.975,IF(E370=1.3,CU370*0.987,IF(E370=1,CU370*0.99,IF(E370=4,CU370*0.96,CU370*1))))))))))-Table1[[#This Row],[ComCheck+QuickPayFee]]</f>
        <v>377.3</v>
      </c>
      <c r="CY370" s="237">
        <f t="shared" si="161"/>
        <v>13</v>
      </c>
      <c r="CZ370" s="237">
        <f t="shared" si="162"/>
        <v>7.7</v>
      </c>
      <c r="DA370" s="263">
        <f>Table1[[#This Row],[OriginalDispatch]]-Table1[[#This Row],[QuickPayCharge]]</f>
        <v>5.3</v>
      </c>
      <c r="DB370" s="5">
        <v>0</v>
      </c>
      <c r="DC370" s="237" t="s">
        <v>1287</v>
      </c>
      <c r="DD370" s="556">
        <f t="shared" si="163"/>
        <v>42475</v>
      </c>
      <c r="DE370" s="554">
        <f>MONTH(Table1[[#This Row],[Weekending]])</f>
        <v>4</v>
      </c>
      <c r="DF370" s="554">
        <f>YEAR(Table1[[#This Row],[Weekending]])</f>
        <v>2016</v>
      </c>
      <c r="DG370" s="235"/>
    </row>
    <row r="371" spans="1:111">
      <c r="A371" s="548" t="str">
        <f t="shared" si="145"/>
        <v>45wnwn49</v>
      </c>
      <c r="B371" s="549">
        <v>42474</v>
      </c>
      <c r="C371" s="550">
        <v>1939545</v>
      </c>
      <c r="D371" s="548" t="s">
        <v>2405</v>
      </c>
      <c r="E371" s="550">
        <v>3</v>
      </c>
      <c r="F371" s="551" t="str">
        <f>INDEX(BrokerTBL!$B:$B,MATCH(D371,BrokerTBL!$A:$A,0))</f>
        <v xml:space="preserve">303 E Wacker Dr. </v>
      </c>
      <c r="G371" s="550" t="str">
        <f>INDEX(BrokerTBL!$C:$C,MATCH(D371,BrokerTBL!$A:$A,0))</f>
        <v>Chicago</v>
      </c>
      <c r="H371" s="235" t="str">
        <f>INDEX(BrokerTBL!$D:$D,MATCH(D371,BrokerTBL!$A:$A,0))</f>
        <v>IL</v>
      </c>
      <c r="I371" s="235" t="str">
        <f>INDEX(BrokerTBL!$E:$E,MATCH(D371,BrokerTBL!$A:$A,0))</f>
        <v>US</v>
      </c>
      <c r="J371" s="235">
        <f>INDEX(BrokerTBL!$F:$F,MATCH(D371,BrokerTBL!$A:$A,0))</f>
        <v>60601</v>
      </c>
      <c r="K371" s="548" t="s">
        <v>2572</v>
      </c>
      <c r="L371" s="552" t="s">
        <v>1205</v>
      </c>
      <c r="M371" s="549">
        <v>42472</v>
      </c>
      <c r="N371" s="550" t="s">
        <v>1055</v>
      </c>
      <c r="O371" s="550" t="s">
        <v>2573</v>
      </c>
      <c r="P371" s="548" t="s">
        <v>2408</v>
      </c>
      <c r="Q371" s="548" t="s">
        <v>2233</v>
      </c>
      <c r="R371" s="548">
        <v>89706</v>
      </c>
      <c r="S371" s="548" t="s">
        <v>2207</v>
      </c>
      <c r="T371" s="298" t="s">
        <v>123</v>
      </c>
      <c r="U371" s="548" t="s">
        <v>120</v>
      </c>
      <c r="V371" s="548">
        <v>53</v>
      </c>
      <c r="W371" s="548" t="s">
        <v>2409</v>
      </c>
      <c r="X371" s="553">
        <v>45000</v>
      </c>
      <c r="Y371" s="550" t="s">
        <v>123</v>
      </c>
      <c r="Z371" s="548" t="s">
        <v>123</v>
      </c>
      <c r="AA371" s="548" t="s">
        <v>123</v>
      </c>
      <c r="AB371" s="548" t="s">
        <v>123</v>
      </c>
      <c r="AC371" s="548" t="s">
        <v>2411</v>
      </c>
      <c r="AD371" s="552" t="s">
        <v>1205</v>
      </c>
      <c r="AE371" s="549">
        <v>42473</v>
      </c>
      <c r="AF371" s="549" t="s">
        <v>2060</v>
      </c>
      <c r="AG371" s="548" t="s">
        <v>2412</v>
      </c>
      <c r="AH371" s="548" t="s">
        <v>2168</v>
      </c>
      <c r="AI371" s="548" t="s">
        <v>2206</v>
      </c>
      <c r="AJ371" s="548">
        <v>93235</v>
      </c>
      <c r="AK371" s="548" t="s">
        <v>2207</v>
      </c>
      <c r="AL371" s="548" t="s">
        <v>123</v>
      </c>
      <c r="AM371" s="554" t="str">
        <f>INDEX(CarrierDriverTBL!$B:$B,MATCH(Table1[[#This Row],[DriverID]],CarrierDriverTBL!$A:$A,0))</f>
        <v>UBTrucking</v>
      </c>
      <c r="AN371" s="10" t="s">
        <v>192</v>
      </c>
      <c r="AO371" s="10" t="str">
        <f>INDEX(CarrierDriverTBL!$C:$C,MATCH(Table1[[#This Row],[DriverID]],CarrierDriverTBL!$A:$A,0))</f>
        <v>Albel</v>
      </c>
      <c r="AP371" s="142" t="str">
        <f>INDEX(CarrierDriverTBL!$D:$D,MATCH(Table1[[#This Row],[DriverID]],CarrierDriverTBL!$A:$A,0))</f>
        <v>Chahil</v>
      </c>
      <c r="AQ371" s="142" t="str">
        <f>INDEX(CarrierDriverTBL!$X:$X,MATCH(Table1[[#This Row],[DriverID]],CarrierDriverTBL!$A:$A,0))</f>
        <v>A8390649</v>
      </c>
      <c r="AR371" s="160">
        <f>INDEX(CarrierDriverTBL!$Y:$Y,MATCH(Table1[[#This Row],[DriverID]],CarrierDriverTBL!$A:$A,0))</f>
        <v>42402</v>
      </c>
      <c r="AS371" s="142" t="str">
        <f t="shared" si="146"/>
        <v>EXPIRED</v>
      </c>
      <c r="AT371" s="160">
        <f>INDEX(CarrierDriverTBL!$E:$E,MATCH(Table1[[#This Row],[DriverID]],CarrierDriverTBL!$A:$A,0))</f>
        <v>22314</v>
      </c>
      <c r="AU371" s="163">
        <f ca="1">INDEX(CarrierDriverTBL!$F:$F,MATCH(Table1[[#This Row],[DriverID]],CarrierDriverTBL!$A:$A,0))</f>
        <v>55.512328767123286</v>
      </c>
      <c r="AV371" s="142" t="str">
        <f>INDEX(CarrierDriverTBL!$K:$K,MATCH(Table1[[#This Row],[DriverID]],CarrierDriverTBL!$A:$A,0))</f>
        <v>510-773-9450</v>
      </c>
      <c r="AW371" s="142" t="str">
        <f>INDEX(CarrierDriverTBL!$M:$M,MATCH(Table1[[#This Row],[DriverID]],CarrierDriverTBL!$A:$A,0))</f>
        <v>3124 Cynthia CT</v>
      </c>
      <c r="AX371" s="142" t="str">
        <f>INDEX(CarrierDriverTBL!$N:$N,MATCH(Table1[[#This Row],[DriverID]],CarrierDriverTBL!$A:$A,0))</f>
        <v>Tracy</v>
      </c>
      <c r="AY371" s="142" t="str">
        <f>INDEX(CarrierDriverTBL!$O:$O,MATCH(Table1[[#This Row],[DriverID]],CarrierDriverTBL!$A:$A,0))</f>
        <v>CA</v>
      </c>
      <c r="AZ371" s="142">
        <f>INDEX(CarrierDriverTBL!$P:$P,MATCH(Table1[[#This Row],[DriverID]],CarrierDriverTBL!$A:$A,0))</f>
        <v>95377</v>
      </c>
      <c r="BA371" s="142" t="str">
        <f>INDEX(CarrierDriverTBL!$Q:$Q,MATCH(Table1[[#This Row],[DriverID]],CarrierDriverTBL!$A:$A,0))</f>
        <v>US</v>
      </c>
      <c r="BB371" s="176" t="str">
        <f>INDEX(CarrierDriverTBL!$R:$R,MATCH(Table1[[#This Row],[DriverID]],CarrierDriverTBL!$A:$A,0))</f>
        <v>ubgollc@gmail.com</v>
      </c>
      <c r="BC371" s="160">
        <f>INDEX(CarrierDriverTBL!$AB:$AB,MATCH(Table1[[#This Row],[DriverID]],CarrierDriverTBL!$A:$A,0))</f>
        <v>42167</v>
      </c>
      <c r="BD371" s="142" t="str">
        <f ca="1">INDEX(CarrierDriverTBL!$AD:$AD,MATCH(LoadMaster!$AN:$AN,CarrierDriverTBL!$A:$A,0))</f>
        <v>MISSING</v>
      </c>
      <c r="BE371" s="142">
        <f>INDEX(CarrierDriverTBL!$AE:$AE,MATCH(Table1[DriverID],CarrierDriverTBL!$A:$A,0))</f>
        <v>913971</v>
      </c>
      <c r="BF371" s="142">
        <f>INDEX(CarrierDriverTBL!$AF:$AF,MATCH(Table1[DriverID],CarrierDriverTBL!$A:$A,0))</f>
        <v>2627544</v>
      </c>
      <c r="BG371" s="142">
        <f>INDEX(CarrierDriverTBL!$AG:$AG,MATCH(Table1[DriverID],CarrierDriverTBL!$A:$A,0))</f>
        <v>466133</v>
      </c>
      <c r="BH371" s="142" t="str">
        <f>INDEX(CarrierDriverTBL!$AH:$AH,MATCH(Table1[DriverID],CarrierDriverTBL!$A:$A,0))</f>
        <v>GM Lawrence Ins</v>
      </c>
      <c r="BI371" s="142" t="str">
        <f>INDEX(CarrierDriverTBL!$AI:$AI,MATCH(Table1[DriverID],CarrierDriverTBL!$A:$A,0))</f>
        <v>DSK2842P160210</v>
      </c>
      <c r="BJ371" s="160">
        <f>INDEX(CarrierDriverTBL!$AJ:$AJ,MATCH(Table1[[#This Row],[DriverID]],CarrierDriverTBL!$A:$A,0))</f>
        <v>42778</v>
      </c>
      <c r="BK371" s="10">
        <f t="shared" si="147"/>
        <v>306</v>
      </c>
      <c r="BL371" s="237">
        <v>600</v>
      </c>
      <c r="BM371" s="554">
        <v>311.5</v>
      </c>
      <c r="BN371" s="558">
        <f t="shared" si="164"/>
        <v>1.926163723916533</v>
      </c>
      <c r="BO371" s="241">
        <f>0.93*600</f>
        <v>558</v>
      </c>
      <c r="BP371" s="558">
        <f t="shared" si="165"/>
        <v>1.7913322632423756</v>
      </c>
      <c r="BQ371" s="133">
        <v>2.6</v>
      </c>
      <c r="BR371" s="559">
        <f t="shared" si="166"/>
        <v>0.1166666666666667</v>
      </c>
      <c r="BS371" s="558">
        <f t="shared" si="148"/>
        <v>1.6746655965757089</v>
      </c>
      <c r="BT371" s="558">
        <f t="shared" si="149"/>
        <v>36.341666666666676</v>
      </c>
      <c r="BU371" s="236" t="str">
        <f t="shared" si="150"/>
        <v>XPOLogistics</v>
      </c>
      <c r="BV371" s="550"/>
      <c r="BW371" s="235" t="str">
        <f>Table1[[#This Row],[BrokerAddress]]</f>
        <v xml:space="preserve">303 E Wacker Dr. </v>
      </c>
      <c r="BX371" s="235" t="str">
        <f t="shared" si="151"/>
        <v>Chicago</v>
      </c>
      <c r="BY371" s="235" t="str">
        <f t="shared" si="152"/>
        <v>IL</v>
      </c>
      <c r="BZ371" s="235">
        <f t="shared" si="153"/>
        <v>60601</v>
      </c>
      <c r="CA371" s="236" t="str">
        <f t="shared" si="154"/>
        <v>US</v>
      </c>
      <c r="CB371" s="15" t="s">
        <v>131</v>
      </c>
      <c r="CC371" s="62"/>
      <c r="CD371" s="15" t="s">
        <v>132</v>
      </c>
      <c r="CE371" s="64">
        <v>0</v>
      </c>
      <c r="CF371" s="4">
        <v>0</v>
      </c>
      <c r="CG371" s="132">
        <f t="shared" si="155"/>
        <v>0</v>
      </c>
      <c r="CH371" s="4" t="s">
        <v>132</v>
      </c>
      <c r="CI371" s="5">
        <v>0</v>
      </c>
      <c r="CJ371" s="4">
        <v>0</v>
      </c>
      <c r="CK371" s="132">
        <f t="shared" si="156"/>
        <v>0</v>
      </c>
      <c r="CL371" s="4" t="s">
        <v>132</v>
      </c>
      <c r="CM371" s="5">
        <v>0</v>
      </c>
      <c r="CN371" s="4">
        <v>0</v>
      </c>
      <c r="CO371" s="132">
        <f t="shared" si="157"/>
        <v>0</v>
      </c>
      <c r="CP371" s="4" t="s">
        <v>132</v>
      </c>
      <c r="CQ371" s="5">
        <v>0</v>
      </c>
      <c r="CR371" s="4">
        <v>0</v>
      </c>
      <c r="CS371" s="132">
        <f t="shared" si="158"/>
        <v>0</v>
      </c>
      <c r="CT371" s="132">
        <f t="shared" si="159"/>
        <v>0</v>
      </c>
      <c r="CU371" s="238">
        <f t="shared" si="160"/>
        <v>600</v>
      </c>
      <c r="CV371" s="239">
        <f t="shared" si="143"/>
        <v>0</v>
      </c>
      <c r="CW371" s="240">
        <f t="shared" si="144"/>
        <v>558</v>
      </c>
      <c r="CX371" s="79">
        <f>IF(ISBLANK(E371),"AddQuickPay",IF(E371=2,CU371*0.98,IF(E371=2.4,CU371*0.976,IF(E371=3,CU371*0.97,IF(E371=5,CU371*0.95,IF(E371=1.5,CU371*0.985,IF(E371=2.5,CU371*0.975,IF(E371=1.3,CU371*0.987,IF(E371=1,CU371*0.99,IF(E371=4,CU371*0.96,CU371*1))))))))))-Table1[[#This Row],[ComCheck+QuickPayFee]]</f>
        <v>582</v>
      </c>
      <c r="CY371" s="237">
        <f t="shared" si="161"/>
        <v>42</v>
      </c>
      <c r="CZ371" s="237">
        <f t="shared" si="162"/>
        <v>18</v>
      </c>
      <c r="DA371" s="263">
        <f>Table1[[#This Row],[OriginalDispatch]]-Table1[[#This Row],[QuickPayCharge]]</f>
        <v>24</v>
      </c>
      <c r="DB371" s="5">
        <v>0</v>
      </c>
      <c r="DC371" s="237" t="s">
        <v>1287</v>
      </c>
      <c r="DD371" s="556">
        <f t="shared" si="163"/>
        <v>42475</v>
      </c>
      <c r="DE371" s="554">
        <f>MONTH(Table1[[#This Row],[Weekending]])</f>
        <v>4</v>
      </c>
      <c r="DF371" s="554">
        <f>YEAR(Table1[[#This Row],[Weekending]])</f>
        <v>2016</v>
      </c>
      <c r="DG371" s="235"/>
    </row>
    <row r="372" spans="1:111">
      <c r="A372" s="548" t="str">
        <f t="shared" si="145"/>
        <v>98wnwn93</v>
      </c>
      <c r="B372" s="549">
        <v>42474</v>
      </c>
      <c r="C372" s="550">
        <v>1947998</v>
      </c>
      <c r="D372" s="548" t="s">
        <v>2405</v>
      </c>
      <c r="E372" s="550">
        <v>3</v>
      </c>
      <c r="F372" s="551" t="str">
        <f>INDEX(BrokerTBL!$B:$B,MATCH(D372,BrokerTBL!$A:$A,0))</f>
        <v xml:space="preserve">303 E Wacker Dr. </v>
      </c>
      <c r="G372" s="550" t="str">
        <f>INDEX(BrokerTBL!$C:$C,MATCH(D372,BrokerTBL!$A:$A,0))</f>
        <v>Chicago</v>
      </c>
      <c r="H372" s="235" t="str">
        <f>INDEX(BrokerTBL!$D:$D,MATCH(D372,BrokerTBL!$A:$A,0))</f>
        <v>IL</v>
      </c>
      <c r="I372" s="235" t="str">
        <f>INDEX(BrokerTBL!$E:$E,MATCH(D372,BrokerTBL!$A:$A,0))</f>
        <v>US</v>
      </c>
      <c r="J372" s="235">
        <f>INDEX(BrokerTBL!$F:$F,MATCH(D372,BrokerTBL!$A:$A,0))</f>
        <v>60601</v>
      </c>
      <c r="K372" s="548" t="s">
        <v>2572</v>
      </c>
      <c r="L372" s="552" t="s">
        <v>1205</v>
      </c>
      <c r="M372" s="549">
        <v>42473</v>
      </c>
      <c r="N372" s="550" t="s">
        <v>1055</v>
      </c>
      <c r="O372" s="550" t="s">
        <v>2573</v>
      </c>
      <c r="P372" s="548" t="s">
        <v>2408</v>
      </c>
      <c r="Q372" s="548" t="s">
        <v>2233</v>
      </c>
      <c r="R372" s="548">
        <v>89706</v>
      </c>
      <c r="S372" s="548" t="s">
        <v>2207</v>
      </c>
      <c r="T372" s="298" t="s">
        <v>123</v>
      </c>
      <c r="U372" s="548" t="s">
        <v>120</v>
      </c>
      <c r="V372" s="548">
        <v>53</v>
      </c>
      <c r="W372" s="548" t="s">
        <v>2409</v>
      </c>
      <c r="X372" s="553">
        <v>45000</v>
      </c>
      <c r="Y372" s="550" t="s">
        <v>123</v>
      </c>
      <c r="Z372" s="548" t="s">
        <v>123</v>
      </c>
      <c r="AA372" s="548" t="s">
        <v>123</v>
      </c>
      <c r="AB372" s="548" t="s">
        <v>123</v>
      </c>
      <c r="AC372" s="548" t="s">
        <v>2574</v>
      </c>
      <c r="AD372" s="552" t="s">
        <v>1205</v>
      </c>
      <c r="AE372" s="549">
        <v>42474</v>
      </c>
      <c r="AF372" s="549" t="s">
        <v>2060</v>
      </c>
      <c r="AG372" s="548" t="s">
        <v>2412</v>
      </c>
      <c r="AH372" s="548" t="s">
        <v>2168</v>
      </c>
      <c r="AI372" s="548" t="s">
        <v>2206</v>
      </c>
      <c r="AJ372" s="548">
        <v>93235</v>
      </c>
      <c r="AK372" s="548" t="s">
        <v>2207</v>
      </c>
      <c r="AL372" s="548" t="s">
        <v>123</v>
      </c>
      <c r="AM372" s="171" t="str">
        <f>INDEX(CarrierDriverTBL!$B:$B,MATCH(Table1[[#This Row],[DriverID]],CarrierDriverTBL!$A:$A,0))</f>
        <v>UBTrucking</v>
      </c>
      <c r="AN372" s="10" t="s">
        <v>2234</v>
      </c>
      <c r="AO372" s="171" t="str">
        <f>INDEX(CarrierDriverTBL!$C:$C,MATCH(Table1[[#This Row],[DriverID]],CarrierDriverTBL!$A:$A,0))</f>
        <v>Arturo</v>
      </c>
      <c r="AP372" s="171" t="str">
        <f>INDEX(CarrierDriverTBL!$D:$D,MATCH(Table1[[#This Row],[DriverID]],CarrierDriverTBL!$A:$A,0))</f>
        <v>Carrillo</v>
      </c>
      <c r="AQ372" s="171" t="str">
        <f>INDEX(CarrierDriverTBL!$X:$X,MATCH(Table1[[#This Row],[DriverID]],CarrierDriverTBL!$A:$A,0))</f>
        <v>C7056793</v>
      </c>
      <c r="AR372" s="160">
        <f>INDEX(CarrierDriverTBL!$Y:$Y,MATCH(Table1[[#This Row],[DriverID]],CarrierDriverTBL!$A:$A,0))</f>
        <v>43410</v>
      </c>
      <c r="AS372" s="142" t="str">
        <f t="shared" si="146"/>
        <v>GOOD</v>
      </c>
      <c r="AT372" s="172">
        <f>INDEX(CarrierDriverTBL!$E:$E,MATCH(Table1[[#This Row],[DriverID]],CarrierDriverTBL!$A:$A,0))</f>
        <v>24782</v>
      </c>
      <c r="AU372" s="163">
        <f ca="1">INDEX(CarrierDriverTBL!$F:$F,MATCH(Table1[[#This Row],[DriverID]],CarrierDriverTBL!$A:$A,0))</f>
        <v>48.750684931506846</v>
      </c>
      <c r="AV372" s="171" t="str">
        <f>INDEX(CarrierDriverTBL!$K:$K,MATCH(Table1[[#This Row],[DriverID]],CarrierDriverTBL!$A:$A,0))</f>
        <v>209-276-9785</v>
      </c>
      <c r="AW372" s="171" t="str">
        <f>INDEX(CarrierDriverTBL!$M:$M,MATCH(Table1[[#This Row],[DriverID]],CarrierDriverTBL!$A:$A,0))</f>
        <v>1685 Winthrop Ln</v>
      </c>
      <c r="AX372" s="171" t="str">
        <f>INDEX(CarrierDriverTBL!$N:$N,MATCH(Table1[[#This Row],[DriverID]],CarrierDriverTBL!$A:$A,0))</f>
        <v>Ceres</v>
      </c>
      <c r="AY372" s="171" t="str">
        <f>INDEX(CarrierDriverTBL!$O:$O,MATCH(Table1[[#This Row],[DriverID]],CarrierDriverTBL!$A:$A,0))</f>
        <v>CA</v>
      </c>
      <c r="AZ372" s="171">
        <f>INDEX(CarrierDriverTBL!$P:$P,MATCH(Table1[[#This Row],[DriverID]],CarrierDriverTBL!$A:$A,0))</f>
        <v>95307</v>
      </c>
      <c r="BA372" s="171" t="str">
        <f>INDEX(CarrierDriverTBL!$Q:$Q,MATCH(Table1[[#This Row],[DriverID]],CarrierDriverTBL!$A:$A,0))</f>
        <v>US</v>
      </c>
      <c r="BB372" s="173" t="str">
        <f>INDEX(CarrierDriverTBL!$R:$R,MATCH(Table1[[#This Row],[DriverID]],CarrierDriverTBL!$A:$A,0))</f>
        <v>arturocarr777@gmail.com</v>
      </c>
      <c r="BC372" s="160">
        <f>INDEX(CarrierDriverTBL!$AB:$AB,MATCH(Table1[[#This Row],[DriverID]],CarrierDriverTBL!$A:$A,0))</f>
        <v>42418</v>
      </c>
      <c r="BD372" s="142" t="str">
        <f ca="1">INDEX(CarrierDriverTBL!$AD:$AD,MATCH(LoadMaster!$AN:$AN,CarrierDriverTBL!$A:$A,0))</f>
        <v>MISSING</v>
      </c>
      <c r="BE372" s="171">
        <f>INDEX(CarrierDriverTBL!$AE:$AE,MATCH(Table1[DriverID],CarrierDriverTBL!$A:$A,0))</f>
        <v>913971</v>
      </c>
      <c r="BF372" s="171">
        <f>INDEX(CarrierDriverTBL!$AF:$AF,MATCH(Table1[DriverID],CarrierDriverTBL!$A:$A,0))</f>
        <v>2627544</v>
      </c>
      <c r="BG372" s="10">
        <f>INDEX(CarrierDriverTBL!$AG:$AG,MATCH(Table1[DriverID],CarrierDriverTBL!$A:$A,0))</f>
        <v>466133</v>
      </c>
      <c r="BH372" s="171" t="str">
        <f>INDEX(CarrierDriverTBL!$AH:$AH,MATCH(Table1[DriverID],CarrierDriverTBL!$A:$A,0))</f>
        <v>GM Lawrence Ins</v>
      </c>
      <c r="BI372" s="171" t="str">
        <f>INDEX(CarrierDriverTBL!$AI:$AI,MATCH(Table1[DriverID],CarrierDriverTBL!$A:$A,0))</f>
        <v>DSK2842P160210</v>
      </c>
      <c r="BJ372" s="172">
        <f>INDEX(CarrierDriverTBL!$AJ:$AJ,MATCH(Table1[[#This Row],[DriverID]],CarrierDriverTBL!$A:$A,0))</f>
        <v>42778</v>
      </c>
      <c r="BK372" s="10">
        <f t="shared" si="147"/>
        <v>305</v>
      </c>
      <c r="BL372" s="237">
        <v>600</v>
      </c>
      <c r="BM372" s="554">
        <v>311.5</v>
      </c>
      <c r="BN372" s="558">
        <f t="shared" si="164"/>
        <v>1.926163723916533</v>
      </c>
      <c r="BO372" s="241">
        <f>0.93*600</f>
        <v>558</v>
      </c>
      <c r="BP372" s="558">
        <f t="shared" si="165"/>
        <v>1.7913322632423756</v>
      </c>
      <c r="BQ372" s="133">
        <v>2.6</v>
      </c>
      <c r="BR372" s="559">
        <f t="shared" si="166"/>
        <v>0.1166666666666667</v>
      </c>
      <c r="BS372" s="558">
        <f t="shared" si="148"/>
        <v>1.6746655965757089</v>
      </c>
      <c r="BT372" s="558">
        <f t="shared" si="149"/>
        <v>36.341666666666676</v>
      </c>
      <c r="BU372" s="236" t="str">
        <f t="shared" si="150"/>
        <v>XPOLogistics</v>
      </c>
      <c r="BV372" s="550"/>
      <c r="BW372" s="235" t="str">
        <f>Table1[[#This Row],[BrokerAddress]]</f>
        <v xml:space="preserve">303 E Wacker Dr. </v>
      </c>
      <c r="BX372" s="235" t="str">
        <f t="shared" si="151"/>
        <v>Chicago</v>
      </c>
      <c r="BY372" s="235" t="str">
        <f t="shared" si="152"/>
        <v>IL</v>
      </c>
      <c r="BZ372" s="235">
        <f t="shared" si="153"/>
        <v>60601</v>
      </c>
      <c r="CA372" s="236" t="str">
        <f t="shared" si="154"/>
        <v>US</v>
      </c>
      <c r="CB372" s="15" t="s">
        <v>131</v>
      </c>
      <c r="CC372" s="62"/>
      <c r="CD372" s="15" t="s">
        <v>132</v>
      </c>
      <c r="CE372" s="64">
        <v>0</v>
      </c>
      <c r="CF372" s="4">
        <v>0</v>
      </c>
      <c r="CG372" s="132">
        <f t="shared" si="155"/>
        <v>0</v>
      </c>
      <c r="CH372" s="4" t="s">
        <v>132</v>
      </c>
      <c r="CI372" s="5">
        <v>0</v>
      </c>
      <c r="CJ372" s="4">
        <v>0</v>
      </c>
      <c r="CK372" s="132">
        <f t="shared" si="156"/>
        <v>0</v>
      </c>
      <c r="CL372" s="4" t="s">
        <v>132</v>
      </c>
      <c r="CM372" s="5">
        <v>0</v>
      </c>
      <c r="CN372" s="4">
        <v>0</v>
      </c>
      <c r="CO372" s="132">
        <f t="shared" si="157"/>
        <v>0</v>
      </c>
      <c r="CP372" s="4" t="s">
        <v>132</v>
      </c>
      <c r="CQ372" s="5">
        <v>0</v>
      </c>
      <c r="CR372" s="4">
        <v>0</v>
      </c>
      <c r="CS372" s="132">
        <f t="shared" si="158"/>
        <v>0</v>
      </c>
      <c r="CT372" s="132">
        <f t="shared" si="159"/>
        <v>0</v>
      </c>
      <c r="CU372" s="238">
        <f t="shared" si="160"/>
        <v>600</v>
      </c>
      <c r="CV372" s="239">
        <f t="shared" si="143"/>
        <v>0</v>
      </c>
      <c r="CW372" s="240">
        <f t="shared" si="144"/>
        <v>558</v>
      </c>
      <c r="CX372" s="79">
        <f>IF(ISBLANK(E372),"AddQuickPay",IF(E372=2,CU372*0.98,IF(E372=2.4,CU372*0.976,IF(E372=3,CU372*0.97,IF(E372=5,CU372*0.95,IF(E372=1.5,CU372*0.985,IF(E372=2.5,CU372*0.975,IF(E372=1.3,CU372*0.987,IF(E372=1,CU372*0.99,IF(E372=4,CU372*0.96,CU372*1))))))))))-Table1[[#This Row],[ComCheck+QuickPayFee]]</f>
        <v>582</v>
      </c>
      <c r="CY372" s="237">
        <f t="shared" si="161"/>
        <v>42</v>
      </c>
      <c r="CZ372" s="237">
        <f t="shared" si="162"/>
        <v>18</v>
      </c>
      <c r="DA372" s="263">
        <f>Table1[[#This Row],[OriginalDispatch]]-Table1[[#This Row],[QuickPayCharge]]</f>
        <v>24</v>
      </c>
      <c r="DB372" s="5">
        <v>0</v>
      </c>
      <c r="DC372" s="237" t="s">
        <v>1287</v>
      </c>
      <c r="DD372" s="556">
        <f t="shared" si="163"/>
        <v>42475</v>
      </c>
      <c r="DE372" s="554">
        <f>MONTH(Table1[[#This Row],[Weekending]])</f>
        <v>4</v>
      </c>
      <c r="DF372" s="554">
        <f>YEAR(Table1[[#This Row],[Weekending]])</f>
        <v>2016</v>
      </c>
      <c r="DG372" s="235"/>
    </row>
    <row r="373" spans="1:111">
      <c r="A373" s="548" t="str">
        <f t="shared" si="145"/>
        <v>67wnwn49</v>
      </c>
      <c r="B373" s="549">
        <v>42474</v>
      </c>
      <c r="C373" s="550">
        <v>54867</v>
      </c>
      <c r="D373" s="548" t="s">
        <v>2050</v>
      </c>
      <c r="E373" s="550">
        <v>3</v>
      </c>
      <c r="F373" s="551" t="str">
        <f>INDEX(BrokerTBL!$B:$B,MATCH(D373,BrokerTBL!$A:$A,0))</f>
        <v xml:space="preserve">620 Spice Island Dr. </v>
      </c>
      <c r="G373" s="550" t="str">
        <f>INDEX(BrokerTBL!$C:$C,MATCH(D373,BrokerTBL!$A:$A,0))</f>
        <v>Sparks</v>
      </c>
      <c r="H373" s="235" t="str">
        <f>INDEX(BrokerTBL!$D:$D,MATCH(D373,BrokerTBL!$A:$A,0))</f>
        <v>Nv</v>
      </c>
      <c r="I373" s="235" t="str">
        <f>INDEX(BrokerTBL!$E:$E,MATCH(D373,BrokerTBL!$A:$A,0))</f>
        <v>US</v>
      </c>
      <c r="J373" s="235">
        <f>INDEX(BrokerTBL!$F:$F,MATCH(D373,BrokerTBL!$A:$A,0))</f>
        <v>89431</v>
      </c>
      <c r="K373" s="548" t="s">
        <v>2575</v>
      </c>
      <c r="L373" s="552" t="s">
        <v>1205</v>
      </c>
      <c r="M373" s="549">
        <v>42473</v>
      </c>
      <c r="N373" s="550" t="s">
        <v>1002</v>
      </c>
      <c r="O373" s="550" t="s">
        <v>2576</v>
      </c>
      <c r="P373" s="548" t="s">
        <v>2577</v>
      </c>
      <c r="Q373" s="548" t="s">
        <v>2206</v>
      </c>
      <c r="R373" s="548">
        <v>93625</v>
      </c>
      <c r="S373" s="548" t="s">
        <v>2207</v>
      </c>
      <c r="T373" s="298" t="s">
        <v>123</v>
      </c>
      <c r="U373" s="548" t="s">
        <v>120</v>
      </c>
      <c r="V373" s="548">
        <v>53</v>
      </c>
      <c r="W373" s="548" t="s">
        <v>1205</v>
      </c>
      <c r="X373" s="553">
        <v>30000</v>
      </c>
      <c r="Y373" s="550" t="s">
        <v>123</v>
      </c>
      <c r="Z373" s="548" t="s">
        <v>123</v>
      </c>
      <c r="AA373" s="548" t="s">
        <v>123</v>
      </c>
      <c r="AB373" s="548" t="s">
        <v>123</v>
      </c>
      <c r="AC373" s="548" t="s">
        <v>2578</v>
      </c>
      <c r="AD373" s="552" t="s">
        <v>1205</v>
      </c>
      <c r="AE373" s="549">
        <v>42473</v>
      </c>
      <c r="AF373" s="549" t="s">
        <v>2579</v>
      </c>
      <c r="AG373" s="548" t="s">
        <v>2580</v>
      </c>
      <c r="AH373" s="548" t="s">
        <v>2581</v>
      </c>
      <c r="AI373" s="548" t="s">
        <v>2206</v>
      </c>
      <c r="AJ373" s="548">
        <v>93926</v>
      </c>
      <c r="AK373" s="548" t="s">
        <v>2207</v>
      </c>
      <c r="AL373" s="548" t="s">
        <v>123</v>
      </c>
      <c r="AM373" s="554" t="str">
        <f>INDEX(CarrierDriverTBL!$B:$B,MATCH(Table1[[#This Row],[DriverID]],CarrierDriverTBL!$A:$A,0))</f>
        <v>UBTrucking</v>
      </c>
      <c r="AN373" s="10" t="s">
        <v>192</v>
      </c>
      <c r="AO373" s="10" t="str">
        <f>INDEX(CarrierDriverTBL!$C:$C,MATCH(Table1[[#This Row],[DriverID]],CarrierDriverTBL!$A:$A,0))</f>
        <v>Albel</v>
      </c>
      <c r="AP373" s="142" t="str">
        <f>INDEX(CarrierDriverTBL!$D:$D,MATCH(Table1[[#This Row],[DriverID]],CarrierDriverTBL!$A:$A,0))</f>
        <v>Chahil</v>
      </c>
      <c r="AQ373" s="142" t="str">
        <f>INDEX(CarrierDriverTBL!$X:$X,MATCH(Table1[[#This Row],[DriverID]],CarrierDriverTBL!$A:$A,0))</f>
        <v>A8390649</v>
      </c>
      <c r="AR373" s="160">
        <f>INDEX(CarrierDriverTBL!$Y:$Y,MATCH(Table1[[#This Row],[DriverID]],CarrierDriverTBL!$A:$A,0))</f>
        <v>42402</v>
      </c>
      <c r="AS373" s="142" t="str">
        <f t="shared" si="146"/>
        <v>EXPIRED</v>
      </c>
      <c r="AT373" s="160">
        <f>INDEX(CarrierDriverTBL!$E:$E,MATCH(Table1[[#This Row],[DriverID]],CarrierDriverTBL!$A:$A,0))</f>
        <v>22314</v>
      </c>
      <c r="AU373" s="163">
        <f ca="1">INDEX(CarrierDriverTBL!$F:$F,MATCH(Table1[[#This Row],[DriverID]],CarrierDriverTBL!$A:$A,0))</f>
        <v>55.512328767123286</v>
      </c>
      <c r="AV373" s="142" t="str">
        <f>INDEX(CarrierDriverTBL!$K:$K,MATCH(Table1[[#This Row],[DriverID]],CarrierDriverTBL!$A:$A,0))</f>
        <v>510-773-9450</v>
      </c>
      <c r="AW373" s="142" t="str">
        <f>INDEX(CarrierDriverTBL!$M:$M,MATCH(Table1[[#This Row],[DriverID]],CarrierDriverTBL!$A:$A,0))</f>
        <v>3124 Cynthia CT</v>
      </c>
      <c r="AX373" s="142" t="str">
        <f>INDEX(CarrierDriverTBL!$N:$N,MATCH(Table1[[#This Row],[DriverID]],CarrierDriverTBL!$A:$A,0))</f>
        <v>Tracy</v>
      </c>
      <c r="AY373" s="142" t="str">
        <f>INDEX(CarrierDriverTBL!$O:$O,MATCH(Table1[[#This Row],[DriverID]],CarrierDriverTBL!$A:$A,0))</f>
        <v>CA</v>
      </c>
      <c r="AZ373" s="142">
        <f>INDEX(CarrierDriverTBL!$P:$P,MATCH(Table1[[#This Row],[DriverID]],CarrierDriverTBL!$A:$A,0))</f>
        <v>95377</v>
      </c>
      <c r="BA373" s="142" t="str">
        <f>INDEX(CarrierDriverTBL!$Q:$Q,MATCH(Table1[[#This Row],[DriverID]],CarrierDriverTBL!$A:$A,0))</f>
        <v>US</v>
      </c>
      <c r="BB373" s="176" t="str">
        <f>INDEX(CarrierDriverTBL!$R:$R,MATCH(Table1[[#This Row],[DriverID]],CarrierDriverTBL!$A:$A,0))</f>
        <v>ubgollc@gmail.com</v>
      </c>
      <c r="BC373" s="160">
        <f>INDEX(CarrierDriverTBL!$AB:$AB,MATCH(Table1[[#This Row],[DriverID]],CarrierDriverTBL!$A:$A,0))</f>
        <v>42167</v>
      </c>
      <c r="BD373" s="142" t="str">
        <f ca="1">INDEX(CarrierDriverTBL!$AD:$AD,MATCH(LoadMaster!$AN:$AN,CarrierDriverTBL!$A:$A,0))</f>
        <v>MISSING</v>
      </c>
      <c r="BE373" s="142">
        <f>INDEX(CarrierDriverTBL!$AE:$AE,MATCH(Table1[DriverID],CarrierDriverTBL!$A:$A,0))</f>
        <v>913971</v>
      </c>
      <c r="BF373" s="142">
        <f>INDEX(CarrierDriverTBL!$AF:$AF,MATCH(Table1[DriverID],CarrierDriverTBL!$A:$A,0))</f>
        <v>2627544</v>
      </c>
      <c r="BG373" s="142">
        <f>INDEX(CarrierDriverTBL!$AG:$AG,MATCH(Table1[DriverID],CarrierDriverTBL!$A:$A,0))</f>
        <v>466133</v>
      </c>
      <c r="BH373" s="142" t="str">
        <f>INDEX(CarrierDriverTBL!$AH:$AH,MATCH(Table1[DriverID],CarrierDriverTBL!$A:$A,0))</f>
        <v>GM Lawrence Ins</v>
      </c>
      <c r="BI373" s="142" t="str">
        <f>INDEX(CarrierDriverTBL!$AI:$AI,MATCH(Table1[DriverID],CarrierDriverTBL!$A:$A,0))</f>
        <v>DSK2842P160210</v>
      </c>
      <c r="BJ373" s="160">
        <f>INDEX(CarrierDriverTBL!$AJ:$AJ,MATCH(Table1[[#This Row],[DriverID]],CarrierDriverTBL!$A:$A,0))</f>
        <v>42778</v>
      </c>
      <c r="BK373" s="10">
        <f t="shared" si="147"/>
        <v>305</v>
      </c>
      <c r="BL373" s="237">
        <v>450</v>
      </c>
      <c r="BM373" s="554">
        <v>166.7</v>
      </c>
      <c r="BN373" s="558">
        <f t="shared" si="164"/>
        <v>2.6994601079784046</v>
      </c>
      <c r="BO373" s="241">
        <f>0.93*450</f>
        <v>418.5</v>
      </c>
      <c r="BP373" s="558">
        <f t="shared" si="165"/>
        <v>2.5104979004199164</v>
      </c>
      <c r="BQ373" s="133">
        <v>2.6</v>
      </c>
      <c r="BR373" s="559">
        <f t="shared" si="166"/>
        <v>0.1166666666666667</v>
      </c>
      <c r="BS373" s="558">
        <f t="shared" si="148"/>
        <v>2.3938312337532497</v>
      </c>
      <c r="BT373" s="558">
        <f t="shared" si="149"/>
        <v>19.448333333333338</v>
      </c>
      <c r="BU373" s="236" t="str">
        <f t="shared" si="150"/>
        <v xml:space="preserve">Its National </v>
      </c>
      <c r="BV373" s="550"/>
      <c r="BW373" s="235" t="str">
        <f>Table1[[#This Row],[BrokerAddress]]</f>
        <v xml:space="preserve">620 Spice Island Dr. </v>
      </c>
      <c r="BX373" s="235" t="str">
        <f t="shared" si="151"/>
        <v>Sparks</v>
      </c>
      <c r="BY373" s="235" t="str">
        <f t="shared" si="152"/>
        <v>Nv</v>
      </c>
      <c r="BZ373" s="235">
        <f t="shared" si="153"/>
        <v>89431</v>
      </c>
      <c r="CA373" s="236" t="str">
        <f t="shared" si="154"/>
        <v>US</v>
      </c>
      <c r="CB373" s="15" t="s">
        <v>131</v>
      </c>
      <c r="CC373" s="62"/>
      <c r="CD373" s="15" t="s">
        <v>132</v>
      </c>
      <c r="CE373" s="64">
        <v>0</v>
      </c>
      <c r="CF373" s="4">
        <v>0</v>
      </c>
      <c r="CG373" s="132">
        <f t="shared" si="155"/>
        <v>0</v>
      </c>
      <c r="CH373" s="4" t="s">
        <v>132</v>
      </c>
      <c r="CI373" s="5">
        <v>0</v>
      </c>
      <c r="CJ373" s="4">
        <v>0</v>
      </c>
      <c r="CK373" s="132">
        <f t="shared" si="156"/>
        <v>0</v>
      </c>
      <c r="CL373" s="4" t="s">
        <v>132</v>
      </c>
      <c r="CM373" s="5">
        <v>0</v>
      </c>
      <c r="CN373" s="4">
        <v>0</v>
      </c>
      <c r="CO373" s="132">
        <f t="shared" si="157"/>
        <v>0</v>
      </c>
      <c r="CP373" s="4" t="s">
        <v>132</v>
      </c>
      <c r="CQ373" s="5">
        <v>0</v>
      </c>
      <c r="CR373" s="4">
        <v>0</v>
      </c>
      <c r="CS373" s="132">
        <f t="shared" si="158"/>
        <v>0</v>
      </c>
      <c r="CT373" s="132">
        <f t="shared" si="159"/>
        <v>0</v>
      </c>
      <c r="CU373" s="238">
        <f t="shared" si="160"/>
        <v>450</v>
      </c>
      <c r="CV373" s="239">
        <f t="shared" si="143"/>
        <v>0</v>
      </c>
      <c r="CW373" s="240">
        <f t="shared" si="144"/>
        <v>418.5</v>
      </c>
      <c r="CX373" s="79">
        <f>IF(ISBLANK(E373),"AddQuickPay",IF(E373=2,CU373*0.98,IF(E373=2.4,CU373*0.976,IF(E373=3,CU373*0.97,IF(E373=5,CU373*0.95,IF(E373=1.5,CU373*0.985,IF(E373=2.5,CU373*0.975,IF(E373=1.3,CU373*0.987,IF(E373=1,CU373*0.99,IF(E373=4,CU373*0.96,CU373*1))))))))))-Table1[[#This Row],[ComCheck+QuickPayFee]]</f>
        <v>436.5</v>
      </c>
      <c r="CY373" s="237">
        <f t="shared" si="161"/>
        <v>31.5</v>
      </c>
      <c r="CZ373" s="237">
        <f t="shared" si="162"/>
        <v>13.5</v>
      </c>
      <c r="DA373" s="263">
        <f>Table1[[#This Row],[OriginalDispatch]]-Table1[[#This Row],[QuickPayCharge]]</f>
        <v>18</v>
      </c>
      <c r="DB373" s="5">
        <v>0</v>
      </c>
      <c r="DC373" s="237" t="s">
        <v>1287</v>
      </c>
      <c r="DD373" s="556">
        <f t="shared" si="163"/>
        <v>42475</v>
      </c>
      <c r="DE373" s="554">
        <f>MONTH(Table1[[#This Row],[Weekending]])</f>
        <v>4</v>
      </c>
      <c r="DF373" s="554">
        <f>YEAR(Table1[[#This Row],[Weekending]])</f>
        <v>2016</v>
      </c>
      <c r="DG373" s="235"/>
    </row>
    <row r="374" spans="1:111">
      <c r="A374" s="548" t="str">
        <f t="shared" si="145"/>
        <v>24656593</v>
      </c>
      <c r="B374" s="549">
        <v>42479</v>
      </c>
      <c r="C374" s="550">
        <v>7623324</v>
      </c>
      <c r="D374" s="416" t="s">
        <v>2185</v>
      </c>
      <c r="E374" s="550">
        <v>4</v>
      </c>
      <c r="F374" s="551" t="str">
        <f>INDEX(BrokerTBL!$B:$B,MATCH(D374,BrokerTBL!$A:$A,0))</f>
        <v>PO Box 6348</v>
      </c>
      <c r="G374" s="550" t="str">
        <f>INDEX(BrokerTBL!$C:$C,MATCH(D374,BrokerTBL!$A:$A,0))</f>
        <v>Scottsdale</v>
      </c>
      <c r="H374" s="235" t="str">
        <f>INDEX(BrokerTBL!$D:$D,MATCH(D374,BrokerTBL!$A:$A,0))</f>
        <v>Az</v>
      </c>
      <c r="I374" s="235" t="str">
        <f>INDEX(BrokerTBL!$E:$E,MATCH(D374,BrokerTBL!$A:$A,0))</f>
        <v>US</v>
      </c>
      <c r="J374" s="235">
        <f>INDEX(BrokerTBL!$F:$F,MATCH(D374,BrokerTBL!$A:$A,0))</f>
        <v>85258</v>
      </c>
      <c r="K374" s="548" t="s">
        <v>2374</v>
      </c>
      <c r="L374" s="552">
        <v>20210510365</v>
      </c>
      <c r="M374" s="549">
        <v>42474</v>
      </c>
      <c r="N374" s="162" t="s">
        <v>123</v>
      </c>
      <c r="O374" s="550" t="s">
        <v>2375</v>
      </c>
      <c r="P374" s="548" t="s">
        <v>214</v>
      </c>
      <c r="Q374" s="548" t="s">
        <v>2206</v>
      </c>
      <c r="R374" s="548">
        <v>93725</v>
      </c>
      <c r="S374" s="548" t="s">
        <v>2207</v>
      </c>
      <c r="T374" s="298" t="s">
        <v>123</v>
      </c>
      <c r="U374" s="548" t="s">
        <v>120</v>
      </c>
      <c r="V374" s="548">
        <v>53</v>
      </c>
      <c r="W374" s="548" t="s">
        <v>1205</v>
      </c>
      <c r="X374" s="553">
        <v>43383</v>
      </c>
      <c r="Y374" s="550">
        <v>27</v>
      </c>
      <c r="Z374" s="548" t="s">
        <v>123</v>
      </c>
      <c r="AA374" s="548" t="s">
        <v>123</v>
      </c>
      <c r="AB374" s="548" t="s">
        <v>123</v>
      </c>
      <c r="AC374" s="548" t="s">
        <v>2377</v>
      </c>
      <c r="AD374" s="548">
        <v>20210510365</v>
      </c>
      <c r="AE374" s="549">
        <v>42475</v>
      </c>
      <c r="AF374" s="416" t="s">
        <v>123</v>
      </c>
      <c r="AG374" s="548" t="s">
        <v>2378</v>
      </c>
      <c r="AH374" s="548" t="s">
        <v>738</v>
      </c>
      <c r="AI374" s="548" t="s">
        <v>2206</v>
      </c>
      <c r="AJ374" s="548">
        <v>89502</v>
      </c>
      <c r="AK374" s="548" t="s">
        <v>2207</v>
      </c>
      <c r="AL374" s="548" t="s">
        <v>123</v>
      </c>
      <c r="AM374" s="171" t="str">
        <f>INDEX(CarrierDriverTBL!$B:$B,MATCH(Table1[[#This Row],[DriverID]],CarrierDriverTBL!$A:$A,0))</f>
        <v>UBTrucking</v>
      </c>
      <c r="AN374" s="10" t="s">
        <v>2234</v>
      </c>
      <c r="AO374" s="171" t="str">
        <f>INDEX(CarrierDriverTBL!$C:$C,MATCH(Table1[[#This Row],[DriverID]],CarrierDriverTBL!$A:$A,0))</f>
        <v>Arturo</v>
      </c>
      <c r="AP374" s="171" t="str">
        <f>INDEX(CarrierDriverTBL!$D:$D,MATCH(Table1[[#This Row],[DriverID]],CarrierDriverTBL!$A:$A,0))</f>
        <v>Carrillo</v>
      </c>
      <c r="AQ374" s="171" t="str">
        <f>INDEX(CarrierDriverTBL!$X:$X,MATCH(Table1[[#This Row],[DriverID]],CarrierDriverTBL!$A:$A,0))</f>
        <v>C7056793</v>
      </c>
      <c r="AR374" s="160">
        <f>INDEX(CarrierDriverTBL!$Y:$Y,MATCH(Table1[[#This Row],[DriverID]],CarrierDriverTBL!$A:$A,0))</f>
        <v>43410</v>
      </c>
      <c r="AS374" s="142" t="str">
        <f t="shared" si="146"/>
        <v>GOOD</v>
      </c>
      <c r="AT374" s="172">
        <f>INDEX(CarrierDriverTBL!$E:$E,MATCH(Table1[[#This Row],[DriverID]],CarrierDriverTBL!$A:$A,0))</f>
        <v>24782</v>
      </c>
      <c r="AU374" s="163">
        <f ca="1">INDEX(CarrierDriverTBL!$F:$F,MATCH(Table1[[#This Row],[DriverID]],CarrierDriverTBL!$A:$A,0))</f>
        <v>48.750684931506846</v>
      </c>
      <c r="AV374" s="171" t="str">
        <f>INDEX(CarrierDriverTBL!$K:$K,MATCH(Table1[[#This Row],[DriverID]],CarrierDriverTBL!$A:$A,0))</f>
        <v>209-276-9785</v>
      </c>
      <c r="AW374" s="171" t="str">
        <f>INDEX(CarrierDriverTBL!$M:$M,MATCH(Table1[[#This Row],[DriverID]],CarrierDriverTBL!$A:$A,0))</f>
        <v>1685 Winthrop Ln</v>
      </c>
      <c r="AX374" s="171" t="str">
        <f>INDEX(CarrierDriverTBL!$N:$N,MATCH(Table1[[#This Row],[DriverID]],CarrierDriverTBL!$A:$A,0))</f>
        <v>Ceres</v>
      </c>
      <c r="AY374" s="171" t="str">
        <f>INDEX(CarrierDriverTBL!$O:$O,MATCH(Table1[[#This Row],[DriverID]],CarrierDriverTBL!$A:$A,0))</f>
        <v>CA</v>
      </c>
      <c r="AZ374" s="171">
        <f>INDEX(CarrierDriverTBL!$P:$P,MATCH(Table1[[#This Row],[DriverID]],CarrierDriverTBL!$A:$A,0))</f>
        <v>95307</v>
      </c>
      <c r="BA374" s="171" t="str">
        <f>INDEX(CarrierDriverTBL!$Q:$Q,MATCH(Table1[[#This Row],[DriverID]],CarrierDriverTBL!$A:$A,0))</f>
        <v>US</v>
      </c>
      <c r="BB374" s="173" t="str">
        <f>INDEX(CarrierDriverTBL!$R:$R,MATCH(Table1[[#This Row],[DriverID]],CarrierDriverTBL!$A:$A,0))</f>
        <v>arturocarr777@gmail.com</v>
      </c>
      <c r="BC374" s="160">
        <f>INDEX(CarrierDriverTBL!$AB:$AB,MATCH(Table1[[#This Row],[DriverID]],CarrierDriverTBL!$A:$A,0))</f>
        <v>42418</v>
      </c>
      <c r="BD374" s="142" t="str">
        <f ca="1">INDEX(CarrierDriverTBL!$AD:$AD,MATCH(LoadMaster!$AN:$AN,CarrierDriverTBL!$A:$A,0))</f>
        <v>MISSING</v>
      </c>
      <c r="BE374" s="171">
        <f>INDEX(CarrierDriverTBL!$AE:$AE,MATCH(Table1[DriverID],CarrierDriverTBL!$A:$A,0))</f>
        <v>913971</v>
      </c>
      <c r="BF374" s="171">
        <f>INDEX(CarrierDriverTBL!$AF:$AF,MATCH(Table1[DriverID],CarrierDriverTBL!$A:$A,0))</f>
        <v>2627544</v>
      </c>
      <c r="BG374" s="10">
        <f>INDEX(CarrierDriverTBL!$AG:$AG,MATCH(Table1[DriverID],CarrierDriverTBL!$A:$A,0))</f>
        <v>466133</v>
      </c>
      <c r="BH374" s="171" t="str">
        <f>INDEX(CarrierDriverTBL!$AH:$AH,MATCH(Table1[DriverID],CarrierDriverTBL!$A:$A,0))</f>
        <v>GM Lawrence Ins</v>
      </c>
      <c r="BI374" s="171" t="str">
        <f>INDEX(CarrierDriverTBL!$AI:$AI,MATCH(Table1[DriverID],CarrierDriverTBL!$A:$A,0))</f>
        <v>DSK2842P160210</v>
      </c>
      <c r="BJ374" s="172">
        <f>INDEX(CarrierDriverTBL!$AJ:$AJ,MATCH(Table1[[#This Row],[DriverID]],CarrierDriverTBL!$A:$A,0))</f>
        <v>42778</v>
      </c>
      <c r="BK374" s="10">
        <f t="shared" si="147"/>
        <v>304</v>
      </c>
      <c r="BL374" s="237">
        <v>650</v>
      </c>
      <c r="BM374" s="554">
        <v>300</v>
      </c>
      <c r="BN374" s="558">
        <f t="shared" si="164"/>
        <v>2.1666666666666665</v>
      </c>
      <c r="BO374" s="241">
        <f>0.93*Table1[[#This Row],[ChargeBroker]]</f>
        <v>604.5</v>
      </c>
      <c r="BP374" s="558">
        <f t="shared" si="165"/>
        <v>2.0150000000000001</v>
      </c>
      <c r="BQ374" s="133">
        <v>2.6</v>
      </c>
      <c r="BR374" s="559">
        <f t="shared" si="166"/>
        <v>0.1166666666666667</v>
      </c>
      <c r="BS374" s="558">
        <f t="shared" si="148"/>
        <v>1.8983333333333334</v>
      </c>
      <c r="BT374" s="558">
        <f t="shared" si="149"/>
        <v>35.000000000000007</v>
      </c>
      <c r="BU374" s="236" t="str">
        <f t="shared" si="150"/>
        <v>Globaltranz</v>
      </c>
      <c r="BV374" s="550"/>
      <c r="BW374" s="235" t="str">
        <f>Table1[[#This Row],[BrokerAddress]]</f>
        <v>PO Box 6348</v>
      </c>
      <c r="BX374" s="235" t="str">
        <f t="shared" si="151"/>
        <v>Scottsdale</v>
      </c>
      <c r="BY374" s="235" t="str">
        <f t="shared" si="152"/>
        <v>Az</v>
      </c>
      <c r="BZ374" s="235">
        <f t="shared" si="153"/>
        <v>85258</v>
      </c>
      <c r="CA374" s="236" t="str">
        <f t="shared" si="154"/>
        <v>US</v>
      </c>
      <c r="CB374" s="15" t="s">
        <v>131</v>
      </c>
      <c r="CC374" s="62"/>
      <c r="CD374" s="15" t="s">
        <v>132</v>
      </c>
      <c r="CE374" s="64">
        <v>0</v>
      </c>
      <c r="CF374" s="4">
        <v>0</v>
      </c>
      <c r="CG374" s="132">
        <f t="shared" si="155"/>
        <v>0</v>
      </c>
      <c r="CH374" s="4" t="s">
        <v>132</v>
      </c>
      <c r="CI374" s="5">
        <v>0</v>
      </c>
      <c r="CJ374" s="4">
        <v>0</v>
      </c>
      <c r="CK374" s="132">
        <f t="shared" si="156"/>
        <v>0</v>
      </c>
      <c r="CL374" s="4" t="s">
        <v>132</v>
      </c>
      <c r="CM374" s="5">
        <v>0</v>
      </c>
      <c r="CN374" s="4">
        <v>0</v>
      </c>
      <c r="CO374" s="132">
        <f t="shared" si="157"/>
        <v>0</v>
      </c>
      <c r="CP374" s="4" t="s">
        <v>132</v>
      </c>
      <c r="CQ374" s="5">
        <v>0</v>
      </c>
      <c r="CR374" s="4">
        <v>0</v>
      </c>
      <c r="CS374" s="132">
        <f t="shared" si="158"/>
        <v>0</v>
      </c>
      <c r="CT374" s="132">
        <f t="shared" si="159"/>
        <v>0</v>
      </c>
      <c r="CU374" s="238">
        <f t="shared" si="160"/>
        <v>650</v>
      </c>
      <c r="CV374" s="239">
        <f t="shared" si="143"/>
        <v>0</v>
      </c>
      <c r="CW374" s="240">
        <f t="shared" si="144"/>
        <v>604.5</v>
      </c>
      <c r="CX374" s="79">
        <f>IF(ISBLANK(E374),"AddQuickPay",IF(E374=2,CU374*0.98,IF(E374=2.4,CU374*0.976,IF(E374=3,CU374*0.97,IF(E374=5,CU374*0.95,IF(E374=1.5,CU374*0.985,IF(E374=2.5,CU374*0.975,IF(E374=1.3,CU374*0.987,IF(E374=1,CU374*0.99,IF(E374=4,CU374*0.96,CU374*1))))))))))-Table1[[#This Row],[ComCheck+QuickPayFee]]</f>
        <v>624</v>
      </c>
      <c r="CY374" s="237">
        <f t="shared" si="161"/>
        <v>45.5</v>
      </c>
      <c r="CZ374" s="237">
        <f t="shared" si="162"/>
        <v>26</v>
      </c>
      <c r="DA374" s="263">
        <f>Table1[[#This Row],[OriginalDispatch]]-Table1[[#This Row],[QuickPayCharge]]</f>
        <v>19.5</v>
      </c>
      <c r="DB374" s="5">
        <v>0</v>
      </c>
      <c r="DC374" s="237" t="s">
        <v>1287</v>
      </c>
      <c r="DD374" s="556">
        <f t="shared" si="163"/>
        <v>42475</v>
      </c>
      <c r="DE374" s="554">
        <f>MONTH(Table1[[#This Row],[Weekending]])</f>
        <v>4</v>
      </c>
      <c r="DF374" s="554">
        <f>YEAR(Table1[[#This Row],[Weekending]])</f>
        <v>2016</v>
      </c>
      <c r="DG374" s="235"/>
    </row>
    <row r="375" spans="1:111">
      <c r="A375" s="548" t="str">
        <f t="shared" si="145"/>
        <v>2128wn49</v>
      </c>
      <c r="B375" s="549">
        <v>42479</v>
      </c>
      <c r="C375" s="550">
        <v>198121</v>
      </c>
      <c r="D375" s="548" t="s">
        <v>2582</v>
      </c>
      <c r="E375" s="550">
        <v>2</v>
      </c>
      <c r="F375" s="551" t="str">
        <f>INDEX(BrokerTBL!$B:$B,MATCH(D375,BrokerTBL!$A:$A,0))</f>
        <v>2955 OATES STREET</v>
      </c>
      <c r="G375" s="550" t="str">
        <f>INDEX(BrokerTBL!$C:$C,MATCH(D375,BrokerTBL!$A:$A,0))</f>
        <v>WEST SACRAMENTO</v>
      </c>
      <c r="H375" s="235" t="str">
        <f>INDEX(BrokerTBL!$D:$D,MATCH(D375,BrokerTBL!$A:$A,0))</f>
        <v>CA</v>
      </c>
      <c r="I375" s="235" t="str">
        <f>INDEX(BrokerTBL!$E:$E,MATCH(D375,BrokerTBL!$A:$A,0))</f>
        <v>US</v>
      </c>
      <c r="J375" s="235">
        <f>INDEX(BrokerTBL!$F:$F,MATCH(D375,BrokerTBL!$A:$A,0))</f>
        <v>95691</v>
      </c>
      <c r="K375" s="548" t="s">
        <v>2583</v>
      </c>
      <c r="L375" s="552" t="s">
        <v>2584</v>
      </c>
      <c r="M375" s="549">
        <v>42474</v>
      </c>
      <c r="N375" s="162" t="s">
        <v>123</v>
      </c>
      <c r="O375" s="550" t="s">
        <v>2585</v>
      </c>
      <c r="P375" s="548" t="s">
        <v>595</v>
      </c>
      <c r="Q375" s="548" t="s">
        <v>2206</v>
      </c>
      <c r="R375" s="548">
        <v>95112</v>
      </c>
      <c r="S375" s="548" t="s">
        <v>2207</v>
      </c>
      <c r="T375" s="548" t="s">
        <v>2586</v>
      </c>
      <c r="U375" s="548" t="s">
        <v>120</v>
      </c>
      <c r="V375" s="548">
        <v>53</v>
      </c>
      <c r="W375" s="548" t="s">
        <v>1205</v>
      </c>
      <c r="X375" s="553">
        <v>44200</v>
      </c>
      <c r="Y375" s="550" t="s">
        <v>123</v>
      </c>
      <c r="Z375" s="548" t="s">
        <v>123</v>
      </c>
      <c r="AA375" s="548" t="s">
        <v>123</v>
      </c>
      <c r="AB375" s="548" t="s">
        <v>123</v>
      </c>
      <c r="AC375" s="548" t="s">
        <v>2587</v>
      </c>
      <c r="AD375" s="552" t="s">
        <v>1205</v>
      </c>
      <c r="AE375" s="549">
        <v>42478</v>
      </c>
      <c r="AF375" s="416" t="s">
        <v>123</v>
      </c>
      <c r="AG375" s="548" t="s">
        <v>2588</v>
      </c>
      <c r="AH375" s="548" t="s">
        <v>2466</v>
      </c>
      <c r="AI375" s="548" t="s">
        <v>123</v>
      </c>
      <c r="AJ375" s="548">
        <v>89512</v>
      </c>
      <c r="AK375" s="548" t="s">
        <v>2207</v>
      </c>
      <c r="AL375" s="548" t="s">
        <v>2589</v>
      </c>
      <c r="AM375" s="554" t="str">
        <f>INDEX(CarrierDriverTBL!$B:$B,MATCH(Table1[[#This Row],[DriverID]],CarrierDriverTBL!$A:$A,0))</f>
        <v>UBTrucking</v>
      </c>
      <c r="AN375" s="10" t="s">
        <v>192</v>
      </c>
      <c r="AO375" s="10" t="str">
        <f>INDEX(CarrierDriverTBL!$C:$C,MATCH(Table1[[#This Row],[DriverID]],CarrierDriverTBL!$A:$A,0))</f>
        <v>Albel</v>
      </c>
      <c r="AP375" s="142" t="str">
        <f>INDEX(CarrierDriverTBL!$D:$D,MATCH(Table1[[#This Row],[DriverID]],CarrierDriverTBL!$A:$A,0))</f>
        <v>Chahil</v>
      </c>
      <c r="AQ375" s="142" t="str">
        <f>INDEX(CarrierDriverTBL!$X:$X,MATCH(Table1[[#This Row],[DriverID]],CarrierDriverTBL!$A:$A,0))</f>
        <v>A8390649</v>
      </c>
      <c r="AR375" s="160">
        <f>INDEX(CarrierDriverTBL!$Y:$Y,MATCH(Table1[[#This Row],[DriverID]],CarrierDriverTBL!$A:$A,0))</f>
        <v>42402</v>
      </c>
      <c r="AS375" s="142" t="str">
        <f t="shared" si="146"/>
        <v>EXPIRED</v>
      </c>
      <c r="AT375" s="160">
        <f>INDEX(CarrierDriverTBL!$E:$E,MATCH(Table1[[#This Row],[DriverID]],CarrierDriverTBL!$A:$A,0))</f>
        <v>22314</v>
      </c>
      <c r="AU375" s="163">
        <f ca="1">INDEX(CarrierDriverTBL!$F:$F,MATCH(Table1[[#This Row],[DriverID]],CarrierDriverTBL!$A:$A,0))</f>
        <v>55.512328767123286</v>
      </c>
      <c r="AV375" s="142" t="str">
        <f>INDEX(CarrierDriverTBL!$K:$K,MATCH(Table1[[#This Row],[DriverID]],CarrierDriverTBL!$A:$A,0))</f>
        <v>510-773-9450</v>
      </c>
      <c r="AW375" s="142" t="str">
        <f>INDEX(CarrierDriverTBL!$M:$M,MATCH(Table1[[#This Row],[DriverID]],CarrierDriverTBL!$A:$A,0))</f>
        <v>3124 Cynthia CT</v>
      </c>
      <c r="AX375" s="142" t="str">
        <f>INDEX(CarrierDriverTBL!$N:$N,MATCH(Table1[[#This Row],[DriverID]],CarrierDriverTBL!$A:$A,0))</f>
        <v>Tracy</v>
      </c>
      <c r="AY375" s="142" t="str">
        <f>INDEX(CarrierDriverTBL!$O:$O,MATCH(Table1[[#This Row],[DriverID]],CarrierDriverTBL!$A:$A,0))</f>
        <v>CA</v>
      </c>
      <c r="AZ375" s="142">
        <f>INDEX(CarrierDriverTBL!$P:$P,MATCH(Table1[[#This Row],[DriverID]],CarrierDriverTBL!$A:$A,0))</f>
        <v>95377</v>
      </c>
      <c r="BA375" s="142" t="str">
        <f>INDEX(CarrierDriverTBL!$Q:$Q,MATCH(Table1[[#This Row],[DriverID]],CarrierDriverTBL!$A:$A,0))</f>
        <v>US</v>
      </c>
      <c r="BB375" s="176" t="str">
        <f>INDEX(CarrierDriverTBL!$R:$R,MATCH(Table1[[#This Row],[DriverID]],CarrierDriverTBL!$A:$A,0))</f>
        <v>ubgollc@gmail.com</v>
      </c>
      <c r="BC375" s="160">
        <f>INDEX(CarrierDriverTBL!$AB:$AB,MATCH(Table1[[#This Row],[DriverID]],CarrierDriverTBL!$A:$A,0))</f>
        <v>42167</v>
      </c>
      <c r="BD375" s="142" t="str">
        <f ca="1">INDEX(CarrierDriverTBL!$AD:$AD,MATCH(LoadMaster!$AN:$AN,CarrierDriverTBL!$A:$A,0))</f>
        <v>MISSING</v>
      </c>
      <c r="BE375" s="142">
        <f>INDEX(CarrierDriverTBL!$AE:$AE,MATCH(Table1[DriverID],CarrierDriverTBL!$A:$A,0))</f>
        <v>913971</v>
      </c>
      <c r="BF375" s="142">
        <f>INDEX(CarrierDriverTBL!$AF:$AF,MATCH(Table1[DriverID],CarrierDriverTBL!$A:$A,0))</f>
        <v>2627544</v>
      </c>
      <c r="BG375" s="142">
        <f>INDEX(CarrierDriverTBL!$AG:$AG,MATCH(Table1[DriverID],CarrierDriverTBL!$A:$A,0))</f>
        <v>466133</v>
      </c>
      <c r="BH375" s="142" t="str">
        <f>INDEX(CarrierDriverTBL!$AH:$AH,MATCH(Table1[DriverID],CarrierDriverTBL!$A:$A,0))</f>
        <v>GM Lawrence Ins</v>
      </c>
      <c r="BI375" s="142" t="str">
        <f>INDEX(CarrierDriverTBL!$AI:$AI,MATCH(Table1[DriverID],CarrierDriverTBL!$A:$A,0))</f>
        <v>DSK2842P160210</v>
      </c>
      <c r="BJ375" s="160">
        <f>INDEX(CarrierDriverTBL!$AJ:$AJ,MATCH(Table1[[#This Row],[DriverID]],CarrierDriverTBL!$A:$A,0))</f>
        <v>42778</v>
      </c>
      <c r="BK375" s="10">
        <f t="shared" si="147"/>
        <v>304</v>
      </c>
      <c r="BL375" s="237">
        <v>650</v>
      </c>
      <c r="BM375" s="554">
        <v>261</v>
      </c>
      <c r="BN375" s="558">
        <f t="shared" si="164"/>
        <v>2.4904214559386975</v>
      </c>
      <c r="BO375" s="241">
        <f>0.93*Table1[[#This Row],[ChargeBroker]]</f>
        <v>604.5</v>
      </c>
      <c r="BP375" s="558">
        <f t="shared" si="165"/>
        <v>2.3160919540229883</v>
      </c>
      <c r="BQ375" s="133">
        <v>2.6</v>
      </c>
      <c r="BR375" s="559">
        <f t="shared" si="166"/>
        <v>0.1166666666666667</v>
      </c>
      <c r="BS375" s="558">
        <f t="shared" si="148"/>
        <v>2.1994252873563216</v>
      </c>
      <c r="BT375" s="558">
        <f t="shared" si="149"/>
        <v>30.450000000000006</v>
      </c>
      <c r="BU375" s="236" t="str">
        <f t="shared" si="150"/>
        <v>KTL</v>
      </c>
      <c r="BV375" s="550"/>
      <c r="BW375" s="235" t="str">
        <f>Table1[[#This Row],[BrokerAddress]]</f>
        <v>2955 OATES STREET</v>
      </c>
      <c r="BX375" s="235" t="str">
        <f t="shared" si="151"/>
        <v>WEST SACRAMENTO</v>
      </c>
      <c r="BY375" s="235" t="str">
        <f t="shared" si="152"/>
        <v>CA</v>
      </c>
      <c r="BZ375" s="235">
        <f t="shared" si="153"/>
        <v>95691</v>
      </c>
      <c r="CA375" s="236" t="str">
        <f t="shared" si="154"/>
        <v>US</v>
      </c>
      <c r="CB375" s="15" t="s">
        <v>131</v>
      </c>
      <c r="CC375" s="62"/>
      <c r="CD375" s="15" t="s">
        <v>132</v>
      </c>
      <c r="CE375" s="64">
        <v>0</v>
      </c>
      <c r="CF375" s="4">
        <v>0</v>
      </c>
      <c r="CG375" s="132">
        <f t="shared" si="155"/>
        <v>0</v>
      </c>
      <c r="CH375" s="4" t="s">
        <v>132</v>
      </c>
      <c r="CI375" s="5">
        <v>0</v>
      </c>
      <c r="CJ375" s="4">
        <v>0</v>
      </c>
      <c r="CK375" s="132">
        <f t="shared" si="156"/>
        <v>0</v>
      </c>
      <c r="CL375" s="4" t="s">
        <v>132</v>
      </c>
      <c r="CM375" s="5">
        <v>0</v>
      </c>
      <c r="CN375" s="4">
        <v>0</v>
      </c>
      <c r="CO375" s="132">
        <f t="shared" si="157"/>
        <v>0</v>
      </c>
      <c r="CP375" s="4" t="s">
        <v>132</v>
      </c>
      <c r="CQ375" s="5">
        <v>0</v>
      </c>
      <c r="CR375" s="4">
        <v>0</v>
      </c>
      <c r="CS375" s="132">
        <f t="shared" si="158"/>
        <v>0</v>
      </c>
      <c r="CT375" s="132">
        <f t="shared" si="159"/>
        <v>0</v>
      </c>
      <c r="CU375" s="238">
        <f t="shared" si="160"/>
        <v>650</v>
      </c>
      <c r="CV375" s="239">
        <f t="shared" si="143"/>
        <v>0</v>
      </c>
      <c r="CW375" s="240">
        <f t="shared" si="144"/>
        <v>604.5</v>
      </c>
      <c r="CX375" s="79">
        <f>IF(ISBLANK(E375),"AddQuickPay",IF(E375=2,CU375*0.98,IF(E375=2.4,CU375*0.976,IF(E375=3,CU375*0.97,IF(E375=5,CU375*0.95,IF(E375=1.5,CU375*0.985,IF(E375=2.5,CU375*0.975,IF(E375=1.3,CU375*0.987,IF(E375=1,CU375*0.99,IF(E375=4,CU375*0.96,CU375*1))))))))))-Table1[[#This Row],[ComCheck+QuickPayFee]]</f>
        <v>637</v>
      </c>
      <c r="CY375" s="237">
        <f t="shared" si="161"/>
        <v>45.5</v>
      </c>
      <c r="CZ375" s="237">
        <f t="shared" si="162"/>
        <v>13</v>
      </c>
      <c r="DA375" s="263">
        <f>Table1[[#This Row],[OriginalDispatch]]-Table1[[#This Row],[QuickPayCharge]]</f>
        <v>32.5</v>
      </c>
      <c r="DB375" s="5">
        <v>0</v>
      </c>
      <c r="DC375" s="237" t="s">
        <v>1287</v>
      </c>
      <c r="DD375" s="556">
        <f t="shared" si="163"/>
        <v>42475</v>
      </c>
      <c r="DE375" s="554">
        <f>MONTH(Table1[[#This Row],[Weekending]])</f>
        <v>4</v>
      </c>
      <c r="DF375" s="554">
        <f>YEAR(Table1[[#This Row],[Weekending]])</f>
        <v>2016</v>
      </c>
      <c r="DG375" s="235"/>
    </row>
    <row r="376" spans="1:111">
      <c r="A376" s="548" t="str">
        <f t="shared" si="145"/>
        <v>19818193</v>
      </c>
      <c r="B376" s="549">
        <v>42480</v>
      </c>
      <c r="C376" s="550">
        <v>1960419</v>
      </c>
      <c r="D376" s="548" t="s">
        <v>2405</v>
      </c>
      <c r="E376" s="550">
        <v>3</v>
      </c>
      <c r="F376" s="551" t="str">
        <f>INDEX(BrokerTBL!$B:$B,MATCH(D376,BrokerTBL!$A:$A,0))</f>
        <v xml:space="preserve">303 E Wacker Dr. </v>
      </c>
      <c r="G376" s="550" t="str">
        <f>INDEX(BrokerTBL!$C:$C,MATCH(D376,BrokerTBL!$A:$A,0))</f>
        <v>Chicago</v>
      </c>
      <c r="H376" s="235" t="str">
        <f>INDEX(BrokerTBL!$D:$D,MATCH(D376,BrokerTBL!$A:$A,0))</f>
        <v>IL</v>
      </c>
      <c r="I376" s="235" t="str">
        <f>INDEX(BrokerTBL!$E:$E,MATCH(D376,BrokerTBL!$A:$A,0))</f>
        <v>US</v>
      </c>
      <c r="J376" s="235">
        <f>INDEX(BrokerTBL!$F:$F,MATCH(D376,BrokerTBL!$A:$A,0))</f>
        <v>60601</v>
      </c>
      <c r="K376" s="548" t="s">
        <v>2590</v>
      </c>
      <c r="L376" s="552">
        <v>12222181</v>
      </c>
      <c r="M376" s="549">
        <v>42475</v>
      </c>
      <c r="N376" s="162" t="s">
        <v>123</v>
      </c>
      <c r="O376" s="550" t="s">
        <v>2591</v>
      </c>
      <c r="P376" s="548" t="s">
        <v>689</v>
      </c>
      <c r="Q376" s="548" t="s">
        <v>2206</v>
      </c>
      <c r="R376" s="548">
        <v>95691</v>
      </c>
      <c r="S376" s="548" t="s">
        <v>2207</v>
      </c>
      <c r="T376" s="298" t="s">
        <v>123</v>
      </c>
      <c r="U376" s="548" t="s">
        <v>120</v>
      </c>
      <c r="V376" s="548">
        <v>53</v>
      </c>
      <c r="W376" s="548" t="s">
        <v>2592</v>
      </c>
      <c r="X376" s="553">
        <v>25000</v>
      </c>
      <c r="Y376" s="550" t="s">
        <v>123</v>
      </c>
      <c r="Z376" s="548" t="s">
        <v>123</v>
      </c>
      <c r="AA376" s="548" t="s">
        <v>123</v>
      </c>
      <c r="AB376" s="548" t="s">
        <v>123</v>
      </c>
      <c r="AC376" s="548" t="s">
        <v>2593</v>
      </c>
      <c r="AD376" s="552">
        <v>12222181</v>
      </c>
      <c r="AE376" s="549">
        <v>42478</v>
      </c>
      <c r="AF376" s="560">
        <v>0.33333333333333331</v>
      </c>
      <c r="AG376" s="548" t="s">
        <v>2594</v>
      </c>
      <c r="AH376" s="548" t="s">
        <v>214</v>
      </c>
      <c r="AI376" s="548" t="s">
        <v>2206</v>
      </c>
      <c r="AJ376" s="548">
        <v>93725</v>
      </c>
      <c r="AK376" s="548" t="s">
        <v>2207</v>
      </c>
      <c r="AL376" s="548" t="s">
        <v>123</v>
      </c>
      <c r="AM376" s="171" t="str">
        <f>INDEX(CarrierDriverTBL!$B:$B,MATCH(Table1[[#This Row],[DriverID]],CarrierDriverTBL!$A:$A,0))</f>
        <v>UBTrucking</v>
      </c>
      <c r="AN376" s="10" t="s">
        <v>2234</v>
      </c>
      <c r="AO376" s="171" t="str">
        <f>INDEX(CarrierDriverTBL!$C:$C,MATCH(Table1[[#This Row],[DriverID]],CarrierDriverTBL!$A:$A,0))</f>
        <v>Arturo</v>
      </c>
      <c r="AP376" s="171" t="str">
        <f>INDEX(CarrierDriverTBL!$D:$D,MATCH(Table1[[#This Row],[DriverID]],CarrierDriverTBL!$A:$A,0))</f>
        <v>Carrillo</v>
      </c>
      <c r="AQ376" s="171" t="str">
        <f>INDEX(CarrierDriverTBL!$X:$X,MATCH(Table1[[#This Row],[DriverID]],CarrierDriverTBL!$A:$A,0))</f>
        <v>C7056793</v>
      </c>
      <c r="AR376" s="160">
        <f>INDEX(CarrierDriverTBL!$Y:$Y,MATCH(Table1[[#This Row],[DriverID]],CarrierDriverTBL!$A:$A,0))</f>
        <v>43410</v>
      </c>
      <c r="AS376" s="142" t="str">
        <f t="shared" si="146"/>
        <v>GOOD</v>
      </c>
      <c r="AT376" s="172">
        <f>INDEX(CarrierDriverTBL!$E:$E,MATCH(Table1[[#This Row],[DriverID]],CarrierDriverTBL!$A:$A,0))</f>
        <v>24782</v>
      </c>
      <c r="AU376" s="163">
        <f ca="1">INDEX(CarrierDriverTBL!$F:$F,MATCH(Table1[[#This Row],[DriverID]],CarrierDriverTBL!$A:$A,0))</f>
        <v>48.750684931506846</v>
      </c>
      <c r="AV376" s="171" t="str">
        <f>INDEX(CarrierDriverTBL!$K:$K,MATCH(Table1[[#This Row],[DriverID]],CarrierDriverTBL!$A:$A,0))</f>
        <v>209-276-9785</v>
      </c>
      <c r="AW376" s="171" t="str">
        <f>INDEX(CarrierDriverTBL!$M:$M,MATCH(Table1[[#This Row],[DriverID]],CarrierDriverTBL!$A:$A,0))</f>
        <v>1685 Winthrop Ln</v>
      </c>
      <c r="AX376" s="171" t="str">
        <f>INDEX(CarrierDriverTBL!$N:$N,MATCH(Table1[[#This Row],[DriverID]],CarrierDriverTBL!$A:$A,0))</f>
        <v>Ceres</v>
      </c>
      <c r="AY376" s="171" t="str">
        <f>INDEX(CarrierDriverTBL!$O:$O,MATCH(Table1[[#This Row],[DriverID]],CarrierDriverTBL!$A:$A,0))</f>
        <v>CA</v>
      </c>
      <c r="AZ376" s="171">
        <f>INDEX(CarrierDriverTBL!$P:$P,MATCH(Table1[[#This Row],[DriverID]],CarrierDriverTBL!$A:$A,0))</f>
        <v>95307</v>
      </c>
      <c r="BA376" s="171" t="str">
        <f>INDEX(CarrierDriverTBL!$Q:$Q,MATCH(Table1[[#This Row],[DriverID]],CarrierDriverTBL!$A:$A,0))</f>
        <v>US</v>
      </c>
      <c r="BB376" s="173" t="str">
        <f>INDEX(CarrierDriverTBL!$R:$R,MATCH(Table1[[#This Row],[DriverID]],CarrierDriverTBL!$A:$A,0))</f>
        <v>arturocarr777@gmail.com</v>
      </c>
      <c r="BC376" s="160">
        <f>INDEX(CarrierDriverTBL!$AB:$AB,MATCH(Table1[[#This Row],[DriverID]],CarrierDriverTBL!$A:$A,0))</f>
        <v>42418</v>
      </c>
      <c r="BD376" s="142" t="str">
        <f ca="1">INDEX(CarrierDriverTBL!$AD:$AD,MATCH(LoadMaster!$AN:$AN,CarrierDriverTBL!$A:$A,0))</f>
        <v>MISSING</v>
      </c>
      <c r="BE376" s="171">
        <f>INDEX(CarrierDriverTBL!$AE:$AE,MATCH(Table1[DriverID],CarrierDriverTBL!$A:$A,0))</f>
        <v>913971</v>
      </c>
      <c r="BF376" s="171">
        <f>INDEX(CarrierDriverTBL!$AF:$AF,MATCH(Table1[DriverID],CarrierDriverTBL!$A:$A,0))</f>
        <v>2627544</v>
      </c>
      <c r="BG376" s="10">
        <f>INDEX(CarrierDriverTBL!$AG:$AG,MATCH(Table1[DriverID],CarrierDriverTBL!$A:$A,0))</f>
        <v>466133</v>
      </c>
      <c r="BH376" s="171" t="str">
        <f>INDEX(CarrierDriverTBL!$AH:$AH,MATCH(Table1[DriverID],CarrierDriverTBL!$A:$A,0))</f>
        <v>GM Lawrence Ins</v>
      </c>
      <c r="BI376" s="171" t="str">
        <f>INDEX(CarrierDriverTBL!$AI:$AI,MATCH(Table1[DriverID],CarrierDriverTBL!$A:$A,0))</f>
        <v>DSK2842P160210</v>
      </c>
      <c r="BJ376" s="172">
        <f>INDEX(CarrierDriverTBL!$AJ:$AJ,MATCH(Table1[[#This Row],[DriverID]],CarrierDriverTBL!$A:$A,0))</f>
        <v>42778</v>
      </c>
      <c r="BK376" s="10">
        <f t="shared" si="147"/>
        <v>303</v>
      </c>
      <c r="BL376" s="237">
        <v>400</v>
      </c>
      <c r="BM376" s="554">
        <v>172.1</v>
      </c>
      <c r="BN376" s="558">
        <f t="shared" si="164"/>
        <v>2.3242300987797795</v>
      </c>
      <c r="BO376" s="241">
        <f>0.93*400</f>
        <v>372</v>
      </c>
      <c r="BP376" s="558">
        <f t="shared" si="165"/>
        <v>2.1615339918651948</v>
      </c>
      <c r="BQ376" s="133">
        <v>2.6</v>
      </c>
      <c r="BR376" s="559">
        <f t="shared" si="166"/>
        <v>0.1166666666666667</v>
      </c>
      <c r="BS376" s="558">
        <f t="shared" si="148"/>
        <v>2.0448673251985281</v>
      </c>
      <c r="BT376" s="558">
        <f t="shared" si="149"/>
        <v>20.078333333333337</v>
      </c>
      <c r="BU376" s="236" t="str">
        <f t="shared" si="150"/>
        <v>XPOLogistics</v>
      </c>
      <c r="BV376" s="550"/>
      <c r="BW376" s="235" t="str">
        <f>Table1[[#This Row],[BrokerAddress]]</f>
        <v xml:space="preserve">303 E Wacker Dr. </v>
      </c>
      <c r="BX376" s="235" t="str">
        <f t="shared" si="151"/>
        <v>Chicago</v>
      </c>
      <c r="BY376" s="235" t="str">
        <f t="shared" si="152"/>
        <v>IL</v>
      </c>
      <c r="BZ376" s="235">
        <f t="shared" si="153"/>
        <v>60601</v>
      </c>
      <c r="CA376" s="236" t="str">
        <f t="shared" si="154"/>
        <v>US</v>
      </c>
      <c r="CB376" s="15" t="s">
        <v>131</v>
      </c>
      <c r="CC376" s="62"/>
      <c r="CD376" s="15" t="s">
        <v>132</v>
      </c>
      <c r="CE376" s="64">
        <v>0</v>
      </c>
      <c r="CF376" s="4">
        <v>0</v>
      </c>
      <c r="CG376" s="132">
        <f t="shared" si="155"/>
        <v>0</v>
      </c>
      <c r="CH376" s="4" t="s">
        <v>132</v>
      </c>
      <c r="CI376" s="5">
        <v>0</v>
      </c>
      <c r="CJ376" s="4">
        <v>0</v>
      </c>
      <c r="CK376" s="132">
        <f t="shared" si="156"/>
        <v>0</v>
      </c>
      <c r="CL376" s="4" t="s">
        <v>132</v>
      </c>
      <c r="CM376" s="5">
        <v>0</v>
      </c>
      <c r="CN376" s="4">
        <v>0</v>
      </c>
      <c r="CO376" s="132">
        <f t="shared" si="157"/>
        <v>0</v>
      </c>
      <c r="CP376" s="4" t="s">
        <v>132</v>
      </c>
      <c r="CQ376" s="5">
        <v>0</v>
      </c>
      <c r="CR376" s="4">
        <v>0</v>
      </c>
      <c r="CS376" s="132">
        <f t="shared" si="158"/>
        <v>0</v>
      </c>
      <c r="CT376" s="132">
        <f t="shared" si="159"/>
        <v>0</v>
      </c>
      <c r="CU376" s="238">
        <f t="shared" si="160"/>
        <v>400</v>
      </c>
      <c r="CV376" s="239">
        <f t="shared" si="143"/>
        <v>0</v>
      </c>
      <c r="CW376" s="240">
        <f t="shared" si="144"/>
        <v>372</v>
      </c>
      <c r="CX376" s="79">
        <f>IF(ISBLANK(E376),"AddQuickPay",IF(E376=2,CU376*0.98,IF(E376=2.4,CU376*0.976,IF(E376=3,CU376*0.97,IF(E376=5,CU376*0.95,IF(E376=1.5,CU376*0.985,IF(E376=2.5,CU376*0.975,IF(E376=1.3,CU376*0.987,IF(E376=1,CU376*0.99,IF(E376=4,CU376*0.96,CU376*1))))))))))-Table1[[#This Row],[ComCheck+QuickPayFee]]</f>
        <v>388</v>
      </c>
      <c r="CY376" s="237">
        <f t="shared" si="161"/>
        <v>28</v>
      </c>
      <c r="CZ376" s="237">
        <f t="shared" si="162"/>
        <v>12</v>
      </c>
      <c r="DA376" s="263">
        <f>Table1[[#This Row],[OriginalDispatch]]-Table1[[#This Row],[QuickPayCharge]]</f>
        <v>16</v>
      </c>
      <c r="DB376" s="5">
        <v>0</v>
      </c>
      <c r="DC376" s="237" t="s">
        <v>1287</v>
      </c>
      <c r="DD376" s="556">
        <f t="shared" si="163"/>
        <v>42475</v>
      </c>
      <c r="DE376" s="554">
        <f>MONTH(Table1[[#This Row],[Weekending]])</f>
        <v>4</v>
      </c>
      <c r="DF376" s="554">
        <f>YEAR(Table1[[#This Row],[Weekending]])</f>
        <v>2016</v>
      </c>
      <c r="DG376" s="235"/>
    </row>
    <row r="377" spans="1:111">
      <c r="A377" s="548" t="str">
        <f t="shared" si="145"/>
        <v>32nene49</v>
      </c>
      <c r="B377" s="549">
        <v>42479</v>
      </c>
      <c r="C377" s="550">
        <v>7606632</v>
      </c>
      <c r="D377" s="416" t="s">
        <v>2185</v>
      </c>
      <c r="E377" s="550">
        <v>4</v>
      </c>
      <c r="F377" s="551" t="str">
        <f>INDEX(BrokerTBL!$B:$B,MATCH(D377,BrokerTBL!$A:$A,0))</f>
        <v>PO Box 6348</v>
      </c>
      <c r="G377" s="550" t="str">
        <f>INDEX(BrokerTBL!$C:$C,MATCH(D377,BrokerTBL!$A:$A,0))</f>
        <v>Scottsdale</v>
      </c>
      <c r="H377" s="235" t="str">
        <f>INDEX(BrokerTBL!$D:$D,MATCH(D377,BrokerTBL!$A:$A,0))</f>
        <v>Az</v>
      </c>
      <c r="I377" s="235" t="str">
        <f>INDEX(BrokerTBL!$E:$E,MATCH(D377,BrokerTBL!$A:$A,0))</f>
        <v>US</v>
      </c>
      <c r="J377" s="235">
        <f>INDEX(BrokerTBL!$F:$F,MATCH(D377,BrokerTBL!$A:$A,0))</f>
        <v>85258</v>
      </c>
      <c r="K377" s="548" t="s">
        <v>2595</v>
      </c>
      <c r="L377" s="552" t="s">
        <v>132</v>
      </c>
      <c r="M377" s="549">
        <v>42475</v>
      </c>
      <c r="N377" s="162" t="s">
        <v>123</v>
      </c>
      <c r="O377" s="550" t="s">
        <v>2596</v>
      </c>
      <c r="P377" s="548" t="s">
        <v>380</v>
      </c>
      <c r="Q377" s="548" t="s">
        <v>2206</v>
      </c>
      <c r="R377" s="548">
        <v>95376</v>
      </c>
      <c r="S377" s="548" t="s">
        <v>2207</v>
      </c>
      <c r="T377" s="548" t="s">
        <v>2597</v>
      </c>
      <c r="U377" s="548" t="s">
        <v>120</v>
      </c>
      <c r="V377" s="548">
        <v>53</v>
      </c>
      <c r="W377" s="548" t="s">
        <v>1205</v>
      </c>
      <c r="X377" s="553">
        <v>37826</v>
      </c>
      <c r="Y377" s="550" t="s">
        <v>2220</v>
      </c>
      <c r="Z377" s="548">
        <v>27</v>
      </c>
      <c r="AA377" s="548" t="s">
        <v>123</v>
      </c>
      <c r="AB377" s="548" t="s">
        <v>123</v>
      </c>
      <c r="AC377" s="548" t="s">
        <v>2598</v>
      </c>
      <c r="AD377" s="552" t="s">
        <v>132</v>
      </c>
      <c r="AE377" s="549">
        <v>42475</v>
      </c>
      <c r="AF377" s="416" t="s">
        <v>123</v>
      </c>
      <c r="AG377" s="548" t="s">
        <v>2599</v>
      </c>
      <c r="AH377" s="548" t="s">
        <v>2600</v>
      </c>
      <c r="AI377" s="548" t="s">
        <v>2206</v>
      </c>
      <c r="AJ377" s="548">
        <v>94124</v>
      </c>
      <c r="AK377" s="548" t="s">
        <v>2207</v>
      </c>
      <c r="AL377" s="548" t="s">
        <v>2601</v>
      </c>
      <c r="AM377" s="171" t="str">
        <f>INDEX(CarrierDriverTBL!$B:$B,MATCH(Table1[[#This Row],[DriverID]],CarrierDriverTBL!$A:$A,0))</f>
        <v>UBTrucking</v>
      </c>
      <c r="AN377" s="10" t="s">
        <v>192</v>
      </c>
      <c r="AO377" s="10" t="str">
        <f>INDEX(CarrierDriverTBL!$C:$C,MATCH(Table1[[#This Row],[DriverID]],CarrierDriverTBL!$A:$A,0))</f>
        <v>Albel</v>
      </c>
      <c r="AP377" s="142" t="str">
        <f>INDEX(CarrierDriverTBL!$D:$D,MATCH(Table1[[#This Row],[DriverID]],CarrierDriverTBL!$A:$A,0))</f>
        <v>Chahil</v>
      </c>
      <c r="AQ377" s="142" t="str">
        <f>INDEX(CarrierDriverTBL!$X:$X,MATCH(Table1[[#This Row],[DriverID]],CarrierDriverTBL!$A:$A,0))</f>
        <v>A8390649</v>
      </c>
      <c r="AR377" s="160">
        <f>INDEX(CarrierDriverTBL!$Y:$Y,MATCH(Table1[[#This Row],[DriverID]],CarrierDriverTBL!$A:$A,0))</f>
        <v>42402</v>
      </c>
      <c r="AS377" s="142" t="str">
        <f t="shared" si="146"/>
        <v>EXPIRED</v>
      </c>
      <c r="AT377" s="160">
        <f>INDEX(CarrierDriverTBL!$E:$E,MATCH(Table1[[#This Row],[DriverID]],CarrierDriverTBL!$A:$A,0))</f>
        <v>22314</v>
      </c>
      <c r="AU377" s="163">
        <f ca="1">INDEX(CarrierDriverTBL!$F:$F,MATCH(Table1[[#This Row],[DriverID]],CarrierDriverTBL!$A:$A,0))</f>
        <v>55.512328767123286</v>
      </c>
      <c r="AV377" s="142" t="str">
        <f>INDEX(CarrierDriverTBL!$K:$K,MATCH(Table1[[#This Row],[DriverID]],CarrierDriverTBL!$A:$A,0))</f>
        <v>510-773-9450</v>
      </c>
      <c r="AW377" s="142" t="str">
        <f>INDEX(CarrierDriverTBL!$M:$M,MATCH(Table1[[#This Row],[DriverID]],CarrierDriverTBL!$A:$A,0))</f>
        <v>3124 Cynthia CT</v>
      </c>
      <c r="AX377" s="142" t="str">
        <f>INDEX(CarrierDriverTBL!$N:$N,MATCH(Table1[[#This Row],[DriverID]],CarrierDriverTBL!$A:$A,0))</f>
        <v>Tracy</v>
      </c>
      <c r="AY377" s="142" t="str">
        <f>INDEX(CarrierDriverTBL!$O:$O,MATCH(Table1[[#This Row],[DriverID]],CarrierDriverTBL!$A:$A,0))</f>
        <v>CA</v>
      </c>
      <c r="AZ377" s="142">
        <f>INDEX(CarrierDriverTBL!$P:$P,MATCH(Table1[[#This Row],[DriverID]],CarrierDriverTBL!$A:$A,0))</f>
        <v>95377</v>
      </c>
      <c r="BA377" s="142" t="str">
        <f>INDEX(CarrierDriverTBL!$Q:$Q,MATCH(Table1[[#This Row],[DriverID]],CarrierDriverTBL!$A:$A,0))</f>
        <v>US</v>
      </c>
      <c r="BB377" s="176" t="str">
        <f>INDEX(CarrierDriverTBL!$R:$R,MATCH(Table1[[#This Row],[DriverID]],CarrierDriverTBL!$A:$A,0))</f>
        <v>ubgollc@gmail.com</v>
      </c>
      <c r="BC377" s="160">
        <f>INDEX(CarrierDriverTBL!$AB:$AB,MATCH(Table1[[#This Row],[DriverID]],CarrierDriverTBL!$A:$A,0))</f>
        <v>42167</v>
      </c>
      <c r="BD377" s="142" t="str">
        <f ca="1">INDEX(CarrierDriverTBL!$AD:$AD,MATCH(LoadMaster!$AN:$AN,CarrierDriverTBL!$A:$A,0))</f>
        <v>MISSING</v>
      </c>
      <c r="BE377" s="142">
        <f>INDEX(CarrierDriverTBL!$AE:$AE,MATCH(Table1[DriverID],CarrierDriverTBL!$A:$A,0))</f>
        <v>913971</v>
      </c>
      <c r="BF377" s="142">
        <f>INDEX(CarrierDriverTBL!$AF:$AF,MATCH(Table1[DriverID],CarrierDriverTBL!$A:$A,0))</f>
        <v>2627544</v>
      </c>
      <c r="BG377" s="142">
        <f>INDEX(CarrierDriverTBL!$AG:$AG,MATCH(Table1[DriverID],CarrierDriverTBL!$A:$A,0))</f>
        <v>466133</v>
      </c>
      <c r="BH377" s="142" t="str">
        <f>INDEX(CarrierDriverTBL!$AH:$AH,MATCH(Table1[DriverID],CarrierDriverTBL!$A:$A,0))</f>
        <v>GM Lawrence Ins</v>
      </c>
      <c r="BI377" s="142" t="str">
        <f>INDEX(CarrierDriverTBL!$AI:$AI,MATCH(Table1[DriverID],CarrierDriverTBL!$A:$A,0))</f>
        <v>DSK2842P160210</v>
      </c>
      <c r="BJ377" s="160">
        <f>INDEX(CarrierDriverTBL!$AJ:$AJ,MATCH(Table1[[#This Row],[DriverID]],CarrierDriverTBL!$A:$A,0))</f>
        <v>42778</v>
      </c>
      <c r="BK377" s="10">
        <f t="shared" si="147"/>
        <v>303</v>
      </c>
      <c r="BL377" s="237">
        <v>330</v>
      </c>
      <c r="BM377" s="554">
        <v>63</v>
      </c>
      <c r="BN377" s="558">
        <f t="shared" si="164"/>
        <v>5.2380952380952381</v>
      </c>
      <c r="BO377" s="241">
        <f>0.93*Table1[[#This Row],[ChargeBroker]]</f>
        <v>306.90000000000003</v>
      </c>
      <c r="BP377" s="558">
        <f t="shared" si="165"/>
        <v>4.8714285714285719</v>
      </c>
      <c r="BQ377" s="133">
        <v>2.6</v>
      </c>
      <c r="BR377" s="559">
        <f t="shared" si="166"/>
        <v>0.1166666666666667</v>
      </c>
      <c r="BS377" s="558">
        <f t="shared" si="148"/>
        <v>4.7547619047619047</v>
      </c>
      <c r="BT377" s="558">
        <f t="shared" si="149"/>
        <v>7.3500000000000014</v>
      </c>
      <c r="BU377" s="236" t="str">
        <f t="shared" si="150"/>
        <v>Globaltranz</v>
      </c>
      <c r="BV377" s="550"/>
      <c r="BW377" s="235" t="str">
        <f>Table1[[#This Row],[BrokerAddress]]</f>
        <v>PO Box 6348</v>
      </c>
      <c r="BX377" s="235" t="str">
        <f t="shared" si="151"/>
        <v>Scottsdale</v>
      </c>
      <c r="BY377" s="235" t="str">
        <f t="shared" si="152"/>
        <v>Az</v>
      </c>
      <c r="BZ377" s="235">
        <f t="shared" si="153"/>
        <v>85258</v>
      </c>
      <c r="CA377" s="236" t="str">
        <f t="shared" si="154"/>
        <v>US</v>
      </c>
      <c r="CB377" s="15" t="s">
        <v>131</v>
      </c>
      <c r="CC377" s="62"/>
      <c r="CD377" s="15" t="s">
        <v>132</v>
      </c>
      <c r="CE377" s="64">
        <v>0</v>
      </c>
      <c r="CF377" s="4">
        <v>0</v>
      </c>
      <c r="CG377" s="132">
        <f t="shared" si="155"/>
        <v>0</v>
      </c>
      <c r="CH377" s="4" t="s">
        <v>132</v>
      </c>
      <c r="CI377" s="5">
        <v>0</v>
      </c>
      <c r="CJ377" s="4">
        <v>0</v>
      </c>
      <c r="CK377" s="132">
        <f t="shared" si="156"/>
        <v>0</v>
      </c>
      <c r="CL377" s="4" t="s">
        <v>132</v>
      </c>
      <c r="CM377" s="5">
        <v>0</v>
      </c>
      <c r="CN377" s="4">
        <v>0</v>
      </c>
      <c r="CO377" s="132">
        <f t="shared" si="157"/>
        <v>0</v>
      </c>
      <c r="CP377" s="4" t="s">
        <v>132</v>
      </c>
      <c r="CQ377" s="5">
        <v>0</v>
      </c>
      <c r="CR377" s="4">
        <v>0</v>
      </c>
      <c r="CS377" s="132">
        <f t="shared" si="158"/>
        <v>0</v>
      </c>
      <c r="CT377" s="132">
        <f t="shared" si="159"/>
        <v>0</v>
      </c>
      <c r="CU377" s="238">
        <f t="shared" si="160"/>
        <v>330</v>
      </c>
      <c r="CV377" s="239">
        <f t="shared" si="143"/>
        <v>0</v>
      </c>
      <c r="CW377" s="240">
        <f t="shared" si="144"/>
        <v>306.90000000000003</v>
      </c>
      <c r="CX377" s="79">
        <f>IF(ISBLANK(E377),"AddQuickPay",IF(E377=2,CU377*0.98,IF(E377=2.4,CU377*0.976,IF(E377=3,CU377*0.97,IF(E377=5,CU377*0.95,IF(E377=1.5,CU377*0.985,IF(E377=2.5,CU377*0.975,IF(E377=1.3,CU377*0.987,IF(E377=1,CU377*0.99,IF(E377=4,CU377*0.96,CU377*1))))))))))-Table1[[#This Row],[ComCheck+QuickPayFee]]</f>
        <v>316.8</v>
      </c>
      <c r="CY377" s="237">
        <f t="shared" si="161"/>
        <v>23.099999999999966</v>
      </c>
      <c r="CZ377" s="237">
        <f t="shared" si="162"/>
        <v>13.200000000000001</v>
      </c>
      <c r="DA377" s="263">
        <f>Table1[[#This Row],[OriginalDispatch]]-Table1[[#This Row],[QuickPayCharge]]</f>
        <v>9.8999999999999648</v>
      </c>
      <c r="DB377" s="5">
        <v>0</v>
      </c>
      <c r="DC377" s="237" t="s">
        <v>1287</v>
      </c>
      <c r="DD377" s="556">
        <f t="shared" si="163"/>
        <v>42475</v>
      </c>
      <c r="DE377" s="554">
        <f>MONTH(Table1[[#This Row],[Weekending]])</f>
        <v>4</v>
      </c>
      <c r="DF377" s="554">
        <f>YEAR(Table1[[#This Row],[Weekending]])</f>
        <v>2016</v>
      </c>
      <c r="DG377" s="235"/>
    </row>
    <row r="378" spans="1:111">
      <c r="A378" s="416" t="str">
        <f t="shared" si="145"/>
        <v>16860793</v>
      </c>
      <c r="B378" s="104">
        <v>42489</v>
      </c>
      <c r="C378" s="15">
        <v>7635016</v>
      </c>
      <c r="D378" s="416" t="s">
        <v>2185</v>
      </c>
      <c r="E378" s="15">
        <v>4</v>
      </c>
      <c r="F378" s="144" t="str">
        <f>INDEX(BrokerTBL!$B:$B,MATCH(D378,BrokerTBL!$A:$A,0))</f>
        <v>PO Box 6348</v>
      </c>
      <c r="G378" s="15" t="str">
        <f>INDEX(BrokerTBL!$C:$C,MATCH(D378,BrokerTBL!$A:$A,0))</f>
        <v>Scottsdale</v>
      </c>
      <c r="H378" s="4" t="str">
        <f>INDEX(BrokerTBL!$D:$D,MATCH(D378,BrokerTBL!$A:$A,0))</f>
        <v>Az</v>
      </c>
      <c r="I378" s="4" t="str">
        <f>INDEX(BrokerTBL!$E:$E,MATCH(D378,BrokerTBL!$A:$A,0))</f>
        <v>US</v>
      </c>
      <c r="J378" s="4">
        <f>INDEX(BrokerTBL!$F:$F,MATCH(D378,BrokerTBL!$A:$A,0))</f>
        <v>85258</v>
      </c>
      <c r="K378" s="416" t="s">
        <v>2374</v>
      </c>
      <c r="L378" s="81">
        <v>20210510586</v>
      </c>
      <c r="M378" s="104">
        <v>42478</v>
      </c>
      <c r="N378" s="162" t="s">
        <v>123</v>
      </c>
      <c r="O378" s="15" t="s">
        <v>2375</v>
      </c>
      <c r="P378" s="548" t="s">
        <v>214</v>
      </c>
      <c r="Q378" s="548" t="s">
        <v>2206</v>
      </c>
      <c r="R378" s="548">
        <v>93725</v>
      </c>
      <c r="S378" s="548" t="s">
        <v>2207</v>
      </c>
      <c r="T378" s="298" t="s">
        <v>123</v>
      </c>
      <c r="U378" s="548" t="s">
        <v>120</v>
      </c>
      <c r="V378" s="548">
        <v>53</v>
      </c>
      <c r="W378" s="548" t="s">
        <v>2376</v>
      </c>
      <c r="X378" s="553">
        <v>44552</v>
      </c>
      <c r="Y378" s="550" t="s">
        <v>2220</v>
      </c>
      <c r="Z378" s="548" t="s">
        <v>123</v>
      </c>
      <c r="AA378" s="548">
        <v>26</v>
      </c>
      <c r="AB378" s="548" t="s">
        <v>123</v>
      </c>
      <c r="AC378" s="548" t="s">
        <v>2377</v>
      </c>
      <c r="AD378" s="552">
        <v>20210510707</v>
      </c>
      <c r="AE378" s="549">
        <v>42480</v>
      </c>
      <c r="AF378" s="549" t="s">
        <v>2602</v>
      </c>
      <c r="AG378" s="548" t="s">
        <v>2378</v>
      </c>
      <c r="AH378" s="548" t="s">
        <v>738</v>
      </c>
      <c r="AI378" s="548" t="s">
        <v>2233</v>
      </c>
      <c r="AJ378" s="548">
        <v>89502</v>
      </c>
      <c r="AK378" s="548" t="s">
        <v>2207</v>
      </c>
      <c r="AL378" s="548" t="s">
        <v>123</v>
      </c>
      <c r="AM378" s="554" t="str">
        <f>INDEX(CarrierDriverTBL!$B:$B,MATCH(Table1[[#This Row],[DriverID]],CarrierDriverTBL!$A:$A,0))</f>
        <v>UBTrucking</v>
      </c>
      <c r="AN378" s="10" t="s">
        <v>2234</v>
      </c>
      <c r="AO378" s="171" t="str">
        <f>INDEX(CarrierDriverTBL!$C:$C,MATCH(Table1[[#This Row],[DriverID]],CarrierDriverTBL!$A:$A,0))</f>
        <v>Arturo</v>
      </c>
      <c r="AP378" s="171" t="str">
        <f>INDEX(CarrierDriverTBL!$D:$D,MATCH(Table1[[#This Row],[DriverID]],CarrierDriverTBL!$A:$A,0))</f>
        <v>Carrillo</v>
      </c>
      <c r="AQ378" s="171" t="str">
        <f>INDEX(CarrierDriverTBL!$X:$X,MATCH(Table1[[#This Row],[DriverID]],CarrierDriverTBL!$A:$A,0))</f>
        <v>C7056793</v>
      </c>
      <c r="AR378" s="160">
        <f>INDEX(CarrierDriverTBL!$Y:$Y,MATCH(Table1[[#This Row],[DriverID]],CarrierDriverTBL!$A:$A,0))</f>
        <v>43410</v>
      </c>
      <c r="AS378" s="142" t="str">
        <f t="shared" si="146"/>
        <v>GOOD</v>
      </c>
      <c r="AT378" s="172">
        <f>INDEX(CarrierDriverTBL!$E:$E,MATCH(Table1[[#This Row],[DriverID]],CarrierDriverTBL!$A:$A,0))</f>
        <v>24782</v>
      </c>
      <c r="AU378" s="163">
        <f ca="1">INDEX(CarrierDriverTBL!$F:$F,MATCH(Table1[[#This Row],[DriverID]],CarrierDriverTBL!$A:$A,0))</f>
        <v>48.750684931506846</v>
      </c>
      <c r="AV378" s="171" t="str">
        <f>INDEX(CarrierDriverTBL!$K:$K,MATCH(Table1[[#This Row],[DriverID]],CarrierDriverTBL!$A:$A,0))</f>
        <v>209-276-9785</v>
      </c>
      <c r="AW378" s="171" t="str">
        <f>INDEX(CarrierDriverTBL!$M:$M,MATCH(Table1[[#This Row],[DriverID]],CarrierDriverTBL!$A:$A,0))</f>
        <v>1685 Winthrop Ln</v>
      </c>
      <c r="AX378" s="171" t="str">
        <f>INDEX(CarrierDriverTBL!$N:$N,MATCH(Table1[[#This Row],[DriverID]],CarrierDriverTBL!$A:$A,0))</f>
        <v>Ceres</v>
      </c>
      <c r="AY378" s="171" t="str">
        <f>INDEX(CarrierDriverTBL!$O:$O,MATCH(Table1[[#This Row],[DriverID]],CarrierDriverTBL!$A:$A,0))</f>
        <v>CA</v>
      </c>
      <c r="AZ378" s="171">
        <f>INDEX(CarrierDriverTBL!$P:$P,MATCH(Table1[[#This Row],[DriverID]],CarrierDriverTBL!$A:$A,0))</f>
        <v>95307</v>
      </c>
      <c r="BA378" s="171" t="str">
        <f>INDEX(CarrierDriverTBL!$Q:$Q,MATCH(Table1[[#This Row],[DriverID]],CarrierDriverTBL!$A:$A,0))</f>
        <v>US</v>
      </c>
      <c r="BB378" s="173" t="str">
        <f>INDEX(CarrierDriverTBL!$R:$R,MATCH(Table1[[#This Row],[DriverID]],CarrierDriverTBL!$A:$A,0))</f>
        <v>arturocarr777@gmail.com</v>
      </c>
      <c r="BC378" s="160">
        <f>INDEX(CarrierDriverTBL!$AB:$AB,MATCH(Table1[[#This Row],[DriverID]],CarrierDriverTBL!$A:$A,0))</f>
        <v>42418</v>
      </c>
      <c r="BD378" s="142" t="str">
        <f ca="1">INDEX(CarrierDriverTBL!$AD:$AD,MATCH(LoadMaster!$AN:$AN,CarrierDriverTBL!$A:$A,0))</f>
        <v>MISSING</v>
      </c>
      <c r="BE378" s="171">
        <f>INDEX(CarrierDriverTBL!$AE:$AE,MATCH(Table1[DriverID],CarrierDriverTBL!$A:$A,0))</f>
        <v>913971</v>
      </c>
      <c r="BF378" s="171">
        <f>INDEX(CarrierDriverTBL!$AF:$AF,MATCH(Table1[DriverID],CarrierDriverTBL!$A:$A,0))</f>
        <v>2627544</v>
      </c>
      <c r="BG378" s="10">
        <f>INDEX(CarrierDriverTBL!$AG:$AG,MATCH(Table1[DriverID],CarrierDriverTBL!$A:$A,0))</f>
        <v>466133</v>
      </c>
      <c r="BH378" s="171" t="str">
        <f>INDEX(CarrierDriverTBL!$AH:$AH,MATCH(Table1[DriverID],CarrierDriverTBL!$A:$A,0))</f>
        <v>GM Lawrence Ins</v>
      </c>
      <c r="BI378" s="171" t="str">
        <f>INDEX(CarrierDriverTBL!$AI:$AI,MATCH(Table1[DriverID],CarrierDriverTBL!$A:$A,0))</f>
        <v>DSK2842P160210</v>
      </c>
      <c r="BJ378" s="172">
        <f>INDEX(CarrierDriverTBL!$AJ:$AJ,MATCH(Table1[[#This Row],[DriverID]],CarrierDriverTBL!$A:$A,0))</f>
        <v>42778</v>
      </c>
      <c r="BK378" s="10">
        <f t="shared" si="147"/>
        <v>300</v>
      </c>
      <c r="BL378" s="5">
        <v>650</v>
      </c>
      <c r="BM378" s="171">
        <v>300</v>
      </c>
      <c r="BN378" s="133">
        <f t="shared" si="164"/>
        <v>2.1666666666666665</v>
      </c>
      <c r="BO378" s="134">
        <f>0.93*Table1[[#This Row],[ChargeBroker]]</f>
        <v>604.5</v>
      </c>
      <c r="BP378" s="133">
        <f t="shared" si="165"/>
        <v>2.0150000000000001</v>
      </c>
      <c r="BQ378" s="133">
        <v>2.6</v>
      </c>
      <c r="BR378" s="215">
        <f t="shared" si="166"/>
        <v>0.1166666666666667</v>
      </c>
      <c r="BS378" s="133">
        <f t="shared" si="148"/>
        <v>1.8983333333333334</v>
      </c>
      <c r="BT378" s="133">
        <f t="shared" si="149"/>
        <v>35.000000000000007</v>
      </c>
      <c r="BU378" s="10" t="str">
        <f t="shared" si="150"/>
        <v>Globaltranz</v>
      </c>
      <c r="BV378" s="15"/>
      <c r="BW378" s="4" t="str">
        <f>Table1[[#This Row],[BrokerAddress]]</f>
        <v>PO Box 6348</v>
      </c>
      <c r="BX378" s="4" t="str">
        <f t="shared" si="151"/>
        <v>Scottsdale</v>
      </c>
      <c r="BY378" s="4" t="str">
        <f t="shared" si="152"/>
        <v>Az</v>
      </c>
      <c r="BZ378" s="4">
        <f t="shared" si="153"/>
        <v>85258</v>
      </c>
      <c r="CA378" s="10" t="str">
        <f t="shared" si="154"/>
        <v>US</v>
      </c>
      <c r="CB378" s="15" t="s">
        <v>131</v>
      </c>
      <c r="CC378" s="62"/>
      <c r="CD378" s="15" t="s">
        <v>132</v>
      </c>
      <c r="CE378" s="64">
        <v>0</v>
      </c>
      <c r="CF378" s="4">
        <v>0</v>
      </c>
      <c r="CG378" s="132">
        <f t="shared" si="155"/>
        <v>0</v>
      </c>
      <c r="CH378" s="4" t="s">
        <v>132</v>
      </c>
      <c r="CI378" s="5">
        <v>0</v>
      </c>
      <c r="CJ378" s="4">
        <v>0</v>
      </c>
      <c r="CK378" s="132">
        <f t="shared" si="156"/>
        <v>0</v>
      </c>
      <c r="CL378" s="4" t="s">
        <v>132</v>
      </c>
      <c r="CM378" s="5">
        <v>0</v>
      </c>
      <c r="CN378" s="4">
        <v>0</v>
      </c>
      <c r="CO378" s="132">
        <f t="shared" si="157"/>
        <v>0</v>
      </c>
      <c r="CP378" s="4" t="s">
        <v>132</v>
      </c>
      <c r="CQ378" s="5">
        <v>0</v>
      </c>
      <c r="CR378" s="4">
        <v>0</v>
      </c>
      <c r="CS378" s="132">
        <f t="shared" si="158"/>
        <v>0</v>
      </c>
      <c r="CT378" s="132">
        <f t="shared" si="159"/>
        <v>0</v>
      </c>
      <c r="CU378" s="168">
        <f t="shared" si="160"/>
        <v>650</v>
      </c>
      <c r="CV378" s="177">
        <f t="shared" si="143"/>
        <v>0</v>
      </c>
      <c r="CW378" s="82">
        <f t="shared" si="144"/>
        <v>604.5</v>
      </c>
      <c r="CX378" s="79">
        <f>IF(ISBLANK(E378),"AddQuickPay",IF(E378=2,CU378*0.98,IF(E378=2.4,CU378*0.976,IF(E378=3,CU378*0.97,IF(E378=5,CU378*0.95,IF(E378=1.5,CU378*0.985,IF(E378=2.5,CU378*0.975,IF(E378=1.3,CU378*0.987,IF(E378=1,CU378*0.99,IF(E378=4,CU378*0.96,CU378*1))))))))))-Table1[[#This Row],[ComCheck+QuickPayFee]]</f>
        <v>624</v>
      </c>
      <c r="CY378" s="5">
        <f t="shared" si="161"/>
        <v>45.5</v>
      </c>
      <c r="CZ378" s="5">
        <f t="shared" si="162"/>
        <v>26</v>
      </c>
      <c r="DA378" s="258">
        <f>Table1[[#This Row],[OriginalDispatch]]-Table1[[#This Row],[QuickPayCharge]]</f>
        <v>19.5</v>
      </c>
      <c r="DB378" s="5">
        <v>0</v>
      </c>
      <c r="DC378" s="5" t="s">
        <v>1287</v>
      </c>
      <c r="DD378" s="172">
        <f t="shared" si="163"/>
        <v>42482</v>
      </c>
      <c r="DE378" s="171">
        <f>MONTH(Table1[[#This Row],[Weekending]])</f>
        <v>4</v>
      </c>
      <c r="DF378" s="171">
        <f>YEAR(Table1[[#This Row],[Weekending]])</f>
        <v>2016</v>
      </c>
      <c r="DG378" s="4"/>
    </row>
    <row r="379" spans="1:111">
      <c r="A379" s="548" t="str">
        <f t="shared" si="145"/>
        <v>31151549</v>
      </c>
      <c r="B379" s="549">
        <v>42487</v>
      </c>
      <c r="C379" s="550">
        <v>1948031</v>
      </c>
      <c r="D379" s="548" t="s">
        <v>2405</v>
      </c>
      <c r="E379" s="550">
        <v>3</v>
      </c>
      <c r="F379" s="551" t="str">
        <f>INDEX(BrokerTBL!$B:$B,MATCH(D379,BrokerTBL!$A:$A,0))</f>
        <v xml:space="preserve">303 E Wacker Dr. </v>
      </c>
      <c r="G379" s="550" t="str">
        <f>INDEX(BrokerTBL!$C:$C,MATCH(D379,BrokerTBL!$A:$A,0))</f>
        <v>Chicago</v>
      </c>
      <c r="H379" s="235" t="str">
        <f>INDEX(BrokerTBL!$D:$D,MATCH(D379,BrokerTBL!$A:$A,0))</f>
        <v>IL</v>
      </c>
      <c r="I379" s="235" t="str">
        <f>INDEX(BrokerTBL!$E:$E,MATCH(D379,BrokerTBL!$A:$A,0))</f>
        <v>US</v>
      </c>
      <c r="J379" s="235">
        <f>INDEX(BrokerTBL!$F:$F,MATCH(D379,BrokerTBL!$A:$A,0))</f>
        <v>60601</v>
      </c>
      <c r="K379" s="548" t="s">
        <v>2406</v>
      </c>
      <c r="L379" s="552" t="s">
        <v>2603</v>
      </c>
      <c r="M379" s="549">
        <v>42478</v>
      </c>
      <c r="N379" s="550">
        <v>700</v>
      </c>
      <c r="O379" s="550" t="s">
        <v>2407</v>
      </c>
      <c r="P379" s="548" t="s">
        <v>2408</v>
      </c>
      <c r="Q379" s="548" t="s">
        <v>2233</v>
      </c>
      <c r="R379" s="548">
        <v>89706</v>
      </c>
      <c r="S379" s="548" t="s">
        <v>2207</v>
      </c>
      <c r="T379" s="298" t="s">
        <v>123</v>
      </c>
      <c r="U379" s="548" t="s">
        <v>120</v>
      </c>
      <c r="V379" s="548">
        <v>53</v>
      </c>
      <c r="W379" s="548" t="s">
        <v>2409</v>
      </c>
      <c r="X379" s="553">
        <v>45000</v>
      </c>
      <c r="Y379" s="550" t="s">
        <v>123</v>
      </c>
      <c r="Z379" s="548" t="s">
        <v>123</v>
      </c>
      <c r="AA379" s="548" t="s">
        <v>123</v>
      </c>
      <c r="AB379" s="548" t="s">
        <v>123</v>
      </c>
      <c r="AC379" s="548" t="s">
        <v>2411</v>
      </c>
      <c r="AD379" s="552" t="s">
        <v>2603</v>
      </c>
      <c r="AE379" s="549">
        <v>42479</v>
      </c>
      <c r="AF379" s="416" t="s">
        <v>123</v>
      </c>
      <c r="AG379" s="548" t="s">
        <v>2412</v>
      </c>
      <c r="AH379" s="548" t="s">
        <v>2168</v>
      </c>
      <c r="AI379" s="548" t="s">
        <v>2206</v>
      </c>
      <c r="AJ379" s="548">
        <v>93235</v>
      </c>
      <c r="AK379" s="548" t="s">
        <v>2207</v>
      </c>
      <c r="AL379" s="548" t="s">
        <v>123</v>
      </c>
      <c r="AM379" s="554" t="str">
        <f>INDEX(CarrierDriverTBL!$B:$B,MATCH(Table1[[#This Row],[DriverID]],CarrierDriverTBL!$A:$A,0))</f>
        <v>UBTrucking</v>
      </c>
      <c r="AN379" s="10" t="s">
        <v>192</v>
      </c>
      <c r="AO379" s="10" t="str">
        <f>INDEX(CarrierDriverTBL!$C:$C,MATCH(Table1[[#This Row],[DriverID]],CarrierDriverTBL!$A:$A,0))</f>
        <v>Albel</v>
      </c>
      <c r="AP379" s="142" t="str">
        <f>INDEX(CarrierDriverTBL!$D:$D,MATCH(Table1[[#This Row],[DriverID]],CarrierDriverTBL!$A:$A,0))</f>
        <v>Chahil</v>
      </c>
      <c r="AQ379" s="142" t="str">
        <f>INDEX(CarrierDriverTBL!$X:$X,MATCH(Table1[[#This Row],[DriverID]],CarrierDriverTBL!$A:$A,0))</f>
        <v>A8390649</v>
      </c>
      <c r="AR379" s="160">
        <f>INDEX(CarrierDriverTBL!$Y:$Y,MATCH(Table1[[#This Row],[DriverID]],CarrierDriverTBL!$A:$A,0))</f>
        <v>42402</v>
      </c>
      <c r="AS379" s="142" t="str">
        <f t="shared" si="146"/>
        <v>EXPIRED</v>
      </c>
      <c r="AT379" s="160">
        <f>INDEX(CarrierDriverTBL!$E:$E,MATCH(Table1[[#This Row],[DriverID]],CarrierDriverTBL!$A:$A,0))</f>
        <v>22314</v>
      </c>
      <c r="AU379" s="163">
        <f ca="1">INDEX(CarrierDriverTBL!$F:$F,MATCH(Table1[[#This Row],[DriverID]],CarrierDriverTBL!$A:$A,0))</f>
        <v>55.512328767123286</v>
      </c>
      <c r="AV379" s="142" t="str">
        <f>INDEX(CarrierDriverTBL!$K:$K,MATCH(Table1[[#This Row],[DriverID]],CarrierDriverTBL!$A:$A,0))</f>
        <v>510-773-9450</v>
      </c>
      <c r="AW379" s="142" t="str">
        <f>INDEX(CarrierDriverTBL!$M:$M,MATCH(Table1[[#This Row],[DriverID]],CarrierDriverTBL!$A:$A,0))</f>
        <v>3124 Cynthia CT</v>
      </c>
      <c r="AX379" s="142" t="str">
        <f>INDEX(CarrierDriverTBL!$N:$N,MATCH(Table1[[#This Row],[DriverID]],CarrierDriverTBL!$A:$A,0))</f>
        <v>Tracy</v>
      </c>
      <c r="AY379" s="142" t="str">
        <f>INDEX(CarrierDriverTBL!$O:$O,MATCH(Table1[[#This Row],[DriverID]],CarrierDriverTBL!$A:$A,0))</f>
        <v>CA</v>
      </c>
      <c r="AZ379" s="142">
        <f>INDEX(CarrierDriverTBL!$P:$P,MATCH(Table1[[#This Row],[DriverID]],CarrierDriverTBL!$A:$A,0))</f>
        <v>95377</v>
      </c>
      <c r="BA379" s="142" t="str">
        <f>INDEX(CarrierDriverTBL!$Q:$Q,MATCH(Table1[[#This Row],[DriverID]],CarrierDriverTBL!$A:$A,0))</f>
        <v>US</v>
      </c>
      <c r="BB379" s="176" t="str">
        <f>INDEX(CarrierDriverTBL!$R:$R,MATCH(Table1[[#This Row],[DriverID]],CarrierDriverTBL!$A:$A,0))</f>
        <v>ubgollc@gmail.com</v>
      </c>
      <c r="BC379" s="160">
        <f>INDEX(CarrierDriverTBL!$AB:$AB,MATCH(Table1[[#This Row],[DriverID]],CarrierDriverTBL!$A:$A,0))</f>
        <v>42167</v>
      </c>
      <c r="BD379" s="142" t="str">
        <f ca="1">INDEX(CarrierDriverTBL!$AD:$AD,MATCH(LoadMaster!$AN:$AN,CarrierDriverTBL!$A:$A,0))</f>
        <v>MISSING</v>
      </c>
      <c r="BE379" s="142">
        <f>INDEX(CarrierDriverTBL!$AE:$AE,MATCH(Table1[DriverID],CarrierDriverTBL!$A:$A,0))</f>
        <v>913971</v>
      </c>
      <c r="BF379" s="142">
        <f>INDEX(CarrierDriverTBL!$AF:$AF,MATCH(Table1[DriverID],CarrierDriverTBL!$A:$A,0))</f>
        <v>2627544</v>
      </c>
      <c r="BG379" s="142">
        <f>INDEX(CarrierDriverTBL!$AG:$AG,MATCH(Table1[DriverID],CarrierDriverTBL!$A:$A,0))</f>
        <v>466133</v>
      </c>
      <c r="BH379" s="142" t="str">
        <f>INDEX(CarrierDriverTBL!$AH:$AH,MATCH(Table1[DriverID],CarrierDriverTBL!$A:$A,0))</f>
        <v>GM Lawrence Ins</v>
      </c>
      <c r="BI379" s="142" t="str">
        <f>INDEX(CarrierDriverTBL!$AI:$AI,MATCH(Table1[DriverID],CarrierDriverTBL!$A:$A,0))</f>
        <v>DSK2842P160210</v>
      </c>
      <c r="BJ379" s="160">
        <f>INDEX(CarrierDriverTBL!$AJ:$AJ,MATCH(Table1[[#This Row],[DriverID]],CarrierDriverTBL!$A:$A,0))</f>
        <v>42778</v>
      </c>
      <c r="BK379" s="10">
        <f t="shared" si="147"/>
        <v>300</v>
      </c>
      <c r="BL379" s="237">
        <v>600</v>
      </c>
      <c r="BM379" s="554">
        <v>215</v>
      </c>
      <c r="BN379" s="558">
        <f t="shared" si="164"/>
        <v>2.7906976744186047</v>
      </c>
      <c r="BO379" s="241">
        <f>0.93*Table1[[#This Row],[ChargeBroker]]</f>
        <v>558</v>
      </c>
      <c r="BP379" s="558">
        <f t="shared" si="165"/>
        <v>2.5953488372093023</v>
      </c>
      <c r="BQ379" s="133">
        <v>2.6</v>
      </c>
      <c r="BR379" s="559">
        <f t="shared" si="166"/>
        <v>0.1166666666666667</v>
      </c>
      <c r="BS379" s="558">
        <f t="shared" si="148"/>
        <v>2.4786821705426356</v>
      </c>
      <c r="BT379" s="558">
        <f t="shared" si="149"/>
        <v>25.083333333333339</v>
      </c>
      <c r="BU379" s="236" t="str">
        <f t="shared" si="150"/>
        <v>XPOLogistics</v>
      </c>
      <c r="BV379" s="550"/>
      <c r="BW379" s="235" t="str">
        <f>Table1[[#This Row],[BrokerAddress]]</f>
        <v xml:space="preserve">303 E Wacker Dr. </v>
      </c>
      <c r="BX379" s="235" t="str">
        <f t="shared" si="151"/>
        <v>Chicago</v>
      </c>
      <c r="BY379" s="235" t="str">
        <f t="shared" si="152"/>
        <v>IL</v>
      </c>
      <c r="BZ379" s="235">
        <f t="shared" si="153"/>
        <v>60601</v>
      </c>
      <c r="CA379" s="236" t="str">
        <f t="shared" si="154"/>
        <v>US</v>
      </c>
      <c r="CB379" s="550" t="s">
        <v>131</v>
      </c>
      <c r="CC379" s="561"/>
      <c r="CD379" s="15" t="s">
        <v>132</v>
      </c>
      <c r="CE379" s="64">
        <v>0</v>
      </c>
      <c r="CF379" s="4">
        <v>0</v>
      </c>
      <c r="CG379" s="132">
        <f t="shared" si="155"/>
        <v>0</v>
      </c>
      <c r="CH379" s="4" t="s">
        <v>132</v>
      </c>
      <c r="CI379" s="5">
        <v>0</v>
      </c>
      <c r="CJ379" s="4">
        <v>0</v>
      </c>
      <c r="CK379" s="132">
        <f t="shared" si="156"/>
        <v>0</v>
      </c>
      <c r="CL379" s="4" t="s">
        <v>132</v>
      </c>
      <c r="CM379" s="5">
        <v>0</v>
      </c>
      <c r="CN379" s="4">
        <v>0</v>
      </c>
      <c r="CO379" s="132">
        <f t="shared" si="157"/>
        <v>0</v>
      </c>
      <c r="CP379" s="4" t="s">
        <v>132</v>
      </c>
      <c r="CQ379" s="5">
        <v>0</v>
      </c>
      <c r="CR379" s="4">
        <v>0</v>
      </c>
      <c r="CS379" s="132">
        <f t="shared" si="158"/>
        <v>0</v>
      </c>
      <c r="CT379" s="132">
        <f t="shared" si="159"/>
        <v>0</v>
      </c>
      <c r="CU379" s="238">
        <f t="shared" si="160"/>
        <v>600</v>
      </c>
      <c r="CV379" s="239">
        <f t="shared" si="143"/>
        <v>0</v>
      </c>
      <c r="CW379" s="240">
        <f t="shared" si="144"/>
        <v>558</v>
      </c>
      <c r="CX379" s="79">
        <f>IF(ISBLANK(E379),"AddQuickPay",IF(E379=2,CU379*0.98,IF(E379=2.4,CU379*0.976,IF(E379=3,CU379*0.97,IF(E379=5,CU379*0.95,IF(E379=1.5,CU379*0.985,IF(E379=2.5,CU379*0.975,IF(E379=1.3,CU379*0.987,IF(E379=1,CU379*0.99,IF(E379=4,CU379*0.96,CU379*1))))))))))-Table1[[#This Row],[ComCheck+QuickPayFee]]</f>
        <v>582</v>
      </c>
      <c r="CY379" s="237">
        <f t="shared" si="161"/>
        <v>42</v>
      </c>
      <c r="CZ379" s="237">
        <f t="shared" si="162"/>
        <v>18</v>
      </c>
      <c r="DA379" s="263">
        <f>Table1[[#This Row],[OriginalDispatch]]-Table1[[#This Row],[QuickPayCharge]]</f>
        <v>24</v>
      </c>
      <c r="DB379" s="5">
        <v>0</v>
      </c>
      <c r="DC379" s="237" t="s">
        <v>1287</v>
      </c>
      <c r="DD379" s="556">
        <f t="shared" si="163"/>
        <v>42482</v>
      </c>
      <c r="DE379" s="554">
        <f>MONTH(Table1[[#This Row],[Weekending]])</f>
        <v>4</v>
      </c>
      <c r="DF379" s="554">
        <f>YEAR(Table1[[#This Row],[Weekending]])</f>
        <v>2016</v>
      </c>
      <c r="DG379" s="235"/>
    </row>
    <row r="380" spans="1:111">
      <c r="A380" s="548" t="str">
        <f t="shared" si="145"/>
        <v>7058wn19</v>
      </c>
      <c r="B380" s="549">
        <v>42480</v>
      </c>
      <c r="C380" s="550">
        <v>6843970</v>
      </c>
      <c r="D380" s="548" t="s">
        <v>555</v>
      </c>
      <c r="E380" s="550">
        <v>3</v>
      </c>
      <c r="F380" s="551" t="str">
        <f>INDEX(BrokerTBL!$B:$B,MATCH(D380,BrokerTBL!$A:$A,0))</f>
        <v>P.O. Box 799</v>
      </c>
      <c r="G380" s="550" t="str">
        <f>INDEX(BrokerTBL!$C:$C,MATCH(D380,BrokerTBL!$A:$A,0))</f>
        <v>Milford</v>
      </c>
      <c r="H380" s="235" t="str">
        <f>INDEX(BrokerTBL!$D:$D,MATCH(D380,BrokerTBL!$A:$A,0))</f>
        <v>Ohio</v>
      </c>
      <c r="I380" s="235" t="str">
        <f>INDEX(BrokerTBL!$E:$E,MATCH(D380,BrokerTBL!$A:$A,0))</f>
        <v>US</v>
      </c>
      <c r="J380" s="235">
        <f>INDEX(BrokerTBL!$F:$F,MATCH(D380,BrokerTBL!$A:$A,0))</f>
        <v>45150</v>
      </c>
      <c r="K380" s="548" t="s">
        <v>2604</v>
      </c>
      <c r="L380" s="552">
        <v>22495558</v>
      </c>
      <c r="M380" s="549">
        <v>42478</v>
      </c>
      <c r="N380" s="550" t="s">
        <v>339</v>
      </c>
      <c r="O380" s="550" t="s">
        <v>2605</v>
      </c>
      <c r="P380" s="548" t="s">
        <v>184</v>
      </c>
      <c r="Q380" s="548" t="s">
        <v>2206</v>
      </c>
      <c r="R380" s="548">
        <v>95206</v>
      </c>
      <c r="S380" s="548" t="s">
        <v>2207</v>
      </c>
      <c r="T380" s="298" t="s">
        <v>123</v>
      </c>
      <c r="U380" s="548" t="s">
        <v>120</v>
      </c>
      <c r="V380" s="548">
        <v>53</v>
      </c>
      <c r="W380" s="548" t="s">
        <v>2606</v>
      </c>
      <c r="X380" s="553">
        <v>44000</v>
      </c>
      <c r="Y380" s="550" t="s">
        <v>2607</v>
      </c>
      <c r="Z380" s="548">
        <v>1</v>
      </c>
      <c r="AA380" s="548" t="s">
        <v>123</v>
      </c>
      <c r="AB380" s="548" t="s">
        <v>123</v>
      </c>
      <c r="AC380" s="548" t="s">
        <v>2608</v>
      </c>
      <c r="AD380" s="552" t="s">
        <v>1205</v>
      </c>
      <c r="AE380" s="549">
        <v>42479</v>
      </c>
      <c r="AF380" s="549" t="s">
        <v>1398</v>
      </c>
      <c r="AG380" s="548" t="s">
        <v>2609</v>
      </c>
      <c r="AH380" s="548" t="s">
        <v>2610</v>
      </c>
      <c r="AI380" s="548" t="s">
        <v>2206</v>
      </c>
      <c r="AJ380" s="548">
        <v>94928</v>
      </c>
      <c r="AK380" s="548" t="s">
        <v>2207</v>
      </c>
      <c r="AL380" s="548" t="s">
        <v>2611</v>
      </c>
      <c r="AM380" s="554" t="str">
        <f>INDEX(CarrierDriverTBL!$B:$B,MATCH(Table1[[#This Row],[DriverID]],CarrierDriverTBL!$A:$A,0))</f>
        <v>UBTrucking</v>
      </c>
      <c r="AN380" s="10" t="s">
        <v>1409</v>
      </c>
      <c r="AO380" s="298" t="str">
        <f>INDEX(CarrierDriverTBL!$C:$C,MATCH(Table1[[#This Row],[DriverID]],CarrierDriverTBL!$A:$A,0))</f>
        <v>Miguel Jaime</v>
      </c>
      <c r="AP380" s="298" t="str">
        <f>INDEX(CarrierDriverTBL!$D:$D,MATCH(Table1[[#This Row],[DriverID]],CarrierDriverTBL!$A:$A,0))</f>
        <v>Martin Del Campo Velarca</v>
      </c>
      <c r="AQ380" s="142" t="str">
        <f>INDEX(CarrierDriverTBL!$X:$X,MATCH(Table1[[#This Row],[DriverID]],CarrierDriverTBL!$A:$A,0))</f>
        <v>D5179619</v>
      </c>
      <c r="AR380" s="160">
        <f>INDEX(CarrierDriverTBL!$Y:$Y,MATCH(Table1[[#This Row],[DriverID]],CarrierDriverTBL!$A:$A,0))</f>
        <v>43843</v>
      </c>
      <c r="AS380" s="142" t="str">
        <f t="shared" si="146"/>
        <v>GOOD</v>
      </c>
      <c r="AT380" s="146">
        <f>INDEX(CarrierDriverTBL!$E:$E,MATCH(Table1[[#This Row],[DriverID]],CarrierDriverTBL!$A:$A,0))</f>
        <v>21198</v>
      </c>
      <c r="AU380" s="163">
        <f ca="1">INDEX(CarrierDriverTBL!$F:$F,MATCH(Table1[[#This Row],[DriverID]],CarrierDriverTBL!$A:$A,0))</f>
        <v>58.56986301369863</v>
      </c>
      <c r="AV380" s="298" t="str">
        <f>INDEX(CarrierDriverTBL!$K:$K,MATCH(Table1[[#This Row],[DriverID]],CarrierDriverTBL!$A:$A,0))</f>
        <v>209-322-5231</v>
      </c>
      <c r="AW380" s="298" t="str">
        <f>INDEX(CarrierDriverTBL!$M:$M,MATCH(Table1[[#This Row],[DriverID]],CarrierDriverTBL!$A:$A,0))</f>
        <v>572 Predersen RD</v>
      </c>
      <c r="AX380" s="298" t="str">
        <f>INDEX(CarrierDriverTBL!$N:$N,MATCH(Table1[[#This Row],[DriverID]],CarrierDriverTBL!$A:$A,0))</f>
        <v>Oakdale</v>
      </c>
      <c r="AY380" s="142" t="str">
        <f>INDEX(CarrierDriverTBL!$O:$O,MATCH(Table1[[#This Row],[DriverID]],CarrierDriverTBL!$A:$A,0))</f>
        <v>CA</v>
      </c>
      <c r="AZ380" s="298">
        <f>INDEX(CarrierDriverTBL!$P:$P,MATCH(Table1[[#This Row],[DriverID]],CarrierDriverTBL!$A:$A,0))</f>
        <v>95361</v>
      </c>
      <c r="BA380" s="298" t="str">
        <f>INDEX(CarrierDriverTBL!$Q:$Q,MATCH(Table1[[#This Row],[DriverID]],CarrierDriverTBL!$A:$A,0))</f>
        <v>US</v>
      </c>
      <c r="BB380" s="176" t="str">
        <f>INDEX(CarrierDriverTBL!$R:$R,MATCH(Table1[[#This Row],[DriverID]],CarrierDriverTBL!$A:$A,0))</f>
        <v>Miguelmartin52@yahoo.com</v>
      </c>
      <c r="BC380" s="160">
        <f>INDEX(CarrierDriverTBL!$AB:$AB,MATCH(Table1[[#This Row],[DriverID]],CarrierDriverTBL!$A:$A,0))</f>
        <v>42334</v>
      </c>
      <c r="BD380" s="142" t="str">
        <f ca="1">INDEX(CarrierDriverTBL!$AD:$AD,MATCH(LoadMaster!$AN:$AN,CarrierDriverTBL!$A:$A,0))</f>
        <v>MISSING</v>
      </c>
      <c r="BE380" s="142">
        <f>INDEX(CarrierDriverTBL!$AE:$AE,MATCH(Table1[DriverID],CarrierDriverTBL!$A:$A,0))</f>
        <v>913971</v>
      </c>
      <c r="BF380" s="142">
        <f>INDEX(CarrierDriverTBL!$AF:$AF,MATCH(Table1[DriverID],CarrierDriverTBL!$A:$A,0))</f>
        <v>2627544</v>
      </c>
      <c r="BG380" s="142">
        <f>INDEX(CarrierDriverTBL!$AG:$AG,MATCH(Table1[DriverID],CarrierDriverTBL!$A:$A,0))</f>
        <v>466133</v>
      </c>
      <c r="BH380" s="142" t="str">
        <f>INDEX(CarrierDriverTBL!$AH:$AH,MATCH(Table1[DriverID],CarrierDriverTBL!$A:$A,0))</f>
        <v>GM Lawrence Ins</v>
      </c>
      <c r="BI380" s="142" t="str">
        <f>INDEX(CarrierDriverTBL!$AI:$AI,MATCH(Table1[DriverID],CarrierDriverTBL!$A:$A,0))</f>
        <v>DSK2842P160210</v>
      </c>
      <c r="BJ380" s="172">
        <f>INDEX(CarrierDriverTBL!$AJ:$AJ,MATCH(Table1[[#This Row],[DriverID]],CarrierDriverTBL!$A:$A,0))</f>
        <v>42778</v>
      </c>
      <c r="BK380" s="10">
        <f t="shared" si="147"/>
        <v>300</v>
      </c>
      <c r="BL380" s="237">
        <v>375</v>
      </c>
      <c r="BM380" s="554">
        <v>102.6</v>
      </c>
      <c r="BN380" s="558">
        <f t="shared" si="164"/>
        <v>3.6549707602339185</v>
      </c>
      <c r="BO380" s="241">
        <f>0.93*375</f>
        <v>348.75</v>
      </c>
      <c r="BP380" s="558">
        <f t="shared" si="165"/>
        <v>3.3991228070175441</v>
      </c>
      <c r="BQ380" s="133">
        <v>2.6</v>
      </c>
      <c r="BR380" s="559">
        <f t="shared" si="166"/>
        <v>0.1166666666666667</v>
      </c>
      <c r="BS380" s="558">
        <f t="shared" si="148"/>
        <v>3.2824561403508774</v>
      </c>
      <c r="BT380" s="558">
        <f t="shared" si="149"/>
        <v>11.970000000000002</v>
      </c>
      <c r="BU380" s="236" t="str">
        <f t="shared" si="150"/>
        <v>Tql</v>
      </c>
      <c r="BV380" s="550"/>
      <c r="BW380" s="235" t="str">
        <f>Table1[[#This Row],[BrokerAddress]]</f>
        <v>P.O. Box 799</v>
      </c>
      <c r="BX380" s="235" t="str">
        <f t="shared" si="151"/>
        <v>Milford</v>
      </c>
      <c r="BY380" s="235" t="str">
        <f t="shared" si="152"/>
        <v>Ohio</v>
      </c>
      <c r="BZ380" s="235">
        <f t="shared" si="153"/>
        <v>45150</v>
      </c>
      <c r="CA380" s="236" t="str">
        <f t="shared" si="154"/>
        <v>US</v>
      </c>
      <c r="CB380" s="15" t="s">
        <v>131</v>
      </c>
      <c r="CC380" s="62"/>
      <c r="CD380" s="15" t="s">
        <v>132</v>
      </c>
      <c r="CE380" s="64">
        <v>0</v>
      </c>
      <c r="CF380" s="4">
        <v>0</v>
      </c>
      <c r="CG380" s="132">
        <f t="shared" si="155"/>
        <v>0</v>
      </c>
      <c r="CH380" s="4" t="s">
        <v>132</v>
      </c>
      <c r="CI380" s="5">
        <v>0</v>
      </c>
      <c r="CJ380" s="4">
        <v>0</v>
      </c>
      <c r="CK380" s="132">
        <f t="shared" si="156"/>
        <v>0</v>
      </c>
      <c r="CL380" s="4" t="s">
        <v>132</v>
      </c>
      <c r="CM380" s="5">
        <v>0</v>
      </c>
      <c r="CN380" s="4">
        <v>0</v>
      </c>
      <c r="CO380" s="132">
        <f t="shared" si="157"/>
        <v>0</v>
      </c>
      <c r="CP380" s="4" t="s">
        <v>132</v>
      </c>
      <c r="CQ380" s="5">
        <v>0</v>
      </c>
      <c r="CR380" s="4">
        <v>0</v>
      </c>
      <c r="CS380" s="132">
        <f t="shared" si="158"/>
        <v>0</v>
      </c>
      <c r="CT380" s="132">
        <f t="shared" si="159"/>
        <v>0</v>
      </c>
      <c r="CU380" s="238">
        <f t="shared" si="160"/>
        <v>375</v>
      </c>
      <c r="CV380" s="239">
        <f t="shared" si="143"/>
        <v>0</v>
      </c>
      <c r="CW380" s="240">
        <f t="shared" si="144"/>
        <v>348.75</v>
      </c>
      <c r="CX380" s="79">
        <f>IF(ISBLANK(E380),"AddQuickPay",IF(E380=2,CU380*0.98,IF(E380=2.4,CU380*0.976,IF(E380=3,CU380*0.97,IF(E380=5,CU380*0.95,IF(E380=1.5,CU380*0.985,IF(E380=2.5,CU380*0.975,IF(E380=1.3,CU380*0.987,IF(E380=1,CU380*0.99,IF(E380=4,CU380*0.96,CU380*1))))))))))-Table1[[#This Row],[ComCheck+QuickPayFee]]</f>
        <v>363.75</v>
      </c>
      <c r="CY380" s="237">
        <f t="shared" si="161"/>
        <v>26.25</v>
      </c>
      <c r="CZ380" s="237">
        <f t="shared" si="162"/>
        <v>11.25</v>
      </c>
      <c r="DA380" s="263">
        <f>Table1[[#This Row],[OriginalDispatch]]-Table1[[#This Row],[QuickPayCharge]]</f>
        <v>15</v>
      </c>
      <c r="DB380" s="5">
        <v>0</v>
      </c>
      <c r="DC380" s="237" t="s">
        <v>1287</v>
      </c>
      <c r="DD380" s="556">
        <f t="shared" si="163"/>
        <v>42482</v>
      </c>
      <c r="DE380" s="554">
        <f>MONTH(Table1[[#This Row],[Weekending]])</f>
        <v>4</v>
      </c>
      <c r="DF380" s="554">
        <f>YEAR(Table1[[#This Row],[Weekending]])</f>
        <v>2016</v>
      </c>
      <c r="DG380" s="235"/>
    </row>
    <row r="381" spans="1:111">
      <c r="A381" s="548" t="str">
        <f t="shared" si="145"/>
        <v>28070749</v>
      </c>
      <c r="B381" s="549">
        <v>42487</v>
      </c>
      <c r="C381" s="550">
        <v>7640228</v>
      </c>
      <c r="D381" s="548" t="s">
        <v>2185</v>
      </c>
      <c r="E381" s="550">
        <v>4</v>
      </c>
      <c r="F381" s="551" t="str">
        <f>INDEX(BrokerTBL!$B:$B,MATCH(D381,BrokerTBL!$A:$A,0))</f>
        <v>PO Box 6348</v>
      </c>
      <c r="G381" s="550" t="str">
        <f>INDEX(BrokerTBL!$C:$C,MATCH(D381,BrokerTBL!$A:$A,0))</f>
        <v>Scottsdale</v>
      </c>
      <c r="H381" s="235" t="str">
        <f>INDEX(BrokerTBL!$D:$D,MATCH(D381,BrokerTBL!$A:$A,0))</f>
        <v>Az</v>
      </c>
      <c r="I381" s="235" t="str">
        <f>INDEX(BrokerTBL!$E:$E,MATCH(D381,BrokerTBL!$A:$A,0))</f>
        <v>US</v>
      </c>
      <c r="J381" s="235">
        <f>INDEX(BrokerTBL!$F:$F,MATCH(D381,BrokerTBL!$A:$A,0))</f>
        <v>85258</v>
      </c>
      <c r="K381" s="548" t="s">
        <v>2374</v>
      </c>
      <c r="L381" s="552">
        <v>20210510707</v>
      </c>
      <c r="M381" s="549">
        <v>42479</v>
      </c>
      <c r="N381" s="550" t="s">
        <v>2612</v>
      </c>
      <c r="O381" s="550" t="s">
        <v>2375</v>
      </c>
      <c r="P381" s="548" t="s">
        <v>214</v>
      </c>
      <c r="Q381" s="548" t="s">
        <v>2206</v>
      </c>
      <c r="R381" s="548">
        <v>93725</v>
      </c>
      <c r="S381" s="548" t="s">
        <v>2207</v>
      </c>
      <c r="T381" s="298" t="s">
        <v>123</v>
      </c>
      <c r="U381" s="548" t="s">
        <v>120</v>
      </c>
      <c r="V381" s="548">
        <v>53</v>
      </c>
      <c r="W381" s="548" t="s">
        <v>2376</v>
      </c>
      <c r="X381" s="553">
        <v>44552</v>
      </c>
      <c r="Y381" s="550" t="s">
        <v>2220</v>
      </c>
      <c r="Z381" s="548" t="s">
        <v>123</v>
      </c>
      <c r="AA381" s="548">
        <v>26</v>
      </c>
      <c r="AB381" s="548" t="s">
        <v>123</v>
      </c>
      <c r="AC381" s="548" t="s">
        <v>2377</v>
      </c>
      <c r="AD381" s="552">
        <v>20210510707</v>
      </c>
      <c r="AE381" s="549">
        <v>42480</v>
      </c>
      <c r="AF381" s="549" t="s">
        <v>2602</v>
      </c>
      <c r="AG381" s="548" t="s">
        <v>2378</v>
      </c>
      <c r="AH381" s="548" t="s">
        <v>738</v>
      </c>
      <c r="AI381" s="548" t="s">
        <v>2233</v>
      </c>
      <c r="AJ381" s="548">
        <v>89502</v>
      </c>
      <c r="AK381" s="548" t="s">
        <v>2207</v>
      </c>
      <c r="AL381" s="548" t="s">
        <v>123</v>
      </c>
      <c r="AM381" s="554" t="str">
        <f>INDEX(CarrierDriverTBL!$B:$B,MATCH(Table1[[#This Row],[DriverID]],CarrierDriverTBL!$A:$A,0))</f>
        <v>UBTrucking</v>
      </c>
      <c r="AN381" s="10" t="s">
        <v>192</v>
      </c>
      <c r="AO381" s="10" t="str">
        <f>INDEX(CarrierDriverTBL!$C:$C,MATCH(Table1[[#This Row],[DriverID]],CarrierDriverTBL!$A:$A,0))</f>
        <v>Albel</v>
      </c>
      <c r="AP381" s="142" t="str">
        <f>INDEX(CarrierDriverTBL!$D:$D,MATCH(Table1[[#This Row],[DriverID]],CarrierDriverTBL!$A:$A,0))</f>
        <v>Chahil</v>
      </c>
      <c r="AQ381" s="142" t="str">
        <f>INDEX(CarrierDriverTBL!$X:$X,MATCH(Table1[[#This Row],[DriverID]],CarrierDriverTBL!$A:$A,0))</f>
        <v>A8390649</v>
      </c>
      <c r="AR381" s="160">
        <f>INDEX(CarrierDriverTBL!$Y:$Y,MATCH(Table1[[#This Row],[DriverID]],CarrierDriverTBL!$A:$A,0))</f>
        <v>42402</v>
      </c>
      <c r="AS381" s="142" t="str">
        <f t="shared" si="146"/>
        <v>EXPIRED</v>
      </c>
      <c r="AT381" s="160">
        <f>INDEX(CarrierDriverTBL!$E:$E,MATCH(Table1[[#This Row],[DriverID]],CarrierDriverTBL!$A:$A,0))</f>
        <v>22314</v>
      </c>
      <c r="AU381" s="163">
        <f ca="1">INDEX(CarrierDriverTBL!$F:$F,MATCH(Table1[[#This Row],[DriverID]],CarrierDriverTBL!$A:$A,0))</f>
        <v>55.512328767123286</v>
      </c>
      <c r="AV381" s="142" t="str">
        <f>INDEX(CarrierDriverTBL!$K:$K,MATCH(Table1[[#This Row],[DriverID]],CarrierDriverTBL!$A:$A,0))</f>
        <v>510-773-9450</v>
      </c>
      <c r="AW381" s="142" t="str">
        <f>INDEX(CarrierDriverTBL!$M:$M,MATCH(Table1[[#This Row],[DriverID]],CarrierDriverTBL!$A:$A,0))</f>
        <v>3124 Cynthia CT</v>
      </c>
      <c r="AX381" s="142" t="str">
        <f>INDEX(CarrierDriverTBL!$N:$N,MATCH(Table1[[#This Row],[DriverID]],CarrierDriverTBL!$A:$A,0))</f>
        <v>Tracy</v>
      </c>
      <c r="AY381" s="142" t="str">
        <f>INDEX(CarrierDriverTBL!$O:$O,MATCH(Table1[[#This Row],[DriverID]],CarrierDriverTBL!$A:$A,0))</f>
        <v>CA</v>
      </c>
      <c r="AZ381" s="142">
        <f>INDEX(CarrierDriverTBL!$P:$P,MATCH(Table1[[#This Row],[DriverID]],CarrierDriverTBL!$A:$A,0))</f>
        <v>95377</v>
      </c>
      <c r="BA381" s="142" t="str">
        <f>INDEX(CarrierDriverTBL!$Q:$Q,MATCH(Table1[[#This Row],[DriverID]],CarrierDriverTBL!$A:$A,0))</f>
        <v>US</v>
      </c>
      <c r="BB381" s="176" t="str">
        <f>INDEX(CarrierDriverTBL!$R:$R,MATCH(Table1[[#This Row],[DriverID]],CarrierDriverTBL!$A:$A,0))</f>
        <v>ubgollc@gmail.com</v>
      </c>
      <c r="BC381" s="160">
        <f>INDEX(CarrierDriverTBL!$AB:$AB,MATCH(Table1[[#This Row],[DriverID]],CarrierDriverTBL!$A:$A,0))</f>
        <v>42167</v>
      </c>
      <c r="BD381" s="142" t="str">
        <f ca="1">INDEX(CarrierDriverTBL!$AD:$AD,MATCH(LoadMaster!$AN:$AN,CarrierDriverTBL!$A:$A,0))</f>
        <v>MISSING</v>
      </c>
      <c r="BE381" s="142">
        <f>INDEX(CarrierDriverTBL!$AE:$AE,MATCH(Table1[DriverID],CarrierDriverTBL!$A:$A,0))</f>
        <v>913971</v>
      </c>
      <c r="BF381" s="142">
        <f>INDEX(CarrierDriverTBL!$AF:$AF,MATCH(Table1[DriverID],CarrierDriverTBL!$A:$A,0))</f>
        <v>2627544</v>
      </c>
      <c r="BG381" s="142">
        <f>INDEX(CarrierDriverTBL!$AG:$AG,MATCH(Table1[DriverID],CarrierDriverTBL!$A:$A,0))</f>
        <v>466133</v>
      </c>
      <c r="BH381" s="142" t="str">
        <f>INDEX(CarrierDriverTBL!$AH:$AH,MATCH(Table1[DriverID],CarrierDriverTBL!$A:$A,0))</f>
        <v>GM Lawrence Ins</v>
      </c>
      <c r="BI381" s="142" t="str">
        <f>INDEX(CarrierDriverTBL!$AI:$AI,MATCH(Table1[DriverID],CarrierDriverTBL!$A:$A,0))</f>
        <v>DSK2842P160210</v>
      </c>
      <c r="BJ381" s="160">
        <f>INDEX(CarrierDriverTBL!$AJ:$AJ,MATCH(Table1[[#This Row],[DriverID]],CarrierDriverTBL!$A:$A,0))</f>
        <v>42778</v>
      </c>
      <c r="BK381" s="10">
        <f t="shared" si="147"/>
        <v>299</v>
      </c>
      <c r="BL381" s="237">
        <v>650</v>
      </c>
      <c r="BM381" s="554">
        <v>300</v>
      </c>
      <c r="BN381" s="558">
        <f t="shared" si="164"/>
        <v>2.1666666666666665</v>
      </c>
      <c r="BO381" s="241">
        <f>0.93*Table1[[#This Row],[ChargeBroker]]</f>
        <v>604.5</v>
      </c>
      <c r="BP381" s="558">
        <f t="shared" si="165"/>
        <v>2.0150000000000001</v>
      </c>
      <c r="BQ381" s="133">
        <v>2.6</v>
      </c>
      <c r="BR381" s="559">
        <f t="shared" si="166"/>
        <v>0.1166666666666667</v>
      </c>
      <c r="BS381" s="558">
        <f t="shared" si="148"/>
        <v>1.8983333333333334</v>
      </c>
      <c r="BT381" s="558">
        <f t="shared" si="149"/>
        <v>35.000000000000007</v>
      </c>
      <c r="BU381" s="236" t="str">
        <f t="shared" si="150"/>
        <v>Globaltranz</v>
      </c>
      <c r="BV381" s="550"/>
      <c r="BW381" s="235" t="str">
        <f>Table1[[#This Row],[BrokerAddress]]</f>
        <v>PO Box 6348</v>
      </c>
      <c r="BX381" s="235" t="str">
        <f t="shared" si="151"/>
        <v>Scottsdale</v>
      </c>
      <c r="BY381" s="235" t="str">
        <f t="shared" si="152"/>
        <v>Az</v>
      </c>
      <c r="BZ381" s="235">
        <f t="shared" si="153"/>
        <v>85258</v>
      </c>
      <c r="CA381" s="236" t="str">
        <f t="shared" si="154"/>
        <v>US</v>
      </c>
      <c r="CB381" s="550" t="s">
        <v>131</v>
      </c>
      <c r="CC381" s="561"/>
      <c r="CD381" s="15" t="s">
        <v>132</v>
      </c>
      <c r="CE381" s="64">
        <v>0</v>
      </c>
      <c r="CF381" s="4">
        <v>0</v>
      </c>
      <c r="CG381" s="132">
        <f t="shared" si="155"/>
        <v>0</v>
      </c>
      <c r="CH381" s="4" t="s">
        <v>132</v>
      </c>
      <c r="CI381" s="5">
        <v>0</v>
      </c>
      <c r="CJ381" s="4">
        <v>0</v>
      </c>
      <c r="CK381" s="132">
        <f t="shared" si="156"/>
        <v>0</v>
      </c>
      <c r="CL381" s="4" t="s">
        <v>132</v>
      </c>
      <c r="CM381" s="5">
        <v>0</v>
      </c>
      <c r="CN381" s="4">
        <v>0</v>
      </c>
      <c r="CO381" s="132">
        <f t="shared" si="157"/>
        <v>0</v>
      </c>
      <c r="CP381" s="4" t="s">
        <v>132</v>
      </c>
      <c r="CQ381" s="5">
        <v>0</v>
      </c>
      <c r="CR381" s="4">
        <v>0</v>
      </c>
      <c r="CS381" s="132">
        <f t="shared" si="158"/>
        <v>0</v>
      </c>
      <c r="CT381" s="132">
        <f t="shared" si="159"/>
        <v>0</v>
      </c>
      <c r="CU381" s="238">
        <f t="shared" si="160"/>
        <v>650</v>
      </c>
      <c r="CV381" s="239">
        <f t="shared" ref="CV381:CV444" si="167">IF(AO381="Albel",(CT381*1),(CT381*0.93))</f>
        <v>0</v>
      </c>
      <c r="CW381" s="240">
        <f t="shared" si="144"/>
        <v>604.5</v>
      </c>
      <c r="CX381" s="79">
        <f>IF(ISBLANK(E381),"AddQuickPay",IF(E381=2,CU381*0.98,IF(E381=2.4,CU381*0.976,IF(E381=3,CU381*0.97,IF(E381=5,CU381*0.95,IF(E381=1.5,CU381*0.985,IF(E381=2.5,CU381*0.975,IF(E381=1.3,CU381*0.987,IF(E381=1,CU381*0.99,IF(E381=4,CU381*0.96,CU381*1))))))))))-Table1[[#This Row],[ComCheck+QuickPayFee]]</f>
        <v>624</v>
      </c>
      <c r="CY381" s="237">
        <f t="shared" si="161"/>
        <v>45.5</v>
      </c>
      <c r="CZ381" s="237">
        <f t="shared" si="162"/>
        <v>26</v>
      </c>
      <c r="DA381" s="263">
        <f>Table1[[#This Row],[OriginalDispatch]]-Table1[[#This Row],[QuickPayCharge]]</f>
        <v>19.5</v>
      </c>
      <c r="DB381" s="5">
        <v>0</v>
      </c>
      <c r="DC381" s="237" t="s">
        <v>1287</v>
      </c>
      <c r="DD381" s="556">
        <f t="shared" si="163"/>
        <v>42482</v>
      </c>
      <c r="DE381" s="554">
        <f>MONTH(Table1[[#This Row],[Weekending]])</f>
        <v>4</v>
      </c>
      <c r="DF381" s="554">
        <f>YEAR(Table1[[#This Row],[Weekending]])</f>
        <v>2016</v>
      </c>
      <c r="DG381" s="235"/>
    </row>
    <row r="382" spans="1:111">
      <c r="A382" s="548" t="str">
        <f t="shared" si="145"/>
        <v>37101093</v>
      </c>
      <c r="B382" s="549">
        <v>42480</v>
      </c>
      <c r="C382" s="550">
        <v>1957337</v>
      </c>
      <c r="D382" s="548" t="s">
        <v>2405</v>
      </c>
      <c r="E382" s="550">
        <v>3</v>
      </c>
      <c r="F382" s="551" t="str">
        <f>INDEX(BrokerTBL!$B:$B,MATCH(D382,BrokerTBL!$A:$A,0))</f>
        <v xml:space="preserve">303 E Wacker Dr. </v>
      </c>
      <c r="G382" s="550" t="str">
        <f>INDEX(BrokerTBL!$C:$C,MATCH(D382,BrokerTBL!$A:$A,0))</f>
        <v>Chicago</v>
      </c>
      <c r="H382" s="235" t="str">
        <f>INDEX(BrokerTBL!$D:$D,MATCH(D382,BrokerTBL!$A:$A,0))</f>
        <v>IL</v>
      </c>
      <c r="I382" s="235" t="str">
        <f>INDEX(BrokerTBL!$E:$E,MATCH(D382,BrokerTBL!$A:$A,0))</f>
        <v>US</v>
      </c>
      <c r="J382" s="235">
        <f>INDEX(BrokerTBL!$F:$F,MATCH(D382,BrokerTBL!$A:$A,0))</f>
        <v>60601</v>
      </c>
      <c r="K382" s="548" t="s">
        <v>2406</v>
      </c>
      <c r="L382" s="552">
        <v>291310</v>
      </c>
      <c r="M382" s="549">
        <v>42479</v>
      </c>
      <c r="N382" s="162" t="s">
        <v>123</v>
      </c>
      <c r="O382" s="550" t="s">
        <v>2407</v>
      </c>
      <c r="P382" s="548" t="s">
        <v>2408</v>
      </c>
      <c r="Q382" s="548" t="s">
        <v>2233</v>
      </c>
      <c r="R382" s="548">
        <v>89706</v>
      </c>
      <c r="S382" s="548" t="s">
        <v>2207</v>
      </c>
      <c r="T382" s="298" t="s">
        <v>123</v>
      </c>
      <c r="U382" s="548" t="s">
        <v>120</v>
      </c>
      <c r="V382" s="548">
        <v>53</v>
      </c>
      <c r="W382" s="548" t="s">
        <v>2409</v>
      </c>
      <c r="X382" s="553">
        <v>45000</v>
      </c>
      <c r="Y382" s="550" t="s">
        <v>123</v>
      </c>
      <c r="Z382" s="548" t="s">
        <v>123</v>
      </c>
      <c r="AA382" s="548" t="s">
        <v>123</v>
      </c>
      <c r="AB382" s="548" t="s">
        <v>123</v>
      </c>
      <c r="AC382" s="548" t="s">
        <v>2411</v>
      </c>
      <c r="AD382" s="552">
        <v>291310</v>
      </c>
      <c r="AE382" s="549">
        <v>42480</v>
      </c>
      <c r="AF382" s="549" t="s">
        <v>2060</v>
      </c>
      <c r="AG382" s="548" t="s">
        <v>2412</v>
      </c>
      <c r="AH382" s="548" t="s">
        <v>2168</v>
      </c>
      <c r="AI382" s="548" t="s">
        <v>2206</v>
      </c>
      <c r="AJ382" s="548">
        <v>93235</v>
      </c>
      <c r="AK382" s="548" t="s">
        <v>2207</v>
      </c>
      <c r="AL382" s="548" t="s">
        <v>123</v>
      </c>
      <c r="AM382" s="171" t="str">
        <f>INDEX(CarrierDriverTBL!$B:$B,MATCH(Table1[[#This Row],[DriverID]],CarrierDriverTBL!$A:$A,0))</f>
        <v>UBTrucking</v>
      </c>
      <c r="AN382" s="10" t="s">
        <v>2234</v>
      </c>
      <c r="AO382" s="171" t="str">
        <f>INDEX(CarrierDriverTBL!$C:$C,MATCH(Table1[[#This Row],[DriverID]],CarrierDriverTBL!$A:$A,0))</f>
        <v>Arturo</v>
      </c>
      <c r="AP382" s="171" t="str">
        <f>INDEX(CarrierDriverTBL!$D:$D,MATCH(Table1[[#This Row],[DriverID]],CarrierDriverTBL!$A:$A,0))</f>
        <v>Carrillo</v>
      </c>
      <c r="AQ382" s="171" t="str">
        <f>INDEX(CarrierDriverTBL!$X:$X,MATCH(Table1[[#This Row],[DriverID]],CarrierDriverTBL!$A:$A,0))</f>
        <v>C7056793</v>
      </c>
      <c r="AR382" s="160">
        <f>INDEX(CarrierDriverTBL!$Y:$Y,MATCH(Table1[[#This Row],[DriverID]],CarrierDriverTBL!$A:$A,0))</f>
        <v>43410</v>
      </c>
      <c r="AS382" s="142" t="str">
        <f t="shared" si="146"/>
        <v>GOOD</v>
      </c>
      <c r="AT382" s="172">
        <f>INDEX(CarrierDriverTBL!$E:$E,MATCH(Table1[[#This Row],[DriverID]],CarrierDriverTBL!$A:$A,0))</f>
        <v>24782</v>
      </c>
      <c r="AU382" s="163">
        <f ca="1">INDEX(CarrierDriverTBL!$F:$F,MATCH(Table1[[#This Row],[DriverID]],CarrierDriverTBL!$A:$A,0))</f>
        <v>48.750684931506846</v>
      </c>
      <c r="AV382" s="171" t="str">
        <f>INDEX(CarrierDriverTBL!$K:$K,MATCH(Table1[[#This Row],[DriverID]],CarrierDriverTBL!$A:$A,0))</f>
        <v>209-276-9785</v>
      </c>
      <c r="AW382" s="171" t="str">
        <f>INDEX(CarrierDriverTBL!$M:$M,MATCH(Table1[[#This Row],[DriverID]],CarrierDriverTBL!$A:$A,0))</f>
        <v>1685 Winthrop Ln</v>
      </c>
      <c r="AX382" s="171" t="str">
        <f>INDEX(CarrierDriverTBL!$N:$N,MATCH(Table1[[#This Row],[DriverID]],CarrierDriverTBL!$A:$A,0))</f>
        <v>Ceres</v>
      </c>
      <c r="AY382" s="171" t="str">
        <f>INDEX(CarrierDriverTBL!$O:$O,MATCH(Table1[[#This Row],[DriverID]],CarrierDriverTBL!$A:$A,0))</f>
        <v>CA</v>
      </c>
      <c r="AZ382" s="171">
        <f>INDEX(CarrierDriverTBL!$P:$P,MATCH(Table1[[#This Row],[DriverID]],CarrierDriverTBL!$A:$A,0))</f>
        <v>95307</v>
      </c>
      <c r="BA382" s="171" t="str">
        <f>INDEX(CarrierDriverTBL!$Q:$Q,MATCH(Table1[[#This Row],[DriverID]],CarrierDriverTBL!$A:$A,0))</f>
        <v>US</v>
      </c>
      <c r="BB382" s="173" t="str">
        <f>INDEX(CarrierDriverTBL!$R:$R,MATCH(Table1[[#This Row],[DriverID]],CarrierDriverTBL!$A:$A,0))</f>
        <v>arturocarr777@gmail.com</v>
      </c>
      <c r="BC382" s="160">
        <f>INDEX(CarrierDriverTBL!$AB:$AB,MATCH(Table1[[#This Row],[DriverID]],CarrierDriverTBL!$A:$A,0))</f>
        <v>42418</v>
      </c>
      <c r="BD382" s="142" t="str">
        <f ca="1">INDEX(CarrierDriverTBL!$AD:$AD,MATCH(LoadMaster!$AN:$AN,CarrierDriverTBL!$A:$A,0))</f>
        <v>MISSING</v>
      </c>
      <c r="BE382" s="171">
        <f>INDEX(CarrierDriverTBL!$AE:$AE,MATCH(Table1[DriverID],CarrierDriverTBL!$A:$A,0))</f>
        <v>913971</v>
      </c>
      <c r="BF382" s="171">
        <f>INDEX(CarrierDriverTBL!$AF:$AF,MATCH(Table1[DriverID],CarrierDriverTBL!$A:$A,0))</f>
        <v>2627544</v>
      </c>
      <c r="BG382" s="10">
        <f>INDEX(CarrierDriverTBL!$AG:$AG,MATCH(Table1[DriverID],CarrierDriverTBL!$A:$A,0))</f>
        <v>466133</v>
      </c>
      <c r="BH382" s="171" t="str">
        <f>INDEX(CarrierDriverTBL!$AH:$AH,MATCH(Table1[DriverID],CarrierDriverTBL!$A:$A,0))</f>
        <v>GM Lawrence Ins</v>
      </c>
      <c r="BI382" s="171" t="str">
        <f>INDEX(CarrierDriverTBL!$AI:$AI,MATCH(Table1[DriverID],CarrierDriverTBL!$A:$A,0))</f>
        <v>DSK2842P160210</v>
      </c>
      <c r="BJ382" s="172">
        <f>INDEX(CarrierDriverTBL!$AJ:$AJ,MATCH(Table1[[#This Row],[DriverID]],CarrierDriverTBL!$A:$A,0))</f>
        <v>42778</v>
      </c>
      <c r="BK382" s="10">
        <f t="shared" si="147"/>
        <v>299</v>
      </c>
      <c r="BL382" s="237">
        <v>600</v>
      </c>
      <c r="BM382" s="554">
        <v>311.5</v>
      </c>
      <c r="BN382" s="558">
        <f t="shared" si="164"/>
        <v>1.926163723916533</v>
      </c>
      <c r="BO382" s="241">
        <f>0.93*600</f>
        <v>558</v>
      </c>
      <c r="BP382" s="558">
        <f t="shared" si="165"/>
        <v>1.7913322632423756</v>
      </c>
      <c r="BQ382" s="133">
        <v>2.6</v>
      </c>
      <c r="BR382" s="559">
        <f t="shared" si="166"/>
        <v>0.1166666666666667</v>
      </c>
      <c r="BS382" s="558">
        <f t="shared" si="148"/>
        <v>1.6746655965757089</v>
      </c>
      <c r="BT382" s="558">
        <f t="shared" si="149"/>
        <v>36.341666666666676</v>
      </c>
      <c r="BU382" s="236" t="str">
        <f t="shared" si="150"/>
        <v>XPOLogistics</v>
      </c>
      <c r="BV382" s="550"/>
      <c r="BW382" s="235" t="str">
        <f>Table1[[#This Row],[BrokerAddress]]</f>
        <v xml:space="preserve">303 E Wacker Dr. </v>
      </c>
      <c r="BX382" s="235" t="str">
        <f t="shared" si="151"/>
        <v>Chicago</v>
      </c>
      <c r="BY382" s="235" t="str">
        <f t="shared" si="152"/>
        <v>IL</v>
      </c>
      <c r="BZ382" s="235">
        <f t="shared" si="153"/>
        <v>60601</v>
      </c>
      <c r="CA382" s="236" t="str">
        <f t="shared" si="154"/>
        <v>US</v>
      </c>
      <c r="CB382" s="15" t="s">
        <v>131</v>
      </c>
      <c r="CC382" s="62"/>
      <c r="CD382" s="15" t="s">
        <v>132</v>
      </c>
      <c r="CE382" s="64">
        <v>0</v>
      </c>
      <c r="CF382" s="4">
        <v>0</v>
      </c>
      <c r="CG382" s="132">
        <f t="shared" si="155"/>
        <v>0</v>
      </c>
      <c r="CH382" s="4" t="s">
        <v>132</v>
      </c>
      <c r="CI382" s="5">
        <v>0</v>
      </c>
      <c r="CJ382" s="4">
        <v>0</v>
      </c>
      <c r="CK382" s="132">
        <f t="shared" si="156"/>
        <v>0</v>
      </c>
      <c r="CL382" s="4" t="s">
        <v>132</v>
      </c>
      <c r="CM382" s="5">
        <v>0</v>
      </c>
      <c r="CN382" s="4">
        <v>0</v>
      </c>
      <c r="CO382" s="132">
        <f t="shared" si="157"/>
        <v>0</v>
      </c>
      <c r="CP382" s="4" t="s">
        <v>132</v>
      </c>
      <c r="CQ382" s="5">
        <v>0</v>
      </c>
      <c r="CR382" s="4">
        <v>0</v>
      </c>
      <c r="CS382" s="132">
        <f t="shared" si="158"/>
        <v>0</v>
      </c>
      <c r="CT382" s="132">
        <f t="shared" si="159"/>
        <v>0</v>
      </c>
      <c r="CU382" s="238">
        <f t="shared" si="160"/>
        <v>600</v>
      </c>
      <c r="CV382" s="239">
        <f t="shared" si="167"/>
        <v>0</v>
      </c>
      <c r="CW382" s="240">
        <f t="shared" si="144"/>
        <v>558</v>
      </c>
      <c r="CX382" s="79">
        <f>IF(ISBLANK(E382),"AddQuickPay",IF(E382=2,CU382*0.98,IF(E382=2.4,CU382*0.976,IF(E382=3,CU382*0.97,IF(E382=5,CU382*0.95,IF(E382=1.5,CU382*0.985,IF(E382=2.5,CU382*0.975,IF(E382=1.3,CU382*0.987,IF(E382=1,CU382*0.99,IF(E382=4,CU382*0.96,CU382*1))))))))))-Table1[[#This Row],[ComCheck+QuickPayFee]]</f>
        <v>582</v>
      </c>
      <c r="CY382" s="237">
        <f t="shared" si="161"/>
        <v>42</v>
      </c>
      <c r="CZ382" s="237">
        <f t="shared" si="162"/>
        <v>18</v>
      </c>
      <c r="DA382" s="263">
        <f>Table1[[#This Row],[OriginalDispatch]]-Table1[[#This Row],[QuickPayCharge]]</f>
        <v>24</v>
      </c>
      <c r="DB382" s="5">
        <v>0</v>
      </c>
      <c r="DC382" s="237" t="s">
        <v>1287</v>
      </c>
      <c r="DD382" s="556">
        <f t="shared" si="163"/>
        <v>42482</v>
      </c>
      <c r="DE382" s="554">
        <f>MONTH(Table1[[#This Row],[Weekending]])</f>
        <v>4</v>
      </c>
      <c r="DF382" s="554">
        <f>YEAR(Table1[[#This Row],[Weekending]])</f>
        <v>2016</v>
      </c>
      <c r="DG382" s="235"/>
    </row>
    <row r="383" spans="1:111">
      <c r="A383" s="548" t="str">
        <f t="shared" si="145"/>
        <v>23wnwn49</v>
      </c>
      <c r="B383" s="549">
        <v>42485</v>
      </c>
      <c r="C383" s="550">
        <v>5423</v>
      </c>
      <c r="D383" s="548" t="s">
        <v>2613</v>
      </c>
      <c r="E383" s="550">
        <v>0</v>
      </c>
      <c r="F383" s="551" t="str">
        <f>INDEX(BrokerTBL!$B:$B,MATCH(D383,BrokerTBL!$A:$A,0))</f>
        <v>2330 Enterprose Park Drive</v>
      </c>
      <c r="G383" s="550" t="str">
        <f>INDEX(BrokerTBL!$C:$C,MATCH(D383,BrokerTBL!$A:$A,0))</f>
        <v>Indianapolis</v>
      </c>
      <c r="H383" s="235" t="str">
        <f>INDEX(BrokerTBL!$D:$D,MATCH(D383,BrokerTBL!$A:$A,0))</f>
        <v>IN</v>
      </c>
      <c r="I383" s="235" t="str">
        <f>INDEX(BrokerTBL!$E:$E,MATCH(D383,BrokerTBL!$A:$A,0))</f>
        <v>US</v>
      </c>
      <c r="J383" s="235">
        <f>INDEX(BrokerTBL!$F:$F,MATCH(D383,BrokerTBL!$A:$A,0))</f>
        <v>46218</v>
      </c>
      <c r="K383" s="548" t="s">
        <v>2614</v>
      </c>
      <c r="L383" s="552" t="s">
        <v>1205</v>
      </c>
      <c r="M383" s="549">
        <v>42480</v>
      </c>
      <c r="N383" s="560">
        <v>0.66666666666666663</v>
      </c>
      <c r="O383" s="550" t="s">
        <v>2615</v>
      </c>
      <c r="P383" s="548" t="s">
        <v>2616</v>
      </c>
      <c r="Q383" s="548" t="s">
        <v>2233</v>
      </c>
      <c r="R383" s="548">
        <v>89408</v>
      </c>
      <c r="S383" s="548" t="s">
        <v>2207</v>
      </c>
      <c r="T383" s="298" t="s">
        <v>123</v>
      </c>
      <c r="U383" s="548" t="s">
        <v>120</v>
      </c>
      <c r="V383" s="548">
        <v>53</v>
      </c>
      <c r="W383" s="548" t="s">
        <v>2617</v>
      </c>
      <c r="X383" s="144" t="s">
        <v>123</v>
      </c>
      <c r="Y383" s="550" t="s">
        <v>123</v>
      </c>
      <c r="Z383" s="548" t="s">
        <v>123</v>
      </c>
      <c r="AA383" s="548" t="s">
        <v>123</v>
      </c>
      <c r="AB383" s="548" t="s">
        <v>123</v>
      </c>
      <c r="AC383" s="548" t="s">
        <v>2618</v>
      </c>
      <c r="AD383" s="552" t="s">
        <v>1205</v>
      </c>
      <c r="AE383" s="549">
        <v>42481</v>
      </c>
      <c r="AF383" s="549" t="s">
        <v>2619</v>
      </c>
      <c r="AG383" s="548" t="s">
        <v>2620</v>
      </c>
      <c r="AH383" s="548" t="s">
        <v>2621</v>
      </c>
      <c r="AI383" s="548" t="s">
        <v>2206</v>
      </c>
      <c r="AJ383" s="548" t="s">
        <v>2622</v>
      </c>
      <c r="AK383" s="548" t="s">
        <v>2207</v>
      </c>
      <c r="AL383" s="548" t="s">
        <v>123</v>
      </c>
      <c r="AM383" s="554" t="str">
        <f>INDEX(CarrierDriverTBL!$B:$B,MATCH(Table1[[#This Row],[DriverID]],CarrierDriverTBL!$A:$A,0))</f>
        <v>UBTrucking</v>
      </c>
      <c r="AN383" s="10" t="s">
        <v>192</v>
      </c>
      <c r="AO383" s="10" t="str">
        <f>INDEX(CarrierDriverTBL!$C:$C,MATCH(Table1[[#This Row],[DriverID]],CarrierDriverTBL!$A:$A,0))</f>
        <v>Albel</v>
      </c>
      <c r="AP383" s="142" t="str">
        <f>INDEX(CarrierDriverTBL!$D:$D,MATCH(Table1[[#This Row],[DriverID]],CarrierDriverTBL!$A:$A,0))</f>
        <v>Chahil</v>
      </c>
      <c r="AQ383" s="142" t="str">
        <f>INDEX(CarrierDriverTBL!$X:$X,MATCH(Table1[[#This Row],[DriverID]],CarrierDriverTBL!$A:$A,0))</f>
        <v>A8390649</v>
      </c>
      <c r="AR383" s="160">
        <f>INDEX(CarrierDriverTBL!$Y:$Y,MATCH(Table1[[#This Row],[DriverID]],CarrierDriverTBL!$A:$A,0))</f>
        <v>42402</v>
      </c>
      <c r="AS383" s="142" t="str">
        <f t="shared" si="146"/>
        <v>EXPIRED</v>
      </c>
      <c r="AT383" s="160">
        <f>INDEX(CarrierDriverTBL!$E:$E,MATCH(Table1[[#This Row],[DriverID]],CarrierDriverTBL!$A:$A,0))</f>
        <v>22314</v>
      </c>
      <c r="AU383" s="163">
        <f ca="1">INDEX(CarrierDriverTBL!$F:$F,MATCH(Table1[[#This Row],[DriverID]],CarrierDriverTBL!$A:$A,0))</f>
        <v>55.512328767123286</v>
      </c>
      <c r="AV383" s="142" t="str">
        <f>INDEX(CarrierDriverTBL!$K:$K,MATCH(Table1[[#This Row],[DriverID]],CarrierDriverTBL!$A:$A,0))</f>
        <v>510-773-9450</v>
      </c>
      <c r="AW383" s="142" t="str">
        <f>INDEX(CarrierDriverTBL!$M:$M,MATCH(Table1[[#This Row],[DriverID]],CarrierDriverTBL!$A:$A,0))</f>
        <v>3124 Cynthia CT</v>
      </c>
      <c r="AX383" s="142" t="str">
        <f>INDEX(CarrierDriverTBL!$N:$N,MATCH(Table1[[#This Row],[DriverID]],CarrierDriverTBL!$A:$A,0))</f>
        <v>Tracy</v>
      </c>
      <c r="AY383" s="142" t="str">
        <f>INDEX(CarrierDriverTBL!$O:$O,MATCH(Table1[[#This Row],[DriverID]],CarrierDriverTBL!$A:$A,0))</f>
        <v>CA</v>
      </c>
      <c r="AZ383" s="142">
        <f>INDEX(CarrierDriverTBL!$P:$P,MATCH(Table1[[#This Row],[DriverID]],CarrierDriverTBL!$A:$A,0))</f>
        <v>95377</v>
      </c>
      <c r="BA383" s="142" t="str">
        <f>INDEX(CarrierDriverTBL!$Q:$Q,MATCH(Table1[[#This Row],[DriverID]],CarrierDriverTBL!$A:$A,0))</f>
        <v>US</v>
      </c>
      <c r="BB383" s="176" t="str">
        <f>INDEX(CarrierDriverTBL!$R:$R,MATCH(Table1[[#This Row],[DriverID]],CarrierDriverTBL!$A:$A,0))</f>
        <v>ubgollc@gmail.com</v>
      </c>
      <c r="BC383" s="160">
        <f>INDEX(CarrierDriverTBL!$AB:$AB,MATCH(Table1[[#This Row],[DriverID]],CarrierDriverTBL!$A:$A,0))</f>
        <v>42167</v>
      </c>
      <c r="BD383" s="142" t="str">
        <f ca="1">INDEX(CarrierDriverTBL!$AD:$AD,MATCH(LoadMaster!$AN:$AN,CarrierDriverTBL!$A:$A,0))</f>
        <v>MISSING</v>
      </c>
      <c r="BE383" s="142">
        <f>INDEX(CarrierDriverTBL!$AE:$AE,MATCH(Table1[DriverID],CarrierDriverTBL!$A:$A,0))</f>
        <v>913971</v>
      </c>
      <c r="BF383" s="142">
        <f>INDEX(CarrierDriverTBL!$AF:$AF,MATCH(Table1[DriverID],CarrierDriverTBL!$A:$A,0))</f>
        <v>2627544</v>
      </c>
      <c r="BG383" s="142">
        <f>INDEX(CarrierDriverTBL!$AG:$AG,MATCH(Table1[DriverID],CarrierDriverTBL!$A:$A,0))</f>
        <v>466133</v>
      </c>
      <c r="BH383" s="142" t="str">
        <f>INDEX(CarrierDriverTBL!$AH:$AH,MATCH(Table1[DriverID],CarrierDriverTBL!$A:$A,0))</f>
        <v>GM Lawrence Ins</v>
      </c>
      <c r="BI383" s="142" t="str">
        <f>INDEX(CarrierDriverTBL!$AI:$AI,MATCH(Table1[DriverID],CarrierDriverTBL!$A:$A,0))</f>
        <v>DSK2842P160210</v>
      </c>
      <c r="BJ383" s="160">
        <f>INDEX(CarrierDriverTBL!$AJ:$AJ,MATCH(Table1[[#This Row],[DriverID]],CarrierDriverTBL!$A:$A,0))</f>
        <v>42778</v>
      </c>
      <c r="BK383" s="10">
        <f t="shared" si="147"/>
        <v>298</v>
      </c>
      <c r="BL383" s="237">
        <v>650</v>
      </c>
      <c r="BM383" s="554">
        <v>295</v>
      </c>
      <c r="BN383" s="558">
        <f t="shared" si="164"/>
        <v>2.2033898305084745</v>
      </c>
      <c r="BO383" s="241">
        <f>0.93*Table1[[#This Row],[ChargeBroker]]</f>
        <v>604.5</v>
      </c>
      <c r="BP383" s="558">
        <f t="shared" si="165"/>
        <v>2.0491525423728811</v>
      </c>
      <c r="BQ383" s="133">
        <v>2.6</v>
      </c>
      <c r="BR383" s="559">
        <f t="shared" si="166"/>
        <v>0.1166666666666667</v>
      </c>
      <c r="BS383" s="558">
        <f t="shared" si="148"/>
        <v>1.9324858757062144</v>
      </c>
      <c r="BT383" s="558">
        <f t="shared" si="149"/>
        <v>34.416666666666679</v>
      </c>
      <c r="BU383" s="236" t="str">
        <f t="shared" si="150"/>
        <v>Fast Brokerage Inc.</v>
      </c>
      <c r="BV383" s="550"/>
      <c r="BW383" s="235" t="str">
        <f>Table1[[#This Row],[BrokerAddress]]</f>
        <v>2330 Enterprose Park Drive</v>
      </c>
      <c r="BX383" s="235" t="str">
        <f t="shared" si="151"/>
        <v>Indianapolis</v>
      </c>
      <c r="BY383" s="235" t="str">
        <f t="shared" si="152"/>
        <v>IN</v>
      </c>
      <c r="BZ383" s="235">
        <f t="shared" si="153"/>
        <v>46218</v>
      </c>
      <c r="CA383" s="236" t="str">
        <f t="shared" si="154"/>
        <v>US</v>
      </c>
      <c r="CB383" s="15" t="s">
        <v>131</v>
      </c>
      <c r="CC383" s="62"/>
      <c r="CD383" s="15" t="s">
        <v>132</v>
      </c>
      <c r="CE383" s="64">
        <v>0</v>
      </c>
      <c r="CF383" s="4">
        <v>0</v>
      </c>
      <c r="CG383" s="132">
        <f t="shared" si="155"/>
        <v>0</v>
      </c>
      <c r="CH383" s="4" t="s">
        <v>132</v>
      </c>
      <c r="CI383" s="5">
        <v>0</v>
      </c>
      <c r="CJ383" s="4">
        <v>0</v>
      </c>
      <c r="CK383" s="132">
        <f t="shared" si="156"/>
        <v>0</v>
      </c>
      <c r="CL383" s="4" t="s">
        <v>132</v>
      </c>
      <c r="CM383" s="5">
        <v>0</v>
      </c>
      <c r="CN383" s="4">
        <v>0</v>
      </c>
      <c r="CO383" s="132">
        <f t="shared" si="157"/>
        <v>0</v>
      </c>
      <c r="CP383" s="4" t="s">
        <v>132</v>
      </c>
      <c r="CQ383" s="5">
        <v>0</v>
      </c>
      <c r="CR383" s="4">
        <v>0</v>
      </c>
      <c r="CS383" s="132">
        <f t="shared" si="158"/>
        <v>0</v>
      </c>
      <c r="CT383" s="132">
        <f t="shared" si="159"/>
        <v>0</v>
      </c>
      <c r="CU383" s="238">
        <f t="shared" si="160"/>
        <v>650</v>
      </c>
      <c r="CV383" s="239">
        <f t="shared" si="167"/>
        <v>0</v>
      </c>
      <c r="CW383" s="240">
        <f t="shared" si="144"/>
        <v>604.5</v>
      </c>
      <c r="CX383" s="79">
        <f>IF(ISBLANK(E383),"AddQuickPay",IF(E383=2,CU383*0.98,IF(E383=2.4,CU383*0.976,IF(E383=3,CU383*0.97,IF(E383=5,CU383*0.95,IF(E383=1.5,CU383*0.985,IF(E383=2.5,CU383*0.975,IF(E383=1.3,CU383*0.987,IF(E383=1,CU383*0.99,IF(E383=4,CU383*0.96,CU383*1))))))))))-Table1[[#This Row],[ComCheck+QuickPayFee]]</f>
        <v>650</v>
      </c>
      <c r="CY383" s="237">
        <f t="shared" si="161"/>
        <v>45.5</v>
      </c>
      <c r="CZ383" s="237">
        <f t="shared" si="162"/>
        <v>0</v>
      </c>
      <c r="DA383" s="263">
        <f>Table1[[#This Row],[OriginalDispatch]]-Table1[[#This Row],[QuickPayCharge]]</f>
        <v>45.5</v>
      </c>
      <c r="DB383" s="5">
        <v>0</v>
      </c>
      <c r="DC383" s="237" t="s">
        <v>1287</v>
      </c>
      <c r="DD383" s="556">
        <f t="shared" si="163"/>
        <v>42482</v>
      </c>
      <c r="DE383" s="554">
        <f>MONTH(Table1[[#This Row],[Weekending]])</f>
        <v>4</v>
      </c>
      <c r="DF383" s="554">
        <f>YEAR(Table1[[#This Row],[Weekending]])</f>
        <v>2016</v>
      </c>
      <c r="DG383" s="235"/>
    </row>
    <row r="384" spans="1:111">
      <c r="A384" s="548" t="str">
        <f t="shared" si="145"/>
        <v>81wnwn93</v>
      </c>
      <c r="B384" s="549">
        <v>42483</v>
      </c>
      <c r="C384" s="550">
        <v>6110081</v>
      </c>
      <c r="D384" s="548" t="s">
        <v>2541</v>
      </c>
      <c r="E384" s="550">
        <v>0</v>
      </c>
      <c r="F384" s="551" t="str">
        <f>INDEX(BrokerTBL!$B:$B,MATCH(D384,BrokerTBL!$A:$A,0))</f>
        <v>2043 Corporate Lane</v>
      </c>
      <c r="G384" s="550" t="str">
        <f>INDEX(BrokerTBL!$C:$C,MATCH(D384,BrokerTBL!$A:$A,0))</f>
        <v>Naperville</v>
      </c>
      <c r="H384" s="235" t="str">
        <f>INDEX(BrokerTBL!$D:$D,MATCH(D384,BrokerTBL!$A:$A,0))</f>
        <v>IL</v>
      </c>
      <c r="I384" s="235" t="str">
        <f>INDEX(BrokerTBL!$E:$E,MATCH(D384,BrokerTBL!$A:$A,0))</f>
        <v>US</v>
      </c>
      <c r="J384" s="235">
        <f>INDEX(BrokerTBL!$F:$F,MATCH(D384,BrokerTBL!$A:$A,0))</f>
        <v>60563</v>
      </c>
      <c r="K384" s="548" t="s">
        <v>2623</v>
      </c>
      <c r="L384" s="552" t="s">
        <v>1205</v>
      </c>
      <c r="M384" s="549">
        <v>42480</v>
      </c>
      <c r="N384" s="162" t="s">
        <v>123</v>
      </c>
      <c r="O384" s="550" t="s">
        <v>2624</v>
      </c>
      <c r="P384" s="548" t="s">
        <v>2625</v>
      </c>
      <c r="Q384" s="548" t="s">
        <v>2206</v>
      </c>
      <c r="R384" s="548">
        <v>94545</v>
      </c>
      <c r="S384" s="548" t="s">
        <v>2207</v>
      </c>
      <c r="T384" s="548" t="s">
        <v>2626</v>
      </c>
      <c r="U384" s="548" t="s">
        <v>120</v>
      </c>
      <c r="V384" s="548">
        <v>53</v>
      </c>
      <c r="W384" s="548" t="s">
        <v>1205</v>
      </c>
      <c r="X384" s="553">
        <v>10120</v>
      </c>
      <c r="Y384" s="550" t="s">
        <v>123</v>
      </c>
      <c r="Z384" s="548" t="s">
        <v>123</v>
      </c>
      <c r="AA384" s="548" t="s">
        <v>123</v>
      </c>
      <c r="AB384" s="548" t="s">
        <v>123</v>
      </c>
      <c r="AC384" s="548" t="s">
        <v>2627</v>
      </c>
      <c r="AD384" s="552" t="s">
        <v>1205</v>
      </c>
      <c r="AE384" s="549">
        <v>42481</v>
      </c>
      <c r="AF384" s="560">
        <v>0.4375</v>
      </c>
      <c r="AG384" s="548" t="s">
        <v>2628</v>
      </c>
      <c r="AH384" s="548" t="s">
        <v>2629</v>
      </c>
      <c r="AI384" s="548" t="s">
        <v>2233</v>
      </c>
      <c r="AJ384" s="548">
        <v>89701</v>
      </c>
      <c r="AK384" s="548" t="s">
        <v>2207</v>
      </c>
      <c r="AL384" s="548" t="s">
        <v>2630</v>
      </c>
      <c r="AM384" s="171" t="str">
        <f>INDEX(CarrierDriverTBL!$B:$B,MATCH(Table1[[#This Row],[DriverID]],CarrierDriverTBL!$A:$A,0))</f>
        <v>UBTrucking</v>
      </c>
      <c r="AN384" s="10" t="s">
        <v>2234</v>
      </c>
      <c r="AO384" s="171" t="str">
        <f>INDEX(CarrierDriverTBL!$C:$C,MATCH(Table1[[#This Row],[DriverID]],CarrierDriverTBL!$A:$A,0))</f>
        <v>Arturo</v>
      </c>
      <c r="AP384" s="171" t="str">
        <f>INDEX(CarrierDriverTBL!$D:$D,MATCH(Table1[[#This Row],[DriverID]],CarrierDriverTBL!$A:$A,0))</f>
        <v>Carrillo</v>
      </c>
      <c r="AQ384" s="171" t="str">
        <f>INDEX(CarrierDriverTBL!$X:$X,MATCH(Table1[[#This Row],[DriverID]],CarrierDriverTBL!$A:$A,0))</f>
        <v>C7056793</v>
      </c>
      <c r="AR384" s="160">
        <f>INDEX(CarrierDriverTBL!$Y:$Y,MATCH(Table1[[#This Row],[DriverID]],CarrierDriverTBL!$A:$A,0))</f>
        <v>43410</v>
      </c>
      <c r="AS384" s="142" t="str">
        <f t="shared" si="146"/>
        <v>GOOD</v>
      </c>
      <c r="AT384" s="172">
        <f>INDEX(CarrierDriverTBL!$E:$E,MATCH(Table1[[#This Row],[DriverID]],CarrierDriverTBL!$A:$A,0))</f>
        <v>24782</v>
      </c>
      <c r="AU384" s="163">
        <f ca="1">INDEX(CarrierDriverTBL!$F:$F,MATCH(Table1[[#This Row],[DriverID]],CarrierDriverTBL!$A:$A,0))</f>
        <v>48.750684931506846</v>
      </c>
      <c r="AV384" s="171" t="str">
        <f>INDEX(CarrierDriverTBL!$K:$K,MATCH(Table1[[#This Row],[DriverID]],CarrierDriverTBL!$A:$A,0))</f>
        <v>209-276-9785</v>
      </c>
      <c r="AW384" s="171" t="str">
        <f>INDEX(CarrierDriverTBL!$M:$M,MATCH(Table1[[#This Row],[DriverID]],CarrierDriverTBL!$A:$A,0))</f>
        <v>1685 Winthrop Ln</v>
      </c>
      <c r="AX384" s="171" t="str">
        <f>INDEX(CarrierDriverTBL!$N:$N,MATCH(Table1[[#This Row],[DriverID]],CarrierDriverTBL!$A:$A,0))</f>
        <v>Ceres</v>
      </c>
      <c r="AY384" s="171" t="str">
        <f>INDEX(CarrierDriverTBL!$O:$O,MATCH(Table1[[#This Row],[DriverID]],CarrierDriverTBL!$A:$A,0))</f>
        <v>CA</v>
      </c>
      <c r="AZ384" s="171">
        <f>INDEX(CarrierDriverTBL!$P:$P,MATCH(Table1[[#This Row],[DriverID]],CarrierDriverTBL!$A:$A,0))</f>
        <v>95307</v>
      </c>
      <c r="BA384" s="171" t="str">
        <f>INDEX(CarrierDriverTBL!$Q:$Q,MATCH(Table1[[#This Row],[DriverID]],CarrierDriverTBL!$A:$A,0))</f>
        <v>US</v>
      </c>
      <c r="BB384" s="173" t="str">
        <f>INDEX(CarrierDriverTBL!$R:$R,MATCH(Table1[[#This Row],[DriverID]],CarrierDriverTBL!$A:$A,0))</f>
        <v>arturocarr777@gmail.com</v>
      </c>
      <c r="BC384" s="160">
        <f>INDEX(CarrierDriverTBL!$AB:$AB,MATCH(Table1[[#This Row],[DriverID]],CarrierDriverTBL!$A:$A,0))</f>
        <v>42418</v>
      </c>
      <c r="BD384" s="142" t="str">
        <f ca="1">INDEX(CarrierDriverTBL!$AD:$AD,MATCH(LoadMaster!$AN:$AN,CarrierDriverTBL!$A:$A,0))</f>
        <v>MISSING</v>
      </c>
      <c r="BE384" s="171">
        <f>INDEX(CarrierDriverTBL!$AE:$AE,MATCH(Table1[DriverID],CarrierDriverTBL!$A:$A,0))</f>
        <v>913971</v>
      </c>
      <c r="BF384" s="171">
        <f>INDEX(CarrierDriverTBL!$AF:$AF,MATCH(Table1[DriverID],CarrierDriverTBL!$A:$A,0))</f>
        <v>2627544</v>
      </c>
      <c r="BG384" s="10">
        <f>INDEX(CarrierDriverTBL!$AG:$AG,MATCH(Table1[DriverID],CarrierDriverTBL!$A:$A,0))</f>
        <v>466133</v>
      </c>
      <c r="BH384" s="171" t="str">
        <f>INDEX(CarrierDriverTBL!$AH:$AH,MATCH(Table1[DriverID],CarrierDriverTBL!$A:$A,0))</f>
        <v>GM Lawrence Ins</v>
      </c>
      <c r="BI384" s="171" t="str">
        <f>INDEX(CarrierDriverTBL!$AI:$AI,MATCH(Table1[DriverID],CarrierDriverTBL!$A:$A,0))</f>
        <v>DSK2842P160210</v>
      </c>
      <c r="BJ384" s="172">
        <f>INDEX(CarrierDriverTBL!$AJ:$AJ,MATCH(Table1[[#This Row],[DriverID]],CarrierDriverTBL!$A:$A,0))</f>
        <v>42778</v>
      </c>
      <c r="BK384" s="10">
        <f t="shared" si="147"/>
        <v>298</v>
      </c>
      <c r="BL384" s="237">
        <v>600</v>
      </c>
      <c r="BM384" s="554">
        <v>207.2</v>
      </c>
      <c r="BN384" s="558">
        <f t="shared" si="164"/>
        <v>2.8957528957528957</v>
      </c>
      <c r="BO384" s="241">
        <f>0.93*Table1[[#This Row],[ChargeBroker]]</f>
        <v>558</v>
      </c>
      <c r="BP384" s="558">
        <f t="shared" si="165"/>
        <v>2.6930501930501931</v>
      </c>
      <c r="BQ384" s="133">
        <v>2.6</v>
      </c>
      <c r="BR384" s="559">
        <f t="shared" si="166"/>
        <v>0.1166666666666667</v>
      </c>
      <c r="BS384" s="558">
        <f t="shared" si="148"/>
        <v>2.5763835263835264</v>
      </c>
      <c r="BT384" s="558">
        <f t="shared" si="149"/>
        <v>24.173333333333339</v>
      </c>
      <c r="BU384" s="236" t="str">
        <f t="shared" si="150"/>
        <v>JBS Logistics</v>
      </c>
      <c r="BV384" s="550"/>
      <c r="BW384" s="235" t="str">
        <f>Table1[[#This Row],[BrokerAddress]]</f>
        <v>2043 Corporate Lane</v>
      </c>
      <c r="BX384" s="235" t="str">
        <f t="shared" si="151"/>
        <v>Naperville</v>
      </c>
      <c r="BY384" s="235" t="str">
        <f t="shared" si="152"/>
        <v>IL</v>
      </c>
      <c r="BZ384" s="235">
        <f t="shared" si="153"/>
        <v>60563</v>
      </c>
      <c r="CA384" s="236" t="str">
        <f t="shared" si="154"/>
        <v>US</v>
      </c>
      <c r="CB384" s="15" t="s">
        <v>131</v>
      </c>
      <c r="CC384" s="62"/>
      <c r="CD384" s="15" t="s">
        <v>132</v>
      </c>
      <c r="CE384" s="64">
        <v>0</v>
      </c>
      <c r="CF384" s="4">
        <v>0</v>
      </c>
      <c r="CG384" s="132">
        <f t="shared" si="155"/>
        <v>0</v>
      </c>
      <c r="CH384" s="4" t="s">
        <v>132</v>
      </c>
      <c r="CI384" s="5">
        <v>0</v>
      </c>
      <c r="CJ384" s="4">
        <v>0</v>
      </c>
      <c r="CK384" s="132">
        <f t="shared" si="156"/>
        <v>0</v>
      </c>
      <c r="CL384" s="4" t="s">
        <v>132</v>
      </c>
      <c r="CM384" s="5">
        <v>0</v>
      </c>
      <c r="CN384" s="4">
        <v>0</v>
      </c>
      <c r="CO384" s="132">
        <f t="shared" si="157"/>
        <v>0</v>
      </c>
      <c r="CP384" s="4" t="s">
        <v>132</v>
      </c>
      <c r="CQ384" s="5">
        <v>0</v>
      </c>
      <c r="CR384" s="4">
        <v>0</v>
      </c>
      <c r="CS384" s="132">
        <f t="shared" si="158"/>
        <v>0</v>
      </c>
      <c r="CT384" s="132">
        <f t="shared" si="159"/>
        <v>0</v>
      </c>
      <c r="CU384" s="238">
        <f t="shared" si="160"/>
        <v>600</v>
      </c>
      <c r="CV384" s="239">
        <f t="shared" si="167"/>
        <v>0</v>
      </c>
      <c r="CW384" s="240">
        <f t="shared" ref="CW384:CW447" si="168">BO384+CV384</f>
        <v>558</v>
      </c>
      <c r="CX384" s="79">
        <f>IF(ISBLANK(E384),"AddQuickPay",IF(E384=2,CU384*0.98,IF(E384=2.4,CU384*0.976,IF(E384=3,CU384*0.97,IF(E384=5,CU384*0.95,IF(E384=1.5,CU384*0.985,IF(E384=2.5,CU384*0.975,IF(E384=1.3,CU384*0.987,IF(E384=1,CU384*0.99,IF(E384=4,CU384*0.96,CU384*1))))))))))-Table1[[#This Row],[ComCheck+QuickPayFee]]</f>
        <v>600</v>
      </c>
      <c r="CY384" s="237">
        <f t="shared" si="161"/>
        <v>42</v>
      </c>
      <c r="CZ384" s="237">
        <f t="shared" si="162"/>
        <v>0</v>
      </c>
      <c r="DA384" s="263">
        <f>Table1[[#This Row],[OriginalDispatch]]-Table1[[#This Row],[QuickPayCharge]]</f>
        <v>42</v>
      </c>
      <c r="DB384" s="5">
        <v>0</v>
      </c>
      <c r="DC384" s="237" t="s">
        <v>1287</v>
      </c>
      <c r="DD384" s="556">
        <f t="shared" si="163"/>
        <v>42482</v>
      </c>
      <c r="DE384" s="554">
        <f>MONTH(Table1[[#This Row],[Weekending]])</f>
        <v>4</v>
      </c>
      <c r="DF384" s="554">
        <f>YEAR(Table1[[#This Row],[Weekending]])</f>
        <v>2016</v>
      </c>
      <c r="DG384" s="235"/>
    </row>
    <row r="385" spans="1:111">
      <c r="A385" s="548" t="str">
        <f t="shared" si="145"/>
        <v>5211wn93</v>
      </c>
      <c r="B385" s="549">
        <v>42483</v>
      </c>
      <c r="C385" s="550">
        <v>1957352</v>
      </c>
      <c r="D385" s="548" t="s">
        <v>2405</v>
      </c>
      <c r="E385" s="550">
        <v>3</v>
      </c>
      <c r="F385" s="551" t="str">
        <f>INDEX(BrokerTBL!$B:$B,MATCH(D385,BrokerTBL!$A:$A,0))</f>
        <v xml:space="preserve">303 E Wacker Dr. </v>
      </c>
      <c r="G385" s="550" t="str">
        <f>INDEX(BrokerTBL!$C:$C,MATCH(D385,BrokerTBL!$A:$A,0))</f>
        <v>Chicago</v>
      </c>
      <c r="H385" s="235" t="str">
        <f>INDEX(BrokerTBL!$D:$D,MATCH(D385,BrokerTBL!$A:$A,0))</f>
        <v>IL</v>
      </c>
      <c r="I385" s="235" t="str">
        <f>INDEX(BrokerTBL!$E:$E,MATCH(D385,BrokerTBL!$A:$A,0))</f>
        <v>US</v>
      </c>
      <c r="J385" s="235">
        <f>INDEX(BrokerTBL!$F:$F,MATCH(D385,BrokerTBL!$A:$A,0))</f>
        <v>60601</v>
      </c>
      <c r="K385" s="548" t="s">
        <v>2406</v>
      </c>
      <c r="L385" s="552">
        <v>291311</v>
      </c>
      <c r="M385" s="549">
        <v>42481</v>
      </c>
      <c r="N385" s="550" t="s">
        <v>1055</v>
      </c>
      <c r="O385" s="550" t="s">
        <v>2407</v>
      </c>
      <c r="P385" s="548" t="s">
        <v>2408</v>
      </c>
      <c r="Q385" s="548" t="s">
        <v>2233</v>
      </c>
      <c r="R385" s="548">
        <v>89706</v>
      </c>
      <c r="S385" s="548" t="s">
        <v>2207</v>
      </c>
      <c r="T385" s="298" t="s">
        <v>123</v>
      </c>
      <c r="U385" s="548" t="s">
        <v>120</v>
      </c>
      <c r="V385" s="548">
        <v>53</v>
      </c>
      <c r="W385" s="548" t="s">
        <v>2409</v>
      </c>
      <c r="X385" s="553">
        <v>45000</v>
      </c>
      <c r="Y385" s="550" t="s">
        <v>123</v>
      </c>
      <c r="Z385" s="548" t="s">
        <v>123</v>
      </c>
      <c r="AA385" s="548" t="s">
        <v>123</v>
      </c>
      <c r="AB385" s="548" t="s">
        <v>123</v>
      </c>
      <c r="AC385" s="548" t="s">
        <v>2411</v>
      </c>
      <c r="AD385" s="552" t="s">
        <v>1205</v>
      </c>
      <c r="AE385" s="549">
        <v>42482</v>
      </c>
      <c r="AF385" s="549" t="s">
        <v>1316</v>
      </c>
      <c r="AG385" s="548" t="s">
        <v>2412</v>
      </c>
      <c r="AH385" s="548" t="s">
        <v>2168</v>
      </c>
      <c r="AI385" s="548" t="s">
        <v>2206</v>
      </c>
      <c r="AJ385" s="548">
        <v>93235</v>
      </c>
      <c r="AK385" s="548" t="s">
        <v>2207</v>
      </c>
      <c r="AL385" s="548" t="s">
        <v>123</v>
      </c>
      <c r="AM385" s="171" t="str">
        <f>INDEX(CarrierDriverTBL!$B:$B,MATCH(Table1[[#This Row],[DriverID]],CarrierDriverTBL!$A:$A,0))</f>
        <v>UBTrucking</v>
      </c>
      <c r="AN385" s="10" t="s">
        <v>2234</v>
      </c>
      <c r="AO385" s="171" t="str">
        <f>INDEX(CarrierDriverTBL!$C:$C,MATCH(Table1[[#This Row],[DriverID]],CarrierDriverTBL!$A:$A,0))</f>
        <v>Arturo</v>
      </c>
      <c r="AP385" s="171" t="str">
        <f>INDEX(CarrierDriverTBL!$D:$D,MATCH(Table1[[#This Row],[DriverID]],CarrierDriverTBL!$A:$A,0))</f>
        <v>Carrillo</v>
      </c>
      <c r="AQ385" s="171" t="str">
        <f>INDEX(CarrierDriverTBL!$X:$X,MATCH(Table1[[#This Row],[DriverID]],CarrierDriverTBL!$A:$A,0))</f>
        <v>C7056793</v>
      </c>
      <c r="AR385" s="160">
        <f>INDEX(CarrierDriverTBL!$Y:$Y,MATCH(Table1[[#This Row],[DriverID]],CarrierDriverTBL!$A:$A,0))</f>
        <v>43410</v>
      </c>
      <c r="AS385" s="142" t="str">
        <f t="shared" si="146"/>
        <v>GOOD</v>
      </c>
      <c r="AT385" s="172">
        <f>INDEX(CarrierDriverTBL!$E:$E,MATCH(Table1[[#This Row],[DriverID]],CarrierDriverTBL!$A:$A,0))</f>
        <v>24782</v>
      </c>
      <c r="AU385" s="163">
        <f ca="1">INDEX(CarrierDriverTBL!$F:$F,MATCH(Table1[[#This Row],[DriverID]],CarrierDriverTBL!$A:$A,0))</f>
        <v>48.750684931506846</v>
      </c>
      <c r="AV385" s="171" t="str">
        <f>INDEX(CarrierDriverTBL!$K:$K,MATCH(Table1[[#This Row],[DriverID]],CarrierDriverTBL!$A:$A,0))</f>
        <v>209-276-9785</v>
      </c>
      <c r="AW385" s="171" t="str">
        <f>INDEX(CarrierDriverTBL!$M:$M,MATCH(Table1[[#This Row],[DriverID]],CarrierDriverTBL!$A:$A,0))</f>
        <v>1685 Winthrop Ln</v>
      </c>
      <c r="AX385" s="171" t="str">
        <f>INDEX(CarrierDriverTBL!$N:$N,MATCH(Table1[[#This Row],[DriverID]],CarrierDriverTBL!$A:$A,0))</f>
        <v>Ceres</v>
      </c>
      <c r="AY385" s="171" t="str">
        <f>INDEX(CarrierDriverTBL!$O:$O,MATCH(Table1[[#This Row],[DriverID]],CarrierDriverTBL!$A:$A,0))</f>
        <v>CA</v>
      </c>
      <c r="AZ385" s="171">
        <f>INDEX(CarrierDriverTBL!$P:$P,MATCH(Table1[[#This Row],[DriverID]],CarrierDriverTBL!$A:$A,0))</f>
        <v>95307</v>
      </c>
      <c r="BA385" s="171" t="str">
        <f>INDEX(CarrierDriverTBL!$Q:$Q,MATCH(Table1[[#This Row],[DriverID]],CarrierDriverTBL!$A:$A,0))</f>
        <v>US</v>
      </c>
      <c r="BB385" s="173" t="str">
        <f>INDEX(CarrierDriverTBL!$R:$R,MATCH(Table1[[#This Row],[DriverID]],CarrierDriverTBL!$A:$A,0))</f>
        <v>arturocarr777@gmail.com</v>
      </c>
      <c r="BC385" s="160">
        <f>INDEX(CarrierDriverTBL!$AB:$AB,MATCH(Table1[[#This Row],[DriverID]],CarrierDriverTBL!$A:$A,0))</f>
        <v>42418</v>
      </c>
      <c r="BD385" s="142" t="str">
        <f ca="1">INDEX(CarrierDriverTBL!$AD:$AD,MATCH(LoadMaster!$AN:$AN,CarrierDriverTBL!$A:$A,0))</f>
        <v>MISSING</v>
      </c>
      <c r="BE385" s="171">
        <f>INDEX(CarrierDriverTBL!$AE:$AE,MATCH(Table1[DriverID],CarrierDriverTBL!$A:$A,0))</f>
        <v>913971</v>
      </c>
      <c r="BF385" s="171">
        <f>INDEX(CarrierDriverTBL!$AF:$AF,MATCH(Table1[DriverID],CarrierDriverTBL!$A:$A,0))</f>
        <v>2627544</v>
      </c>
      <c r="BG385" s="10">
        <f>INDEX(CarrierDriverTBL!$AG:$AG,MATCH(Table1[DriverID],CarrierDriverTBL!$A:$A,0))</f>
        <v>466133</v>
      </c>
      <c r="BH385" s="171" t="str">
        <f>INDEX(CarrierDriverTBL!$AH:$AH,MATCH(Table1[DriverID],CarrierDriverTBL!$A:$A,0))</f>
        <v>GM Lawrence Ins</v>
      </c>
      <c r="BI385" s="171" t="str">
        <f>INDEX(CarrierDriverTBL!$AI:$AI,MATCH(Table1[DriverID],CarrierDriverTBL!$A:$A,0))</f>
        <v>DSK2842P160210</v>
      </c>
      <c r="BJ385" s="172">
        <f>INDEX(CarrierDriverTBL!$AJ:$AJ,MATCH(Table1[[#This Row],[DriverID]],CarrierDriverTBL!$A:$A,0))</f>
        <v>42778</v>
      </c>
      <c r="BK385" s="10">
        <f t="shared" si="147"/>
        <v>297</v>
      </c>
      <c r="BL385" s="237">
        <v>600</v>
      </c>
      <c r="BM385" s="554">
        <v>311.5</v>
      </c>
      <c r="BN385" s="558">
        <f t="shared" si="164"/>
        <v>1.926163723916533</v>
      </c>
      <c r="BO385" s="241">
        <f>0.93*Table1[[#This Row],[ChargeBroker]]</f>
        <v>558</v>
      </c>
      <c r="BP385" s="558">
        <f t="shared" si="165"/>
        <v>1.7913322632423756</v>
      </c>
      <c r="BQ385" s="133">
        <v>2.6</v>
      </c>
      <c r="BR385" s="559">
        <f t="shared" si="166"/>
        <v>0.1166666666666667</v>
      </c>
      <c r="BS385" s="558">
        <f t="shared" si="148"/>
        <v>1.6746655965757089</v>
      </c>
      <c r="BT385" s="558">
        <f t="shared" si="149"/>
        <v>36.341666666666676</v>
      </c>
      <c r="BU385" s="236" t="str">
        <f t="shared" si="150"/>
        <v>XPOLogistics</v>
      </c>
      <c r="BV385" s="550"/>
      <c r="BW385" s="235" t="str">
        <f>Table1[[#This Row],[BrokerAddress]]</f>
        <v xml:space="preserve">303 E Wacker Dr. </v>
      </c>
      <c r="BX385" s="235" t="str">
        <f t="shared" si="151"/>
        <v>Chicago</v>
      </c>
      <c r="BY385" s="235" t="str">
        <f t="shared" si="152"/>
        <v>IL</v>
      </c>
      <c r="BZ385" s="235">
        <f t="shared" si="153"/>
        <v>60601</v>
      </c>
      <c r="CA385" s="236" t="str">
        <f t="shared" si="154"/>
        <v>US</v>
      </c>
      <c r="CB385" s="15" t="s">
        <v>131</v>
      </c>
      <c r="CC385" s="62"/>
      <c r="CD385" s="15" t="s">
        <v>132</v>
      </c>
      <c r="CE385" s="64">
        <v>0</v>
      </c>
      <c r="CF385" s="4">
        <v>0</v>
      </c>
      <c r="CG385" s="132">
        <f t="shared" si="155"/>
        <v>0</v>
      </c>
      <c r="CH385" s="4" t="s">
        <v>132</v>
      </c>
      <c r="CI385" s="5">
        <v>0</v>
      </c>
      <c r="CJ385" s="4">
        <v>0</v>
      </c>
      <c r="CK385" s="132">
        <f t="shared" si="156"/>
        <v>0</v>
      </c>
      <c r="CL385" s="4" t="s">
        <v>132</v>
      </c>
      <c r="CM385" s="5">
        <v>0</v>
      </c>
      <c r="CN385" s="4">
        <v>0</v>
      </c>
      <c r="CO385" s="132">
        <f t="shared" si="157"/>
        <v>0</v>
      </c>
      <c r="CP385" s="4" t="s">
        <v>132</v>
      </c>
      <c r="CQ385" s="5">
        <v>0</v>
      </c>
      <c r="CR385" s="4">
        <v>0</v>
      </c>
      <c r="CS385" s="132">
        <f t="shared" si="158"/>
        <v>0</v>
      </c>
      <c r="CT385" s="132">
        <f t="shared" si="159"/>
        <v>0</v>
      </c>
      <c r="CU385" s="238">
        <f t="shared" si="160"/>
        <v>600</v>
      </c>
      <c r="CV385" s="239">
        <f t="shared" si="167"/>
        <v>0</v>
      </c>
      <c r="CW385" s="240">
        <f t="shared" si="168"/>
        <v>558</v>
      </c>
      <c r="CX385" s="79">
        <f>IF(ISBLANK(E385),"AddQuickPay",IF(E385=2,CU385*0.98,IF(E385=2.4,CU385*0.976,IF(E385=3,CU385*0.97,IF(E385=5,CU385*0.95,IF(E385=1.5,CU385*0.985,IF(E385=2.5,CU385*0.975,IF(E385=1.3,CU385*0.987,IF(E385=1,CU385*0.99,IF(E385=4,CU385*0.96,CU385*1))))))))))-Table1[[#This Row],[ComCheck+QuickPayFee]]</f>
        <v>582</v>
      </c>
      <c r="CY385" s="237">
        <f t="shared" si="161"/>
        <v>42</v>
      </c>
      <c r="CZ385" s="237">
        <f t="shared" si="162"/>
        <v>18</v>
      </c>
      <c r="DA385" s="263">
        <f>Table1[[#This Row],[OriginalDispatch]]-Table1[[#This Row],[QuickPayCharge]]</f>
        <v>24</v>
      </c>
      <c r="DB385" s="5">
        <v>0</v>
      </c>
      <c r="DC385" s="237" t="s">
        <v>1287</v>
      </c>
      <c r="DD385" s="556">
        <f t="shared" si="163"/>
        <v>42482</v>
      </c>
      <c r="DE385" s="554">
        <f>MONTH(Table1[[#This Row],[Weekending]])</f>
        <v>4</v>
      </c>
      <c r="DF385" s="554">
        <f>YEAR(Table1[[#This Row],[Weekending]])</f>
        <v>2016</v>
      </c>
      <c r="DG385" s="235"/>
    </row>
    <row r="386" spans="1:111">
      <c r="A386" s="416" t="str">
        <f t="shared" ref="A386:A449" si="169">RIGHT(C386,2)&amp;RIGHT(L386,2)&amp;RIGHT(AD386,2)&amp;RIGHT(AQ386,2)</f>
        <v>96303049</v>
      </c>
      <c r="B386" s="549">
        <v>42487</v>
      </c>
      <c r="C386" s="15">
        <v>7263196</v>
      </c>
      <c r="D386" s="416" t="s">
        <v>445</v>
      </c>
      <c r="E386" s="15">
        <v>3</v>
      </c>
      <c r="F386" s="144" t="str">
        <f>INDEX(BrokerTBL!$B:$B,MATCH(D386,BrokerTBL!$A:$A,0))</f>
        <v>960 Northpoint Parkway Suite 150</v>
      </c>
      <c r="G386" s="15" t="str">
        <f>INDEX(BrokerTBL!$C:$C,MATCH(D386,BrokerTBL!$A:$A,0))</f>
        <v>Alpharetta</v>
      </c>
      <c r="H386" s="4" t="str">
        <f>INDEX(BrokerTBL!$D:$D,MATCH(D386,BrokerTBL!$A:$A,0))</f>
        <v>Ga</v>
      </c>
      <c r="I386" s="4" t="str">
        <f>INDEX(BrokerTBL!$E:$E,MATCH(D386,BrokerTBL!$A:$A,0))</f>
        <v>US</v>
      </c>
      <c r="J386" s="4">
        <f>INDEX(BrokerTBL!$F:$F,MATCH(D386,BrokerTBL!$A:$A,0))</f>
        <v>30005</v>
      </c>
      <c r="K386" s="416" t="s">
        <v>2631</v>
      </c>
      <c r="L386" s="81">
        <v>4501062130</v>
      </c>
      <c r="M386" s="104">
        <v>42481</v>
      </c>
      <c r="N386" s="226">
        <v>0.60416666666666663</v>
      </c>
      <c r="O386" s="15" t="s">
        <v>2632</v>
      </c>
      <c r="P386" s="416" t="s">
        <v>395</v>
      </c>
      <c r="Q386" s="416" t="s">
        <v>2206</v>
      </c>
      <c r="R386" s="416">
        <v>95350</v>
      </c>
      <c r="S386" s="416" t="s">
        <v>2207</v>
      </c>
      <c r="T386" s="298" t="s">
        <v>123</v>
      </c>
      <c r="U386" s="416" t="s">
        <v>120</v>
      </c>
      <c r="V386" s="416">
        <v>53</v>
      </c>
      <c r="W386" s="416" t="s">
        <v>2633</v>
      </c>
      <c r="X386" s="225">
        <v>44092</v>
      </c>
      <c r="Y386" s="15" t="s">
        <v>26</v>
      </c>
      <c r="Z386" s="225">
        <v>44092</v>
      </c>
      <c r="AA386" s="416" t="s">
        <v>123</v>
      </c>
      <c r="AB386" s="416" t="s">
        <v>123</v>
      </c>
      <c r="AC386" s="416" t="s">
        <v>2634</v>
      </c>
      <c r="AD386" s="81">
        <v>4501062130</v>
      </c>
      <c r="AE386" s="104">
        <v>42482</v>
      </c>
      <c r="AF386" s="416" t="s">
        <v>123</v>
      </c>
      <c r="AG386" s="416" t="s">
        <v>2635</v>
      </c>
      <c r="AH386" s="416" t="s">
        <v>2114</v>
      </c>
      <c r="AI386" s="416" t="s">
        <v>2233</v>
      </c>
      <c r="AJ386" s="416">
        <v>89406</v>
      </c>
      <c r="AK386" s="416" t="s">
        <v>2207</v>
      </c>
      <c r="AL386" s="416" t="s">
        <v>123</v>
      </c>
      <c r="AM386" s="554" t="str">
        <f>INDEX(CarrierDriverTBL!$B:$B,MATCH(Table1[[#This Row],[DriverID]],CarrierDriverTBL!$A:$A,0))</f>
        <v>UBTrucking</v>
      </c>
      <c r="AN386" s="10" t="s">
        <v>192</v>
      </c>
      <c r="AO386" s="10" t="str">
        <f>INDEX(CarrierDriverTBL!$C:$C,MATCH(Table1[[#This Row],[DriverID]],CarrierDriverTBL!$A:$A,0))</f>
        <v>Albel</v>
      </c>
      <c r="AP386" s="142" t="str">
        <f>INDEX(CarrierDriverTBL!$D:$D,MATCH(Table1[[#This Row],[DriverID]],CarrierDriverTBL!$A:$A,0))</f>
        <v>Chahil</v>
      </c>
      <c r="AQ386" s="142" t="str">
        <f>INDEX(CarrierDriverTBL!$X:$X,MATCH(Table1[[#This Row],[DriverID]],CarrierDriverTBL!$A:$A,0))</f>
        <v>A8390649</v>
      </c>
      <c r="AR386" s="160">
        <f>INDEX(CarrierDriverTBL!$Y:$Y,MATCH(Table1[[#This Row],[DriverID]],CarrierDriverTBL!$A:$A,0))</f>
        <v>42402</v>
      </c>
      <c r="AS386" s="142" t="str">
        <f t="shared" ref="AS386:AS449" si="170">IF(AR386&gt;M386,"GOOD","EXPIRED")</f>
        <v>EXPIRED</v>
      </c>
      <c r="AT386" s="160">
        <f>INDEX(CarrierDriverTBL!$E:$E,MATCH(Table1[[#This Row],[DriverID]],CarrierDriverTBL!$A:$A,0))</f>
        <v>22314</v>
      </c>
      <c r="AU386" s="163">
        <f ca="1">INDEX(CarrierDriverTBL!$F:$F,MATCH(Table1[[#This Row],[DriverID]],CarrierDriverTBL!$A:$A,0))</f>
        <v>55.512328767123286</v>
      </c>
      <c r="AV386" s="142" t="str">
        <f>INDEX(CarrierDriverTBL!$K:$K,MATCH(Table1[[#This Row],[DriverID]],CarrierDriverTBL!$A:$A,0))</f>
        <v>510-773-9450</v>
      </c>
      <c r="AW386" s="142" t="str">
        <f>INDEX(CarrierDriverTBL!$M:$M,MATCH(Table1[[#This Row],[DriverID]],CarrierDriverTBL!$A:$A,0))</f>
        <v>3124 Cynthia CT</v>
      </c>
      <c r="AX386" s="142" t="str">
        <f>INDEX(CarrierDriverTBL!$N:$N,MATCH(Table1[[#This Row],[DriverID]],CarrierDriverTBL!$A:$A,0))</f>
        <v>Tracy</v>
      </c>
      <c r="AY386" s="142" t="str">
        <f>INDEX(CarrierDriverTBL!$O:$O,MATCH(Table1[[#This Row],[DriverID]],CarrierDriverTBL!$A:$A,0))</f>
        <v>CA</v>
      </c>
      <c r="AZ386" s="142">
        <f>INDEX(CarrierDriverTBL!$P:$P,MATCH(Table1[[#This Row],[DriverID]],CarrierDriverTBL!$A:$A,0))</f>
        <v>95377</v>
      </c>
      <c r="BA386" s="142" t="str">
        <f>INDEX(CarrierDriverTBL!$Q:$Q,MATCH(Table1[[#This Row],[DriverID]],CarrierDriverTBL!$A:$A,0))</f>
        <v>US</v>
      </c>
      <c r="BB386" s="176" t="str">
        <f>INDEX(CarrierDriverTBL!$R:$R,MATCH(Table1[[#This Row],[DriverID]],CarrierDriverTBL!$A:$A,0))</f>
        <v>ubgollc@gmail.com</v>
      </c>
      <c r="BC386" s="160">
        <f>INDEX(CarrierDriverTBL!$AB:$AB,MATCH(Table1[[#This Row],[DriverID]],CarrierDriverTBL!$A:$A,0))</f>
        <v>42167</v>
      </c>
      <c r="BD386" s="142" t="str">
        <f ca="1">INDEX(CarrierDriverTBL!$AD:$AD,MATCH(LoadMaster!$AN:$AN,CarrierDriverTBL!$A:$A,0))</f>
        <v>MISSING</v>
      </c>
      <c r="BE386" s="142">
        <f>INDEX(CarrierDriverTBL!$AE:$AE,MATCH(Table1[DriverID],CarrierDriverTBL!$A:$A,0))</f>
        <v>913971</v>
      </c>
      <c r="BF386" s="142">
        <f>INDEX(CarrierDriverTBL!$AF:$AF,MATCH(Table1[DriverID],CarrierDriverTBL!$A:$A,0))</f>
        <v>2627544</v>
      </c>
      <c r="BG386" s="142">
        <f>INDEX(CarrierDriverTBL!$AG:$AG,MATCH(Table1[DriverID],CarrierDriverTBL!$A:$A,0))</f>
        <v>466133</v>
      </c>
      <c r="BH386" s="142" t="str">
        <f>INDEX(CarrierDriverTBL!$AH:$AH,MATCH(Table1[DriverID],CarrierDriverTBL!$A:$A,0))</f>
        <v>GM Lawrence Ins</v>
      </c>
      <c r="BI386" s="142" t="str">
        <f>INDEX(CarrierDriverTBL!$AI:$AI,MATCH(Table1[DriverID],CarrierDriverTBL!$A:$A,0))</f>
        <v>DSK2842P160210</v>
      </c>
      <c r="BJ386" s="160">
        <f>INDEX(CarrierDriverTBL!$AJ:$AJ,MATCH(Table1[[#This Row],[DriverID]],CarrierDriverTBL!$A:$A,0))</f>
        <v>42778</v>
      </c>
      <c r="BK386" s="10">
        <f t="shared" ref="BK386:BK449" si="171">IFERROR(BJ386-M386,"MISSING")</f>
        <v>297</v>
      </c>
      <c r="BL386" s="5">
        <v>650</v>
      </c>
      <c r="BM386" s="171">
        <v>270</v>
      </c>
      <c r="BN386" s="133">
        <f t="shared" si="164"/>
        <v>2.4074074074074074</v>
      </c>
      <c r="BO386" s="241">
        <f>0.93*Table1[[#This Row],[ChargeBroker]]</f>
        <v>604.5</v>
      </c>
      <c r="BP386" s="133">
        <f t="shared" si="165"/>
        <v>2.2388888888888889</v>
      </c>
      <c r="BQ386" s="133">
        <v>2.6</v>
      </c>
      <c r="BR386" s="215">
        <f t="shared" si="166"/>
        <v>0.1166666666666667</v>
      </c>
      <c r="BS386" s="133">
        <f t="shared" ref="BS386:BS449" si="172">BP386-BR386</f>
        <v>2.1222222222222222</v>
      </c>
      <c r="BT386" s="133">
        <f t="shared" ref="BT386:BT449" si="173">BM386*BR386</f>
        <v>31.500000000000007</v>
      </c>
      <c r="BU386" s="10" t="str">
        <f t="shared" ref="BU386:BU449" si="174">D386</f>
        <v>Coyote</v>
      </c>
      <c r="BV386" s="15"/>
      <c r="BW386" s="4" t="str">
        <f>Table1[[#This Row],[BrokerAddress]]</f>
        <v>960 Northpoint Parkway Suite 150</v>
      </c>
      <c r="BX386" s="4" t="str">
        <f t="shared" ref="BX386:BX449" si="175">G386</f>
        <v>Alpharetta</v>
      </c>
      <c r="BY386" s="4" t="str">
        <f t="shared" ref="BY386:BY449" si="176">H386</f>
        <v>Ga</v>
      </c>
      <c r="BZ386" s="4">
        <f t="shared" ref="BZ386:BZ449" si="177">J386</f>
        <v>30005</v>
      </c>
      <c r="CA386" s="10" t="str">
        <f t="shared" ref="CA386:CA449" si="178">I386</f>
        <v>US</v>
      </c>
      <c r="CB386" s="15" t="s">
        <v>131</v>
      </c>
      <c r="CC386" s="62"/>
      <c r="CD386" s="15" t="s">
        <v>132</v>
      </c>
      <c r="CE386" s="64">
        <v>0</v>
      </c>
      <c r="CF386" s="4">
        <v>0</v>
      </c>
      <c r="CG386" s="132">
        <f t="shared" ref="CG386:CG449" si="179">CE386*CF386</f>
        <v>0</v>
      </c>
      <c r="CH386" s="4" t="s">
        <v>132</v>
      </c>
      <c r="CI386" s="5">
        <v>0</v>
      </c>
      <c r="CJ386" s="4">
        <v>0</v>
      </c>
      <c r="CK386" s="132">
        <f t="shared" ref="CK386:CK449" si="180">CI386*CJ386</f>
        <v>0</v>
      </c>
      <c r="CL386" s="4" t="s">
        <v>132</v>
      </c>
      <c r="CM386" s="5">
        <v>0</v>
      </c>
      <c r="CN386" s="4">
        <v>0</v>
      </c>
      <c r="CO386" s="132">
        <f t="shared" ref="CO386:CO449" si="181">CM386*CN386</f>
        <v>0</v>
      </c>
      <c r="CP386" s="4" t="s">
        <v>132</v>
      </c>
      <c r="CQ386" s="5">
        <v>0</v>
      </c>
      <c r="CR386" s="4">
        <v>0</v>
      </c>
      <c r="CS386" s="132">
        <f t="shared" ref="CS386:CS449" si="182">CQ386*CR386</f>
        <v>0</v>
      </c>
      <c r="CT386" s="132">
        <f t="shared" ref="CT386:CT449" si="183">CG386+CK386+CO386+CS386</f>
        <v>0</v>
      </c>
      <c r="CU386" s="168">
        <f t="shared" ref="CU386:CU449" si="184">(CT386+BL386)-CC386</f>
        <v>650</v>
      </c>
      <c r="CV386" s="177">
        <f t="shared" si="167"/>
        <v>0</v>
      </c>
      <c r="CW386" s="82">
        <f t="shared" si="168"/>
        <v>604.5</v>
      </c>
      <c r="CX386" s="79">
        <f>IF(ISBLANK(E386),"AddQuickPay",IF(E386=2,CU386*0.98,IF(E386=2.4,CU386*0.976,IF(E386=3,CU386*0.97,IF(E386=5,CU386*0.95,IF(E386=1.5,CU386*0.985,IF(E386=2.5,CU386*0.975,IF(E386=1.3,CU386*0.987,IF(E386=1,CU386*0.99,IF(E386=4,CU386*0.96,CU386*1))))))))))-Table1[[#This Row],[ComCheck+QuickPayFee]]</f>
        <v>630.5</v>
      </c>
      <c r="CY386" s="5">
        <f t="shared" ref="CY386:CY449" si="185">CU386-CW386</f>
        <v>45.5</v>
      </c>
      <c r="CZ386" s="5">
        <f t="shared" ref="CZ386:CZ449" si="186">IF(ISBLANK(E386),"AddQuickPay",IF(E386=2,CU386*0.02,IF(E386=2.4,CU386*0.024,IF(E386=3,CU386*0.03,IF(E386=5,CU386*0.05,IF(E386=1.5,CU386*0.015,IF(E386=2.5,CU386*0.025,IF(E386=4,CU386*0.04,IF(E386=1.3,CU386*0.013,IF(E386=1,CU386*0.01,CU386*0))))))))))</f>
        <v>19.5</v>
      </c>
      <c r="DA386" s="258">
        <f>Table1[[#This Row],[OriginalDispatch]]-Table1[[#This Row],[QuickPayCharge]]</f>
        <v>26</v>
      </c>
      <c r="DB386" s="5">
        <v>0</v>
      </c>
      <c r="DC386" s="237" t="s">
        <v>1287</v>
      </c>
      <c r="DD386" s="172">
        <f t="shared" ref="DD386:DD449" si="187">(5-WEEKDAY(M386,2))+M386</f>
        <v>42482</v>
      </c>
      <c r="DE386" s="171">
        <f>MONTH(Table1[[#This Row],[Weekending]])</f>
        <v>4</v>
      </c>
      <c r="DF386" s="171">
        <f>YEAR(Table1[[#This Row],[Weekending]])</f>
        <v>2016</v>
      </c>
      <c r="DG386" s="4"/>
    </row>
    <row r="387" spans="1:111">
      <c r="A387" s="548" t="str">
        <f t="shared" si="169"/>
        <v>62189793</v>
      </c>
      <c r="B387" s="549">
        <v>42485</v>
      </c>
      <c r="C387" s="550">
        <v>1750862</v>
      </c>
      <c r="D387" s="548" t="s">
        <v>384</v>
      </c>
      <c r="E387" s="550">
        <v>1.5</v>
      </c>
      <c r="F387" s="551" t="str">
        <f>INDEX(BrokerTBL!$B:$B,MATCH(D387,BrokerTBL!$A:$A,0))</f>
        <v>11707 21St Ave Ct So</v>
      </c>
      <c r="G387" s="550" t="str">
        <f>INDEX(BrokerTBL!$C:$C,MATCH(D387,BrokerTBL!$A:$A,0))</f>
        <v>Tacoma</v>
      </c>
      <c r="H387" s="235" t="str">
        <f>INDEX(BrokerTBL!$D:$D,MATCH(D387,BrokerTBL!$A:$A,0))</f>
        <v>Wa</v>
      </c>
      <c r="I387" s="235" t="str">
        <f>INDEX(BrokerTBL!$E:$E,MATCH(D387,BrokerTBL!$A:$A,0))</f>
        <v>US</v>
      </c>
      <c r="J387" s="235">
        <f>INDEX(BrokerTBL!$F:$F,MATCH(D387,BrokerTBL!$A:$A,0))</f>
        <v>98444</v>
      </c>
      <c r="K387" s="548" t="s">
        <v>2275</v>
      </c>
      <c r="L387" s="552">
        <v>198232418</v>
      </c>
      <c r="M387" s="549">
        <v>42485</v>
      </c>
      <c r="N387" s="560">
        <v>0.54166666666666663</v>
      </c>
      <c r="O387" s="550" t="s">
        <v>2276</v>
      </c>
      <c r="P387" s="548" t="s">
        <v>214</v>
      </c>
      <c r="Q387" s="548" t="s">
        <v>2206</v>
      </c>
      <c r="R387" s="548">
        <v>93702</v>
      </c>
      <c r="S387" s="548" t="s">
        <v>2207</v>
      </c>
      <c r="T387" s="298" t="s">
        <v>123</v>
      </c>
      <c r="U387" s="548" t="s">
        <v>120</v>
      </c>
      <c r="V387" s="548">
        <v>53</v>
      </c>
      <c r="W387" s="548" t="s">
        <v>2278</v>
      </c>
      <c r="X387" s="553">
        <v>28944</v>
      </c>
      <c r="Y387" s="550" t="s">
        <v>2220</v>
      </c>
      <c r="Z387" s="548">
        <v>15</v>
      </c>
      <c r="AA387" s="548" t="s">
        <v>123</v>
      </c>
      <c r="AB387" s="548" t="s">
        <v>123</v>
      </c>
      <c r="AC387" s="548" t="s">
        <v>2279</v>
      </c>
      <c r="AD387" s="552">
        <v>163142497</v>
      </c>
      <c r="AE387" s="549">
        <v>42486</v>
      </c>
      <c r="AF387" s="560">
        <v>0.375</v>
      </c>
      <c r="AG387" s="548" t="s">
        <v>2280</v>
      </c>
      <c r="AH387" s="548" t="s">
        <v>2281</v>
      </c>
      <c r="AI387" s="548" t="s">
        <v>2233</v>
      </c>
      <c r="AJ387" s="548">
        <v>89423</v>
      </c>
      <c r="AK387" s="548" t="s">
        <v>2207</v>
      </c>
      <c r="AL387" s="548" t="s">
        <v>123</v>
      </c>
      <c r="AM387" s="171" t="str">
        <f>INDEX(CarrierDriverTBL!$B:$B,MATCH(Table1[[#This Row],[DriverID]],CarrierDriverTBL!$A:$A,0))</f>
        <v>UBTrucking</v>
      </c>
      <c r="AN387" s="10" t="s">
        <v>2234</v>
      </c>
      <c r="AO387" s="171" t="str">
        <f>INDEX(CarrierDriverTBL!$C:$C,MATCH(Table1[[#This Row],[DriverID]],CarrierDriverTBL!$A:$A,0))</f>
        <v>Arturo</v>
      </c>
      <c r="AP387" s="171" t="str">
        <f>INDEX(CarrierDriverTBL!$D:$D,MATCH(Table1[[#This Row],[DriverID]],CarrierDriverTBL!$A:$A,0))</f>
        <v>Carrillo</v>
      </c>
      <c r="AQ387" s="171" t="str">
        <f>INDEX(CarrierDriverTBL!$X:$X,MATCH(Table1[[#This Row],[DriverID]],CarrierDriverTBL!$A:$A,0))</f>
        <v>C7056793</v>
      </c>
      <c r="AR387" s="160">
        <f>INDEX(CarrierDriverTBL!$Y:$Y,MATCH(Table1[[#This Row],[DriverID]],CarrierDriverTBL!$A:$A,0))</f>
        <v>43410</v>
      </c>
      <c r="AS387" s="142" t="str">
        <f t="shared" si="170"/>
        <v>GOOD</v>
      </c>
      <c r="AT387" s="172">
        <f>INDEX(CarrierDriverTBL!$E:$E,MATCH(Table1[[#This Row],[DriverID]],CarrierDriverTBL!$A:$A,0))</f>
        <v>24782</v>
      </c>
      <c r="AU387" s="163">
        <f ca="1">INDEX(CarrierDriverTBL!$F:$F,MATCH(Table1[[#This Row],[DriverID]],CarrierDriverTBL!$A:$A,0))</f>
        <v>48.750684931506846</v>
      </c>
      <c r="AV387" s="171" t="str">
        <f>INDEX(CarrierDriverTBL!$K:$K,MATCH(Table1[[#This Row],[DriverID]],CarrierDriverTBL!$A:$A,0))</f>
        <v>209-276-9785</v>
      </c>
      <c r="AW387" s="171" t="str">
        <f>INDEX(CarrierDriverTBL!$M:$M,MATCH(Table1[[#This Row],[DriverID]],CarrierDriverTBL!$A:$A,0))</f>
        <v>1685 Winthrop Ln</v>
      </c>
      <c r="AX387" s="171" t="str">
        <f>INDEX(CarrierDriverTBL!$N:$N,MATCH(Table1[[#This Row],[DriverID]],CarrierDriverTBL!$A:$A,0))</f>
        <v>Ceres</v>
      </c>
      <c r="AY387" s="171" t="str">
        <f>INDEX(CarrierDriverTBL!$O:$O,MATCH(Table1[[#This Row],[DriverID]],CarrierDriverTBL!$A:$A,0))</f>
        <v>CA</v>
      </c>
      <c r="AZ387" s="171">
        <f>INDEX(CarrierDriverTBL!$P:$P,MATCH(Table1[[#This Row],[DriverID]],CarrierDriverTBL!$A:$A,0))</f>
        <v>95307</v>
      </c>
      <c r="BA387" s="171" t="str">
        <f>INDEX(CarrierDriverTBL!$Q:$Q,MATCH(Table1[[#This Row],[DriverID]],CarrierDriverTBL!$A:$A,0))</f>
        <v>US</v>
      </c>
      <c r="BB387" s="173" t="str">
        <f>INDEX(CarrierDriverTBL!$R:$R,MATCH(Table1[[#This Row],[DriverID]],CarrierDriverTBL!$A:$A,0))</f>
        <v>arturocarr777@gmail.com</v>
      </c>
      <c r="BC387" s="160">
        <f>INDEX(CarrierDriverTBL!$AB:$AB,MATCH(Table1[[#This Row],[DriverID]],CarrierDriverTBL!$A:$A,0))</f>
        <v>42418</v>
      </c>
      <c r="BD387" s="142" t="str">
        <f ca="1">INDEX(CarrierDriverTBL!$AD:$AD,MATCH(LoadMaster!$AN:$AN,CarrierDriverTBL!$A:$A,0))</f>
        <v>MISSING</v>
      </c>
      <c r="BE387" s="171">
        <f>INDEX(CarrierDriverTBL!$AE:$AE,MATCH(Table1[DriverID],CarrierDriverTBL!$A:$A,0))</f>
        <v>913971</v>
      </c>
      <c r="BF387" s="171">
        <f>INDEX(CarrierDriverTBL!$AF:$AF,MATCH(Table1[DriverID],CarrierDriverTBL!$A:$A,0))</f>
        <v>2627544</v>
      </c>
      <c r="BG387" s="10">
        <f>INDEX(CarrierDriverTBL!$AG:$AG,MATCH(Table1[DriverID],CarrierDriverTBL!$A:$A,0))</f>
        <v>466133</v>
      </c>
      <c r="BH387" s="171" t="str">
        <f>INDEX(CarrierDriverTBL!$AH:$AH,MATCH(Table1[DriverID],CarrierDriverTBL!$A:$A,0))</f>
        <v>GM Lawrence Ins</v>
      </c>
      <c r="BI387" s="171" t="str">
        <f>INDEX(CarrierDriverTBL!$AI:$AI,MATCH(Table1[DriverID],CarrierDriverTBL!$A:$A,0))</f>
        <v>DSK2842P160210</v>
      </c>
      <c r="BJ387" s="172">
        <f>INDEX(CarrierDriverTBL!$AJ:$AJ,MATCH(Table1[[#This Row],[DriverID]],CarrierDriverTBL!$A:$A,0))</f>
        <v>42778</v>
      </c>
      <c r="BK387" s="10">
        <f t="shared" si="171"/>
        <v>293</v>
      </c>
      <c r="BL387" s="237">
        <v>725</v>
      </c>
      <c r="BM387" s="554">
        <v>255.8</v>
      </c>
      <c r="BN387" s="558">
        <f t="shared" si="164"/>
        <v>2.8342455043002346</v>
      </c>
      <c r="BO387" s="241">
        <f>0.93*Table1[[#This Row],[ChargeBroker]]</f>
        <v>674.25</v>
      </c>
      <c r="BP387" s="558">
        <f t="shared" si="165"/>
        <v>2.6358483189992179</v>
      </c>
      <c r="BQ387" s="133">
        <v>2.6</v>
      </c>
      <c r="BR387" s="559">
        <f t="shared" si="166"/>
        <v>0.1166666666666667</v>
      </c>
      <c r="BS387" s="558">
        <f t="shared" si="172"/>
        <v>2.5191816523325512</v>
      </c>
      <c r="BT387" s="558">
        <f t="shared" si="173"/>
        <v>29.843333333333341</v>
      </c>
      <c r="BU387" s="236" t="str">
        <f t="shared" si="174"/>
        <v>Interstate Distributor Co</v>
      </c>
      <c r="BV387" s="550"/>
      <c r="BW387" s="235" t="str">
        <f>Table1[[#This Row],[BrokerAddress]]</f>
        <v>11707 21St Ave Ct So</v>
      </c>
      <c r="BX387" s="235" t="str">
        <f t="shared" si="175"/>
        <v>Tacoma</v>
      </c>
      <c r="BY387" s="235" t="str">
        <f t="shared" si="176"/>
        <v>Wa</v>
      </c>
      <c r="BZ387" s="235">
        <f t="shared" si="177"/>
        <v>98444</v>
      </c>
      <c r="CA387" s="236" t="str">
        <f t="shared" si="178"/>
        <v>US</v>
      </c>
      <c r="CB387" s="15" t="s">
        <v>131</v>
      </c>
      <c r="CC387" s="62"/>
      <c r="CD387" s="15" t="s">
        <v>132</v>
      </c>
      <c r="CE387" s="64">
        <v>0</v>
      </c>
      <c r="CF387" s="4">
        <v>0</v>
      </c>
      <c r="CG387" s="132">
        <f t="shared" si="179"/>
        <v>0</v>
      </c>
      <c r="CH387" s="4" t="s">
        <v>132</v>
      </c>
      <c r="CI387" s="5">
        <v>0</v>
      </c>
      <c r="CJ387" s="4">
        <v>0</v>
      </c>
      <c r="CK387" s="132">
        <f t="shared" si="180"/>
        <v>0</v>
      </c>
      <c r="CL387" s="4" t="s">
        <v>132</v>
      </c>
      <c r="CM387" s="5">
        <v>0</v>
      </c>
      <c r="CN387" s="4">
        <v>0</v>
      </c>
      <c r="CO387" s="132">
        <f t="shared" si="181"/>
        <v>0</v>
      </c>
      <c r="CP387" s="4" t="s">
        <v>132</v>
      </c>
      <c r="CQ387" s="5">
        <v>0</v>
      </c>
      <c r="CR387" s="4">
        <v>0</v>
      </c>
      <c r="CS387" s="132">
        <f t="shared" si="182"/>
        <v>0</v>
      </c>
      <c r="CT387" s="132">
        <f t="shared" si="183"/>
        <v>0</v>
      </c>
      <c r="CU387" s="238">
        <f t="shared" si="184"/>
        <v>725</v>
      </c>
      <c r="CV387" s="239">
        <f t="shared" si="167"/>
        <v>0</v>
      </c>
      <c r="CW387" s="240">
        <f t="shared" si="168"/>
        <v>674.25</v>
      </c>
      <c r="CX387" s="79">
        <f>IF(ISBLANK(E387),"AddQuickPay",IF(E387=2,CU387*0.98,IF(E387=2.4,CU387*0.976,IF(E387=3,CU387*0.97,IF(E387=5,CU387*0.95,IF(E387=1.5,CU387*0.985,IF(E387=2.5,CU387*0.975,IF(E387=1.3,CU387*0.987,IF(E387=1,CU387*0.99,IF(E387=4,CU387*0.96,CU387*1))))))))))-Table1[[#This Row],[ComCheck+QuickPayFee]]</f>
        <v>714.125</v>
      </c>
      <c r="CY387" s="237">
        <f t="shared" si="185"/>
        <v>50.75</v>
      </c>
      <c r="CZ387" s="237">
        <f t="shared" si="186"/>
        <v>10.875</v>
      </c>
      <c r="DA387" s="263">
        <f>Table1[[#This Row],[OriginalDispatch]]-Table1[[#This Row],[QuickPayCharge]]</f>
        <v>39.875</v>
      </c>
      <c r="DB387" s="5">
        <v>0</v>
      </c>
      <c r="DC387" s="237" t="s">
        <v>1287</v>
      </c>
      <c r="DD387" s="556">
        <f t="shared" si="187"/>
        <v>42489</v>
      </c>
      <c r="DE387" s="554">
        <f>MONTH(Table1[[#This Row],[Weekending]])</f>
        <v>4</v>
      </c>
      <c r="DF387" s="554">
        <f>YEAR(Table1[[#This Row],[Weekending]])</f>
        <v>2016</v>
      </c>
      <c r="DG387" s="235"/>
    </row>
    <row r="388" spans="1:111">
      <c r="A388" s="548" t="str">
        <f t="shared" si="169"/>
        <v>64559519</v>
      </c>
      <c r="B388" s="549">
        <v>42485</v>
      </c>
      <c r="C388" s="550">
        <v>1750864</v>
      </c>
      <c r="D388" s="548" t="s">
        <v>384</v>
      </c>
      <c r="E388" s="550">
        <v>1.5</v>
      </c>
      <c r="F388" s="551" t="str">
        <f>INDEX(BrokerTBL!$B:$B,MATCH(D388,BrokerTBL!$A:$A,0))</f>
        <v>11707 21St Ave Ct So</v>
      </c>
      <c r="G388" s="550" t="str">
        <f>INDEX(BrokerTBL!$C:$C,MATCH(D388,BrokerTBL!$A:$A,0))</f>
        <v>Tacoma</v>
      </c>
      <c r="H388" s="235" t="str">
        <f>INDEX(BrokerTBL!$D:$D,MATCH(D388,BrokerTBL!$A:$A,0))</f>
        <v>Wa</v>
      </c>
      <c r="I388" s="235" t="str">
        <f>INDEX(BrokerTBL!$E:$E,MATCH(D388,BrokerTBL!$A:$A,0))</f>
        <v>US</v>
      </c>
      <c r="J388" s="235">
        <f>INDEX(BrokerTBL!$F:$F,MATCH(D388,BrokerTBL!$A:$A,0))</f>
        <v>98444</v>
      </c>
      <c r="K388" s="548" t="s">
        <v>2275</v>
      </c>
      <c r="L388" s="552">
        <v>197834555</v>
      </c>
      <c r="M388" s="549">
        <v>42485</v>
      </c>
      <c r="N388" s="560">
        <v>0.625</v>
      </c>
      <c r="O388" s="550" t="s">
        <v>2276</v>
      </c>
      <c r="P388" s="548" t="s">
        <v>2277</v>
      </c>
      <c r="Q388" s="548" t="s">
        <v>2206</v>
      </c>
      <c r="R388" s="548">
        <v>93702</v>
      </c>
      <c r="S388" s="548" t="s">
        <v>2207</v>
      </c>
      <c r="T388" s="298" t="s">
        <v>123</v>
      </c>
      <c r="U388" s="548" t="s">
        <v>120</v>
      </c>
      <c r="V388" s="548">
        <v>53</v>
      </c>
      <c r="W388" s="548" t="s">
        <v>2278</v>
      </c>
      <c r="X388" s="553">
        <v>38760</v>
      </c>
      <c r="Y388" s="550" t="s">
        <v>2220</v>
      </c>
      <c r="Z388" s="548">
        <v>17</v>
      </c>
      <c r="AA388" s="548" t="s">
        <v>123</v>
      </c>
      <c r="AB388" s="548" t="s">
        <v>123</v>
      </c>
      <c r="AC388" s="548" t="s">
        <v>2279</v>
      </c>
      <c r="AD388" s="552">
        <v>163142495</v>
      </c>
      <c r="AE388" s="549">
        <v>42486</v>
      </c>
      <c r="AF388" s="560">
        <v>0.27083333333333331</v>
      </c>
      <c r="AG388" s="548" t="s">
        <v>2280</v>
      </c>
      <c r="AH388" s="548" t="s">
        <v>2281</v>
      </c>
      <c r="AI388" s="548" t="s">
        <v>2233</v>
      </c>
      <c r="AJ388" s="548">
        <v>89423</v>
      </c>
      <c r="AK388" s="548" t="s">
        <v>2207</v>
      </c>
      <c r="AL388" s="548" t="s">
        <v>123</v>
      </c>
      <c r="AM388" s="554" t="str">
        <f>INDEX(CarrierDriverTBL!$B:$B,MATCH(Table1[[#This Row],[DriverID]],CarrierDriverTBL!$A:$A,0))</f>
        <v>UBTrucking</v>
      </c>
      <c r="AN388" s="10" t="s">
        <v>1409</v>
      </c>
      <c r="AO388" s="298" t="str">
        <f>INDEX(CarrierDriverTBL!$C:$C,MATCH(Table1[[#This Row],[DriverID]],CarrierDriverTBL!$A:$A,0))</f>
        <v>Miguel Jaime</v>
      </c>
      <c r="AP388" s="298" t="str">
        <f>INDEX(CarrierDriverTBL!$D:$D,MATCH(Table1[[#This Row],[DriverID]],CarrierDriverTBL!$A:$A,0))</f>
        <v>Martin Del Campo Velarca</v>
      </c>
      <c r="AQ388" s="142" t="str">
        <f>INDEX(CarrierDriverTBL!$X:$X,MATCH(Table1[[#This Row],[DriverID]],CarrierDriverTBL!$A:$A,0))</f>
        <v>D5179619</v>
      </c>
      <c r="AR388" s="160">
        <f>INDEX(CarrierDriverTBL!$Y:$Y,MATCH(Table1[[#This Row],[DriverID]],CarrierDriverTBL!$A:$A,0))</f>
        <v>43843</v>
      </c>
      <c r="AS388" s="142" t="str">
        <f t="shared" si="170"/>
        <v>GOOD</v>
      </c>
      <c r="AT388" s="146">
        <f>INDEX(CarrierDriverTBL!$E:$E,MATCH(Table1[[#This Row],[DriverID]],CarrierDriverTBL!$A:$A,0))</f>
        <v>21198</v>
      </c>
      <c r="AU388" s="163">
        <f ca="1">INDEX(CarrierDriverTBL!$F:$F,MATCH(Table1[[#This Row],[DriverID]],CarrierDriverTBL!$A:$A,0))</f>
        <v>58.56986301369863</v>
      </c>
      <c r="AV388" s="298" t="str">
        <f>INDEX(CarrierDriverTBL!$K:$K,MATCH(Table1[[#This Row],[DriverID]],CarrierDriverTBL!$A:$A,0))</f>
        <v>209-322-5231</v>
      </c>
      <c r="AW388" s="298" t="str">
        <f>INDEX(CarrierDriverTBL!$M:$M,MATCH(Table1[[#This Row],[DriverID]],CarrierDriverTBL!$A:$A,0))</f>
        <v>572 Predersen RD</v>
      </c>
      <c r="AX388" s="298" t="str">
        <f>INDEX(CarrierDriverTBL!$N:$N,MATCH(Table1[[#This Row],[DriverID]],CarrierDriverTBL!$A:$A,0))</f>
        <v>Oakdale</v>
      </c>
      <c r="AY388" s="142" t="str">
        <f>INDEX(CarrierDriverTBL!$O:$O,MATCH(Table1[[#This Row],[DriverID]],CarrierDriverTBL!$A:$A,0))</f>
        <v>CA</v>
      </c>
      <c r="AZ388" s="298">
        <f>INDEX(CarrierDriverTBL!$P:$P,MATCH(Table1[[#This Row],[DriverID]],CarrierDriverTBL!$A:$A,0))</f>
        <v>95361</v>
      </c>
      <c r="BA388" s="298" t="str">
        <f>INDEX(CarrierDriverTBL!$Q:$Q,MATCH(Table1[[#This Row],[DriverID]],CarrierDriverTBL!$A:$A,0))</f>
        <v>US</v>
      </c>
      <c r="BB388" s="176" t="str">
        <f>INDEX(CarrierDriverTBL!$R:$R,MATCH(Table1[[#This Row],[DriverID]],CarrierDriverTBL!$A:$A,0))</f>
        <v>Miguelmartin52@yahoo.com</v>
      </c>
      <c r="BC388" s="160">
        <f>INDEX(CarrierDriverTBL!$AB:$AB,MATCH(Table1[[#This Row],[DriverID]],CarrierDriverTBL!$A:$A,0))</f>
        <v>42334</v>
      </c>
      <c r="BD388" s="142" t="str">
        <f ca="1">INDEX(CarrierDriverTBL!$AD:$AD,MATCH(LoadMaster!$AN:$AN,CarrierDriverTBL!$A:$A,0))</f>
        <v>MISSING</v>
      </c>
      <c r="BE388" s="142">
        <f>INDEX(CarrierDriverTBL!$AE:$AE,MATCH(Table1[DriverID],CarrierDriverTBL!$A:$A,0))</f>
        <v>913971</v>
      </c>
      <c r="BF388" s="142">
        <f>INDEX(CarrierDriverTBL!$AF:$AF,MATCH(Table1[DriverID],CarrierDriverTBL!$A:$A,0))</f>
        <v>2627544</v>
      </c>
      <c r="BG388" s="142">
        <f>INDEX(CarrierDriverTBL!$AG:$AG,MATCH(Table1[DriverID],CarrierDriverTBL!$A:$A,0))</f>
        <v>466133</v>
      </c>
      <c r="BH388" s="142" t="str">
        <f>INDEX(CarrierDriverTBL!$AH:$AH,MATCH(Table1[DriverID],CarrierDriverTBL!$A:$A,0))</f>
        <v>GM Lawrence Ins</v>
      </c>
      <c r="BI388" s="142" t="str">
        <f>INDEX(CarrierDriverTBL!$AI:$AI,MATCH(Table1[DriverID],CarrierDriverTBL!$A:$A,0))</f>
        <v>DSK2842P160210</v>
      </c>
      <c r="BJ388" s="172">
        <f>INDEX(CarrierDriverTBL!$AJ:$AJ,MATCH(Table1[[#This Row],[DriverID]],CarrierDriverTBL!$A:$A,0))</f>
        <v>42778</v>
      </c>
      <c r="BK388" s="10">
        <f t="shared" si="171"/>
        <v>293</v>
      </c>
      <c r="BL388" s="237">
        <v>725</v>
      </c>
      <c r="BM388" s="554">
        <v>255.8</v>
      </c>
      <c r="BN388" s="558">
        <f t="shared" si="164"/>
        <v>2.8342455043002346</v>
      </c>
      <c r="BO388" s="241">
        <f>0.93*Table1[[#This Row],[ChargeBroker]]</f>
        <v>674.25</v>
      </c>
      <c r="BP388" s="558">
        <f t="shared" si="165"/>
        <v>2.6358483189992179</v>
      </c>
      <c r="BQ388" s="133">
        <v>2.6</v>
      </c>
      <c r="BR388" s="559">
        <f t="shared" si="166"/>
        <v>0.1166666666666667</v>
      </c>
      <c r="BS388" s="558">
        <f t="shared" si="172"/>
        <v>2.5191816523325512</v>
      </c>
      <c r="BT388" s="558">
        <f t="shared" si="173"/>
        <v>29.843333333333341</v>
      </c>
      <c r="BU388" s="236" t="str">
        <f t="shared" si="174"/>
        <v>Interstate Distributor Co</v>
      </c>
      <c r="BV388" s="550"/>
      <c r="BW388" s="235" t="str">
        <f>Table1[[#This Row],[BrokerAddress]]</f>
        <v>11707 21St Ave Ct So</v>
      </c>
      <c r="BX388" s="235" t="str">
        <f t="shared" si="175"/>
        <v>Tacoma</v>
      </c>
      <c r="BY388" s="235" t="str">
        <f t="shared" si="176"/>
        <v>Wa</v>
      </c>
      <c r="BZ388" s="235">
        <f t="shared" si="177"/>
        <v>98444</v>
      </c>
      <c r="CA388" s="236" t="str">
        <f t="shared" si="178"/>
        <v>US</v>
      </c>
      <c r="CB388" s="15" t="s">
        <v>131</v>
      </c>
      <c r="CC388" s="62"/>
      <c r="CD388" s="15" t="s">
        <v>132</v>
      </c>
      <c r="CE388" s="64">
        <v>0</v>
      </c>
      <c r="CF388" s="4">
        <v>0</v>
      </c>
      <c r="CG388" s="132">
        <f t="shared" si="179"/>
        <v>0</v>
      </c>
      <c r="CH388" s="4" t="s">
        <v>132</v>
      </c>
      <c r="CI388" s="5">
        <v>0</v>
      </c>
      <c r="CJ388" s="4">
        <v>0</v>
      </c>
      <c r="CK388" s="132">
        <f t="shared" si="180"/>
        <v>0</v>
      </c>
      <c r="CL388" s="4" t="s">
        <v>132</v>
      </c>
      <c r="CM388" s="5">
        <v>0</v>
      </c>
      <c r="CN388" s="4">
        <v>0</v>
      </c>
      <c r="CO388" s="132">
        <f t="shared" si="181"/>
        <v>0</v>
      </c>
      <c r="CP388" s="4" t="s">
        <v>132</v>
      </c>
      <c r="CQ388" s="5">
        <v>0</v>
      </c>
      <c r="CR388" s="4">
        <v>0</v>
      </c>
      <c r="CS388" s="132">
        <f t="shared" si="182"/>
        <v>0</v>
      </c>
      <c r="CT388" s="132">
        <f t="shared" si="183"/>
        <v>0</v>
      </c>
      <c r="CU388" s="238">
        <f t="shared" si="184"/>
        <v>725</v>
      </c>
      <c r="CV388" s="239">
        <f t="shared" si="167"/>
        <v>0</v>
      </c>
      <c r="CW388" s="240">
        <f t="shared" si="168"/>
        <v>674.25</v>
      </c>
      <c r="CX388" s="79">
        <f>IF(ISBLANK(E388),"AddQuickPay",IF(E388=2,CU388*0.98,IF(E388=2.4,CU388*0.976,IF(E388=3,CU388*0.97,IF(E388=5,CU388*0.95,IF(E388=1.5,CU388*0.985,IF(E388=2.5,CU388*0.975,IF(E388=1.3,CU388*0.987,IF(E388=1,CU388*0.99,IF(E388=4,CU388*0.96,CU388*1))))))))))-Table1[[#This Row],[ComCheck+QuickPayFee]]</f>
        <v>714.125</v>
      </c>
      <c r="CY388" s="237">
        <f t="shared" si="185"/>
        <v>50.75</v>
      </c>
      <c r="CZ388" s="237">
        <f t="shared" si="186"/>
        <v>10.875</v>
      </c>
      <c r="DA388" s="263">
        <f>Table1[[#This Row],[OriginalDispatch]]-Table1[[#This Row],[QuickPayCharge]]</f>
        <v>39.875</v>
      </c>
      <c r="DB388" s="5">
        <v>0</v>
      </c>
      <c r="DC388" s="237" t="s">
        <v>1287</v>
      </c>
      <c r="DD388" s="556">
        <f t="shared" si="187"/>
        <v>42489</v>
      </c>
      <c r="DE388" s="554">
        <f>MONTH(Table1[[#This Row],[Weekending]])</f>
        <v>4</v>
      </c>
      <c r="DF388" s="554">
        <f>YEAR(Table1[[#This Row],[Weekending]])</f>
        <v>2016</v>
      </c>
      <c r="DG388" s="235"/>
    </row>
    <row r="389" spans="1:111">
      <c r="A389" s="416" t="str">
        <f t="shared" si="169"/>
        <v>2094wn49</v>
      </c>
      <c r="B389" s="549">
        <v>42487</v>
      </c>
      <c r="C389" s="15">
        <v>55420</v>
      </c>
      <c r="D389" s="416" t="s">
        <v>2050</v>
      </c>
      <c r="E389" s="15">
        <v>3</v>
      </c>
      <c r="F389" s="144" t="str">
        <f>INDEX(BrokerTBL!$B:$B,MATCH(D389,BrokerTBL!$A:$A,0))</f>
        <v xml:space="preserve">620 Spice Island Dr. </v>
      </c>
      <c r="G389" s="15" t="str">
        <f>INDEX(BrokerTBL!$C:$C,MATCH(D389,BrokerTBL!$A:$A,0))</f>
        <v>Sparks</v>
      </c>
      <c r="H389" s="4" t="str">
        <f>INDEX(BrokerTBL!$D:$D,MATCH(D389,BrokerTBL!$A:$A,0))</f>
        <v>Nv</v>
      </c>
      <c r="I389" s="4" t="str">
        <f>INDEX(BrokerTBL!$E:$E,MATCH(D389,BrokerTBL!$A:$A,0))</f>
        <v>US</v>
      </c>
      <c r="J389" s="4">
        <f>INDEX(BrokerTBL!$F:$F,MATCH(D389,BrokerTBL!$A:$A,0))</f>
        <v>89431</v>
      </c>
      <c r="K389" s="416" t="s">
        <v>2636</v>
      </c>
      <c r="L389" s="81" t="s">
        <v>2637</v>
      </c>
      <c r="M389" s="104">
        <v>42485</v>
      </c>
      <c r="N389" s="162" t="s">
        <v>123</v>
      </c>
      <c r="O389" s="15" t="s">
        <v>2638</v>
      </c>
      <c r="P389" s="416" t="s">
        <v>2639</v>
      </c>
      <c r="Q389" s="416" t="s">
        <v>2206</v>
      </c>
      <c r="R389" s="416">
        <v>94587</v>
      </c>
      <c r="S389" s="416" t="s">
        <v>2207</v>
      </c>
      <c r="T389" s="298" t="s">
        <v>123</v>
      </c>
      <c r="U389" s="416" t="s">
        <v>120</v>
      </c>
      <c r="V389" s="416">
        <v>53</v>
      </c>
      <c r="W389" s="298" t="s">
        <v>123</v>
      </c>
      <c r="X389" s="225">
        <v>43000</v>
      </c>
      <c r="Y389" s="15" t="s">
        <v>123</v>
      </c>
      <c r="Z389" s="416" t="s">
        <v>123</v>
      </c>
      <c r="AA389" s="416" t="s">
        <v>123</v>
      </c>
      <c r="AB389" s="416" t="s">
        <v>123</v>
      </c>
      <c r="AC389" s="416" t="s">
        <v>2640</v>
      </c>
      <c r="AD389" s="81" t="s">
        <v>1205</v>
      </c>
      <c r="AE389" s="104">
        <v>42486</v>
      </c>
      <c r="AF389" s="416" t="s">
        <v>123</v>
      </c>
      <c r="AG389" s="416" t="s">
        <v>2641</v>
      </c>
      <c r="AH389" s="416" t="s">
        <v>2466</v>
      </c>
      <c r="AI389" s="416" t="s">
        <v>2233</v>
      </c>
      <c r="AJ389" s="416">
        <v>89501</v>
      </c>
      <c r="AK389" s="416" t="s">
        <v>2207</v>
      </c>
      <c r="AL389" s="416" t="s">
        <v>123</v>
      </c>
      <c r="AM389" s="554" t="str">
        <f>INDEX(CarrierDriverTBL!$B:$B,MATCH(Table1[[#This Row],[DriverID]],CarrierDriverTBL!$A:$A,0))</f>
        <v>UBTrucking</v>
      </c>
      <c r="AN389" s="10" t="s">
        <v>192</v>
      </c>
      <c r="AO389" s="10" t="str">
        <f>INDEX(CarrierDriverTBL!$C:$C,MATCH(Table1[[#This Row],[DriverID]],CarrierDriverTBL!$A:$A,0))</f>
        <v>Albel</v>
      </c>
      <c r="AP389" s="142" t="str">
        <f>INDEX(CarrierDriverTBL!$D:$D,MATCH(Table1[[#This Row],[DriverID]],CarrierDriverTBL!$A:$A,0))</f>
        <v>Chahil</v>
      </c>
      <c r="AQ389" s="142" t="str">
        <f>INDEX(CarrierDriverTBL!$X:$X,MATCH(Table1[[#This Row],[DriverID]],CarrierDriverTBL!$A:$A,0))</f>
        <v>A8390649</v>
      </c>
      <c r="AR389" s="160">
        <f>INDEX(CarrierDriverTBL!$Y:$Y,MATCH(Table1[[#This Row],[DriverID]],CarrierDriverTBL!$A:$A,0))</f>
        <v>42402</v>
      </c>
      <c r="AS389" s="142" t="str">
        <f t="shared" si="170"/>
        <v>EXPIRED</v>
      </c>
      <c r="AT389" s="160">
        <f>INDEX(CarrierDriverTBL!$E:$E,MATCH(Table1[[#This Row],[DriverID]],CarrierDriverTBL!$A:$A,0))</f>
        <v>22314</v>
      </c>
      <c r="AU389" s="163">
        <f ca="1">INDEX(CarrierDriverTBL!$F:$F,MATCH(Table1[[#This Row],[DriverID]],CarrierDriverTBL!$A:$A,0))</f>
        <v>55.512328767123286</v>
      </c>
      <c r="AV389" s="142" t="str">
        <f>INDEX(CarrierDriverTBL!$K:$K,MATCH(Table1[[#This Row],[DriverID]],CarrierDriverTBL!$A:$A,0))</f>
        <v>510-773-9450</v>
      </c>
      <c r="AW389" s="142" t="str">
        <f>INDEX(CarrierDriverTBL!$M:$M,MATCH(Table1[[#This Row],[DriverID]],CarrierDriverTBL!$A:$A,0))</f>
        <v>3124 Cynthia CT</v>
      </c>
      <c r="AX389" s="142" t="str">
        <f>INDEX(CarrierDriverTBL!$N:$N,MATCH(Table1[[#This Row],[DriverID]],CarrierDriverTBL!$A:$A,0))</f>
        <v>Tracy</v>
      </c>
      <c r="AY389" s="142" t="str">
        <f>INDEX(CarrierDriverTBL!$O:$O,MATCH(Table1[[#This Row],[DriverID]],CarrierDriverTBL!$A:$A,0))</f>
        <v>CA</v>
      </c>
      <c r="AZ389" s="142">
        <f>INDEX(CarrierDriverTBL!$P:$P,MATCH(Table1[[#This Row],[DriverID]],CarrierDriverTBL!$A:$A,0))</f>
        <v>95377</v>
      </c>
      <c r="BA389" s="142" t="str">
        <f>INDEX(CarrierDriverTBL!$Q:$Q,MATCH(Table1[[#This Row],[DriverID]],CarrierDriverTBL!$A:$A,0))</f>
        <v>US</v>
      </c>
      <c r="BB389" s="176" t="str">
        <f>INDEX(CarrierDriverTBL!$R:$R,MATCH(Table1[[#This Row],[DriverID]],CarrierDriverTBL!$A:$A,0))</f>
        <v>ubgollc@gmail.com</v>
      </c>
      <c r="BC389" s="160">
        <f>INDEX(CarrierDriverTBL!$AB:$AB,MATCH(Table1[[#This Row],[DriverID]],CarrierDriverTBL!$A:$A,0))</f>
        <v>42167</v>
      </c>
      <c r="BD389" s="142" t="str">
        <f ca="1">INDEX(CarrierDriverTBL!$AD:$AD,MATCH(LoadMaster!$AN:$AN,CarrierDriverTBL!$A:$A,0))</f>
        <v>MISSING</v>
      </c>
      <c r="BE389" s="142">
        <f>INDEX(CarrierDriverTBL!$AE:$AE,MATCH(Table1[DriverID],CarrierDriverTBL!$A:$A,0))</f>
        <v>913971</v>
      </c>
      <c r="BF389" s="142">
        <f>INDEX(CarrierDriverTBL!$AF:$AF,MATCH(Table1[DriverID],CarrierDriverTBL!$A:$A,0))</f>
        <v>2627544</v>
      </c>
      <c r="BG389" s="142">
        <f>INDEX(CarrierDriverTBL!$AG:$AG,MATCH(Table1[DriverID],CarrierDriverTBL!$A:$A,0))</f>
        <v>466133</v>
      </c>
      <c r="BH389" s="142" t="str">
        <f>INDEX(CarrierDriverTBL!$AH:$AH,MATCH(Table1[DriverID],CarrierDriverTBL!$A:$A,0))</f>
        <v>GM Lawrence Ins</v>
      </c>
      <c r="BI389" s="142" t="str">
        <f>INDEX(CarrierDriverTBL!$AI:$AI,MATCH(Table1[DriverID],CarrierDriverTBL!$A:$A,0))</f>
        <v>DSK2842P160210</v>
      </c>
      <c r="BJ389" s="160">
        <f>INDEX(CarrierDriverTBL!$AJ:$AJ,MATCH(Table1[[#This Row],[DriverID]],CarrierDriverTBL!$A:$A,0))</f>
        <v>42778</v>
      </c>
      <c r="BK389" s="10">
        <f t="shared" si="171"/>
        <v>293</v>
      </c>
      <c r="BL389" s="5">
        <v>600</v>
      </c>
      <c r="BM389" s="171">
        <v>240</v>
      </c>
      <c r="BN389" s="133">
        <f t="shared" si="164"/>
        <v>2.5</v>
      </c>
      <c r="BO389" s="241">
        <f>0.93*Table1[[#This Row],[ChargeBroker]]</f>
        <v>558</v>
      </c>
      <c r="BP389" s="133">
        <f t="shared" si="165"/>
        <v>2.3250000000000002</v>
      </c>
      <c r="BQ389" s="133">
        <v>2.6</v>
      </c>
      <c r="BR389" s="215">
        <f t="shared" si="166"/>
        <v>0.1166666666666667</v>
      </c>
      <c r="BS389" s="133">
        <f t="shared" si="172"/>
        <v>2.2083333333333335</v>
      </c>
      <c r="BT389" s="133">
        <f t="shared" si="173"/>
        <v>28.000000000000007</v>
      </c>
      <c r="BU389" s="10" t="str">
        <f t="shared" si="174"/>
        <v xml:space="preserve">Its National </v>
      </c>
      <c r="BV389" s="15"/>
      <c r="BW389" s="4" t="str">
        <f>Table1[[#This Row],[BrokerAddress]]</f>
        <v xml:space="preserve">620 Spice Island Dr. </v>
      </c>
      <c r="BX389" s="4" t="str">
        <f t="shared" si="175"/>
        <v>Sparks</v>
      </c>
      <c r="BY389" s="4" t="str">
        <f t="shared" si="176"/>
        <v>Nv</v>
      </c>
      <c r="BZ389" s="4">
        <f t="shared" si="177"/>
        <v>89431</v>
      </c>
      <c r="CA389" s="10" t="str">
        <f t="shared" si="178"/>
        <v>US</v>
      </c>
      <c r="CB389" s="15" t="s">
        <v>131</v>
      </c>
      <c r="CC389" s="62"/>
      <c r="CD389" s="15" t="s">
        <v>132</v>
      </c>
      <c r="CE389" s="64">
        <v>0</v>
      </c>
      <c r="CF389" s="4">
        <v>0</v>
      </c>
      <c r="CG389" s="132">
        <f t="shared" si="179"/>
        <v>0</v>
      </c>
      <c r="CH389" s="4" t="s">
        <v>132</v>
      </c>
      <c r="CI389" s="5">
        <v>0</v>
      </c>
      <c r="CJ389" s="4">
        <v>0</v>
      </c>
      <c r="CK389" s="132">
        <f t="shared" si="180"/>
        <v>0</v>
      </c>
      <c r="CL389" s="4" t="s">
        <v>132</v>
      </c>
      <c r="CM389" s="5">
        <v>0</v>
      </c>
      <c r="CN389" s="4">
        <v>0</v>
      </c>
      <c r="CO389" s="132">
        <f t="shared" si="181"/>
        <v>0</v>
      </c>
      <c r="CP389" s="4" t="s">
        <v>132</v>
      </c>
      <c r="CQ389" s="5">
        <v>0</v>
      </c>
      <c r="CR389" s="4">
        <v>0</v>
      </c>
      <c r="CS389" s="132">
        <f t="shared" si="182"/>
        <v>0</v>
      </c>
      <c r="CT389" s="132">
        <f t="shared" si="183"/>
        <v>0</v>
      </c>
      <c r="CU389" s="168">
        <f t="shared" si="184"/>
        <v>600</v>
      </c>
      <c r="CV389" s="177">
        <f t="shared" si="167"/>
        <v>0</v>
      </c>
      <c r="CW389" s="82">
        <f t="shared" si="168"/>
        <v>558</v>
      </c>
      <c r="CX389" s="79">
        <f>IF(ISBLANK(E389),"AddQuickPay",IF(E389=2,CU389*0.98,IF(E389=2.4,CU389*0.976,IF(E389=3,CU389*0.97,IF(E389=5,CU389*0.95,IF(E389=1.5,CU389*0.985,IF(E389=2.5,CU389*0.975,IF(E389=1.3,CU389*0.987,IF(E389=1,CU389*0.99,IF(E389=4,CU389*0.96,CU389*1))))))))))-Table1[[#This Row],[ComCheck+QuickPayFee]]</f>
        <v>582</v>
      </c>
      <c r="CY389" s="5">
        <f t="shared" si="185"/>
        <v>42</v>
      </c>
      <c r="CZ389" s="5">
        <f t="shared" si="186"/>
        <v>18</v>
      </c>
      <c r="DA389" s="258">
        <f>Table1[[#This Row],[OriginalDispatch]]-Table1[[#This Row],[QuickPayCharge]]</f>
        <v>24</v>
      </c>
      <c r="DB389" s="5">
        <v>0</v>
      </c>
      <c r="DC389" s="5" t="s">
        <v>1287</v>
      </c>
      <c r="DD389" s="172">
        <f t="shared" si="187"/>
        <v>42489</v>
      </c>
      <c r="DE389" s="171">
        <f>MONTH(Table1[[#This Row],[Weekending]])</f>
        <v>4</v>
      </c>
      <c r="DF389" s="171">
        <f>YEAR(Table1[[#This Row],[Weekending]])</f>
        <v>2016</v>
      </c>
      <c r="DG389" s="4"/>
    </row>
    <row r="390" spans="1:111">
      <c r="A390" s="548" t="str">
        <f t="shared" si="169"/>
        <v>9817wn93</v>
      </c>
      <c r="B390" s="549">
        <v>42485</v>
      </c>
      <c r="C390" s="550">
        <v>1959498</v>
      </c>
      <c r="D390" s="548" t="s">
        <v>2405</v>
      </c>
      <c r="E390" s="550">
        <v>3</v>
      </c>
      <c r="F390" s="551" t="str">
        <f>INDEX(BrokerTBL!$B:$B,MATCH(D390,BrokerTBL!$A:$A,0))</f>
        <v xml:space="preserve">303 E Wacker Dr. </v>
      </c>
      <c r="G390" s="550" t="str">
        <f>INDEX(BrokerTBL!$C:$C,MATCH(D390,BrokerTBL!$A:$A,0))</f>
        <v>Chicago</v>
      </c>
      <c r="H390" s="235" t="str">
        <f>INDEX(BrokerTBL!$D:$D,MATCH(D390,BrokerTBL!$A:$A,0))</f>
        <v>IL</v>
      </c>
      <c r="I390" s="235" t="str">
        <f>INDEX(BrokerTBL!$E:$E,MATCH(D390,BrokerTBL!$A:$A,0))</f>
        <v>US</v>
      </c>
      <c r="J390" s="235">
        <f>INDEX(BrokerTBL!$F:$F,MATCH(D390,BrokerTBL!$A:$A,0))</f>
        <v>60601</v>
      </c>
      <c r="K390" s="548" t="s">
        <v>2406</v>
      </c>
      <c r="L390" s="552">
        <v>291317</v>
      </c>
      <c r="M390" s="549">
        <v>42486</v>
      </c>
      <c r="N390" s="550" t="s">
        <v>1055</v>
      </c>
      <c r="O390" s="550" t="s">
        <v>2407</v>
      </c>
      <c r="P390" s="548" t="s">
        <v>2408</v>
      </c>
      <c r="Q390" s="548" t="s">
        <v>2233</v>
      </c>
      <c r="R390" s="548">
        <v>89706</v>
      </c>
      <c r="S390" s="548" t="s">
        <v>2207</v>
      </c>
      <c r="T390" s="298" t="s">
        <v>123</v>
      </c>
      <c r="U390" s="548" t="s">
        <v>120</v>
      </c>
      <c r="V390" s="548">
        <v>53</v>
      </c>
      <c r="W390" s="548" t="s">
        <v>2409</v>
      </c>
      <c r="X390" s="553">
        <v>45000</v>
      </c>
      <c r="Y390" s="550" t="s">
        <v>123</v>
      </c>
      <c r="Z390" s="548" t="s">
        <v>123</v>
      </c>
      <c r="AA390" s="548" t="s">
        <v>123</v>
      </c>
      <c r="AB390" s="548" t="s">
        <v>123</v>
      </c>
      <c r="AC390" s="548" t="s">
        <v>2411</v>
      </c>
      <c r="AD390" s="552" t="s">
        <v>1205</v>
      </c>
      <c r="AE390" s="549">
        <v>42487</v>
      </c>
      <c r="AF390" s="549" t="s">
        <v>1316</v>
      </c>
      <c r="AG390" s="548" t="s">
        <v>2412</v>
      </c>
      <c r="AH390" s="548" t="s">
        <v>2168</v>
      </c>
      <c r="AI390" s="548" t="s">
        <v>2206</v>
      </c>
      <c r="AJ390" s="548">
        <v>93235</v>
      </c>
      <c r="AK390" s="548" t="s">
        <v>2207</v>
      </c>
      <c r="AL390" s="548" t="s">
        <v>123</v>
      </c>
      <c r="AM390" s="171" t="str">
        <f>INDEX(CarrierDriverTBL!$B:$B,MATCH(Table1[[#This Row],[DriverID]],CarrierDriverTBL!$A:$A,0))</f>
        <v>UBTrucking</v>
      </c>
      <c r="AN390" s="10" t="s">
        <v>2234</v>
      </c>
      <c r="AO390" s="171" t="str">
        <f>INDEX(CarrierDriverTBL!$C:$C,MATCH(Table1[[#This Row],[DriverID]],CarrierDriverTBL!$A:$A,0))</f>
        <v>Arturo</v>
      </c>
      <c r="AP390" s="171" t="str">
        <f>INDEX(CarrierDriverTBL!$D:$D,MATCH(Table1[[#This Row],[DriverID]],CarrierDriverTBL!$A:$A,0))</f>
        <v>Carrillo</v>
      </c>
      <c r="AQ390" s="171" t="str">
        <f>INDEX(CarrierDriverTBL!$X:$X,MATCH(Table1[[#This Row],[DriverID]],CarrierDriverTBL!$A:$A,0))</f>
        <v>C7056793</v>
      </c>
      <c r="AR390" s="160">
        <f>INDEX(CarrierDriverTBL!$Y:$Y,MATCH(Table1[[#This Row],[DriverID]],CarrierDriverTBL!$A:$A,0))</f>
        <v>43410</v>
      </c>
      <c r="AS390" s="142" t="str">
        <f t="shared" si="170"/>
        <v>GOOD</v>
      </c>
      <c r="AT390" s="172">
        <f>INDEX(CarrierDriverTBL!$E:$E,MATCH(Table1[[#This Row],[DriverID]],CarrierDriverTBL!$A:$A,0))</f>
        <v>24782</v>
      </c>
      <c r="AU390" s="163">
        <f ca="1">INDEX(CarrierDriverTBL!$F:$F,MATCH(Table1[[#This Row],[DriverID]],CarrierDriverTBL!$A:$A,0))</f>
        <v>48.750684931506846</v>
      </c>
      <c r="AV390" s="171" t="str">
        <f>INDEX(CarrierDriverTBL!$K:$K,MATCH(Table1[[#This Row],[DriverID]],CarrierDriverTBL!$A:$A,0))</f>
        <v>209-276-9785</v>
      </c>
      <c r="AW390" s="171" t="str">
        <f>INDEX(CarrierDriverTBL!$M:$M,MATCH(Table1[[#This Row],[DriverID]],CarrierDriverTBL!$A:$A,0))</f>
        <v>1685 Winthrop Ln</v>
      </c>
      <c r="AX390" s="171" t="str">
        <f>INDEX(CarrierDriverTBL!$N:$N,MATCH(Table1[[#This Row],[DriverID]],CarrierDriverTBL!$A:$A,0))</f>
        <v>Ceres</v>
      </c>
      <c r="AY390" s="171" t="str">
        <f>INDEX(CarrierDriverTBL!$O:$O,MATCH(Table1[[#This Row],[DriverID]],CarrierDriverTBL!$A:$A,0))</f>
        <v>CA</v>
      </c>
      <c r="AZ390" s="171">
        <f>INDEX(CarrierDriverTBL!$P:$P,MATCH(Table1[[#This Row],[DriverID]],CarrierDriverTBL!$A:$A,0))</f>
        <v>95307</v>
      </c>
      <c r="BA390" s="171" t="str">
        <f>INDEX(CarrierDriverTBL!$Q:$Q,MATCH(Table1[[#This Row],[DriverID]],CarrierDriverTBL!$A:$A,0))</f>
        <v>US</v>
      </c>
      <c r="BB390" s="173" t="str">
        <f>INDEX(CarrierDriverTBL!$R:$R,MATCH(Table1[[#This Row],[DriverID]],CarrierDriverTBL!$A:$A,0))</f>
        <v>arturocarr777@gmail.com</v>
      </c>
      <c r="BC390" s="160">
        <f>INDEX(CarrierDriverTBL!$AB:$AB,MATCH(Table1[[#This Row],[DriverID]],CarrierDriverTBL!$A:$A,0))</f>
        <v>42418</v>
      </c>
      <c r="BD390" s="142" t="str">
        <f ca="1">INDEX(CarrierDriverTBL!$AD:$AD,MATCH(LoadMaster!$AN:$AN,CarrierDriverTBL!$A:$A,0))</f>
        <v>MISSING</v>
      </c>
      <c r="BE390" s="171">
        <f>INDEX(CarrierDriverTBL!$AE:$AE,MATCH(Table1[DriverID],CarrierDriverTBL!$A:$A,0))</f>
        <v>913971</v>
      </c>
      <c r="BF390" s="171">
        <f>INDEX(CarrierDriverTBL!$AF:$AF,MATCH(Table1[DriverID],CarrierDriverTBL!$A:$A,0))</f>
        <v>2627544</v>
      </c>
      <c r="BG390" s="10">
        <f>INDEX(CarrierDriverTBL!$AG:$AG,MATCH(Table1[DriverID],CarrierDriverTBL!$A:$A,0))</f>
        <v>466133</v>
      </c>
      <c r="BH390" s="171" t="str">
        <f>INDEX(CarrierDriverTBL!$AH:$AH,MATCH(Table1[DriverID],CarrierDriverTBL!$A:$A,0))</f>
        <v>GM Lawrence Ins</v>
      </c>
      <c r="BI390" s="171" t="str">
        <f>INDEX(CarrierDriverTBL!$AI:$AI,MATCH(Table1[DriverID],CarrierDriverTBL!$A:$A,0))</f>
        <v>DSK2842P160210</v>
      </c>
      <c r="BJ390" s="172">
        <f>INDEX(CarrierDriverTBL!$AJ:$AJ,MATCH(Table1[[#This Row],[DriverID]],CarrierDriverTBL!$A:$A,0))</f>
        <v>42778</v>
      </c>
      <c r="BK390" s="10">
        <f t="shared" si="171"/>
        <v>292</v>
      </c>
      <c r="BL390" s="237">
        <v>600</v>
      </c>
      <c r="BM390" s="554">
        <v>311.5</v>
      </c>
      <c r="BN390" s="558">
        <f t="shared" ref="BN390:BN453" si="188">BL390/BM390</f>
        <v>1.926163723916533</v>
      </c>
      <c r="BO390" s="241">
        <f>0.93*Table1[[#This Row],[ChargeBroker]]</f>
        <v>558</v>
      </c>
      <c r="BP390" s="558">
        <f t="shared" ref="BP390:BP453" si="189">BO390/BM390</f>
        <v>1.7913322632423756</v>
      </c>
      <c r="BQ390" s="133">
        <v>2.6</v>
      </c>
      <c r="BR390" s="559">
        <f t="shared" ref="BR390:BR453" si="190">(BQ390-1.9)/6</f>
        <v>0.1166666666666667</v>
      </c>
      <c r="BS390" s="558">
        <f t="shared" si="172"/>
        <v>1.6746655965757089</v>
      </c>
      <c r="BT390" s="558">
        <f t="shared" si="173"/>
        <v>36.341666666666676</v>
      </c>
      <c r="BU390" s="236" t="str">
        <f t="shared" si="174"/>
        <v>XPOLogistics</v>
      </c>
      <c r="BV390" s="550"/>
      <c r="BW390" s="235" t="str">
        <f>Table1[[#This Row],[BrokerAddress]]</f>
        <v xml:space="preserve">303 E Wacker Dr. </v>
      </c>
      <c r="BX390" s="235" t="str">
        <f t="shared" si="175"/>
        <v>Chicago</v>
      </c>
      <c r="BY390" s="235" t="str">
        <f t="shared" si="176"/>
        <v>IL</v>
      </c>
      <c r="BZ390" s="235">
        <f t="shared" si="177"/>
        <v>60601</v>
      </c>
      <c r="CA390" s="236" t="str">
        <f t="shared" si="178"/>
        <v>US</v>
      </c>
      <c r="CB390" s="15" t="s">
        <v>131</v>
      </c>
      <c r="CC390" s="62"/>
      <c r="CD390" s="15" t="s">
        <v>132</v>
      </c>
      <c r="CE390" s="64">
        <v>0</v>
      </c>
      <c r="CF390" s="4">
        <v>0</v>
      </c>
      <c r="CG390" s="132">
        <f t="shared" si="179"/>
        <v>0</v>
      </c>
      <c r="CH390" s="4" t="s">
        <v>132</v>
      </c>
      <c r="CI390" s="5">
        <v>0</v>
      </c>
      <c r="CJ390" s="4">
        <v>0</v>
      </c>
      <c r="CK390" s="132">
        <f t="shared" si="180"/>
        <v>0</v>
      </c>
      <c r="CL390" s="4" t="s">
        <v>132</v>
      </c>
      <c r="CM390" s="5">
        <v>0</v>
      </c>
      <c r="CN390" s="4">
        <v>0</v>
      </c>
      <c r="CO390" s="132">
        <f t="shared" si="181"/>
        <v>0</v>
      </c>
      <c r="CP390" s="4" t="s">
        <v>132</v>
      </c>
      <c r="CQ390" s="5">
        <v>0</v>
      </c>
      <c r="CR390" s="4">
        <v>0</v>
      </c>
      <c r="CS390" s="132">
        <f t="shared" si="182"/>
        <v>0</v>
      </c>
      <c r="CT390" s="132">
        <f t="shared" si="183"/>
        <v>0</v>
      </c>
      <c r="CU390" s="238">
        <f t="shared" si="184"/>
        <v>600</v>
      </c>
      <c r="CV390" s="239">
        <f t="shared" si="167"/>
        <v>0</v>
      </c>
      <c r="CW390" s="240">
        <f t="shared" si="168"/>
        <v>558</v>
      </c>
      <c r="CX390" s="79">
        <f>IF(ISBLANK(E390),"AddQuickPay",IF(E390=2,CU390*0.98,IF(E390=2.4,CU390*0.976,IF(E390=3,CU390*0.97,IF(E390=5,CU390*0.95,IF(E390=1.5,CU390*0.985,IF(E390=2.5,CU390*0.975,IF(E390=1.3,CU390*0.987,IF(E390=1,CU390*0.99,IF(E390=4,CU390*0.96,CU390*1))))))))))-Table1[[#This Row],[ComCheck+QuickPayFee]]</f>
        <v>582</v>
      </c>
      <c r="CY390" s="237">
        <f t="shared" si="185"/>
        <v>42</v>
      </c>
      <c r="CZ390" s="237">
        <f t="shared" si="186"/>
        <v>18</v>
      </c>
      <c r="DA390" s="263">
        <f>Table1[[#This Row],[OriginalDispatch]]-Table1[[#This Row],[QuickPayCharge]]</f>
        <v>24</v>
      </c>
      <c r="DB390" s="5">
        <v>0</v>
      </c>
      <c r="DC390" s="237" t="s">
        <v>1287</v>
      </c>
      <c r="DD390" s="556">
        <f t="shared" si="187"/>
        <v>42489</v>
      </c>
      <c r="DE390" s="554">
        <f>MONTH(Table1[[#This Row],[Weekending]])</f>
        <v>4</v>
      </c>
      <c r="DF390" s="554">
        <f>YEAR(Table1[[#This Row],[Weekending]])</f>
        <v>2016</v>
      </c>
      <c r="DG390" s="235"/>
    </row>
    <row r="391" spans="1:111">
      <c r="A391" s="548" t="str">
        <f t="shared" si="169"/>
        <v>9516wn19</v>
      </c>
      <c r="B391" s="549">
        <v>42485</v>
      </c>
      <c r="C391" s="550">
        <v>1959495</v>
      </c>
      <c r="D391" s="548" t="s">
        <v>2405</v>
      </c>
      <c r="E391" s="550">
        <v>3</v>
      </c>
      <c r="F391" s="551" t="str">
        <f>INDEX(BrokerTBL!$B:$B,MATCH(D391,BrokerTBL!$A:$A,0))</f>
        <v xml:space="preserve">303 E Wacker Dr. </v>
      </c>
      <c r="G391" s="550" t="str">
        <f>INDEX(BrokerTBL!$C:$C,MATCH(D391,BrokerTBL!$A:$A,0))</f>
        <v>Chicago</v>
      </c>
      <c r="H391" s="235" t="str">
        <f>INDEX(BrokerTBL!$D:$D,MATCH(D391,BrokerTBL!$A:$A,0))</f>
        <v>IL</v>
      </c>
      <c r="I391" s="235" t="str">
        <f>INDEX(BrokerTBL!$E:$E,MATCH(D391,BrokerTBL!$A:$A,0))</f>
        <v>US</v>
      </c>
      <c r="J391" s="235">
        <f>INDEX(BrokerTBL!$F:$F,MATCH(D391,BrokerTBL!$A:$A,0))</f>
        <v>60601</v>
      </c>
      <c r="K391" s="548" t="s">
        <v>2406</v>
      </c>
      <c r="L391" s="552">
        <v>291316</v>
      </c>
      <c r="M391" s="549">
        <v>42486</v>
      </c>
      <c r="N391" s="550" t="s">
        <v>1055</v>
      </c>
      <c r="O391" s="550" t="s">
        <v>2407</v>
      </c>
      <c r="P391" s="548" t="s">
        <v>2408</v>
      </c>
      <c r="Q391" s="548" t="s">
        <v>2233</v>
      </c>
      <c r="R391" s="548">
        <v>89706</v>
      </c>
      <c r="S391" s="548" t="s">
        <v>2207</v>
      </c>
      <c r="T391" s="298" t="s">
        <v>123</v>
      </c>
      <c r="U391" s="548" t="s">
        <v>120</v>
      </c>
      <c r="V391" s="548">
        <v>53</v>
      </c>
      <c r="W391" s="548" t="s">
        <v>2409</v>
      </c>
      <c r="X391" s="553">
        <v>45000</v>
      </c>
      <c r="Y391" s="550" t="s">
        <v>337</v>
      </c>
      <c r="Z391" s="548">
        <v>50</v>
      </c>
      <c r="AA391" s="548" t="s">
        <v>123</v>
      </c>
      <c r="AB391" s="548" t="s">
        <v>123</v>
      </c>
      <c r="AC391" s="548" t="s">
        <v>2411</v>
      </c>
      <c r="AD391" s="552" t="s">
        <v>1205</v>
      </c>
      <c r="AE391" s="549">
        <v>42487</v>
      </c>
      <c r="AF391" s="549" t="s">
        <v>1316</v>
      </c>
      <c r="AG391" s="548" t="s">
        <v>2412</v>
      </c>
      <c r="AH391" s="548" t="s">
        <v>2168</v>
      </c>
      <c r="AI391" s="548" t="s">
        <v>2206</v>
      </c>
      <c r="AJ391" s="548">
        <v>93235</v>
      </c>
      <c r="AK391" s="548" t="s">
        <v>2207</v>
      </c>
      <c r="AL391" s="548" t="s">
        <v>123</v>
      </c>
      <c r="AM391" s="554" t="str">
        <f>INDEX(CarrierDriverTBL!$B:$B,MATCH(Table1[[#This Row],[DriverID]],CarrierDriverTBL!$A:$A,0))</f>
        <v>UBTrucking</v>
      </c>
      <c r="AN391" s="10" t="s">
        <v>1409</v>
      </c>
      <c r="AO391" s="298" t="str">
        <f>INDEX(CarrierDriverTBL!$C:$C,MATCH(Table1[[#This Row],[DriverID]],CarrierDriverTBL!$A:$A,0))</f>
        <v>Miguel Jaime</v>
      </c>
      <c r="AP391" s="298" t="str">
        <f>INDEX(CarrierDriverTBL!$D:$D,MATCH(Table1[[#This Row],[DriverID]],CarrierDriverTBL!$A:$A,0))</f>
        <v>Martin Del Campo Velarca</v>
      </c>
      <c r="AQ391" s="142" t="str">
        <f>INDEX(CarrierDriverTBL!$X:$X,MATCH(Table1[[#This Row],[DriverID]],CarrierDriverTBL!$A:$A,0))</f>
        <v>D5179619</v>
      </c>
      <c r="AR391" s="160">
        <f>INDEX(CarrierDriverTBL!$Y:$Y,MATCH(Table1[[#This Row],[DriverID]],CarrierDriverTBL!$A:$A,0))</f>
        <v>43843</v>
      </c>
      <c r="AS391" s="142" t="str">
        <f t="shared" si="170"/>
        <v>GOOD</v>
      </c>
      <c r="AT391" s="146">
        <f>INDEX(CarrierDriverTBL!$E:$E,MATCH(Table1[[#This Row],[DriverID]],CarrierDriverTBL!$A:$A,0))</f>
        <v>21198</v>
      </c>
      <c r="AU391" s="163">
        <f ca="1">INDEX(CarrierDriverTBL!$F:$F,MATCH(Table1[[#This Row],[DriverID]],CarrierDriverTBL!$A:$A,0))</f>
        <v>58.56986301369863</v>
      </c>
      <c r="AV391" s="298" t="str">
        <f>INDEX(CarrierDriverTBL!$K:$K,MATCH(Table1[[#This Row],[DriverID]],CarrierDriverTBL!$A:$A,0))</f>
        <v>209-322-5231</v>
      </c>
      <c r="AW391" s="298" t="str">
        <f>INDEX(CarrierDriverTBL!$M:$M,MATCH(Table1[[#This Row],[DriverID]],CarrierDriverTBL!$A:$A,0))</f>
        <v>572 Predersen RD</v>
      </c>
      <c r="AX391" s="298" t="str">
        <f>INDEX(CarrierDriverTBL!$N:$N,MATCH(Table1[[#This Row],[DriverID]],CarrierDriverTBL!$A:$A,0))</f>
        <v>Oakdale</v>
      </c>
      <c r="AY391" s="142" t="str">
        <f>INDEX(CarrierDriverTBL!$O:$O,MATCH(Table1[[#This Row],[DriverID]],CarrierDriverTBL!$A:$A,0))</f>
        <v>CA</v>
      </c>
      <c r="AZ391" s="298">
        <f>INDEX(CarrierDriverTBL!$P:$P,MATCH(Table1[[#This Row],[DriverID]],CarrierDriverTBL!$A:$A,0))</f>
        <v>95361</v>
      </c>
      <c r="BA391" s="298" t="str">
        <f>INDEX(CarrierDriverTBL!$Q:$Q,MATCH(Table1[[#This Row],[DriverID]],CarrierDriverTBL!$A:$A,0))</f>
        <v>US</v>
      </c>
      <c r="BB391" s="176" t="str">
        <f>INDEX(CarrierDriverTBL!$R:$R,MATCH(Table1[[#This Row],[DriverID]],CarrierDriverTBL!$A:$A,0))</f>
        <v>Miguelmartin52@yahoo.com</v>
      </c>
      <c r="BC391" s="160">
        <f>INDEX(CarrierDriverTBL!$AB:$AB,MATCH(Table1[[#This Row],[DriverID]],CarrierDriverTBL!$A:$A,0))</f>
        <v>42334</v>
      </c>
      <c r="BD391" s="142" t="str">
        <f ca="1">INDEX(CarrierDriverTBL!$AD:$AD,MATCH(LoadMaster!$AN:$AN,CarrierDriverTBL!$A:$A,0))</f>
        <v>MISSING</v>
      </c>
      <c r="BE391" s="142">
        <f>INDEX(CarrierDriverTBL!$AE:$AE,MATCH(Table1[DriverID],CarrierDriverTBL!$A:$A,0))</f>
        <v>913971</v>
      </c>
      <c r="BF391" s="142">
        <f>INDEX(CarrierDriverTBL!$AF:$AF,MATCH(Table1[DriverID],CarrierDriverTBL!$A:$A,0))</f>
        <v>2627544</v>
      </c>
      <c r="BG391" s="142">
        <f>INDEX(CarrierDriverTBL!$AG:$AG,MATCH(Table1[DriverID],CarrierDriverTBL!$A:$A,0))</f>
        <v>466133</v>
      </c>
      <c r="BH391" s="142" t="str">
        <f>INDEX(CarrierDriverTBL!$AH:$AH,MATCH(Table1[DriverID],CarrierDriverTBL!$A:$A,0))</f>
        <v>GM Lawrence Ins</v>
      </c>
      <c r="BI391" s="142" t="str">
        <f>INDEX(CarrierDriverTBL!$AI:$AI,MATCH(Table1[DriverID],CarrierDriverTBL!$A:$A,0))</f>
        <v>DSK2842P160210</v>
      </c>
      <c r="BJ391" s="172">
        <f>INDEX(CarrierDriverTBL!$AJ:$AJ,MATCH(Table1[[#This Row],[DriverID]],CarrierDriverTBL!$A:$A,0))</f>
        <v>42778</v>
      </c>
      <c r="BK391" s="10">
        <f t="shared" si="171"/>
        <v>292</v>
      </c>
      <c r="BL391" s="237">
        <v>600</v>
      </c>
      <c r="BM391" s="554">
        <v>311.5</v>
      </c>
      <c r="BN391" s="558">
        <f t="shared" si="188"/>
        <v>1.926163723916533</v>
      </c>
      <c r="BO391" s="241">
        <f>0.93*Table1[[#This Row],[ChargeBroker]]</f>
        <v>558</v>
      </c>
      <c r="BP391" s="558">
        <f t="shared" si="189"/>
        <v>1.7913322632423756</v>
      </c>
      <c r="BQ391" s="133">
        <v>2.6</v>
      </c>
      <c r="BR391" s="559">
        <f t="shared" si="190"/>
        <v>0.1166666666666667</v>
      </c>
      <c r="BS391" s="558">
        <f t="shared" si="172"/>
        <v>1.6746655965757089</v>
      </c>
      <c r="BT391" s="558">
        <f t="shared" si="173"/>
        <v>36.341666666666676</v>
      </c>
      <c r="BU391" s="236" t="str">
        <f t="shared" si="174"/>
        <v>XPOLogistics</v>
      </c>
      <c r="BV391" s="550"/>
      <c r="BW391" s="235" t="str">
        <f>Table1[[#This Row],[BrokerAddress]]</f>
        <v xml:space="preserve">303 E Wacker Dr. </v>
      </c>
      <c r="BX391" s="235" t="str">
        <f t="shared" si="175"/>
        <v>Chicago</v>
      </c>
      <c r="BY391" s="235" t="str">
        <f t="shared" si="176"/>
        <v>IL</v>
      </c>
      <c r="BZ391" s="235">
        <f t="shared" si="177"/>
        <v>60601</v>
      </c>
      <c r="CA391" s="236" t="str">
        <f t="shared" si="178"/>
        <v>US</v>
      </c>
      <c r="CB391" s="15" t="s">
        <v>131</v>
      </c>
      <c r="CC391" s="62"/>
      <c r="CD391" s="15" t="s">
        <v>132</v>
      </c>
      <c r="CE391" s="64">
        <v>0</v>
      </c>
      <c r="CF391" s="4">
        <v>0</v>
      </c>
      <c r="CG391" s="132">
        <f t="shared" si="179"/>
        <v>0</v>
      </c>
      <c r="CH391" s="4" t="s">
        <v>132</v>
      </c>
      <c r="CI391" s="5">
        <v>0</v>
      </c>
      <c r="CJ391" s="4">
        <v>0</v>
      </c>
      <c r="CK391" s="132">
        <f t="shared" si="180"/>
        <v>0</v>
      </c>
      <c r="CL391" s="4" t="s">
        <v>132</v>
      </c>
      <c r="CM391" s="5">
        <v>0</v>
      </c>
      <c r="CN391" s="4">
        <v>0</v>
      </c>
      <c r="CO391" s="132">
        <f t="shared" si="181"/>
        <v>0</v>
      </c>
      <c r="CP391" s="4" t="s">
        <v>132</v>
      </c>
      <c r="CQ391" s="5">
        <v>0</v>
      </c>
      <c r="CR391" s="4">
        <v>0</v>
      </c>
      <c r="CS391" s="132">
        <f t="shared" si="182"/>
        <v>0</v>
      </c>
      <c r="CT391" s="132">
        <f t="shared" si="183"/>
        <v>0</v>
      </c>
      <c r="CU391" s="238">
        <f t="shared" si="184"/>
        <v>600</v>
      </c>
      <c r="CV391" s="239">
        <f t="shared" si="167"/>
        <v>0</v>
      </c>
      <c r="CW391" s="240">
        <f t="shared" si="168"/>
        <v>558</v>
      </c>
      <c r="CX391" s="79">
        <f>IF(ISBLANK(E391),"AddQuickPay",IF(E391=2,CU391*0.98,IF(E391=2.4,CU391*0.976,IF(E391=3,CU391*0.97,IF(E391=5,CU391*0.95,IF(E391=1.5,CU391*0.985,IF(E391=2.5,CU391*0.975,IF(E391=1.3,CU391*0.987,IF(E391=1,CU391*0.99,IF(E391=4,CU391*0.96,CU391*1))))))))))-Table1[[#This Row],[ComCheck+QuickPayFee]]</f>
        <v>582</v>
      </c>
      <c r="CY391" s="237">
        <f t="shared" si="185"/>
        <v>42</v>
      </c>
      <c r="CZ391" s="237">
        <f t="shared" si="186"/>
        <v>18</v>
      </c>
      <c r="DA391" s="263">
        <f>Table1[[#This Row],[OriginalDispatch]]-Table1[[#This Row],[QuickPayCharge]]</f>
        <v>24</v>
      </c>
      <c r="DB391" s="5">
        <v>0</v>
      </c>
      <c r="DC391" s="237" t="s">
        <v>1287</v>
      </c>
      <c r="DD391" s="556">
        <f t="shared" si="187"/>
        <v>42489</v>
      </c>
      <c r="DE391" s="554">
        <f>MONTH(Table1[[#This Row],[Weekending]])</f>
        <v>4</v>
      </c>
      <c r="DF391" s="554">
        <f>YEAR(Table1[[#This Row],[Weekending]])</f>
        <v>2016</v>
      </c>
      <c r="DG391" s="235"/>
    </row>
    <row r="392" spans="1:111">
      <c r="A392" s="548" t="str">
        <f t="shared" si="169"/>
        <v>1318wn49</v>
      </c>
      <c r="B392" s="549">
        <v>42485</v>
      </c>
      <c r="C392" s="550">
        <v>1959513</v>
      </c>
      <c r="D392" s="548" t="s">
        <v>2405</v>
      </c>
      <c r="E392" s="550">
        <v>3</v>
      </c>
      <c r="F392" s="551" t="str">
        <f>INDEX(BrokerTBL!$B:$B,MATCH(D392,BrokerTBL!$A:$A,0))</f>
        <v xml:space="preserve">303 E Wacker Dr. </v>
      </c>
      <c r="G392" s="550" t="str">
        <f>INDEX(BrokerTBL!$C:$C,MATCH(D392,BrokerTBL!$A:$A,0))</f>
        <v>Chicago</v>
      </c>
      <c r="H392" s="235" t="str">
        <f>INDEX(BrokerTBL!$D:$D,MATCH(D392,BrokerTBL!$A:$A,0))</f>
        <v>IL</v>
      </c>
      <c r="I392" s="235" t="str">
        <f>INDEX(BrokerTBL!$E:$E,MATCH(D392,BrokerTBL!$A:$A,0))</f>
        <v>US</v>
      </c>
      <c r="J392" s="235">
        <f>INDEX(BrokerTBL!$F:$F,MATCH(D392,BrokerTBL!$A:$A,0))</f>
        <v>60601</v>
      </c>
      <c r="K392" s="548" t="s">
        <v>2406</v>
      </c>
      <c r="L392" s="552">
        <v>291318</v>
      </c>
      <c r="M392" s="549">
        <v>42486</v>
      </c>
      <c r="N392" s="550" t="s">
        <v>1055</v>
      </c>
      <c r="O392" s="550" t="s">
        <v>2407</v>
      </c>
      <c r="P392" s="548" t="s">
        <v>2408</v>
      </c>
      <c r="Q392" s="548" t="s">
        <v>2233</v>
      </c>
      <c r="R392" s="548">
        <v>89706</v>
      </c>
      <c r="S392" s="548" t="s">
        <v>2207</v>
      </c>
      <c r="T392" s="298" t="s">
        <v>123</v>
      </c>
      <c r="U392" s="548" t="s">
        <v>120</v>
      </c>
      <c r="V392" s="548">
        <v>53</v>
      </c>
      <c r="W392" s="548" t="s">
        <v>2409</v>
      </c>
      <c r="X392" s="553">
        <v>45000</v>
      </c>
      <c r="Y392" s="550" t="s">
        <v>337</v>
      </c>
      <c r="Z392" s="548">
        <v>50</v>
      </c>
      <c r="AA392" s="548" t="s">
        <v>123</v>
      </c>
      <c r="AB392" s="548" t="s">
        <v>123</v>
      </c>
      <c r="AC392" s="548" t="s">
        <v>2411</v>
      </c>
      <c r="AD392" s="552" t="s">
        <v>1205</v>
      </c>
      <c r="AE392" s="549">
        <v>42487</v>
      </c>
      <c r="AF392" s="549" t="s">
        <v>1316</v>
      </c>
      <c r="AG392" s="548" t="s">
        <v>2412</v>
      </c>
      <c r="AH392" s="548" t="s">
        <v>2168</v>
      </c>
      <c r="AI392" s="548" t="s">
        <v>2206</v>
      </c>
      <c r="AJ392" s="548">
        <v>93235</v>
      </c>
      <c r="AK392" s="548" t="s">
        <v>2207</v>
      </c>
      <c r="AL392" s="548" t="s">
        <v>123</v>
      </c>
      <c r="AM392" s="554" t="str">
        <f>INDEX(CarrierDriverTBL!$B:$B,MATCH(Table1[[#This Row],[DriverID]],CarrierDriverTBL!$A:$A,0))</f>
        <v>UBTrucking</v>
      </c>
      <c r="AN392" s="10" t="s">
        <v>192</v>
      </c>
      <c r="AO392" s="10" t="str">
        <f>INDEX(CarrierDriverTBL!$C:$C,MATCH(Table1[[#This Row],[DriverID]],CarrierDriverTBL!$A:$A,0))</f>
        <v>Albel</v>
      </c>
      <c r="AP392" s="142" t="str">
        <f>INDEX(CarrierDriverTBL!$D:$D,MATCH(Table1[[#This Row],[DriverID]],CarrierDriverTBL!$A:$A,0))</f>
        <v>Chahil</v>
      </c>
      <c r="AQ392" s="142" t="str">
        <f>INDEX(CarrierDriverTBL!$X:$X,MATCH(Table1[[#This Row],[DriverID]],CarrierDriverTBL!$A:$A,0))</f>
        <v>A8390649</v>
      </c>
      <c r="AR392" s="160">
        <f>INDEX(CarrierDriverTBL!$Y:$Y,MATCH(Table1[[#This Row],[DriverID]],CarrierDriverTBL!$A:$A,0))</f>
        <v>42402</v>
      </c>
      <c r="AS392" s="142" t="str">
        <f t="shared" si="170"/>
        <v>EXPIRED</v>
      </c>
      <c r="AT392" s="160">
        <f>INDEX(CarrierDriverTBL!$E:$E,MATCH(Table1[[#This Row],[DriverID]],CarrierDriverTBL!$A:$A,0))</f>
        <v>22314</v>
      </c>
      <c r="AU392" s="163">
        <f ca="1">INDEX(CarrierDriverTBL!$F:$F,MATCH(Table1[[#This Row],[DriverID]],CarrierDriverTBL!$A:$A,0))</f>
        <v>55.512328767123286</v>
      </c>
      <c r="AV392" s="142" t="str">
        <f>INDEX(CarrierDriverTBL!$K:$K,MATCH(Table1[[#This Row],[DriverID]],CarrierDriverTBL!$A:$A,0))</f>
        <v>510-773-9450</v>
      </c>
      <c r="AW392" s="142" t="str">
        <f>INDEX(CarrierDriverTBL!$M:$M,MATCH(Table1[[#This Row],[DriverID]],CarrierDriverTBL!$A:$A,0))</f>
        <v>3124 Cynthia CT</v>
      </c>
      <c r="AX392" s="142" t="str">
        <f>INDEX(CarrierDriverTBL!$N:$N,MATCH(Table1[[#This Row],[DriverID]],CarrierDriverTBL!$A:$A,0))</f>
        <v>Tracy</v>
      </c>
      <c r="AY392" s="142" t="str">
        <f>INDEX(CarrierDriverTBL!$O:$O,MATCH(Table1[[#This Row],[DriverID]],CarrierDriverTBL!$A:$A,0))</f>
        <v>CA</v>
      </c>
      <c r="AZ392" s="142">
        <f>INDEX(CarrierDriverTBL!$P:$P,MATCH(Table1[[#This Row],[DriverID]],CarrierDriverTBL!$A:$A,0))</f>
        <v>95377</v>
      </c>
      <c r="BA392" s="142" t="str">
        <f>INDEX(CarrierDriverTBL!$Q:$Q,MATCH(Table1[[#This Row],[DriverID]],CarrierDriverTBL!$A:$A,0))</f>
        <v>US</v>
      </c>
      <c r="BB392" s="176" t="str">
        <f>INDEX(CarrierDriverTBL!$R:$R,MATCH(Table1[[#This Row],[DriverID]],CarrierDriverTBL!$A:$A,0))</f>
        <v>ubgollc@gmail.com</v>
      </c>
      <c r="BC392" s="160">
        <f>INDEX(CarrierDriverTBL!$AB:$AB,MATCH(Table1[[#This Row],[DriverID]],CarrierDriverTBL!$A:$A,0))</f>
        <v>42167</v>
      </c>
      <c r="BD392" s="142" t="str">
        <f ca="1">INDEX(CarrierDriverTBL!$AD:$AD,MATCH(LoadMaster!$AN:$AN,CarrierDriverTBL!$A:$A,0))</f>
        <v>MISSING</v>
      </c>
      <c r="BE392" s="142">
        <f>INDEX(CarrierDriverTBL!$AE:$AE,MATCH(Table1[DriverID],CarrierDriverTBL!$A:$A,0))</f>
        <v>913971</v>
      </c>
      <c r="BF392" s="142">
        <f>INDEX(CarrierDriverTBL!$AF:$AF,MATCH(Table1[DriverID],CarrierDriverTBL!$A:$A,0))</f>
        <v>2627544</v>
      </c>
      <c r="BG392" s="142">
        <f>INDEX(CarrierDriverTBL!$AG:$AG,MATCH(Table1[DriverID],CarrierDriverTBL!$A:$A,0))</f>
        <v>466133</v>
      </c>
      <c r="BH392" s="142" t="str">
        <f>INDEX(CarrierDriverTBL!$AH:$AH,MATCH(Table1[DriverID],CarrierDriverTBL!$A:$A,0))</f>
        <v>GM Lawrence Ins</v>
      </c>
      <c r="BI392" s="142" t="str">
        <f>INDEX(CarrierDriverTBL!$AI:$AI,MATCH(Table1[DriverID],CarrierDriverTBL!$A:$A,0))</f>
        <v>DSK2842P160210</v>
      </c>
      <c r="BJ392" s="160">
        <f>INDEX(CarrierDriverTBL!$AJ:$AJ,MATCH(Table1[[#This Row],[DriverID]],CarrierDriverTBL!$A:$A,0))</f>
        <v>42778</v>
      </c>
      <c r="BK392" s="10">
        <f t="shared" si="171"/>
        <v>292</v>
      </c>
      <c r="BL392" s="237">
        <v>600</v>
      </c>
      <c r="BM392" s="554">
        <v>311.5</v>
      </c>
      <c r="BN392" s="558">
        <f t="shared" si="188"/>
        <v>1.926163723916533</v>
      </c>
      <c r="BO392" s="241">
        <f>0.93*Table1[[#This Row],[ChargeBroker]]</f>
        <v>558</v>
      </c>
      <c r="BP392" s="558">
        <f t="shared" si="189"/>
        <v>1.7913322632423756</v>
      </c>
      <c r="BQ392" s="133">
        <v>2.6</v>
      </c>
      <c r="BR392" s="559">
        <f t="shared" si="190"/>
        <v>0.1166666666666667</v>
      </c>
      <c r="BS392" s="558">
        <f t="shared" si="172"/>
        <v>1.6746655965757089</v>
      </c>
      <c r="BT392" s="558">
        <f t="shared" si="173"/>
        <v>36.341666666666676</v>
      </c>
      <c r="BU392" s="236" t="str">
        <f t="shared" si="174"/>
        <v>XPOLogistics</v>
      </c>
      <c r="BV392" s="550"/>
      <c r="BW392" s="235" t="str">
        <f>Table1[[#This Row],[BrokerAddress]]</f>
        <v xml:space="preserve">303 E Wacker Dr. </v>
      </c>
      <c r="BX392" s="235" t="str">
        <f t="shared" si="175"/>
        <v>Chicago</v>
      </c>
      <c r="BY392" s="235" t="str">
        <f t="shared" si="176"/>
        <v>IL</v>
      </c>
      <c r="BZ392" s="235">
        <f t="shared" si="177"/>
        <v>60601</v>
      </c>
      <c r="CA392" s="236" t="str">
        <f t="shared" si="178"/>
        <v>US</v>
      </c>
      <c r="CB392" s="15" t="s">
        <v>131</v>
      </c>
      <c r="CC392" s="62"/>
      <c r="CD392" s="15" t="s">
        <v>132</v>
      </c>
      <c r="CE392" s="64">
        <v>0</v>
      </c>
      <c r="CF392" s="4">
        <v>0</v>
      </c>
      <c r="CG392" s="132">
        <f t="shared" si="179"/>
        <v>0</v>
      </c>
      <c r="CH392" s="4" t="s">
        <v>132</v>
      </c>
      <c r="CI392" s="5">
        <v>0</v>
      </c>
      <c r="CJ392" s="4">
        <v>0</v>
      </c>
      <c r="CK392" s="132">
        <f t="shared" si="180"/>
        <v>0</v>
      </c>
      <c r="CL392" s="4" t="s">
        <v>132</v>
      </c>
      <c r="CM392" s="5">
        <v>0</v>
      </c>
      <c r="CN392" s="4">
        <v>0</v>
      </c>
      <c r="CO392" s="132">
        <f t="shared" si="181"/>
        <v>0</v>
      </c>
      <c r="CP392" s="4" t="s">
        <v>132</v>
      </c>
      <c r="CQ392" s="5">
        <v>0</v>
      </c>
      <c r="CR392" s="4">
        <v>0</v>
      </c>
      <c r="CS392" s="132">
        <f t="shared" si="182"/>
        <v>0</v>
      </c>
      <c r="CT392" s="132">
        <f t="shared" si="183"/>
        <v>0</v>
      </c>
      <c r="CU392" s="238">
        <f t="shared" si="184"/>
        <v>600</v>
      </c>
      <c r="CV392" s="239">
        <f t="shared" si="167"/>
        <v>0</v>
      </c>
      <c r="CW392" s="240">
        <f t="shared" si="168"/>
        <v>558</v>
      </c>
      <c r="CX392" s="79">
        <f>IF(ISBLANK(E392),"AddQuickPay",IF(E392=2,CU392*0.98,IF(E392=2.4,CU392*0.976,IF(E392=3,CU392*0.97,IF(E392=5,CU392*0.95,IF(E392=1.5,CU392*0.985,IF(E392=2.5,CU392*0.975,IF(E392=1.3,CU392*0.987,IF(E392=1,CU392*0.99,IF(E392=4,CU392*0.96,CU392*1))))))))))-Table1[[#This Row],[ComCheck+QuickPayFee]]</f>
        <v>582</v>
      </c>
      <c r="CY392" s="237">
        <f t="shared" si="185"/>
        <v>42</v>
      </c>
      <c r="CZ392" s="237">
        <f t="shared" si="186"/>
        <v>18</v>
      </c>
      <c r="DA392" s="263">
        <f>Table1[[#This Row],[OriginalDispatch]]-Table1[[#This Row],[QuickPayCharge]]</f>
        <v>24</v>
      </c>
      <c r="DB392" s="5">
        <v>0</v>
      </c>
      <c r="DC392" s="237" t="s">
        <v>1287</v>
      </c>
      <c r="DD392" s="556">
        <f t="shared" si="187"/>
        <v>42489</v>
      </c>
      <c r="DE392" s="554">
        <f>MONTH(Table1[[#This Row],[Weekending]])</f>
        <v>4</v>
      </c>
      <c r="DF392" s="554">
        <f>YEAR(Table1[[#This Row],[Weekending]])</f>
        <v>2016</v>
      </c>
      <c r="DG392" s="235"/>
    </row>
    <row r="393" spans="1:111">
      <c r="A393" s="548" t="str">
        <f t="shared" si="169"/>
        <v>01wnwn93</v>
      </c>
      <c r="B393" s="549">
        <v>42491</v>
      </c>
      <c r="C393" s="550">
        <v>7677201</v>
      </c>
      <c r="D393" s="548" t="s">
        <v>2185</v>
      </c>
      <c r="E393" s="550">
        <v>4</v>
      </c>
      <c r="F393" s="551" t="str">
        <f>INDEX(BrokerTBL!$B:$B,MATCH(D393,BrokerTBL!$A:$A,0))</f>
        <v>PO Box 6348</v>
      </c>
      <c r="G393" s="550" t="str">
        <f>INDEX(BrokerTBL!$C:$C,MATCH(D393,BrokerTBL!$A:$A,0))</f>
        <v>Scottsdale</v>
      </c>
      <c r="H393" s="235" t="str">
        <f>INDEX(BrokerTBL!$D:$D,MATCH(D393,BrokerTBL!$A:$A,0))</f>
        <v>Az</v>
      </c>
      <c r="I393" s="235" t="str">
        <f>INDEX(BrokerTBL!$E:$E,MATCH(D393,BrokerTBL!$A:$A,0))</f>
        <v>US</v>
      </c>
      <c r="J393" s="235">
        <f>INDEX(BrokerTBL!$F:$F,MATCH(D393,BrokerTBL!$A:$A,0))</f>
        <v>85258</v>
      </c>
      <c r="K393" s="548" t="s">
        <v>2374</v>
      </c>
      <c r="L393" s="552" t="s">
        <v>1205</v>
      </c>
      <c r="M393" s="549">
        <v>42487</v>
      </c>
      <c r="N393" s="550" t="s">
        <v>2642</v>
      </c>
      <c r="O393" s="15" t="s">
        <v>2375</v>
      </c>
      <c r="P393" s="548" t="s">
        <v>214</v>
      </c>
      <c r="Q393" s="548" t="s">
        <v>2206</v>
      </c>
      <c r="R393" s="548">
        <v>93725</v>
      </c>
      <c r="S393" s="548" t="s">
        <v>2207</v>
      </c>
      <c r="T393" s="298" t="s">
        <v>123</v>
      </c>
      <c r="U393" s="548" t="s">
        <v>120</v>
      </c>
      <c r="V393" s="548">
        <v>53</v>
      </c>
      <c r="W393" s="548" t="s">
        <v>2376</v>
      </c>
      <c r="X393" s="553">
        <v>44105</v>
      </c>
      <c r="Y393" s="550" t="s">
        <v>2220</v>
      </c>
      <c r="Z393" s="548" t="s">
        <v>123</v>
      </c>
      <c r="AA393" s="548">
        <v>25</v>
      </c>
      <c r="AB393" s="548" t="s">
        <v>123</v>
      </c>
      <c r="AC393" s="548" t="s">
        <v>2377</v>
      </c>
      <c r="AD393" s="552" t="s">
        <v>1205</v>
      </c>
      <c r="AE393" s="549">
        <v>42488</v>
      </c>
      <c r="AF393" s="549" t="s">
        <v>2643</v>
      </c>
      <c r="AG393" s="548" t="s">
        <v>2378</v>
      </c>
      <c r="AH393" s="548" t="s">
        <v>738</v>
      </c>
      <c r="AI393" s="548" t="s">
        <v>2233</v>
      </c>
      <c r="AJ393" s="548">
        <v>89502</v>
      </c>
      <c r="AK393" s="548" t="s">
        <v>2207</v>
      </c>
      <c r="AL393" s="548" t="s">
        <v>123</v>
      </c>
      <c r="AM393" s="554" t="str">
        <f>INDEX(CarrierDriverTBL!$B:$B,MATCH(Table1[[#This Row],[DriverID]],CarrierDriverTBL!$A:$A,0))</f>
        <v>UBTrucking</v>
      </c>
      <c r="AN393" s="10" t="s">
        <v>2234</v>
      </c>
      <c r="AO393" s="171" t="str">
        <f>INDEX(CarrierDriverTBL!$C:$C,MATCH(Table1[[#This Row],[DriverID]],CarrierDriverTBL!$A:$A,0))</f>
        <v>Arturo</v>
      </c>
      <c r="AP393" s="171" t="str">
        <f>INDEX(CarrierDriverTBL!$D:$D,MATCH(Table1[[#This Row],[DriverID]],CarrierDriverTBL!$A:$A,0))</f>
        <v>Carrillo</v>
      </c>
      <c r="AQ393" s="171" t="str">
        <f>INDEX(CarrierDriverTBL!$X:$X,MATCH(Table1[[#This Row],[DriverID]],CarrierDriverTBL!$A:$A,0))</f>
        <v>C7056793</v>
      </c>
      <c r="AR393" s="160">
        <f>INDEX(CarrierDriverTBL!$Y:$Y,MATCH(Table1[[#This Row],[DriverID]],CarrierDriverTBL!$A:$A,0))</f>
        <v>43410</v>
      </c>
      <c r="AS393" s="142" t="str">
        <f t="shared" si="170"/>
        <v>GOOD</v>
      </c>
      <c r="AT393" s="172">
        <f>INDEX(CarrierDriverTBL!$E:$E,MATCH(Table1[[#This Row],[DriverID]],CarrierDriverTBL!$A:$A,0))</f>
        <v>24782</v>
      </c>
      <c r="AU393" s="163">
        <f ca="1">INDEX(CarrierDriverTBL!$F:$F,MATCH(Table1[[#This Row],[DriverID]],CarrierDriverTBL!$A:$A,0))</f>
        <v>48.750684931506846</v>
      </c>
      <c r="AV393" s="171" t="str">
        <f>INDEX(CarrierDriverTBL!$K:$K,MATCH(Table1[[#This Row],[DriverID]],CarrierDriverTBL!$A:$A,0))</f>
        <v>209-276-9785</v>
      </c>
      <c r="AW393" s="171" t="str">
        <f>INDEX(CarrierDriverTBL!$M:$M,MATCH(Table1[[#This Row],[DriverID]],CarrierDriverTBL!$A:$A,0))</f>
        <v>1685 Winthrop Ln</v>
      </c>
      <c r="AX393" s="171" t="str">
        <f>INDEX(CarrierDriverTBL!$N:$N,MATCH(Table1[[#This Row],[DriverID]],CarrierDriverTBL!$A:$A,0))</f>
        <v>Ceres</v>
      </c>
      <c r="AY393" s="171" t="str">
        <f>INDEX(CarrierDriverTBL!$O:$O,MATCH(Table1[[#This Row],[DriverID]],CarrierDriverTBL!$A:$A,0))</f>
        <v>CA</v>
      </c>
      <c r="AZ393" s="171">
        <f>INDEX(CarrierDriverTBL!$P:$P,MATCH(Table1[[#This Row],[DriverID]],CarrierDriverTBL!$A:$A,0))</f>
        <v>95307</v>
      </c>
      <c r="BA393" s="171" t="str">
        <f>INDEX(CarrierDriverTBL!$Q:$Q,MATCH(Table1[[#This Row],[DriverID]],CarrierDriverTBL!$A:$A,0))</f>
        <v>US</v>
      </c>
      <c r="BB393" s="173" t="str">
        <f>INDEX(CarrierDriverTBL!$R:$R,MATCH(Table1[[#This Row],[DriverID]],CarrierDriverTBL!$A:$A,0))</f>
        <v>arturocarr777@gmail.com</v>
      </c>
      <c r="BC393" s="160">
        <f>INDEX(CarrierDriverTBL!$AB:$AB,MATCH(Table1[[#This Row],[DriverID]],CarrierDriverTBL!$A:$A,0))</f>
        <v>42418</v>
      </c>
      <c r="BD393" s="142" t="str">
        <f ca="1">INDEX(CarrierDriverTBL!$AD:$AD,MATCH(LoadMaster!$AN:$AN,CarrierDriverTBL!$A:$A,0))</f>
        <v>MISSING</v>
      </c>
      <c r="BE393" s="171">
        <f>INDEX(CarrierDriverTBL!$AE:$AE,MATCH(Table1[DriverID],CarrierDriverTBL!$A:$A,0))</f>
        <v>913971</v>
      </c>
      <c r="BF393" s="171">
        <f>INDEX(CarrierDriverTBL!$AF:$AF,MATCH(Table1[DriverID],CarrierDriverTBL!$A:$A,0))</f>
        <v>2627544</v>
      </c>
      <c r="BG393" s="10">
        <f>INDEX(CarrierDriverTBL!$AG:$AG,MATCH(Table1[DriverID],CarrierDriverTBL!$A:$A,0))</f>
        <v>466133</v>
      </c>
      <c r="BH393" s="171" t="str">
        <f>INDEX(CarrierDriverTBL!$AH:$AH,MATCH(Table1[DriverID],CarrierDriverTBL!$A:$A,0))</f>
        <v>GM Lawrence Ins</v>
      </c>
      <c r="BI393" s="171" t="str">
        <f>INDEX(CarrierDriverTBL!$AI:$AI,MATCH(Table1[DriverID],CarrierDriverTBL!$A:$A,0))</f>
        <v>DSK2842P160210</v>
      </c>
      <c r="BJ393" s="172">
        <f>INDEX(CarrierDriverTBL!$AJ:$AJ,MATCH(Table1[[#This Row],[DriverID]],CarrierDriverTBL!$A:$A,0))</f>
        <v>42778</v>
      </c>
      <c r="BK393" s="10">
        <f t="shared" si="171"/>
        <v>291</v>
      </c>
      <c r="BL393" s="237">
        <v>650</v>
      </c>
      <c r="BM393" s="554">
        <v>300</v>
      </c>
      <c r="BN393" s="558">
        <f t="shared" si="188"/>
        <v>2.1666666666666665</v>
      </c>
      <c r="BO393" s="241">
        <f>0.93*Table1[[#This Row],[ChargeBroker]]</f>
        <v>604.5</v>
      </c>
      <c r="BP393" s="558">
        <f t="shared" si="189"/>
        <v>2.0150000000000001</v>
      </c>
      <c r="BQ393" s="558">
        <v>2.6</v>
      </c>
      <c r="BR393" s="559">
        <f t="shared" si="190"/>
        <v>0.1166666666666667</v>
      </c>
      <c r="BS393" s="558">
        <f t="shared" si="172"/>
        <v>1.8983333333333334</v>
      </c>
      <c r="BT393" s="558">
        <f t="shared" si="173"/>
        <v>35.000000000000007</v>
      </c>
      <c r="BU393" s="236" t="str">
        <f t="shared" si="174"/>
        <v>Globaltranz</v>
      </c>
      <c r="BV393" s="550"/>
      <c r="BW393" s="235" t="str">
        <f>Table1[[#This Row],[BrokerAddress]]</f>
        <v>PO Box 6348</v>
      </c>
      <c r="BX393" s="235" t="str">
        <f t="shared" si="175"/>
        <v>Scottsdale</v>
      </c>
      <c r="BY393" s="235" t="str">
        <f t="shared" si="176"/>
        <v>Az</v>
      </c>
      <c r="BZ393" s="235">
        <f t="shared" si="177"/>
        <v>85258</v>
      </c>
      <c r="CA393" s="236" t="str">
        <f t="shared" si="178"/>
        <v>US</v>
      </c>
      <c r="CB393" s="15" t="s">
        <v>131</v>
      </c>
      <c r="CC393" s="62"/>
      <c r="CD393" s="15" t="s">
        <v>132</v>
      </c>
      <c r="CE393" s="64">
        <v>0</v>
      </c>
      <c r="CF393" s="4">
        <v>0</v>
      </c>
      <c r="CG393" s="132">
        <f t="shared" si="179"/>
        <v>0</v>
      </c>
      <c r="CH393" s="4" t="s">
        <v>132</v>
      </c>
      <c r="CI393" s="5">
        <v>0</v>
      </c>
      <c r="CJ393" s="4">
        <v>0</v>
      </c>
      <c r="CK393" s="132">
        <f t="shared" si="180"/>
        <v>0</v>
      </c>
      <c r="CL393" s="4" t="s">
        <v>132</v>
      </c>
      <c r="CM393" s="5">
        <v>0</v>
      </c>
      <c r="CN393" s="4">
        <v>0</v>
      </c>
      <c r="CO393" s="132">
        <f t="shared" si="181"/>
        <v>0</v>
      </c>
      <c r="CP393" s="4" t="s">
        <v>132</v>
      </c>
      <c r="CQ393" s="5">
        <v>0</v>
      </c>
      <c r="CR393" s="4">
        <v>0</v>
      </c>
      <c r="CS393" s="132">
        <f t="shared" si="182"/>
        <v>0</v>
      </c>
      <c r="CT393" s="132">
        <f t="shared" si="183"/>
        <v>0</v>
      </c>
      <c r="CU393" s="238">
        <f t="shared" si="184"/>
        <v>650</v>
      </c>
      <c r="CV393" s="239">
        <f t="shared" si="167"/>
        <v>0</v>
      </c>
      <c r="CW393" s="240">
        <f t="shared" si="168"/>
        <v>604.5</v>
      </c>
      <c r="CX393" s="79">
        <f>IF(ISBLANK(E393),"AddQuickPay",IF(E393=2,CU393*0.98,IF(E393=2.4,CU393*0.976,IF(E393=3,CU393*0.97,IF(E393=5,CU393*0.95,IF(E393=1.5,CU393*0.985,IF(E393=2.5,CU393*0.975,IF(E393=1.3,CU393*0.987,IF(E393=1,CU393*0.99,IF(E393=4,CU393*0.96,CU393*1))))))))))-Table1[[#This Row],[ComCheck+QuickPayFee]]</f>
        <v>624</v>
      </c>
      <c r="CY393" s="237">
        <f t="shared" si="185"/>
        <v>45.5</v>
      </c>
      <c r="CZ393" s="237">
        <f t="shared" si="186"/>
        <v>26</v>
      </c>
      <c r="DA393" s="263">
        <f>Table1[[#This Row],[OriginalDispatch]]-Table1[[#This Row],[QuickPayCharge]]</f>
        <v>19.5</v>
      </c>
      <c r="DB393" s="5">
        <v>0</v>
      </c>
      <c r="DC393" s="237" t="s">
        <v>1287</v>
      </c>
      <c r="DD393" s="556">
        <f t="shared" si="187"/>
        <v>42489</v>
      </c>
      <c r="DE393" s="554">
        <f>MONTH(Table1[[#This Row],[Weekending]])</f>
        <v>4</v>
      </c>
      <c r="DF393" s="554">
        <f>YEAR(Table1[[#This Row],[Weekending]])</f>
        <v>2016</v>
      </c>
      <c r="DG393" s="235"/>
    </row>
    <row r="394" spans="1:111">
      <c r="A394" s="548" t="str">
        <f t="shared" si="169"/>
        <v>9815wn19</v>
      </c>
      <c r="B394" s="549">
        <v>42491</v>
      </c>
      <c r="C394" s="550">
        <v>3169398</v>
      </c>
      <c r="D394" s="548" t="s">
        <v>2644</v>
      </c>
      <c r="E394" s="550">
        <v>0</v>
      </c>
      <c r="F394" s="91" t="s">
        <v>2645</v>
      </c>
      <c r="G394" s="91" t="s">
        <v>2646</v>
      </c>
      <c r="H394" s="235" t="s">
        <v>2647</v>
      </c>
      <c r="I394" s="235" t="s">
        <v>2207</v>
      </c>
      <c r="J394" s="235">
        <v>76177</v>
      </c>
      <c r="K394" s="548" t="s">
        <v>2648</v>
      </c>
      <c r="L394" s="552" t="s">
        <v>2649</v>
      </c>
      <c r="M394" s="549">
        <v>42487</v>
      </c>
      <c r="N394" s="550" t="s">
        <v>218</v>
      </c>
      <c r="O394" s="550" t="s">
        <v>2650</v>
      </c>
      <c r="P394" s="548" t="s">
        <v>2651</v>
      </c>
      <c r="Q394" s="548" t="s">
        <v>2206</v>
      </c>
      <c r="R394" s="548">
        <v>93291</v>
      </c>
      <c r="S394" s="548" t="s">
        <v>2207</v>
      </c>
      <c r="T394" s="298" t="s">
        <v>123</v>
      </c>
      <c r="U394" s="548" t="s">
        <v>120</v>
      </c>
      <c r="V394" s="548">
        <v>53</v>
      </c>
      <c r="W394" s="548" t="s">
        <v>2652</v>
      </c>
      <c r="X394" s="553">
        <v>16233</v>
      </c>
      <c r="Y394" s="550" t="s">
        <v>123</v>
      </c>
      <c r="Z394" s="548" t="s">
        <v>123</v>
      </c>
      <c r="AA394" s="548" t="s">
        <v>123</v>
      </c>
      <c r="AB394" s="548" t="s">
        <v>123</v>
      </c>
      <c r="AC394" s="548" t="s">
        <v>2653</v>
      </c>
      <c r="AD394" s="552" t="s">
        <v>1205</v>
      </c>
      <c r="AE394" s="549">
        <v>42487</v>
      </c>
      <c r="AF394" s="549" t="s">
        <v>218</v>
      </c>
      <c r="AG394" s="548" t="s">
        <v>2654</v>
      </c>
      <c r="AH394" s="548" t="s">
        <v>2523</v>
      </c>
      <c r="AI394" s="548" t="s">
        <v>2206</v>
      </c>
      <c r="AJ394" s="548">
        <v>95605</v>
      </c>
      <c r="AK394" s="548" t="s">
        <v>2207</v>
      </c>
      <c r="AL394" s="548" t="s">
        <v>123</v>
      </c>
      <c r="AM394" s="554" t="str">
        <f>INDEX(CarrierDriverTBL!$B:$B,MATCH(Table1[[#This Row],[DriverID]],CarrierDriverTBL!$A:$A,0))</f>
        <v>UBTrucking</v>
      </c>
      <c r="AN394" s="10" t="s">
        <v>1409</v>
      </c>
      <c r="AO394" s="298" t="str">
        <f>INDEX(CarrierDriverTBL!$C:$C,MATCH(Table1[[#This Row],[DriverID]],CarrierDriverTBL!$A:$A,0))</f>
        <v>Miguel Jaime</v>
      </c>
      <c r="AP394" s="298" t="str">
        <f>INDEX(CarrierDriverTBL!$D:$D,MATCH(Table1[[#This Row],[DriverID]],CarrierDriverTBL!$A:$A,0))</f>
        <v>Martin Del Campo Velarca</v>
      </c>
      <c r="AQ394" s="142" t="str">
        <f>INDEX(CarrierDriverTBL!$X:$X,MATCH(Table1[[#This Row],[DriverID]],CarrierDriverTBL!$A:$A,0))</f>
        <v>D5179619</v>
      </c>
      <c r="AR394" s="160">
        <f>INDEX(CarrierDriverTBL!$Y:$Y,MATCH(Table1[[#This Row],[DriverID]],CarrierDriverTBL!$A:$A,0))</f>
        <v>43843</v>
      </c>
      <c r="AS394" s="142" t="str">
        <f t="shared" si="170"/>
        <v>GOOD</v>
      </c>
      <c r="AT394" s="146">
        <f>INDEX(CarrierDriverTBL!$E:$E,MATCH(Table1[[#This Row],[DriverID]],CarrierDriverTBL!$A:$A,0))</f>
        <v>21198</v>
      </c>
      <c r="AU394" s="163">
        <f ca="1">INDEX(CarrierDriverTBL!$F:$F,MATCH(Table1[[#This Row],[DriverID]],CarrierDriverTBL!$A:$A,0))</f>
        <v>58.56986301369863</v>
      </c>
      <c r="AV394" s="298" t="str">
        <f>INDEX(CarrierDriverTBL!$K:$K,MATCH(Table1[[#This Row],[DriverID]],CarrierDriverTBL!$A:$A,0))</f>
        <v>209-322-5231</v>
      </c>
      <c r="AW394" s="298" t="str">
        <f>INDEX(CarrierDriverTBL!$M:$M,MATCH(Table1[[#This Row],[DriverID]],CarrierDriverTBL!$A:$A,0))</f>
        <v>572 Predersen RD</v>
      </c>
      <c r="AX394" s="298" t="str">
        <f>INDEX(CarrierDriverTBL!$N:$N,MATCH(Table1[[#This Row],[DriverID]],CarrierDriverTBL!$A:$A,0))</f>
        <v>Oakdale</v>
      </c>
      <c r="AY394" s="142" t="str">
        <f>INDEX(CarrierDriverTBL!$O:$O,MATCH(Table1[[#This Row],[DriverID]],CarrierDriverTBL!$A:$A,0))</f>
        <v>CA</v>
      </c>
      <c r="AZ394" s="298">
        <f>INDEX(CarrierDriverTBL!$P:$P,MATCH(Table1[[#This Row],[DriverID]],CarrierDriverTBL!$A:$A,0))</f>
        <v>95361</v>
      </c>
      <c r="BA394" s="298" t="str">
        <f>INDEX(CarrierDriverTBL!$Q:$Q,MATCH(Table1[[#This Row],[DriverID]],CarrierDriverTBL!$A:$A,0))</f>
        <v>US</v>
      </c>
      <c r="BB394" s="176" t="str">
        <f>INDEX(CarrierDriverTBL!$R:$R,MATCH(Table1[[#This Row],[DriverID]],CarrierDriverTBL!$A:$A,0))</f>
        <v>Miguelmartin52@yahoo.com</v>
      </c>
      <c r="BC394" s="160">
        <f>INDEX(CarrierDriverTBL!$AB:$AB,MATCH(Table1[[#This Row],[DriverID]],CarrierDriverTBL!$A:$A,0))</f>
        <v>42334</v>
      </c>
      <c r="BD394" s="142" t="str">
        <f ca="1">INDEX(CarrierDriverTBL!$AD:$AD,MATCH(LoadMaster!$AN:$AN,CarrierDriverTBL!$A:$A,0))</f>
        <v>MISSING</v>
      </c>
      <c r="BE394" s="142">
        <f>INDEX(CarrierDriverTBL!$AE:$AE,MATCH(Table1[DriverID],CarrierDriverTBL!$A:$A,0))</f>
        <v>913971</v>
      </c>
      <c r="BF394" s="142">
        <f>INDEX(CarrierDriverTBL!$AF:$AF,MATCH(Table1[DriverID],CarrierDriverTBL!$A:$A,0))</f>
        <v>2627544</v>
      </c>
      <c r="BG394" s="142">
        <f>INDEX(CarrierDriverTBL!$AG:$AG,MATCH(Table1[DriverID],CarrierDriverTBL!$A:$A,0))</f>
        <v>466133</v>
      </c>
      <c r="BH394" s="142" t="str">
        <f>INDEX(CarrierDriverTBL!$AH:$AH,MATCH(Table1[DriverID],CarrierDriverTBL!$A:$A,0))</f>
        <v>GM Lawrence Ins</v>
      </c>
      <c r="BI394" s="142" t="str">
        <f>INDEX(CarrierDriverTBL!$AI:$AI,MATCH(Table1[DriverID],CarrierDriverTBL!$A:$A,0))</f>
        <v>DSK2842P160210</v>
      </c>
      <c r="BJ394" s="172">
        <f>INDEX(CarrierDriverTBL!$AJ:$AJ,MATCH(Table1[[#This Row],[DriverID]],CarrierDriverTBL!$A:$A,0))</f>
        <v>42778</v>
      </c>
      <c r="BK394" s="10">
        <f t="shared" si="171"/>
        <v>291</v>
      </c>
      <c r="BL394" s="237">
        <v>500</v>
      </c>
      <c r="BM394" s="554">
        <v>212.1</v>
      </c>
      <c r="BN394" s="558">
        <f t="shared" si="188"/>
        <v>2.3573785950023574</v>
      </c>
      <c r="BO394" s="241">
        <f>0.93*Table1[[#This Row],[ChargeBroker]]</f>
        <v>465</v>
      </c>
      <c r="BP394" s="558">
        <f t="shared" si="189"/>
        <v>2.1923620933521923</v>
      </c>
      <c r="BQ394" s="558">
        <v>2.6</v>
      </c>
      <c r="BR394" s="559">
        <f t="shared" si="190"/>
        <v>0.1166666666666667</v>
      </c>
      <c r="BS394" s="558">
        <f t="shared" si="172"/>
        <v>2.0756954266855256</v>
      </c>
      <c r="BT394" s="558">
        <f t="shared" si="173"/>
        <v>24.745000000000005</v>
      </c>
      <c r="BU394" s="236" t="str">
        <f t="shared" si="174"/>
        <v xml:space="preserve">Ryder Integrated Logistics, Inc </v>
      </c>
      <c r="BV394" s="550"/>
      <c r="BW394" s="235" t="str">
        <f>Table1[[#This Row],[BrokerAddress]]</f>
        <v>13599 Park Vista Blvd</v>
      </c>
      <c r="BX394" s="235" t="str">
        <f t="shared" si="175"/>
        <v>Fort Worth</v>
      </c>
      <c r="BY394" s="235" t="str">
        <f t="shared" si="176"/>
        <v>TX</v>
      </c>
      <c r="BZ394" s="235">
        <f t="shared" si="177"/>
        <v>76177</v>
      </c>
      <c r="CA394" s="236" t="str">
        <f t="shared" si="178"/>
        <v>US</v>
      </c>
      <c r="CB394" s="15" t="s">
        <v>131</v>
      </c>
      <c r="CC394" s="62"/>
      <c r="CD394" s="15" t="s">
        <v>132</v>
      </c>
      <c r="CE394" s="64">
        <v>0</v>
      </c>
      <c r="CF394" s="4">
        <v>0</v>
      </c>
      <c r="CG394" s="132">
        <f t="shared" si="179"/>
        <v>0</v>
      </c>
      <c r="CH394" s="4" t="s">
        <v>132</v>
      </c>
      <c r="CI394" s="5">
        <v>0</v>
      </c>
      <c r="CJ394" s="4">
        <v>0</v>
      </c>
      <c r="CK394" s="132">
        <f t="shared" si="180"/>
        <v>0</v>
      </c>
      <c r="CL394" s="4" t="s">
        <v>132</v>
      </c>
      <c r="CM394" s="5">
        <v>0</v>
      </c>
      <c r="CN394" s="4">
        <v>0</v>
      </c>
      <c r="CO394" s="132">
        <f t="shared" si="181"/>
        <v>0</v>
      </c>
      <c r="CP394" s="4" t="s">
        <v>132</v>
      </c>
      <c r="CQ394" s="5">
        <v>0</v>
      </c>
      <c r="CR394" s="4">
        <v>0</v>
      </c>
      <c r="CS394" s="132">
        <f t="shared" si="182"/>
        <v>0</v>
      </c>
      <c r="CT394" s="132">
        <f t="shared" si="183"/>
        <v>0</v>
      </c>
      <c r="CU394" s="238">
        <f t="shared" si="184"/>
        <v>500</v>
      </c>
      <c r="CV394" s="239">
        <f t="shared" si="167"/>
        <v>0</v>
      </c>
      <c r="CW394" s="240">
        <f t="shared" si="168"/>
        <v>465</v>
      </c>
      <c r="CX394" s="79">
        <f>IF(ISBLANK(E394),"AddQuickPay",IF(E394=2,CU394*0.98,IF(E394=2.4,CU394*0.976,IF(E394=3,CU394*0.97,IF(E394=5,CU394*0.95,IF(E394=1.5,CU394*0.985,IF(E394=2.5,CU394*0.975,IF(E394=1.3,CU394*0.987,IF(E394=1,CU394*0.99,IF(E394=4,CU394*0.96,CU394*1))))))))))-Table1[[#This Row],[ComCheck+QuickPayFee]]</f>
        <v>500</v>
      </c>
      <c r="CY394" s="237">
        <f t="shared" si="185"/>
        <v>35</v>
      </c>
      <c r="CZ394" s="237">
        <f t="shared" si="186"/>
        <v>0</v>
      </c>
      <c r="DA394" s="263">
        <f>Table1[[#This Row],[OriginalDispatch]]-Table1[[#This Row],[QuickPayCharge]]</f>
        <v>35</v>
      </c>
      <c r="DB394" s="5">
        <v>0</v>
      </c>
      <c r="DC394" s="237" t="s">
        <v>1287</v>
      </c>
      <c r="DD394" s="556">
        <f t="shared" si="187"/>
        <v>42489</v>
      </c>
      <c r="DE394" s="554">
        <f>MONTH(Table1[[#This Row],[Weekending]])</f>
        <v>4</v>
      </c>
      <c r="DF394" s="554">
        <f>YEAR(Table1[[#This Row],[Weekending]])</f>
        <v>2016</v>
      </c>
      <c r="DG394" s="235"/>
    </row>
    <row r="395" spans="1:111">
      <c r="A395" s="548" t="str">
        <f t="shared" si="169"/>
        <v>76875419</v>
      </c>
      <c r="B395" s="549">
        <v>42491</v>
      </c>
      <c r="C395" s="550">
        <v>142276</v>
      </c>
      <c r="D395" s="548" t="s">
        <v>455</v>
      </c>
      <c r="E395" s="550">
        <v>3</v>
      </c>
      <c r="F395" s="551" t="str">
        <f>INDEX(BrokerTBL!$B:$B,MATCH(D395,BrokerTBL!$A:$A,0))</f>
        <v>5600 Headquarters Drive C2D11</v>
      </c>
      <c r="G395" s="550" t="str">
        <f>INDEX(BrokerTBL!$C:$C,MATCH(D395,BrokerTBL!$A:$A,0))</f>
        <v>Plano</v>
      </c>
      <c r="H395" s="235" t="str">
        <f>INDEX(BrokerTBL!$D:$D,MATCH(D395,BrokerTBL!$A:$A,0))</f>
        <v>Tx</v>
      </c>
      <c r="I395" s="235" t="str">
        <f>INDEX(BrokerTBL!$E:$E,MATCH(D395,BrokerTBL!$A:$A,0))</f>
        <v>US</v>
      </c>
      <c r="J395" s="235">
        <f>INDEX(BrokerTBL!$F:$F,MATCH(D395,BrokerTBL!$A:$A,0))</f>
        <v>75024</v>
      </c>
      <c r="K395" s="548" t="s">
        <v>2655</v>
      </c>
      <c r="L395" s="552" t="s">
        <v>2656</v>
      </c>
      <c r="M395" s="549">
        <v>42488</v>
      </c>
      <c r="N395" s="560">
        <v>0.625</v>
      </c>
      <c r="O395" s="550" t="s">
        <v>2657</v>
      </c>
      <c r="P395" s="548" t="s">
        <v>2658</v>
      </c>
      <c r="Q395" s="548" t="s">
        <v>2206</v>
      </c>
      <c r="R395" s="548">
        <v>95670</v>
      </c>
      <c r="S395" s="548" t="s">
        <v>2207</v>
      </c>
      <c r="T395" s="548" t="s">
        <v>2659</v>
      </c>
      <c r="U395" s="548" t="s">
        <v>120</v>
      </c>
      <c r="V395" s="548">
        <v>53</v>
      </c>
      <c r="W395" s="548" t="s">
        <v>2181</v>
      </c>
      <c r="X395" s="553">
        <v>5359</v>
      </c>
      <c r="Y395" s="550" t="s">
        <v>123</v>
      </c>
      <c r="Z395" s="548" t="s">
        <v>123</v>
      </c>
      <c r="AA395" s="548" t="s">
        <v>123</v>
      </c>
      <c r="AB395" s="548" t="s">
        <v>123</v>
      </c>
      <c r="AC395" s="548" t="s">
        <v>2660</v>
      </c>
      <c r="AD395" s="552">
        <v>1020599054</v>
      </c>
      <c r="AE395" s="549">
        <v>42489</v>
      </c>
      <c r="AF395" s="560">
        <v>0.25</v>
      </c>
      <c r="AG395" s="548" t="s">
        <v>2450</v>
      </c>
      <c r="AH395" s="548" t="s">
        <v>2451</v>
      </c>
      <c r="AI395" s="548" t="s">
        <v>2233</v>
      </c>
      <c r="AJ395" s="548">
        <v>89434</v>
      </c>
      <c r="AK395" s="548" t="s">
        <v>2207</v>
      </c>
      <c r="AL395" s="548" t="s">
        <v>2180</v>
      </c>
      <c r="AM395" s="554" t="str">
        <f>INDEX(CarrierDriverTBL!$B:$B,MATCH(Table1[[#This Row],[DriverID]],CarrierDriverTBL!$A:$A,0))</f>
        <v>UBTrucking</v>
      </c>
      <c r="AN395" s="10" t="s">
        <v>1409</v>
      </c>
      <c r="AO395" s="298" t="str">
        <f>INDEX(CarrierDriverTBL!$C:$C,MATCH(Table1[[#This Row],[DriverID]],CarrierDriverTBL!$A:$A,0))</f>
        <v>Miguel Jaime</v>
      </c>
      <c r="AP395" s="298" t="str">
        <f>INDEX(CarrierDriverTBL!$D:$D,MATCH(Table1[[#This Row],[DriverID]],CarrierDriverTBL!$A:$A,0))</f>
        <v>Martin Del Campo Velarca</v>
      </c>
      <c r="AQ395" s="142" t="str">
        <f>INDEX(CarrierDriverTBL!$X:$X,MATCH(Table1[[#This Row],[DriverID]],CarrierDriverTBL!$A:$A,0))</f>
        <v>D5179619</v>
      </c>
      <c r="AR395" s="160">
        <f>INDEX(CarrierDriverTBL!$Y:$Y,MATCH(Table1[[#This Row],[DriverID]],CarrierDriverTBL!$A:$A,0))</f>
        <v>43843</v>
      </c>
      <c r="AS395" s="142" t="str">
        <f t="shared" si="170"/>
        <v>GOOD</v>
      </c>
      <c r="AT395" s="146">
        <f>INDEX(CarrierDriverTBL!$E:$E,MATCH(Table1[[#This Row],[DriverID]],CarrierDriverTBL!$A:$A,0))</f>
        <v>21198</v>
      </c>
      <c r="AU395" s="163">
        <f ca="1">INDEX(CarrierDriverTBL!$F:$F,MATCH(Table1[[#This Row],[DriverID]],CarrierDriverTBL!$A:$A,0))</f>
        <v>58.56986301369863</v>
      </c>
      <c r="AV395" s="298" t="str">
        <f>INDEX(CarrierDriverTBL!$K:$K,MATCH(Table1[[#This Row],[DriverID]],CarrierDriverTBL!$A:$A,0))</f>
        <v>209-322-5231</v>
      </c>
      <c r="AW395" s="298" t="str">
        <f>INDEX(CarrierDriverTBL!$M:$M,MATCH(Table1[[#This Row],[DriverID]],CarrierDriverTBL!$A:$A,0))</f>
        <v>572 Predersen RD</v>
      </c>
      <c r="AX395" s="298" t="str">
        <f>INDEX(CarrierDriverTBL!$N:$N,MATCH(Table1[[#This Row],[DriverID]],CarrierDriverTBL!$A:$A,0))</f>
        <v>Oakdale</v>
      </c>
      <c r="AY395" s="142" t="str">
        <f>INDEX(CarrierDriverTBL!$O:$O,MATCH(Table1[[#This Row],[DriverID]],CarrierDriverTBL!$A:$A,0))</f>
        <v>CA</v>
      </c>
      <c r="AZ395" s="298">
        <f>INDEX(CarrierDriverTBL!$P:$P,MATCH(Table1[[#This Row],[DriverID]],CarrierDriverTBL!$A:$A,0))</f>
        <v>95361</v>
      </c>
      <c r="BA395" s="298" t="str">
        <f>INDEX(CarrierDriverTBL!$Q:$Q,MATCH(Table1[[#This Row],[DriverID]],CarrierDriverTBL!$A:$A,0))</f>
        <v>US</v>
      </c>
      <c r="BB395" s="176" t="str">
        <f>INDEX(CarrierDriverTBL!$R:$R,MATCH(Table1[[#This Row],[DriverID]],CarrierDriverTBL!$A:$A,0))</f>
        <v>Miguelmartin52@yahoo.com</v>
      </c>
      <c r="BC395" s="160">
        <f>INDEX(CarrierDriverTBL!$AB:$AB,MATCH(Table1[[#This Row],[DriverID]],CarrierDriverTBL!$A:$A,0))</f>
        <v>42334</v>
      </c>
      <c r="BD395" s="142" t="str">
        <f ca="1">INDEX(CarrierDriverTBL!$AD:$AD,MATCH(LoadMaster!$AN:$AN,CarrierDriverTBL!$A:$A,0))</f>
        <v>MISSING</v>
      </c>
      <c r="BE395" s="142">
        <f>INDEX(CarrierDriverTBL!$AE:$AE,MATCH(Table1[DriverID],CarrierDriverTBL!$A:$A,0))</f>
        <v>913971</v>
      </c>
      <c r="BF395" s="142">
        <f>INDEX(CarrierDriverTBL!$AF:$AF,MATCH(Table1[DriverID],CarrierDriverTBL!$A:$A,0))</f>
        <v>2627544</v>
      </c>
      <c r="BG395" s="142">
        <f>INDEX(CarrierDriverTBL!$AG:$AG,MATCH(Table1[DriverID],CarrierDriverTBL!$A:$A,0))</f>
        <v>466133</v>
      </c>
      <c r="BH395" s="142" t="str">
        <f>INDEX(CarrierDriverTBL!$AH:$AH,MATCH(Table1[DriverID],CarrierDriverTBL!$A:$A,0))</f>
        <v>GM Lawrence Ins</v>
      </c>
      <c r="BI395" s="142" t="str">
        <f>INDEX(CarrierDriverTBL!$AI:$AI,MATCH(Table1[DriverID],CarrierDriverTBL!$A:$A,0))</f>
        <v>DSK2842P160210</v>
      </c>
      <c r="BJ395" s="172">
        <f>INDEX(CarrierDriverTBL!$AJ:$AJ,MATCH(Table1[[#This Row],[DriverID]],CarrierDriverTBL!$A:$A,0))</f>
        <v>42778</v>
      </c>
      <c r="BK395" s="10">
        <f t="shared" si="171"/>
        <v>290</v>
      </c>
      <c r="BL395" s="237">
        <v>395.95</v>
      </c>
      <c r="BM395" s="554">
        <v>153</v>
      </c>
      <c r="BN395" s="558">
        <f t="shared" si="188"/>
        <v>2.5879084967320263</v>
      </c>
      <c r="BO395" s="241">
        <f>0.93*Table1[[#This Row],[ChargeBroker]]</f>
        <v>368.23349999999999</v>
      </c>
      <c r="BP395" s="558">
        <f t="shared" si="189"/>
        <v>2.4067549019607841</v>
      </c>
      <c r="BQ395" s="558">
        <v>2.6</v>
      </c>
      <c r="BR395" s="559">
        <f t="shared" si="190"/>
        <v>0.1166666666666667</v>
      </c>
      <c r="BS395" s="558">
        <f t="shared" si="172"/>
        <v>2.2900882352941174</v>
      </c>
      <c r="BT395" s="558">
        <f t="shared" si="173"/>
        <v>17.850000000000005</v>
      </c>
      <c r="BU395" s="236" t="str">
        <f t="shared" si="174"/>
        <v>Pepsi Logistics Company Inc</v>
      </c>
      <c r="BV395" s="550"/>
      <c r="BW395" s="235" t="str">
        <f>Table1[[#This Row],[BrokerAddress]]</f>
        <v>5600 Headquarters Drive C2D11</v>
      </c>
      <c r="BX395" s="235" t="str">
        <f t="shared" si="175"/>
        <v>Plano</v>
      </c>
      <c r="BY395" s="235" t="str">
        <f t="shared" si="176"/>
        <v>Tx</v>
      </c>
      <c r="BZ395" s="235">
        <f t="shared" si="177"/>
        <v>75024</v>
      </c>
      <c r="CA395" s="236" t="str">
        <f t="shared" si="178"/>
        <v>US</v>
      </c>
      <c r="CB395" s="15" t="s">
        <v>131</v>
      </c>
      <c r="CC395" s="62"/>
      <c r="CD395" s="15" t="s">
        <v>132</v>
      </c>
      <c r="CE395" s="64">
        <v>0</v>
      </c>
      <c r="CF395" s="4">
        <v>0</v>
      </c>
      <c r="CG395" s="132">
        <f t="shared" si="179"/>
        <v>0</v>
      </c>
      <c r="CH395" s="4" t="s">
        <v>132</v>
      </c>
      <c r="CI395" s="5">
        <v>0</v>
      </c>
      <c r="CJ395" s="4">
        <v>0</v>
      </c>
      <c r="CK395" s="132">
        <f t="shared" si="180"/>
        <v>0</v>
      </c>
      <c r="CL395" s="4" t="s">
        <v>132</v>
      </c>
      <c r="CM395" s="5">
        <v>0</v>
      </c>
      <c r="CN395" s="4">
        <v>0</v>
      </c>
      <c r="CO395" s="132">
        <f t="shared" si="181"/>
        <v>0</v>
      </c>
      <c r="CP395" s="4" t="s">
        <v>132</v>
      </c>
      <c r="CQ395" s="5">
        <v>0</v>
      </c>
      <c r="CR395" s="4">
        <v>0</v>
      </c>
      <c r="CS395" s="132">
        <f t="shared" si="182"/>
        <v>0</v>
      </c>
      <c r="CT395" s="132">
        <f t="shared" si="183"/>
        <v>0</v>
      </c>
      <c r="CU395" s="238">
        <f t="shared" si="184"/>
        <v>395.95</v>
      </c>
      <c r="CV395" s="239">
        <f t="shared" si="167"/>
        <v>0</v>
      </c>
      <c r="CW395" s="240">
        <f t="shared" si="168"/>
        <v>368.23349999999999</v>
      </c>
      <c r="CX395" s="79">
        <f>IF(ISBLANK(E395),"AddQuickPay",IF(E395=2,CU395*0.98,IF(E395=2.4,CU395*0.976,IF(E395=3,CU395*0.97,IF(E395=5,CU395*0.95,IF(E395=1.5,CU395*0.985,IF(E395=2.5,CU395*0.975,IF(E395=1.3,CU395*0.987,IF(E395=1,CU395*0.99,IF(E395=4,CU395*0.96,CU395*1))))))))))-Table1[[#This Row],[ComCheck+QuickPayFee]]</f>
        <v>384.07149999999996</v>
      </c>
      <c r="CY395" s="237">
        <f t="shared" si="185"/>
        <v>27.716499999999996</v>
      </c>
      <c r="CZ395" s="237">
        <f t="shared" si="186"/>
        <v>11.878499999999999</v>
      </c>
      <c r="DA395" s="263">
        <f>Table1[[#This Row],[OriginalDispatch]]-Table1[[#This Row],[QuickPayCharge]]</f>
        <v>15.837999999999997</v>
      </c>
      <c r="DB395" s="5">
        <v>0</v>
      </c>
      <c r="DC395" s="237" t="s">
        <v>1287</v>
      </c>
      <c r="DD395" s="556">
        <f t="shared" si="187"/>
        <v>42489</v>
      </c>
      <c r="DE395" s="554">
        <f>MONTH(Table1[[#This Row],[Weekending]])</f>
        <v>4</v>
      </c>
      <c r="DF395" s="554">
        <f>YEAR(Table1[[#This Row],[Weekending]])</f>
        <v>2016</v>
      </c>
      <c r="DG395" s="235"/>
    </row>
    <row r="396" spans="1:111">
      <c r="A396" s="548" t="str">
        <f t="shared" si="169"/>
        <v>3672wn93</v>
      </c>
      <c r="B396" s="549">
        <v>42491</v>
      </c>
      <c r="C396" s="550">
        <v>1959536</v>
      </c>
      <c r="D396" s="548" t="s">
        <v>2405</v>
      </c>
      <c r="E396" s="550">
        <v>3</v>
      </c>
      <c r="F396" s="551" t="str">
        <f>INDEX(BrokerTBL!$B:$B,MATCH(D396,BrokerTBL!$A:$A,0))</f>
        <v xml:space="preserve">303 E Wacker Dr. </v>
      </c>
      <c r="G396" s="550" t="str">
        <f>INDEX(BrokerTBL!$C:$C,MATCH(D396,BrokerTBL!$A:$A,0))</f>
        <v>Chicago</v>
      </c>
      <c r="H396" s="235" t="str">
        <f>INDEX(BrokerTBL!$D:$D,MATCH(D396,BrokerTBL!$A:$A,0))</f>
        <v>IL</v>
      </c>
      <c r="I396" s="235" t="str">
        <f>INDEX(BrokerTBL!$E:$E,MATCH(D396,BrokerTBL!$A:$A,0))</f>
        <v>US</v>
      </c>
      <c r="J396" s="235">
        <f>INDEX(BrokerTBL!$F:$F,MATCH(D396,BrokerTBL!$A:$A,0))</f>
        <v>60601</v>
      </c>
      <c r="K396" s="548" t="s">
        <v>2406</v>
      </c>
      <c r="L396" s="552">
        <v>29172</v>
      </c>
      <c r="M396" s="549">
        <v>42488</v>
      </c>
      <c r="N396" s="550" t="s">
        <v>1055</v>
      </c>
      <c r="O396" s="550" t="s">
        <v>2407</v>
      </c>
      <c r="P396" s="548" t="s">
        <v>2408</v>
      </c>
      <c r="Q396" s="548" t="s">
        <v>2233</v>
      </c>
      <c r="R396" s="548">
        <v>89706</v>
      </c>
      <c r="S396" s="548" t="s">
        <v>2207</v>
      </c>
      <c r="T396" s="298" t="s">
        <v>123</v>
      </c>
      <c r="U396" s="548" t="s">
        <v>120</v>
      </c>
      <c r="V396" s="548">
        <v>53</v>
      </c>
      <c r="W396" s="548" t="s">
        <v>2409</v>
      </c>
      <c r="X396" s="553">
        <v>45000</v>
      </c>
      <c r="Y396" s="550" t="s">
        <v>123</v>
      </c>
      <c r="Z396" s="548" t="s">
        <v>123</v>
      </c>
      <c r="AA396" s="548" t="s">
        <v>123</v>
      </c>
      <c r="AB396" s="548" t="s">
        <v>123</v>
      </c>
      <c r="AC396" s="548" t="s">
        <v>2411</v>
      </c>
      <c r="AD396" s="552" t="s">
        <v>1205</v>
      </c>
      <c r="AE396" s="549">
        <v>42489</v>
      </c>
      <c r="AF396" s="549" t="s">
        <v>1316</v>
      </c>
      <c r="AG396" s="548" t="s">
        <v>2412</v>
      </c>
      <c r="AH396" s="548" t="s">
        <v>2168</v>
      </c>
      <c r="AI396" s="548" t="s">
        <v>2206</v>
      </c>
      <c r="AJ396" s="548">
        <v>93235</v>
      </c>
      <c r="AK396" s="548" t="s">
        <v>2207</v>
      </c>
      <c r="AL396" s="548" t="s">
        <v>123</v>
      </c>
      <c r="AM396" s="554" t="str">
        <f>INDEX(CarrierDriverTBL!$B:$B,MATCH(Table1[[#This Row],[DriverID]],CarrierDriverTBL!$A:$A,0))</f>
        <v>UBTrucking</v>
      </c>
      <c r="AN396" s="10" t="s">
        <v>2234</v>
      </c>
      <c r="AO396" s="171" t="str">
        <f>INDEX(CarrierDriverTBL!$C:$C,MATCH(Table1[[#This Row],[DriverID]],CarrierDriverTBL!$A:$A,0))</f>
        <v>Arturo</v>
      </c>
      <c r="AP396" s="171" t="str">
        <f>INDEX(CarrierDriverTBL!$D:$D,MATCH(Table1[[#This Row],[DriverID]],CarrierDriverTBL!$A:$A,0))</f>
        <v>Carrillo</v>
      </c>
      <c r="AQ396" s="171" t="str">
        <f>INDEX(CarrierDriverTBL!$X:$X,MATCH(Table1[[#This Row],[DriverID]],CarrierDriverTBL!$A:$A,0))</f>
        <v>C7056793</v>
      </c>
      <c r="AR396" s="160">
        <f>INDEX(CarrierDriverTBL!$Y:$Y,MATCH(Table1[[#This Row],[DriverID]],CarrierDriverTBL!$A:$A,0))</f>
        <v>43410</v>
      </c>
      <c r="AS396" s="142" t="str">
        <f t="shared" si="170"/>
        <v>GOOD</v>
      </c>
      <c r="AT396" s="172">
        <f>INDEX(CarrierDriverTBL!$E:$E,MATCH(Table1[[#This Row],[DriverID]],CarrierDriverTBL!$A:$A,0))</f>
        <v>24782</v>
      </c>
      <c r="AU396" s="163">
        <f ca="1">INDEX(CarrierDriverTBL!$F:$F,MATCH(Table1[[#This Row],[DriverID]],CarrierDriverTBL!$A:$A,0))</f>
        <v>48.750684931506846</v>
      </c>
      <c r="AV396" s="171" t="str">
        <f>INDEX(CarrierDriverTBL!$K:$K,MATCH(Table1[[#This Row],[DriverID]],CarrierDriverTBL!$A:$A,0))</f>
        <v>209-276-9785</v>
      </c>
      <c r="AW396" s="171" t="str">
        <f>INDEX(CarrierDriverTBL!$M:$M,MATCH(Table1[[#This Row],[DriverID]],CarrierDriverTBL!$A:$A,0))</f>
        <v>1685 Winthrop Ln</v>
      </c>
      <c r="AX396" s="171" t="str">
        <f>INDEX(CarrierDriverTBL!$N:$N,MATCH(Table1[[#This Row],[DriverID]],CarrierDriverTBL!$A:$A,0))</f>
        <v>Ceres</v>
      </c>
      <c r="AY396" s="171" t="str">
        <f>INDEX(CarrierDriverTBL!$O:$O,MATCH(Table1[[#This Row],[DriverID]],CarrierDriverTBL!$A:$A,0))</f>
        <v>CA</v>
      </c>
      <c r="AZ396" s="171">
        <f>INDEX(CarrierDriverTBL!$P:$P,MATCH(Table1[[#This Row],[DriverID]],CarrierDriverTBL!$A:$A,0))</f>
        <v>95307</v>
      </c>
      <c r="BA396" s="171" t="str">
        <f>INDEX(CarrierDriverTBL!$Q:$Q,MATCH(Table1[[#This Row],[DriverID]],CarrierDriverTBL!$A:$A,0))</f>
        <v>US</v>
      </c>
      <c r="BB396" s="173" t="str">
        <f>INDEX(CarrierDriverTBL!$R:$R,MATCH(Table1[[#This Row],[DriverID]],CarrierDriverTBL!$A:$A,0))</f>
        <v>arturocarr777@gmail.com</v>
      </c>
      <c r="BC396" s="160">
        <f>INDEX(CarrierDriverTBL!$AB:$AB,MATCH(Table1[[#This Row],[DriverID]],CarrierDriverTBL!$A:$A,0))</f>
        <v>42418</v>
      </c>
      <c r="BD396" s="142" t="str">
        <f ca="1">INDEX(CarrierDriverTBL!$AD:$AD,MATCH(LoadMaster!$AN:$AN,CarrierDriverTBL!$A:$A,0))</f>
        <v>MISSING</v>
      </c>
      <c r="BE396" s="171">
        <f>INDEX(CarrierDriverTBL!$AE:$AE,MATCH(Table1[DriverID],CarrierDriverTBL!$A:$A,0))</f>
        <v>913971</v>
      </c>
      <c r="BF396" s="171">
        <f>INDEX(CarrierDriverTBL!$AF:$AF,MATCH(Table1[DriverID],CarrierDriverTBL!$A:$A,0))</f>
        <v>2627544</v>
      </c>
      <c r="BG396" s="10">
        <f>INDEX(CarrierDriverTBL!$AG:$AG,MATCH(Table1[DriverID],CarrierDriverTBL!$A:$A,0))</f>
        <v>466133</v>
      </c>
      <c r="BH396" s="171" t="str">
        <f>INDEX(CarrierDriverTBL!$AH:$AH,MATCH(Table1[DriverID],CarrierDriverTBL!$A:$A,0))</f>
        <v>GM Lawrence Ins</v>
      </c>
      <c r="BI396" s="171" t="str">
        <f>INDEX(CarrierDriverTBL!$AI:$AI,MATCH(Table1[DriverID],CarrierDriverTBL!$A:$A,0))</f>
        <v>DSK2842P160210</v>
      </c>
      <c r="BJ396" s="172">
        <f>INDEX(CarrierDriverTBL!$AJ:$AJ,MATCH(Table1[[#This Row],[DriverID]],CarrierDriverTBL!$A:$A,0))</f>
        <v>42778</v>
      </c>
      <c r="BK396" s="10">
        <f t="shared" si="171"/>
        <v>290</v>
      </c>
      <c r="BL396" s="237">
        <v>600</v>
      </c>
      <c r="BM396" s="554">
        <v>311.5</v>
      </c>
      <c r="BN396" s="558">
        <f t="shared" si="188"/>
        <v>1.926163723916533</v>
      </c>
      <c r="BO396" s="241">
        <f>0.93*Table1[[#This Row],[ChargeBroker]]</f>
        <v>558</v>
      </c>
      <c r="BP396" s="558">
        <f t="shared" si="189"/>
        <v>1.7913322632423756</v>
      </c>
      <c r="BQ396" s="558">
        <v>2.6</v>
      </c>
      <c r="BR396" s="559">
        <f t="shared" si="190"/>
        <v>0.1166666666666667</v>
      </c>
      <c r="BS396" s="558">
        <f t="shared" si="172"/>
        <v>1.6746655965757089</v>
      </c>
      <c r="BT396" s="558">
        <f t="shared" si="173"/>
        <v>36.341666666666676</v>
      </c>
      <c r="BU396" s="236" t="str">
        <f t="shared" si="174"/>
        <v>XPOLogistics</v>
      </c>
      <c r="BV396" s="550"/>
      <c r="BW396" s="235" t="str">
        <f>Table1[[#This Row],[BrokerAddress]]</f>
        <v xml:space="preserve">303 E Wacker Dr. </v>
      </c>
      <c r="BX396" s="235" t="str">
        <f t="shared" si="175"/>
        <v>Chicago</v>
      </c>
      <c r="BY396" s="235" t="str">
        <f t="shared" si="176"/>
        <v>IL</v>
      </c>
      <c r="BZ396" s="235">
        <f t="shared" si="177"/>
        <v>60601</v>
      </c>
      <c r="CA396" s="236" t="str">
        <f t="shared" si="178"/>
        <v>US</v>
      </c>
      <c r="CB396" s="15" t="s">
        <v>131</v>
      </c>
      <c r="CC396" s="62"/>
      <c r="CD396" s="15" t="s">
        <v>132</v>
      </c>
      <c r="CE396" s="64">
        <v>0</v>
      </c>
      <c r="CF396" s="4">
        <v>0</v>
      </c>
      <c r="CG396" s="132">
        <f t="shared" si="179"/>
        <v>0</v>
      </c>
      <c r="CH396" s="4" t="s">
        <v>132</v>
      </c>
      <c r="CI396" s="5">
        <v>0</v>
      </c>
      <c r="CJ396" s="4">
        <v>0</v>
      </c>
      <c r="CK396" s="132">
        <f t="shared" si="180"/>
        <v>0</v>
      </c>
      <c r="CL396" s="4" t="s">
        <v>132</v>
      </c>
      <c r="CM396" s="5">
        <v>0</v>
      </c>
      <c r="CN396" s="4">
        <v>0</v>
      </c>
      <c r="CO396" s="132">
        <f t="shared" si="181"/>
        <v>0</v>
      </c>
      <c r="CP396" s="4" t="s">
        <v>132</v>
      </c>
      <c r="CQ396" s="5">
        <v>0</v>
      </c>
      <c r="CR396" s="4">
        <v>0</v>
      </c>
      <c r="CS396" s="132">
        <f t="shared" si="182"/>
        <v>0</v>
      </c>
      <c r="CT396" s="132">
        <f t="shared" si="183"/>
        <v>0</v>
      </c>
      <c r="CU396" s="238">
        <f t="shared" si="184"/>
        <v>600</v>
      </c>
      <c r="CV396" s="239">
        <f t="shared" si="167"/>
        <v>0</v>
      </c>
      <c r="CW396" s="240">
        <f t="shared" si="168"/>
        <v>558</v>
      </c>
      <c r="CX396" s="79">
        <f>IF(ISBLANK(E396),"AddQuickPay",IF(E396=2,CU396*0.98,IF(E396=2.4,CU396*0.976,IF(E396=3,CU396*0.97,IF(E396=5,CU396*0.95,IF(E396=1.5,CU396*0.985,IF(E396=2.5,CU396*0.975,IF(E396=1.3,CU396*0.987,IF(E396=1,CU396*0.99,IF(E396=4,CU396*0.96,CU396*1))))))))))-Table1[[#This Row],[ComCheck+QuickPayFee]]</f>
        <v>582</v>
      </c>
      <c r="CY396" s="237">
        <f t="shared" si="185"/>
        <v>42</v>
      </c>
      <c r="CZ396" s="237">
        <f t="shared" si="186"/>
        <v>18</v>
      </c>
      <c r="DA396" s="263">
        <f>Table1[[#This Row],[OriginalDispatch]]-Table1[[#This Row],[QuickPayCharge]]</f>
        <v>24</v>
      </c>
      <c r="DB396" s="5">
        <v>0</v>
      </c>
      <c r="DC396" s="237" t="s">
        <v>133</v>
      </c>
      <c r="DD396" s="556">
        <f t="shared" si="187"/>
        <v>42489</v>
      </c>
      <c r="DE396" s="554">
        <f>MONTH(Table1[[#This Row],[Weekending]])</f>
        <v>4</v>
      </c>
      <c r="DF396" s="554">
        <f>YEAR(Table1[[#This Row],[Weekending]])</f>
        <v>2016</v>
      </c>
      <c r="DG396" s="235"/>
    </row>
    <row r="397" spans="1:111">
      <c r="A397" s="548" t="str">
        <f t="shared" si="169"/>
        <v>17848449</v>
      </c>
      <c r="B397" s="549">
        <v>42491</v>
      </c>
      <c r="C397" s="550">
        <v>11917</v>
      </c>
      <c r="D397" s="416" t="s">
        <v>2661</v>
      </c>
      <c r="E397" s="550">
        <v>0</v>
      </c>
      <c r="F397" s="551" t="str">
        <f>INDEX(BrokerTBL!$B:$B,MATCH(D397,BrokerTBL!$A:$A,0))</f>
        <v>1330 E EL DORADO #102</v>
      </c>
      <c r="G397" s="550" t="str">
        <f>INDEX(BrokerTBL!$C:$C,MATCH(D397,BrokerTBL!$A:$A,0))</f>
        <v>Fresno</v>
      </c>
      <c r="H397" s="235" t="str">
        <f>INDEX(BrokerTBL!$D:$D,MATCH(D397,BrokerTBL!$A:$A,0))</f>
        <v>CA</v>
      </c>
      <c r="I397" s="235" t="str">
        <f>INDEX(BrokerTBL!$E:$E,MATCH(D397,BrokerTBL!$A:$A,0))</f>
        <v>US</v>
      </c>
      <c r="J397" s="235">
        <f>INDEX(BrokerTBL!$F:$F,MATCH(D397,BrokerTBL!$A:$A,0))</f>
        <v>93706</v>
      </c>
      <c r="K397" s="548" t="s">
        <v>2662</v>
      </c>
      <c r="L397" s="552">
        <v>7378184</v>
      </c>
      <c r="M397" s="549">
        <v>42488</v>
      </c>
      <c r="N397" s="560">
        <v>4.1666666666666664E-2</v>
      </c>
      <c r="O397" s="550" t="s">
        <v>2663</v>
      </c>
      <c r="P397" s="548" t="s">
        <v>214</v>
      </c>
      <c r="Q397" s="548" t="s">
        <v>2206</v>
      </c>
      <c r="R397" s="548">
        <v>93727</v>
      </c>
      <c r="S397" s="548" t="s">
        <v>2207</v>
      </c>
      <c r="T397" s="548" t="s">
        <v>2664</v>
      </c>
      <c r="U397" s="548" t="s">
        <v>120</v>
      </c>
      <c r="V397" s="548">
        <v>53</v>
      </c>
      <c r="W397" s="548" t="s">
        <v>2665</v>
      </c>
      <c r="X397" s="553">
        <v>10000</v>
      </c>
      <c r="Y397" s="550" t="s">
        <v>123</v>
      </c>
      <c r="Z397" s="548" t="s">
        <v>123</v>
      </c>
      <c r="AA397" s="548" t="s">
        <v>123</v>
      </c>
      <c r="AB397" s="548" t="s">
        <v>123</v>
      </c>
      <c r="AC397" s="548" t="s">
        <v>2666</v>
      </c>
      <c r="AD397" s="552">
        <v>7378184</v>
      </c>
      <c r="AE397" s="549">
        <v>42489</v>
      </c>
      <c r="AF397" s="560">
        <v>0.33333333333333331</v>
      </c>
      <c r="AG397" s="548" t="s">
        <v>2667</v>
      </c>
      <c r="AH397" s="548" t="s">
        <v>1343</v>
      </c>
      <c r="AI397" s="548" t="s">
        <v>2206</v>
      </c>
      <c r="AJ397" s="548">
        <v>96080</v>
      </c>
      <c r="AK397" s="548" t="s">
        <v>2207</v>
      </c>
      <c r="AL397" s="548" t="s">
        <v>2668</v>
      </c>
      <c r="AM397" s="554" t="str">
        <f>INDEX(CarrierDriverTBL!$B:$B,MATCH(Table1[[#This Row],[DriverID]],CarrierDriverTBL!$A:$A,0))</f>
        <v>UBTrucking</v>
      </c>
      <c r="AN397" s="10" t="s">
        <v>192</v>
      </c>
      <c r="AO397" s="10" t="str">
        <f>INDEX(CarrierDriverTBL!$C:$C,MATCH(Table1[[#This Row],[DriverID]],CarrierDriverTBL!$A:$A,0))</f>
        <v>Albel</v>
      </c>
      <c r="AP397" s="142" t="str">
        <f>INDEX(CarrierDriverTBL!$D:$D,MATCH(Table1[[#This Row],[DriverID]],CarrierDriverTBL!$A:$A,0))</f>
        <v>Chahil</v>
      </c>
      <c r="AQ397" s="142" t="str">
        <f>INDEX(CarrierDriverTBL!$X:$X,MATCH(Table1[[#This Row],[DriverID]],CarrierDriverTBL!$A:$A,0))</f>
        <v>A8390649</v>
      </c>
      <c r="AR397" s="160">
        <f>INDEX(CarrierDriverTBL!$Y:$Y,MATCH(Table1[[#This Row],[DriverID]],CarrierDriverTBL!$A:$A,0))</f>
        <v>42402</v>
      </c>
      <c r="AS397" s="142" t="str">
        <f t="shared" si="170"/>
        <v>EXPIRED</v>
      </c>
      <c r="AT397" s="160">
        <f>INDEX(CarrierDriverTBL!$E:$E,MATCH(Table1[[#This Row],[DriverID]],CarrierDriverTBL!$A:$A,0))</f>
        <v>22314</v>
      </c>
      <c r="AU397" s="163">
        <f ca="1">INDEX(CarrierDriverTBL!$F:$F,MATCH(Table1[[#This Row],[DriverID]],CarrierDriverTBL!$A:$A,0))</f>
        <v>55.512328767123286</v>
      </c>
      <c r="AV397" s="142" t="str">
        <f>INDEX(CarrierDriverTBL!$K:$K,MATCH(Table1[[#This Row],[DriverID]],CarrierDriverTBL!$A:$A,0))</f>
        <v>510-773-9450</v>
      </c>
      <c r="AW397" s="142" t="str">
        <f>INDEX(CarrierDriverTBL!$M:$M,MATCH(Table1[[#This Row],[DriverID]],CarrierDriverTBL!$A:$A,0))</f>
        <v>3124 Cynthia CT</v>
      </c>
      <c r="AX397" s="142" t="str">
        <f>INDEX(CarrierDriverTBL!$N:$N,MATCH(Table1[[#This Row],[DriverID]],CarrierDriverTBL!$A:$A,0))</f>
        <v>Tracy</v>
      </c>
      <c r="AY397" s="142" t="str">
        <f>INDEX(CarrierDriverTBL!$O:$O,MATCH(Table1[[#This Row],[DriverID]],CarrierDriverTBL!$A:$A,0))</f>
        <v>CA</v>
      </c>
      <c r="AZ397" s="142">
        <f>INDEX(CarrierDriverTBL!$P:$P,MATCH(Table1[[#This Row],[DriverID]],CarrierDriverTBL!$A:$A,0))</f>
        <v>95377</v>
      </c>
      <c r="BA397" s="142" t="str">
        <f>INDEX(CarrierDriverTBL!$Q:$Q,MATCH(Table1[[#This Row],[DriverID]],CarrierDriverTBL!$A:$A,0))</f>
        <v>US</v>
      </c>
      <c r="BB397" s="176" t="str">
        <f>INDEX(CarrierDriverTBL!$R:$R,MATCH(Table1[[#This Row],[DriverID]],CarrierDriverTBL!$A:$A,0))</f>
        <v>ubgollc@gmail.com</v>
      </c>
      <c r="BC397" s="160">
        <f>INDEX(CarrierDriverTBL!$AB:$AB,MATCH(Table1[[#This Row],[DriverID]],CarrierDriverTBL!$A:$A,0))</f>
        <v>42167</v>
      </c>
      <c r="BD397" s="142" t="str">
        <f ca="1">INDEX(CarrierDriverTBL!$AD:$AD,MATCH(LoadMaster!$AN:$AN,CarrierDriverTBL!$A:$A,0))</f>
        <v>MISSING</v>
      </c>
      <c r="BE397" s="142">
        <f>INDEX(CarrierDriverTBL!$AE:$AE,MATCH(Table1[DriverID],CarrierDriverTBL!$A:$A,0))</f>
        <v>913971</v>
      </c>
      <c r="BF397" s="142">
        <f>INDEX(CarrierDriverTBL!$AF:$AF,MATCH(Table1[DriverID],CarrierDriverTBL!$A:$A,0))</f>
        <v>2627544</v>
      </c>
      <c r="BG397" s="142">
        <f>INDEX(CarrierDriverTBL!$AG:$AG,MATCH(Table1[DriverID],CarrierDriverTBL!$A:$A,0))</f>
        <v>466133</v>
      </c>
      <c r="BH397" s="142" t="str">
        <f>INDEX(CarrierDriverTBL!$AH:$AH,MATCH(Table1[DriverID],CarrierDriverTBL!$A:$A,0))</f>
        <v>GM Lawrence Ins</v>
      </c>
      <c r="BI397" s="142" t="str">
        <f>INDEX(CarrierDriverTBL!$AI:$AI,MATCH(Table1[DriverID],CarrierDriverTBL!$A:$A,0))</f>
        <v>DSK2842P160210</v>
      </c>
      <c r="BJ397" s="160">
        <f>INDEX(CarrierDriverTBL!$AJ:$AJ,MATCH(Table1[[#This Row],[DriverID]],CarrierDriverTBL!$A:$A,0))</f>
        <v>42778</v>
      </c>
      <c r="BK397" s="10">
        <f t="shared" si="171"/>
        <v>290</v>
      </c>
      <c r="BL397" s="237">
        <v>600</v>
      </c>
      <c r="BM397" s="554">
        <v>302.3</v>
      </c>
      <c r="BN397" s="558">
        <f t="shared" si="188"/>
        <v>1.9847833278200462</v>
      </c>
      <c r="BO397" s="241">
        <f>0.93*Table1[[#This Row],[ChargeBroker]]</f>
        <v>558</v>
      </c>
      <c r="BP397" s="558">
        <f t="shared" si="189"/>
        <v>1.845848494872643</v>
      </c>
      <c r="BQ397" s="558">
        <v>2.6</v>
      </c>
      <c r="BR397" s="559">
        <f t="shared" si="190"/>
        <v>0.1166666666666667</v>
      </c>
      <c r="BS397" s="558">
        <f t="shared" si="172"/>
        <v>1.7291818282059763</v>
      </c>
      <c r="BT397" s="558">
        <f t="shared" si="173"/>
        <v>35.268333333333345</v>
      </c>
      <c r="BU397" s="236" t="str">
        <f t="shared" si="174"/>
        <v>A1 Transport &amp; Freight Inc</v>
      </c>
      <c r="BV397" s="550"/>
      <c r="BW397" s="235" t="str">
        <f>Table1[[#This Row],[BrokerAddress]]</f>
        <v>1330 E EL DORADO #102</v>
      </c>
      <c r="BX397" s="235" t="str">
        <f t="shared" si="175"/>
        <v>Fresno</v>
      </c>
      <c r="BY397" s="235" t="str">
        <f t="shared" si="176"/>
        <v>CA</v>
      </c>
      <c r="BZ397" s="235">
        <f t="shared" si="177"/>
        <v>93706</v>
      </c>
      <c r="CA397" s="236" t="str">
        <f t="shared" si="178"/>
        <v>US</v>
      </c>
      <c r="CB397" s="15" t="s">
        <v>131</v>
      </c>
      <c r="CC397" s="62"/>
      <c r="CD397" s="15" t="s">
        <v>132</v>
      </c>
      <c r="CE397" s="64">
        <v>0</v>
      </c>
      <c r="CF397" s="4">
        <v>0</v>
      </c>
      <c r="CG397" s="132">
        <f t="shared" si="179"/>
        <v>0</v>
      </c>
      <c r="CH397" s="4" t="s">
        <v>132</v>
      </c>
      <c r="CI397" s="5">
        <v>0</v>
      </c>
      <c r="CJ397" s="4">
        <v>0</v>
      </c>
      <c r="CK397" s="132">
        <f t="shared" si="180"/>
        <v>0</v>
      </c>
      <c r="CL397" s="4" t="s">
        <v>132</v>
      </c>
      <c r="CM397" s="5">
        <v>0</v>
      </c>
      <c r="CN397" s="4">
        <v>0</v>
      </c>
      <c r="CO397" s="132">
        <f t="shared" si="181"/>
        <v>0</v>
      </c>
      <c r="CP397" s="4" t="s">
        <v>132</v>
      </c>
      <c r="CQ397" s="5">
        <v>0</v>
      </c>
      <c r="CR397" s="4">
        <v>0</v>
      </c>
      <c r="CS397" s="132">
        <f t="shared" si="182"/>
        <v>0</v>
      </c>
      <c r="CT397" s="132">
        <f t="shared" si="183"/>
        <v>0</v>
      </c>
      <c r="CU397" s="238">
        <f t="shared" si="184"/>
        <v>600</v>
      </c>
      <c r="CV397" s="239">
        <f t="shared" si="167"/>
        <v>0</v>
      </c>
      <c r="CW397" s="240">
        <f t="shared" si="168"/>
        <v>558</v>
      </c>
      <c r="CX397" s="79">
        <f>IF(ISBLANK(E397),"AddQuickPay",IF(E397=2,CU397*0.98,IF(E397=2.4,CU397*0.976,IF(E397=3,CU397*0.97,IF(E397=5,CU397*0.95,IF(E397=1.5,CU397*0.985,IF(E397=2.5,CU397*0.975,IF(E397=1.3,CU397*0.987,IF(E397=1,CU397*0.99,IF(E397=4,CU397*0.96,CU397*1))))))))))-Table1[[#This Row],[ComCheck+QuickPayFee]]</f>
        <v>600</v>
      </c>
      <c r="CY397" s="237">
        <f t="shared" si="185"/>
        <v>42</v>
      </c>
      <c r="CZ397" s="237">
        <f t="shared" si="186"/>
        <v>0</v>
      </c>
      <c r="DA397" s="263">
        <f>Table1[[#This Row],[OriginalDispatch]]-Table1[[#This Row],[QuickPayCharge]]</f>
        <v>42</v>
      </c>
      <c r="DB397" s="5">
        <v>0</v>
      </c>
      <c r="DC397" s="237" t="s">
        <v>133</v>
      </c>
      <c r="DD397" s="556">
        <f t="shared" si="187"/>
        <v>42489</v>
      </c>
      <c r="DE397" s="554">
        <f>MONTH(Table1[[#This Row],[Weekending]])</f>
        <v>4</v>
      </c>
      <c r="DF397" s="554">
        <f>YEAR(Table1[[#This Row],[Weekending]])</f>
        <v>2016</v>
      </c>
      <c r="DG397" s="235"/>
    </row>
    <row r="398" spans="1:111">
      <c r="A398" s="548" t="str">
        <f t="shared" si="169"/>
        <v>4174wn93</v>
      </c>
      <c r="B398" s="549">
        <v>42491</v>
      </c>
      <c r="C398" s="550">
        <v>199907741</v>
      </c>
      <c r="D398" s="548" t="s">
        <v>111</v>
      </c>
      <c r="E398" s="550">
        <v>2</v>
      </c>
      <c r="F398" s="551" t="str">
        <f>INDEX(BrokerTBL!$B:$B,MATCH(D398,BrokerTBL!$A:$A,0))</f>
        <v>P.O. Box 3474</v>
      </c>
      <c r="G398" s="550" t="str">
        <f>INDEX(BrokerTBL!$C:$C,MATCH(D398,BrokerTBL!$A:$A,0))</f>
        <v>Chicago</v>
      </c>
      <c r="H398" s="235" t="str">
        <f>INDEX(BrokerTBL!$D:$D,MATCH(D398,BrokerTBL!$A:$A,0))</f>
        <v>Il</v>
      </c>
      <c r="I398" s="235" t="str">
        <f>INDEX(BrokerTBL!$E:$E,MATCH(D398,BrokerTBL!$A:$A,0))</f>
        <v>US</v>
      </c>
      <c r="J398" s="235">
        <f>INDEX(BrokerTBL!$F:$F,MATCH(D398,BrokerTBL!$A:$A,0))</f>
        <v>60654</v>
      </c>
      <c r="K398" s="548" t="s">
        <v>2669</v>
      </c>
      <c r="L398" s="552" t="s">
        <v>2670</v>
      </c>
      <c r="M398" s="549">
        <v>42489</v>
      </c>
      <c r="N398" s="550" t="s">
        <v>2671</v>
      </c>
      <c r="O398" s="550" t="s">
        <v>2672</v>
      </c>
      <c r="P398" s="548" t="s">
        <v>774</v>
      </c>
      <c r="Q398" s="548" t="s">
        <v>2206</v>
      </c>
      <c r="R398" s="548">
        <v>93401</v>
      </c>
      <c r="S398" s="548" t="s">
        <v>2207</v>
      </c>
      <c r="T398" s="298" t="s">
        <v>123</v>
      </c>
      <c r="U398" s="548" t="s">
        <v>120</v>
      </c>
      <c r="V398" s="548">
        <v>53</v>
      </c>
      <c r="W398" s="548" t="s">
        <v>2673</v>
      </c>
      <c r="X398" s="553">
        <v>17409</v>
      </c>
      <c r="Y398" s="550" t="s">
        <v>2220</v>
      </c>
      <c r="Z398" s="548">
        <v>23</v>
      </c>
      <c r="AA398" s="548" t="s">
        <v>123</v>
      </c>
      <c r="AB398" s="548" t="s">
        <v>123</v>
      </c>
      <c r="AC398" s="548" t="s">
        <v>2674</v>
      </c>
      <c r="AD398" s="552" t="s">
        <v>1205</v>
      </c>
      <c r="AE398" s="549">
        <v>42493</v>
      </c>
      <c r="AF398" s="560">
        <v>0.41666666666666669</v>
      </c>
      <c r="AG398" s="548" t="s">
        <v>2675</v>
      </c>
      <c r="AH398" s="548" t="s">
        <v>738</v>
      </c>
      <c r="AI398" s="548" t="s">
        <v>2233</v>
      </c>
      <c r="AJ398" s="548">
        <v>89508</v>
      </c>
      <c r="AK398" s="548" t="s">
        <v>2207</v>
      </c>
      <c r="AL398" s="548" t="s">
        <v>123</v>
      </c>
      <c r="AM398" s="554" t="str">
        <f>INDEX(CarrierDriverTBL!$B:$B,MATCH(Table1[[#This Row],[DriverID]],CarrierDriverTBL!$A:$A,0))</f>
        <v>UBTrucking</v>
      </c>
      <c r="AN398" s="10" t="s">
        <v>2234</v>
      </c>
      <c r="AO398" s="171" t="str">
        <f>INDEX(CarrierDriverTBL!$C:$C,MATCH(Table1[[#This Row],[DriverID]],CarrierDriverTBL!$A:$A,0))</f>
        <v>Arturo</v>
      </c>
      <c r="AP398" s="171" t="str">
        <f>INDEX(CarrierDriverTBL!$D:$D,MATCH(Table1[[#This Row],[DriverID]],CarrierDriverTBL!$A:$A,0))</f>
        <v>Carrillo</v>
      </c>
      <c r="AQ398" s="171" t="str">
        <f>INDEX(CarrierDriverTBL!$X:$X,MATCH(Table1[[#This Row],[DriverID]],CarrierDriverTBL!$A:$A,0))</f>
        <v>C7056793</v>
      </c>
      <c r="AR398" s="160">
        <f>INDEX(CarrierDriverTBL!$Y:$Y,MATCH(Table1[[#This Row],[DriverID]],CarrierDriverTBL!$A:$A,0))</f>
        <v>43410</v>
      </c>
      <c r="AS398" s="142" t="str">
        <f t="shared" si="170"/>
        <v>GOOD</v>
      </c>
      <c r="AT398" s="172">
        <f>INDEX(CarrierDriverTBL!$E:$E,MATCH(Table1[[#This Row],[DriverID]],CarrierDriverTBL!$A:$A,0))</f>
        <v>24782</v>
      </c>
      <c r="AU398" s="163">
        <f ca="1">INDEX(CarrierDriverTBL!$F:$F,MATCH(Table1[[#This Row],[DriverID]],CarrierDriverTBL!$A:$A,0))</f>
        <v>48.750684931506846</v>
      </c>
      <c r="AV398" s="171" t="str">
        <f>INDEX(CarrierDriverTBL!$K:$K,MATCH(Table1[[#This Row],[DriverID]],CarrierDriverTBL!$A:$A,0))</f>
        <v>209-276-9785</v>
      </c>
      <c r="AW398" s="171" t="str">
        <f>INDEX(CarrierDriverTBL!$M:$M,MATCH(Table1[[#This Row],[DriverID]],CarrierDriverTBL!$A:$A,0))</f>
        <v>1685 Winthrop Ln</v>
      </c>
      <c r="AX398" s="171" t="str">
        <f>INDEX(CarrierDriverTBL!$N:$N,MATCH(Table1[[#This Row],[DriverID]],CarrierDriverTBL!$A:$A,0))</f>
        <v>Ceres</v>
      </c>
      <c r="AY398" s="171" t="str">
        <f>INDEX(CarrierDriverTBL!$O:$O,MATCH(Table1[[#This Row],[DriverID]],CarrierDriverTBL!$A:$A,0))</f>
        <v>CA</v>
      </c>
      <c r="AZ398" s="171">
        <f>INDEX(CarrierDriverTBL!$P:$P,MATCH(Table1[[#This Row],[DriverID]],CarrierDriverTBL!$A:$A,0))</f>
        <v>95307</v>
      </c>
      <c r="BA398" s="171" t="str">
        <f>INDEX(CarrierDriverTBL!$Q:$Q,MATCH(Table1[[#This Row],[DriverID]],CarrierDriverTBL!$A:$A,0))</f>
        <v>US</v>
      </c>
      <c r="BB398" s="173" t="str">
        <f>INDEX(CarrierDriverTBL!$R:$R,MATCH(Table1[[#This Row],[DriverID]],CarrierDriverTBL!$A:$A,0))</f>
        <v>arturocarr777@gmail.com</v>
      </c>
      <c r="BC398" s="160">
        <f>INDEX(CarrierDriverTBL!$AB:$AB,MATCH(Table1[[#This Row],[DriverID]],CarrierDriverTBL!$A:$A,0))</f>
        <v>42418</v>
      </c>
      <c r="BD398" s="142" t="str">
        <f ca="1">INDEX(CarrierDriverTBL!$AD:$AD,MATCH(LoadMaster!$AN:$AN,CarrierDriverTBL!$A:$A,0))</f>
        <v>MISSING</v>
      </c>
      <c r="BE398" s="171">
        <f>INDEX(CarrierDriverTBL!$AE:$AE,MATCH(Table1[DriverID],CarrierDriverTBL!$A:$A,0))</f>
        <v>913971</v>
      </c>
      <c r="BF398" s="171">
        <f>INDEX(CarrierDriverTBL!$AF:$AF,MATCH(Table1[DriverID],CarrierDriverTBL!$A:$A,0))</f>
        <v>2627544</v>
      </c>
      <c r="BG398" s="10">
        <f>INDEX(CarrierDriverTBL!$AG:$AG,MATCH(Table1[DriverID],CarrierDriverTBL!$A:$A,0))</f>
        <v>466133</v>
      </c>
      <c r="BH398" s="171" t="str">
        <f>INDEX(CarrierDriverTBL!$AH:$AH,MATCH(Table1[DriverID],CarrierDriverTBL!$A:$A,0))</f>
        <v>GM Lawrence Ins</v>
      </c>
      <c r="BI398" s="171" t="str">
        <f>INDEX(CarrierDriverTBL!$AI:$AI,MATCH(Table1[DriverID],CarrierDriverTBL!$A:$A,0))</f>
        <v>DSK2842P160210</v>
      </c>
      <c r="BJ398" s="172">
        <f>INDEX(CarrierDriverTBL!$AJ:$AJ,MATCH(Table1[[#This Row],[DriverID]],CarrierDriverTBL!$A:$A,0))</f>
        <v>42778</v>
      </c>
      <c r="BK398" s="10">
        <f t="shared" si="171"/>
        <v>289</v>
      </c>
      <c r="BL398" s="237">
        <v>1050</v>
      </c>
      <c r="BM398" s="554">
        <v>422.7</v>
      </c>
      <c r="BN398" s="558">
        <f t="shared" si="188"/>
        <v>2.4840312278211498</v>
      </c>
      <c r="BO398" s="241">
        <f>0.93*Table1[[#This Row],[ChargeBroker]]</f>
        <v>976.5</v>
      </c>
      <c r="BP398" s="558">
        <f t="shared" si="189"/>
        <v>2.3101490418736694</v>
      </c>
      <c r="BQ398" s="558">
        <v>2.6</v>
      </c>
      <c r="BR398" s="559">
        <f t="shared" si="190"/>
        <v>0.1166666666666667</v>
      </c>
      <c r="BS398" s="558">
        <f t="shared" si="172"/>
        <v>2.1934823752070027</v>
      </c>
      <c r="BT398" s="558">
        <f t="shared" si="173"/>
        <v>49.315000000000012</v>
      </c>
      <c r="BU398" s="236" t="str">
        <f t="shared" si="174"/>
        <v>Ch Robinson</v>
      </c>
      <c r="BV398" s="550"/>
      <c r="BW398" s="235" t="str">
        <f>Table1[[#This Row],[BrokerAddress]]</f>
        <v>P.O. Box 3474</v>
      </c>
      <c r="BX398" s="235" t="str">
        <f t="shared" si="175"/>
        <v>Chicago</v>
      </c>
      <c r="BY398" s="235" t="str">
        <f t="shared" si="176"/>
        <v>Il</v>
      </c>
      <c r="BZ398" s="235">
        <f t="shared" si="177"/>
        <v>60654</v>
      </c>
      <c r="CA398" s="236" t="str">
        <f t="shared" si="178"/>
        <v>US</v>
      </c>
      <c r="CB398" s="15" t="s">
        <v>131</v>
      </c>
      <c r="CC398" s="62"/>
      <c r="CD398" s="15" t="s">
        <v>132</v>
      </c>
      <c r="CE398" s="64">
        <v>0</v>
      </c>
      <c r="CF398" s="4">
        <v>0</v>
      </c>
      <c r="CG398" s="132">
        <f t="shared" si="179"/>
        <v>0</v>
      </c>
      <c r="CH398" s="4" t="s">
        <v>132</v>
      </c>
      <c r="CI398" s="5">
        <v>0</v>
      </c>
      <c r="CJ398" s="4">
        <v>0</v>
      </c>
      <c r="CK398" s="132">
        <f t="shared" si="180"/>
        <v>0</v>
      </c>
      <c r="CL398" s="4" t="s">
        <v>132</v>
      </c>
      <c r="CM398" s="5">
        <v>0</v>
      </c>
      <c r="CN398" s="4">
        <v>0</v>
      </c>
      <c r="CO398" s="132">
        <f t="shared" si="181"/>
        <v>0</v>
      </c>
      <c r="CP398" s="4" t="s">
        <v>132</v>
      </c>
      <c r="CQ398" s="5">
        <v>0</v>
      </c>
      <c r="CR398" s="4">
        <v>0</v>
      </c>
      <c r="CS398" s="132">
        <f t="shared" si="182"/>
        <v>0</v>
      </c>
      <c r="CT398" s="132">
        <f t="shared" si="183"/>
        <v>0</v>
      </c>
      <c r="CU398" s="238">
        <f t="shared" si="184"/>
        <v>1050</v>
      </c>
      <c r="CV398" s="239">
        <f t="shared" si="167"/>
        <v>0</v>
      </c>
      <c r="CW398" s="240">
        <f t="shared" si="168"/>
        <v>976.5</v>
      </c>
      <c r="CX398" s="79">
        <f>IF(ISBLANK(E398),"AddQuickPay",IF(E398=2,CU398*0.98,IF(E398=2.4,CU398*0.976,IF(E398=3,CU398*0.97,IF(E398=5,CU398*0.95,IF(E398=1.5,CU398*0.985,IF(E398=2.5,CU398*0.975,IF(E398=1.3,CU398*0.987,IF(E398=1,CU398*0.99,IF(E398=4,CU398*0.96,CU398*1))))))))))-Table1[[#This Row],[ComCheck+QuickPayFee]]</f>
        <v>1029</v>
      </c>
      <c r="CY398" s="237">
        <f t="shared" si="185"/>
        <v>73.5</v>
      </c>
      <c r="CZ398" s="237">
        <f t="shared" si="186"/>
        <v>21</v>
      </c>
      <c r="DA398" s="263">
        <f>Table1[[#This Row],[OriginalDispatch]]-Table1[[#This Row],[QuickPayCharge]]</f>
        <v>52.5</v>
      </c>
      <c r="DB398" s="5">
        <v>0</v>
      </c>
      <c r="DC398" s="237" t="s">
        <v>133</v>
      </c>
      <c r="DD398" s="556">
        <f t="shared" si="187"/>
        <v>42489</v>
      </c>
      <c r="DE398" s="554">
        <f>MONTH(Table1[[#This Row],[Weekending]])</f>
        <v>4</v>
      </c>
      <c r="DF398" s="554">
        <f>YEAR(Table1[[#This Row],[Weekending]])</f>
        <v>2016</v>
      </c>
      <c r="DG398" s="235"/>
    </row>
    <row r="399" spans="1:111">
      <c r="A399" s="548" t="str">
        <f t="shared" si="169"/>
        <v>91929249</v>
      </c>
      <c r="B399" s="549">
        <v>42491</v>
      </c>
      <c r="C399" s="550">
        <v>170691</v>
      </c>
      <c r="D399" s="416" t="s">
        <v>2676</v>
      </c>
      <c r="E399" s="550">
        <v>0</v>
      </c>
      <c r="F399" s="551" t="str">
        <f>INDEX(BrokerTBL!$B:$B,MATCH(D399,BrokerTBL!$A:$A,0))</f>
        <v>P.O. Box 1470</v>
      </c>
      <c r="G399" s="550" t="str">
        <f>INDEX(BrokerTBL!$C:$C,MATCH(D399,BrokerTBL!$A:$A,0))</f>
        <v>Decatur</v>
      </c>
      <c r="H399" s="235" t="str">
        <f>INDEX(BrokerTBL!$D:$D,MATCH(D399,BrokerTBL!$A:$A,0))</f>
        <v>IL</v>
      </c>
      <c r="I399" s="235" t="str">
        <f>INDEX(BrokerTBL!$E:$E,MATCH(D399,BrokerTBL!$A:$A,0))</f>
        <v>US</v>
      </c>
      <c r="J399" s="235">
        <f>INDEX(BrokerTBL!$F:$F,MATCH(D399,BrokerTBL!$A:$A,0))</f>
        <v>62525</v>
      </c>
      <c r="K399" s="548" t="s">
        <v>2677</v>
      </c>
      <c r="L399" s="552">
        <v>1059392</v>
      </c>
      <c r="M399" s="549">
        <v>42489</v>
      </c>
      <c r="N399" s="550" t="s">
        <v>1055</v>
      </c>
      <c r="O399" s="550" t="s">
        <v>2678</v>
      </c>
      <c r="P399" s="548" t="s">
        <v>2679</v>
      </c>
      <c r="Q399" s="548" t="s">
        <v>2206</v>
      </c>
      <c r="R399" s="548">
        <v>96092</v>
      </c>
      <c r="S399" s="548" t="s">
        <v>2207</v>
      </c>
      <c r="T399" s="548" t="s">
        <v>2680</v>
      </c>
      <c r="U399" s="548" t="s">
        <v>120</v>
      </c>
      <c r="V399" s="548">
        <v>53</v>
      </c>
      <c r="W399" s="548" t="s">
        <v>2681</v>
      </c>
      <c r="X399" s="553">
        <v>10000</v>
      </c>
      <c r="Y399" s="550" t="s">
        <v>2220</v>
      </c>
      <c r="Z399" s="548">
        <v>400</v>
      </c>
      <c r="AA399" s="548" t="s">
        <v>123</v>
      </c>
      <c r="AB399" s="548" t="s">
        <v>123</v>
      </c>
      <c r="AC399" s="548" t="s">
        <v>2682</v>
      </c>
      <c r="AD399" s="552">
        <v>1059392</v>
      </c>
      <c r="AE399" s="549">
        <v>42492</v>
      </c>
      <c r="AF399" s="560">
        <v>0.29166666666666669</v>
      </c>
      <c r="AG399" s="548" t="s">
        <v>2683</v>
      </c>
      <c r="AH399" s="548" t="s">
        <v>2684</v>
      </c>
      <c r="AI399" s="548" t="s">
        <v>2206</v>
      </c>
      <c r="AJ399" s="548">
        <v>95240</v>
      </c>
      <c r="AK399" s="548" t="s">
        <v>2207</v>
      </c>
      <c r="AL399" s="548" t="s">
        <v>2685</v>
      </c>
      <c r="AM399" s="554" t="str">
        <f>INDEX(CarrierDriverTBL!$B:$B,MATCH(Table1[[#This Row],[DriverID]],CarrierDriverTBL!$A:$A,0))</f>
        <v>UBTrucking</v>
      </c>
      <c r="AN399" s="10" t="s">
        <v>192</v>
      </c>
      <c r="AO399" s="10" t="str">
        <f>INDEX(CarrierDriverTBL!$C:$C,MATCH(Table1[[#This Row],[DriverID]],CarrierDriverTBL!$A:$A,0))</f>
        <v>Albel</v>
      </c>
      <c r="AP399" s="142" t="str">
        <f>INDEX(CarrierDriverTBL!$D:$D,MATCH(Table1[[#This Row],[DriverID]],CarrierDriverTBL!$A:$A,0))</f>
        <v>Chahil</v>
      </c>
      <c r="AQ399" s="142" t="str">
        <f>INDEX(CarrierDriverTBL!$X:$X,MATCH(Table1[[#This Row],[DriverID]],CarrierDriverTBL!$A:$A,0))</f>
        <v>A8390649</v>
      </c>
      <c r="AR399" s="160">
        <f>INDEX(CarrierDriverTBL!$Y:$Y,MATCH(Table1[[#This Row],[DriverID]],CarrierDriverTBL!$A:$A,0))</f>
        <v>42402</v>
      </c>
      <c r="AS399" s="142" t="str">
        <f t="shared" si="170"/>
        <v>EXPIRED</v>
      </c>
      <c r="AT399" s="160">
        <f>INDEX(CarrierDriverTBL!$E:$E,MATCH(Table1[[#This Row],[DriverID]],CarrierDriverTBL!$A:$A,0))</f>
        <v>22314</v>
      </c>
      <c r="AU399" s="163">
        <f ca="1">INDEX(CarrierDriverTBL!$F:$F,MATCH(Table1[[#This Row],[DriverID]],CarrierDriverTBL!$A:$A,0))</f>
        <v>55.512328767123286</v>
      </c>
      <c r="AV399" s="142" t="str">
        <f>INDEX(CarrierDriverTBL!$K:$K,MATCH(Table1[[#This Row],[DriverID]],CarrierDriverTBL!$A:$A,0))</f>
        <v>510-773-9450</v>
      </c>
      <c r="AW399" s="142" t="str">
        <f>INDEX(CarrierDriverTBL!$M:$M,MATCH(Table1[[#This Row],[DriverID]],CarrierDriverTBL!$A:$A,0))</f>
        <v>3124 Cynthia CT</v>
      </c>
      <c r="AX399" s="142" t="str">
        <f>INDEX(CarrierDriverTBL!$N:$N,MATCH(Table1[[#This Row],[DriverID]],CarrierDriverTBL!$A:$A,0))</f>
        <v>Tracy</v>
      </c>
      <c r="AY399" s="142" t="str">
        <f>INDEX(CarrierDriverTBL!$O:$O,MATCH(Table1[[#This Row],[DriverID]],CarrierDriverTBL!$A:$A,0))</f>
        <v>CA</v>
      </c>
      <c r="AZ399" s="142">
        <f>INDEX(CarrierDriverTBL!$P:$P,MATCH(Table1[[#This Row],[DriverID]],CarrierDriverTBL!$A:$A,0))</f>
        <v>95377</v>
      </c>
      <c r="BA399" s="142" t="str">
        <f>INDEX(CarrierDriverTBL!$Q:$Q,MATCH(Table1[[#This Row],[DriverID]],CarrierDriverTBL!$A:$A,0))</f>
        <v>US</v>
      </c>
      <c r="BB399" s="176" t="str">
        <f>INDEX(CarrierDriverTBL!$R:$R,MATCH(Table1[[#This Row],[DriverID]],CarrierDriverTBL!$A:$A,0))</f>
        <v>ubgollc@gmail.com</v>
      </c>
      <c r="BC399" s="160">
        <f>INDEX(CarrierDriverTBL!$AB:$AB,MATCH(Table1[[#This Row],[DriverID]],CarrierDriverTBL!$A:$A,0))</f>
        <v>42167</v>
      </c>
      <c r="BD399" s="142" t="str">
        <f ca="1">INDEX(CarrierDriverTBL!$AD:$AD,MATCH(LoadMaster!$AN:$AN,CarrierDriverTBL!$A:$A,0))</f>
        <v>MISSING</v>
      </c>
      <c r="BE399" s="142">
        <f>INDEX(CarrierDriverTBL!$AE:$AE,MATCH(Table1[DriverID],CarrierDriverTBL!$A:$A,0))</f>
        <v>913971</v>
      </c>
      <c r="BF399" s="142">
        <f>INDEX(CarrierDriverTBL!$AF:$AF,MATCH(Table1[DriverID],CarrierDriverTBL!$A:$A,0))</f>
        <v>2627544</v>
      </c>
      <c r="BG399" s="142">
        <f>INDEX(CarrierDriverTBL!$AG:$AG,MATCH(Table1[DriverID],CarrierDriverTBL!$A:$A,0))</f>
        <v>466133</v>
      </c>
      <c r="BH399" s="142" t="str">
        <f>INDEX(CarrierDriverTBL!$AH:$AH,MATCH(Table1[DriverID],CarrierDriverTBL!$A:$A,0))</f>
        <v>GM Lawrence Ins</v>
      </c>
      <c r="BI399" s="142" t="str">
        <f>INDEX(CarrierDriverTBL!$AI:$AI,MATCH(Table1[DriverID],CarrierDriverTBL!$A:$A,0))</f>
        <v>DSK2842P160210</v>
      </c>
      <c r="BJ399" s="160">
        <f>INDEX(CarrierDriverTBL!$AJ:$AJ,MATCH(Table1[[#This Row],[DriverID]],CarrierDriverTBL!$A:$A,0))</f>
        <v>42778</v>
      </c>
      <c r="BK399" s="10">
        <f t="shared" si="171"/>
        <v>289</v>
      </c>
      <c r="BL399" s="237">
        <v>575</v>
      </c>
      <c r="BM399" s="554">
        <v>143.5</v>
      </c>
      <c r="BN399" s="558">
        <f t="shared" si="188"/>
        <v>4.006968641114983</v>
      </c>
      <c r="BO399" s="241">
        <f>0.93*Table1[[#This Row],[ChargeBroker]]</f>
        <v>534.75</v>
      </c>
      <c r="BP399" s="558">
        <f t="shared" si="189"/>
        <v>3.7264808362369339</v>
      </c>
      <c r="BQ399" s="558">
        <v>2.6</v>
      </c>
      <c r="BR399" s="559">
        <f t="shared" si="190"/>
        <v>0.1166666666666667</v>
      </c>
      <c r="BS399" s="558">
        <f t="shared" si="172"/>
        <v>3.6098141695702672</v>
      </c>
      <c r="BT399" s="558">
        <f t="shared" si="173"/>
        <v>16.741666666666671</v>
      </c>
      <c r="BU399" s="236" t="str">
        <f t="shared" si="174"/>
        <v>ADM Logistics, Inc.</v>
      </c>
      <c r="BV399" s="550"/>
      <c r="BW399" s="235" t="str">
        <f>Table1[[#This Row],[BrokerAddress]]</f>
        <v>P.O. Box 1470</v>
      </c>
      <c r="BX399" s="235" t="str">
        <f t="shared" si="175"/>
        <v>Decatur</v>
      </c>
      <c r="BY399" s="235" t="str">
        <f t="shared" si="176"/>
        <v>IL</v>
      </c>
      <c r="BZ399" s="235">
        <f t="shared" si="177"/>
        <v>62525</v>
      </c>
      <c r="CA399" s="236" t="str">
        <f t="shared" si="178"/>
        <v>US</v>
      </c>
      <c r="CB399" s="15" t="s">
        <v>131</v>
      </c>
      <c r="CC399" s="62"/>
      <c r="CD399" s="15" t="s">
        <v>132</v>
      </c>
      <c r="CE399" s="64">
        <v>0</v>
      </c>
      <c r="CF399" s="4">
        <v>0</v>
      </c>
      <c r="CG399" s="132">
        <f t="shared" si="179"/>
        <v>0</v>
      </c>
      <c r="CH399" s="4" t="s">
        <v>132</v>
      </c>
      <c r="CI399" s="5">
        <v>0</v>
      </c>
      <c r="CJ399" s="4">
        <v>0</v>
      </c>
      <c r="CK399" s="132">
        <f t="shared" si="180"/>
        <v>0</v>
      </c>
      <c r="CL399" s="4" t="s">
        <v>132</v>
      </c>
      <c r="CM399" s="5">
        <v>0</v>
      </c>
      <c r="CN399" s="4">
        <v>0</v>
      </c>
      <c r="CO399" s="132">
        <f t="shared" si="181"/>
        <v>0</v>
      </c>
      <c r="CP399" s="4" t="s">
        <v>132</v>
      </c>
      <c r="CQ399" s="5">
        <v>0</v>
      </c>
      <c r="CR399" s="4">
        <v>0</v>
      </c>
      <c r="CS399" s="132">
        <f t="shared" si="182"/>
        <v>0</v>
      </c>
      <c r="CT399" s="132">
        <f t="shared" si="183"/>
        <v>0</v>
      </c>
      <c r="CU399" s="238">
        <f t="shared" si="184"/>
        <v>575</v>
      </c>
      <c r="CV399" s="239">
        <f t="shared" si="167"/>
        <v>0</v>
      </c>
      <c r="CW399" s="240">
        <f t="shared" si="168"/>
        <v>534.75</v>
      </c>
      <c r="CX399" s="79">
        <f>IF(ISBLANK(E399),"AddQuickPay",IF(E399=2,CU399*0.98,IF(E399=2.4,CU399*0.976,IF(E399=3,CU399*0.97,IF(E399=5,CU399*0.95,IF(E399=1.5,CU399*0.985,IF(E399=2.5,CU399*0.975,IF(E399=1.3,CU399*0.987,IF(E399=1,CU399*0.99,IF(E399=4,CU399*0.96,CU399*1))))))))))-Table1[[#This Row],[ComCheck+QuickPayFee]]</f>
        <v>575</v>
      </c>
      <c r="CY399" s="237">
        <f t="shared" si="185"/>
        <v>40.25</v>
      </c>
      <c r="CZ399" s="237">
        <f t="shared" si="186"/>
        <v>0</v>
      </c>
      <c r="DA399" s="263">
        <f>Table1[[#This Row],[OriginalDispatch]]-Table1[[#This Row],[QuickPayCharge]]</f>
        <v>40.25</v>
      </c>
      <c r="DB399" s="5">
        <v>0</v>
      </c>
      <c r="DC399" s="237" t="s">
        <v>133</v>
      </c>
      <c r="DD399" s="556">
        <f t="shared" si="187"/>
        <v>42489</v>
      </c>
      <c r="DE399" s="554">
        <f>MONTH(Table1[[#This Row],[Weekending]])</f>
        <v>4</v>
      </c>
      <c r="DF399" s="554">
        <f>YEAR(Table1[[#This Row],[Weekending]])</f>
        <v>2016</v>
      </c>
      <c r="DG399" s="235"/>
    </row>
    <row r="400" spans="1:111">
      <c r="A400" s="548" t="str">
        <f t="shared" si="169"/>
        <v>77wnwn19</v>
      </c>
      <c r="B400" s="549">
        <v>42491</v>
      </c>
      <c r="C400" s="550">
        <v>373777</v>
      </c>
      <c r="D400" s="548" t="s">
        <v>2686</v>
      </c>
      <c r="E400" s="550">
        <v>4</v>
      </c>
      <c r="F400" s="551" t="str">
        <f>INDEX(BrokerTBL!$B:$B,MATCH(D400,BrokerTBL!$A:$A,0))</f>
        <v>10739 Deerwood Park Blvd. Suite 103</v>
      </c>
      <c r="G400" s="550" t="str">
        <f>INDEX(BrokerTBL!$C:$C,MATCH(D400,BrokerTBL!$A:$A,0))</f>
        <v>Jacksonville</v>
      </c>
      <c r="H400" s="235" t="str">
        <f>INDEX(BrokerTBL!$D:$D,MATCH(D400,BrokerTBL!$A:$A,0))</f>
        <v>FL</v>
      </c>
      <c r="I400" s="235" t="str">
        <f>INDEX(BrokerTBL!$E:$E,MATCH(D400,BrokerTBL!$A:$A,0))</f>
        <v>US</v>
      </c>
      <c r="J400" s="235">
        <f>INDEX(BrokerTBL!$F:$F,MATCH(D400,BrokerTBL!$A:$A,0))</f>
        <v>32256</v>
      </c>
      <c r="K400" s="548" t="s">
        <v>2687</v>
      </c>
      <c r="L400" s="552" t="s">
        <v>1205</v>
      </c>
      <c r="M400" s="549">
        <v>42489</v>
      </c>
      <c r="N400" s="550" t="s">
        <v>2688</v>
      </c>
      <c r="O400" s="550" t="s">
        <v>2689</v>
      </c>
      <c r="P400" s="548" t="s">
        <v>2690</v>
      </c>
      <c r="Q400" s="548" t="s">
        <v>2233</v>
      </c>
      <c r="R400" s="548">
        <v>89431</v>
      </c>
      <c r="S400" s="548" t="s">
        <v>2207</v>
      </c>
      <c r="T400" s="298" t="s">
        <v>123</v>
      </c>
      <c r="U400" s="548" t="s">
        <v>120</v>
      </c>
      <c r="V400" s="548">
        <v>53</v>
      </c>
      <c r="W400" s="548" t="s">
        <v>1205</v>
      </c>
      <c r="X400" s="144" t="s">
        <v>123</v>
      </c>
      <c r="Y400" s="550" t="s">
        <v>123</v>
      </c>
      <c r="Z400" s="548" t="s">
        <v>123</v>
      </c>
      <c r="AA400" s="548" t="s">
        <v>123</v>
      </c>
      <c r="AB400" s="548" t="s">
        <v>123</v>
      </c>
      <c r="AC400" s="548" t="s">
        <v>2691</v>
      </c>
      <c r="AD400" s="552" t="s">
        <v>1205</v>
      </c>
      <c r="AE400" s="549">
        <v>42492</v>
      </c>
      <c r="AF400" s="549" t="s">
        <v>2692</v>
      </c>
      <c r="AG400" s="548" t="s">
        <v>2693</v>
      </c>
      <c r="AH400" s="548" t="s">
        <v>2694</v>
      </c>
      <c r="AI400" s="548" t="s">
        <v>2206</v>
      </c>
      <c r="AJ400" s="548" t="s">
        <v>2695</v>
      </c>
      <c r="AK400" s="548" t="s">
        <v>2207</v>
      </c>
      <c r="AL400" s="548" t="s">
        <v>123</v>
      </c>
      <c r="AM400" s="554" t="str">
        <f>INDEX(CarrierDriverTBL!$B:$B,MATCH(Table1[[#This Row],[DriverID]],CarrierDriverTBL!$A:$A,0))</f>
        <v>UBTrucking</v>
      </c>
      <c r="AN400" s="10" t="s">
        <v>1409</v>
      </c>
      <c r="AO400" s="298" t="str">
        <f>INDEX(CarrierDriverTBL!$C:$C,MATCH(Table1[[#This Row],[DriverID]],CarrierDriverTBL!$A:$A,0))</f>
        <v>Miguel Jaime</v>
      </c>
      <c r="AP400" s="298" t="str">
        <f>INDEX(CarrierDriverTBL!$D:$D,MATCH(Table1[[#This Row],[DriverID]],CarrierDriverTBL!$A:$A,0))</f>
        <v>Martin Del Campo Velarca</v>
      </c>
      <c r="AQ400" s="142" t="str">
        <f>INDEX(CarrierDriverTBL!$X:$X,MATCH(Table1[[#This Row],[DriverID]],CarrierDriverTBL!$A:$A,0))</f>
        <v>D5179619</v>
      </c>
      <c r="AR400" s="160">
        <f>INDEX(CarrierDriverTBL!$Y:$Y,MATCH(Table1[[#This Row],[DriverID]],CarrierDriverTBL!$A:$A,0))</f>
        <v>43843</v>
      </c>
      <c r="AS400" s="142" t="str">
        <f t="shared" si="170"/>
        <v>GOOD</v>
      </c>
      <c r="AT400" s="146">
        <f>INDEX(CarrierDriverTBL!$E:$E,MATCH(Table1[[#This Row],[DriverID]],CarrierDriverTBL!$A:$A,0))</f>
        <v>21198</v>
      </c>
      <c r="AU400" s="163">
        <f ca="1">INDEX(CarrierDriverTBL!$F:$F,MATCH(Table1[[#This Row],[DriverID]],CarrierDriverTBL!$A:$A,0))</f>
        <v>58.56986301369863</v>
      </c>
      <c r="AV400" s="298" t="str">
        <f>INDEX(CarrierDriverTBL!$K:$K,MATCH(Table1[[#This Row],[DriverID]],CarrierDriverTBL!$A:$A,0))</f>
        <v>209-322-5231</v>
      </c>
      <c r="AW400" s="298" t="str">
        <f>INDEX(CarrierDriverTBL!$M:$M,MATCH(Table1[[#This Row],[DriverID]],CarrierDriverTBL!$A:$A,0))</f>
        <v>572 Predersen RD</v>
      </c>
      <c r="AX400" s="298" t="str">
        <f>INDEX(CarrierDriverTBL!$N:$N,MATCH(Table1[[#This Row],[DriverID]],CarrierDriverTBL!$A:$A,0))</f>
        <v>Oakdale</v>
      </c>
      <c r="AY400" s="142" t="str">
        <f>INDEX(CarrierDriverTBL!$O:$O,MATCH(Table1[[#This Row],[DriverID]],CarrierDriverTBL!$A:$A,0))</f>
        <v>CA</v>
      </c>
      <c r="AZ400" s="298">
        <f>INDEX(CarrierDriverTBL!$P:$P,MATCH(Table1[[#This Row],[DriverID]],CarrierDriverTBL!$A:$A,0))</f>
        <v>95361</v>
      </c>
      <c r="BA400" s="298" t="str">
        <f>INDEX(CarrierDriverTBL!$Q:$Q,MATCH(Table1[[#This Row],[DriverID]],CarrierDriverTBL!$A:$A,0))</f>
        <v>US</v>
      </c>
      <c r="BB400" s="176" t="str">
        <f>INDEX(CarrierDriverTBL!$R:$R,MATCH(Table1[[#This Row],[DriverID]],CarrierDriverTBL!$A:$A,0))</f>
        <v>Miguelmartin52@yahoo.com</v>
      </c>
      <c r="BC400" s="160">
        <f>INDEX(CarrierDriverTBL!$AB:$AB,MATCH(Table1[[#This Row],[DriverID]],CarrierDriverTBL!$A:$A,0))</f>
        <v>42334</v>
      </c>
      <c r="BD400" s="142" t="str">
        <f ca="1">INDEX(CarrierDriverTBL!$AD:$AD,MATCH(LoadMaster!$AN:$AN,CarrierDriverTBL!$A:$A,0))</f>
        <v>MISSING</v>
      </c>
      <c r="BE400" s="142">
        <f>INDEX(CarrierDriverTBL!$AE:$AE,MATCH(Table1[DriverID],CarrierDriverTBL!$A:$A,0))</f>
        <v>913971</v>
      </c>
      <c r="BF400" s="142">
        <f>INDEX(CarrierDriverTBL!$AF:$AF,MATCH(Table1[DriverID],CarrierDriverTBL!$A:$A,0))</f>
        <v>2627544</v>
      </c>
      <c r="BG400" s="142">
        <f>INDEX(CarrierDriverTBL!$AG:$AG,MATCH(Table1[DriverID],CarrierDriverTBL!$A:$A,0))</f>
        <v>466133</v>
      </c>
      <c r="BH400" s="142" t="str">
        <f>INDEX(CarrierDriverTBL!$AH:$AH,MATCH(Table1[DriverID],CarrierDriverTBL!$A:$A,0))</f>
        <v>GM Lawrence Ins</v>
      </c>
      <c r="BI400" s="142" t="str">
        <f>INDEX(CarrierDriverTBL!$AI:$AI,MATCH(Table1[DriverID],CarrierDriverTBL!$A:$A,0))</f>
        <v>DSK2842P160210</v>
      </c>
      <c r="BJ400" s="172">
        <f>INDEX(CarrierDriverTBL!$AJ:$AJ,MATCH(Table1[[#This Row],[DriverID]],CarrierDriverTBL!$A:$A,0))</f>
        <v>42778</v>
      </c>
      <c r="BK400" s="10">
        <f t="shared" si="171"/>
        <v>289</v>
      </c>
      <c r="BL400" s="237">
        <v>875</v>
      </c>
      <c r="BM400" s="554">
        <v>466</v>
      </c>
      <c r="BN400" s="558">
        <f t="shared" si="188"/>
        <v>1.8776824034334765</v>
      </c>
      <c r="BO400" s="241">
        <f>0.93*Table1[[#This Row],[ChargeBroker]]</f>
        <v>813.75</v>
      </c>
      <c r="BP400" s="558">
        <f t="shared" si="189"/>
        <v>1.7462446351931331</v>
      </c>
      <c r="BQ400" s="558">
        <v>2.6</v>
      </c>
      <c r="BR400" s="559">
        <f t="shared" si="190"/>
        <v>0.1166666666666667</v>
      </c>
      <c r="BS400" s="558">
        <f t="shared" si="172"/>
        <v>1.6295779685264664</v>
      </c>
      <c r="BT400" s="558">
        <f t="shared" si="173"/>
        <v>54.366666666666681</v>
      </c>
      <c r="BU400" s="236" t="str">
        <f t="shared" si="174"/>
        <v>R2 Logistics</v>
      </c>
      <c r="BV400" s="550"/>
      <c r="BW400" s="235" t="str">
        <f>Table1[[#This Row],[BrokerAddress]]</f>
        <v>10739 Deerwood Park Blvd. Suite 103</v>
      </c>
      <c r="BX400" s="235" t="str">
        <f t="shared" si="175"/>
        <v>Jacksonville</v>
      </c>
      <c r="BY400" s="235" t="str">
        <f t="shared" si="176"/>
        <v>FL</v>
      </c>
      <c r="BZ400" s="235">
        <f t="shared" si="177"/>
        <v>32256</v>
      </c>
      <c r="CA400" s="236" t="str">
        <f t="shared" si="178"/>
        <v>US</v>
      </c>
      <c r="CB400" s="15" t="s">
        <v>131</v>
      </c>
      <c r="CC400" s="62"/>
      <c r="CD400" s="15" t="s">
        <v>132</v>
      </c>
      <c r="CE400" s="64">
        <v>0</v>
      </c>
      <c r="CF400" s="4">
        <v>0</v>
      </c>
      <c r="CG400" s="132">
        <f t="shared" si="179"/>
        <v>0</v>
      </c>
      <c r="CH400" s="4" t="s">
        <v>132</v>
      </c>
      <c r="CI400" s="5">
        <v>0</v>
      </c>
      <c r="CJ400" s="4">
        <v>0</v>
      </c>
      <c r="CK400" s="132">
        <f t="shared" si="180"/>
        <v>0</v>
      </c>
      <c r="CL400" s="4" t="s">
        <v>132</v>
      </c>
      <c r="CM400" s="5">
        <v>0</v>
      </c>
      <c r="CN400" s="4">
        <v>0</v>
      </c>
      <c r="CO400" s="132">
        <f t="shared" si="181"/>
        <v>0</v>
      </c>
      <c r="CP400" s="4" t="s">
        <v>132</v>
      </c>
      <c r="CQ400" s="5">
        <v>0</v>
      </c>
      <c r="CR400" s="4">
        <v>0</v>
      </c>
      <c r="CS400" s="132">
        <f t="shared" si="182"/>
        <v>0</v>
      </c>
      <c r="CT400" s="132">
        <f t="shared" si="183"/>
        <v>0</v>
      </c>
      <c r="CU400" s="238">
        <f t="shared" si="184"/>
        <v>875</v>
      </c>
      <c r="CV400" s="239">
        <f t="shared" si="167"/>
        <v>0</v>
      </c>
      <c r="CW400" s="240">
        <f t="shared" si="168"/>
        <v>813.75</v>
      </c>
      <c r="CX400" s="79">
        <f>IF(ISBLANK(E400),"AddQuickPay",IF(E400=2,CU400*0.98,IF(E400=2.4,CU400*0.976,IF(E400=3,CU400*0.97,IF(E400=5,CU400*0.95,IF(E400=1.5,CU400*0.985,IF(E400=2.5,CU400*0.975,IF(E400=1.3,CU400*0.987,IF(E400=1,CU400*0.99,IF(E400=4,CU400*0.96,CU400*1))))))))))-Table1[[#This Row],[ComCheck+QuickPayFee]]</f>
        <v>840</v>
      </c>
      <c r="CY400" s="237">
        <f t="shared" si="185"/>
        <v>61.25</v>
      </c>
      <c r="CZ400" s="237">
        <f t="shared" si="186"/>
        <v>35</v>
      </c>
      <c r="DA400" s="263">
        <f>Table1[[#This Row],[OriginalDispatch]]-Table1[[#This Row],[QuickPayCharge]]</f>
        <v>26.25</v>
      </c>
      <c r="DB400" s="5">
        <v>0</v>
      </c>
      <c r="DC400" s="237" t="s">
        <v>133</v>
      </c>
      <c r="DD400" s="556">
        <f t="shared" si="187"/>
        <v>42489</v>
      </c>
      <c r="DE400" s="554">
        <f>MONTH(Table1[[#This Row],[Weekending]])</f>
        <v>4</v>
      </c>
      <c r="DF400" s="554">
        <f>YEAR(Table1[[#This Row],[Weekending]])</f>
        <v>2016</v>
      </c>
      <c r="DG400" s="235"/>
    </row>
    <row r="401" spans="1:111">
      <c r="A401" s="548" t="str">
        <f t="shared" si="169"/>
        <v>20667749</v>
      </c>
      <c r="B401" s="549">
        <v>42494</v>
      </c>
      <c r="C401" s="550">
        <v>6896920</v>
      </c>
      <c r="D401" s="548" t="s">
        <v>2248</v>
      </c>
      <c r="E401" s="550">
        <v>3</v>
      </c>
      <c r="F401" s="551" t="str">
        <f>INDEX(BrokerTBL!$B:$B,MATCH(D401,BrokerTBL!$A:$A,0))</f>
        <v>P.O. Box 799</v>
      </c>
      <c r="G401" s="550" t="str">
        <f>INDEX(BrokerTBL!$C:$C,MATCH(D401,BrokerTBL!$A:$A,0))</f>
        <v>Milford</v>
      </c>
      <c r="H401" s="235" t="str">
        <f>INDEX(BrokerTBL!$D:$D,MATCH(D401,BrokerTBL!$A:$A,0))</f>
        <v>Ohio</v>
      </c>
      <c r="I401" s="235" t="str">
        <f>INDEX(BrokerTBL!$E:$E,MATCH(D401,BrokerTBL!$A:$A,0))</f>
        <v>US</v>
      </c>
      <c r="J401" s="235">
        <f>INDEX(BrokerTBL!$F:$F,MATCH(D401,BrokerTBL!$A:$A,0))</f>
        <v>45150</v>
      </c>
      <c r="K401" s="548" t="s">
        <v>2696</v>
      </c>
      <c r="L401" s="552">
        <v>652766</v>
      </c>
      <c r="M401" s="549">
        <v>42492</v>
      </c>
      <c r="N401" s="550" t="s">
        <v>1121</v>
      </c>
      <c r="O401" s="550" t="s">
        <v>2697</v>
      </c>
      <c r="P401" s="548" t="s">
        <v>2345</v>
      </c>
      <c r="Q401" s="548" t="s">
        <v>2206</v>
      </c>
      <c r="R401" s="548">
        <v>95357</v>
      </c>
      <c r="S401" s="548" t="s">
        <v>2207</v>
      </c>
      <c r="T401" s="298" t="s">
        <v>123</v>
      </c>
      <c r="U401" s="548" t="s">
        <v>120</v>
      </c>
      <c r="V401" s="548">
        <v>53</v>
      </c>
      <c r="W401" s="548" t="s">
        <v>1205</v>
      </c>
      <c r="X401" s="553">
        <v>43420</v>
      </c>
      <c r="Y401" s="550" t="s">
        <v>123</v>
      </c>
      <c r="Z401" s="548" t="s">
        <v>123</v>
      </c>
      <c r="AA401" s="548" t="s">
        <v>123</v>
      </c>
      <c r="AB401" s="548" t="s">
        <v>123</v>
      </c>
      <c r="AC401" s="548" t="s">
        <v>2698</v>
      </c>
      <c r="AD401" s="552" t="s">
        <v>2699</v>
      </c>
      <c r="AE401" s="549">
        <v>42492</v>
      </c>
      <c r="AF401" s="549" t="s">
        <v>2700</v>
      </c>
      <c r="AG401" s="548" t="s">
        <v>2701</v>
      </c>
      <c r="AH401" s="548" t="s">
        <v>864</v>
      </c>
      <c r="AI401" s="548" t="s">
        <v>2206</v>
      </c>
      <c r="AJ401" s="548">
        <v>95035</v>
      </c>
      <c r="AK401" s="548" t="s">
        <v>2207</v>
      </c>
      <c r="AL401" s="548" t="s">
        <v>2702</v>
      </c>
      <c r="AM401" s="554" t="str">
        <f>INDEX(CarrierDriverTBL!$B:$B,MATCH(Table1[[#This Row],[DriverID]],CarrierDriverTBL!$A:$A,0))</f>
        <v>UBTrucking</v>
      </c>
      <c r="AN401" s="10" t="s">
        <v>192</v>
      </c>
      <c r="AO401" s="554" t="str">
        <f>INDEX(CarrierDriverTBL!$C:$C,MATCH(Table1[[#This Row],[DriverID]],CarrierDriverTBL!$A:$A,0))</f>
        <v>Albel</v>
      </c>
      <c r="AP401" s="554" t="str">
        <f>INDEX(CarrierDriverTBL!$D:$D,MATCH(Table1[[#This Row],[DriverID]],CarrierDriverTBL!$A:$A,0))</f>
        <v>Chahil</v>
      </c>
      <c r="AQ401" s="554" t="str">
        <f>INDEX(CarrierDriverTBL!$X:$X,MATCH(Table1[[#This Row],[DriverID]],CarrierDriverTBL!$A:$A,0))</f>
        <v>A8390649</v>
      </c>
      <c r="AR401" s="556">
        <f>INDEX(CarrierDriverTBL!$Y:$Y,MATCH(Table1[[#This Row],[DriverID]],CarrierDriverTBL!$A:$A,0))</f>
        <v>42402</v>
      </c>
      <c r="AS401" s="554" t="str">
        <f t="shared" si="170"/>
        <v>EXPIRED</v>
      </c>
      <c r="AT401" s="556">
        <f>INDEX(CarrierDriverTBL!$E:$E,MATCH(Table1[[#This Row],[DriverID]],CarrierDriverTBL!$A:$A,0))</f>
        <v>22314</v>
      </c>
      <c r="AU401" s="562">
        <f ca="1">INDEX(CarrierDriverTBL!$F:$F,MATCH(Table1[[#This Row],[DriverID]],CarrierDriverTBL!$A:$A,0))</f>
        <v>55.512328767123286</v>
      </c>
      <c r="AV401" s="554" t="str">
        <f>INDEX(CarrierDriverTBL!$K:$K,MATCH(Table1[[#This Row],[DriverID]],CarrierDriverTBL!$A:$A,0))</f>
        <v>510-773-9450</v>
      </c>
      <c r="AW401" s="554" t="str">
        <f>INDEX(CarrierDriverTBL!$M:$M,MATCH(Table1[[#This Row],[DriverID]],CarrierDriverTBL!$A:$A,0))</f>
        <v>3124 Cynthia CT</v>
      </c>
      <c r="AX401" s="554" t="str">
        <f>INDEX(CarrierDriverTBL!$N:$N,MATCH(Table1[[#This Row],[DriverID]],CarrierDriverTBL!$A:$A,0))</f>
        <v>Tracy</v>
      </c>
      <c r="AY401" s="554" t="str">
        <f>INDEX(CarrierDriverTBL!$O:$O,MATCH(Table1[[#This Row],[DriverID]],CarrierDriverTBL!$A:$A,0))</f>
        <v>CA</v>
      </c>
      <c r="AZ401" s="554">
        <f>INDEX(CarrierDriverTBL!$P:$P,MATCH(Table1[[#This Row],[DriverID]],CarrierDriverTBL!$A:$A,0))</f>
        <v>95377</v>
      </c>
      <c r="BA401" s="554" t="str">
        <f>INDEX(CarrierDriverTBL!$Q:$Q,MATCH(Table1[[#This Row],[DriverID]],CarrierDriverTBL!$A:$A,0))</f>
        <v>US</v>
      </c>
      <c r="BB401" s="554" t="str">
        <f>INDEX(CarrierDriverTBL!$R:$R,MATCH(Table1[[#This Row],[DriverID]],CarrierDriverTBL!$A:$A,0))</f>
        <v>ubgollc@gmail.com</v>
      </c>
      <c r="BC401" s="160">
        <f>INDEX(CarrierDriverTBL!$AB:$AB,MATCH(Table1[[#This Row],[DriverID]],CarrierDriverTBL!$A:$A,0))</f>
        <v>42167</v>
      </c>
      <c r="BD401" s="142" t="str">
        <f ca="1">INDEX(CarrierDriverTBL!$AD:$AD,MATCH(LoadMaster!$AN:$AN,CarrierDriverTBL!$A:$A,0))</f>
        <v>MISSING</v>
      </c>
      <c r="BE401" s="554">
        <f>INDEX(CarrierDriverTBL!$AE:$AE,MATCH(Table1[DriverID],CarrierDriverTBL!$A:$A,0))</f>
        <v>913971</v>
      </c>
      <c r="BF401" s="554">
        <f>INDEX(CarrierDriverTBL!$AF:$AF,MATCH(Table1[DriverID],CarrierDriverTBL!$A:$A,0))</f>
        <v>2627544</v>
      </c>
      <c r="BG401" s="236">
        <f>INDEX(CarrierDriverTBL!$AG:$AG,MATCH(Table1[DriverID],CarrierDriverTBL!$A:$A,0))</f>
        <v>466133</v>
      </c>
      <c r="BH401" s="554" t="str">
        <f>INDEX(CarrierDriverTBL!$AH:$AH,MATCH(Table1[DriverID],CarrierDriverTBL!$A:$A,0))</f>
        <v>GM Lawrence Ins</v>
      </c>
      <c r="BI401" s="554" t="str">
        <f>INDEX(CarrierDriverTBL!$AI:$AI,MATCH(Table1[DriverID],CarrierDriverTBL!$A:$A,0))</f>
        <v>DSK2842P160210</v>
      </c>
      <c r="BJ401" s="556">
        <f>INDEX(CarrierDriverTBL!$AJ:$AJ,MATCH(Table1[[#This Row],[DriverID]],CarrierDriverTBL!$A:$A,0))</f>
        <v>42778</v>
      </c>
      <c r="BK401" s="10">
        <f t="shared" si="171"/>
        <v>286</v>
      </c>
      <c r="BL401" s="237">
        <v>350</v>
      </c>
      <c r="BM401" s="554">
        <v>74.900000000000006</v>
      </c>
      <c r="BN401" s="558">
        <f t="shared" si="188"/>
        <v>4.6728971962616823</v>
      </c>
      <c r="BO401" s="241">
        <f>0.93*Table1[[#This Row],[ChargeBroker]]</f>
        <v>325.5</v>
      </c>
      <c r="BP401" s="558">
        <f t="shared" si="189"/>
        <v>4.3457943925233637</v>
      </c>
      <c r="BQ401" s="558">
        <v>2.6</v>
      </c>
      <c r="BR401" s="559">
        <f t="shared" si="190"/>
        <v>0.1166666666666667</v>
      </c>
      <c r="BS401" s="558">
        <f t="shared" si="172"/>
        <v>4.2291277258566975</v>
      </c>
      <c r="BT401" s="558">
        <f t="shared" si="173"/>
        <v>8.7383333333333368</v>
      </c>
      <c r="BU401" s="236" t="str">
        <f t="shared" si="174"/>
        <v>TQL</v>
      </c>
      <c r="BV401" s="550"/>
      <c r="BW401" s="235" t="str">
        <f>Table1[[#This Row],[BrokerAddress]]</f>
        <v>P.O. Box 799</v>
      </c>
      <c r="BX401" s="235" t="str">
        <f t="shared" si="175"/>
        <v>Milford</v>
      </c>
      <c r="BY401" s="235" t="str">
        <f t="shared" si="176"/>
        <v>Ohio</v>
      </c>
      <c r="BZ401" s="235">
        <f t="shared" si="177"/>
        <v>45150</v>
      </c>
      <c r="CA401" s="236" t="str">
        <f t="shared" si="178"/>
        <v>US</v>
      </c>
      <c r="CB401" s="15" t="s">
        <v>131</v>
      </c>
      <c r="CC401" s="561"/>
      <c r="CD401" s="15" t="s">
        <v>132</v>
      </c>
      <c r="CE401" s="64">
        <v>0</v>
      </c>
      <c r="CF401" s="4">
        <v>0</v>
      </c>
      <c r="CG401" s="132">
        <f t="shared" si="179"/>
        <v>0</v>
      </c>
      <c r="CH401" s="4" t="s">
        <v>132</v>
      </c>
      <c r="CI401" s="5">
        <v>0</v>
      </c>
      <c r="CJ401" s="4">
        <v>0</v>
      </c>
      <c r="CK401" s="132">
        <f t="shared" si="180"/>
        <v>0</v>
      </c>
      <c r="CL401" s="4" t="s">
        <v>132</v>
      </c>
      <c r="CM401" s="5">
        <v>0</v>
      </c>
      <c r="CN401" s="4">
        <v>0</v>
      </c>
      <c r="CO401" s="132">
        <f t="shared" si="181"/>
        <v>0</v>
      </c>
      <c r="CP401" s="4" t="s">
        <v>132</v>
      </c>
      <c r="CQ401" s="5">
        <v>0</v>
      </c>
      <c r="CR401" s="4">
        <v>0</v>
      </c>
      <c r="CS401" s="132">
        <f t="shared" si="182"/>
        <v>0</v>
      </c>
      <c r="CT401" s="132">
        <f t="shared" si="183"/>
        <v>0</v>
      </c>
      <c r="CU401" s="238">
        <f t="shared" si="184"/>
        <v>350</v>
      </c>
      <c r="CV401" s="239">
        <f t="shared" si="167"/>
        <v>0</v>
      </c>
      <c r="CW401" s="240">
        <f t="shared" si="168"/>
        <v>325.5</v>
      </c>
      <c r="CX401" s="79">
        <f>IF(ISBLANK(E401),"AddQuickPay",IF(E401=2,CU401*0.98,IF(E401=2.4,CU401*0.976,IF(E401=3,CU401*0.97,IF(E401=5,CU401*0.95,IF(E401=1.5,CU401*0.985,IF(E401=2.5,CU401*0.975,IF(E401=1.3,CU401*0.987,IF(E401=1,CU401*0.99,IF(E401=4,CU401*0.96,CU401*1))))))))))-Table1[[#This Row],[ComCheck+QuickPayFee]]</f>
        <v>339.5</v>
      </c>
      <c r="CY401" s="237">
        <f t="shared" si="185"/>
        <v>24.5</v>
      </c>
      <c r="CZ401" s="237">
        <f t="shared" si="186"/>
        <v>10.5</v>
      </c>
      <c r="DA401" s="263">
        <f>Table1[[#This Row],[OriginalDispatch]]-Table1[[#This Row],[QuickPayCharge]]</f>
        <v>14</v>
      </c>
      <c r="DB401" s="5">
        <v>0</v>
      </c>
      <c r="DC401" s="237" t="s">
        <v>133</v>
      </c>
      <c r="DD401" s="556">
        <f t="shared" si="187"/>
        <v>42496</v>
      </c>
      <c r="DE401" s="554">
        <f>MONTH(Table1[[#This Row],[Weekending]])</f>
        <v>5</v>
      </c>
      <c r="DF401" s="554">
        <f>YEAR(Table1[[#This Row],[Weekending]])</f>
        <v>2016</v>
      </c>
      <c r="DG401" s="235"/>
    </row>
    <row r="402" spans="1:111">
      <c r="A402" s="548" t="str">
        <f t="shared" si="169"/>
        <v>01620119</v>
      </c>
      <c r="B402" s="549">
        <v>42494</v>
      </c>
      <c r="C402" s="550">
        <v>24330601</v>
      </c>
      <c r="D402" s="548" t="s">
        <v>2703</v>
      </c>
      <c r="E402" s="550">
        <v>2</v>
      </c>
      <c r="F402" s="551" t="str">
        <f>INDEX(BrokerTBL!$B:$B,MATCH(D402,BrokerTBL!$A:$A,0))</f>
        <v>600 W. Chicago Ave., Ste. 725</v>
      </c>
      <c r="G402" s="550" t="str">
        <f>INDEX(BrokerTBL!$C:$C,MATCH(D402,BrokerTBL!$A:$A,0))</f>
        <v>Chicago</v>
      </c>
      <c r="H402" s="235" t="str">
        <f>INDEX(BrokerTBL!$D:$D,MATCH(D402,BrokerTBL!$A:$A,0))</f>
        <v>IL</v>
      </c>
      <c r="I402" s="235" t="str">
        <f>INDEX(BrokerTBL!$E:$E,MATCH(D402,BrokerTBL!$A:$A,0))</f>
        <v>US</v>
      </c>
      <c r="J402" s="235">
        <f>INDEX(BrokerTBL!$F:$F,MATCH(D402,BrokerTBL!$A:$A,0))</f>
        <v>60654</v>
      </c>
      <c r="K402" s="548" t="s">
        <v>2704</v>
      </c>
      <c r="L402" s="552">
        <v>17128862</v>
      </c>
      <c r="M402" s="549">
        <v>42492</v>
      </c>
      <c r="N402" s="550">
        <v>0.60416666666666663</v>
      </c>
      <c r="O402" s="550" t="s">
        <v>885</v>
      </c>
      <c r="P402" s="548" t="s">
        <v>2499</v>
      </c>
      <c r="Q402" s="548" t="s">
        <v>2206</v>
      </c>
      <c r="R402" s="548">
        <v>94560</v>
      </c>
      <c r="S402" s="548" t="s">
        <v>2207</v>
      </c>
      <c r="T402" s="548" t="s">
        <v>2705</v>
      </c>
      <c r="U402" s="548" t="s">
        <v>120</v>
      </c>
      <c r="V402" s="548">
        <v>53</v>
      </c>
      <c r="W402" s="548" t="s">
        <v>2706</v>
      </c>
      <c r="X402" s="553">
        <v>43000</v>
      </c>
      <c r="Y402" s="550" t="s">
        <v>566</v>
      </c>
      <c r="Z402" s="548">
        <v>17</v>
      </c>
      <c r="AA402" s="548" t="s">
        <v>123</v>
      </c>
      <c r="AB402" s="548" t="s">
        <v>123</v>
      </c>
      <c r="AC402" s="548" t="s">
        <v>2707</v>
      </c>
      <c r="AD402" s="552">
        <v>4505029001</v>
      </c>
      <c r="AE402" s="549">
        <v>42493</v>
      </c>
      <c r="AF402" s="549" t="s">
        <v>2708</v>
      </c>
      <c r="AG402" s="548" t="s">
        <v>2709</v>
      </c>
      <c r="AH402" s="548" t="s">
        <v>2466</v>
      </c>
      <c r="AI402" s="548" t="s">
        <v>2233</v>
      </c>
      <c r="AJ402" s="548">
        <v>89506</v>
      </c>
      <c r="AK402" s="548" t="s">
        <v>2207</v>
      </c>
      <c r="AL402" s="548" t="s">
        <v>2710</v>
      </c>
      <c r="AM402" s="554" t="str">
        <f>INDEX(CarrierDriverTBL!$B:$B,MATCH(Table1[[#This Row],[DriverID]],CarrierDriverTBL!$A:$A,0))</f>
        <v>UBTrucking</v>
      </c>
      <c r="AN402" s="10" t="s">
        <v>1409</v>
      </c>
      <c r="AO402" s="554" t="str">
        <f>INDEX(CarrierDriverTBL!$C:$C,MATCH(Table1[[#This Row],[DriverID]],CarrierDriverTBL!$A:$A,0))</f>
        <v>Miguel Jaime</v>
      </c>
      <c r="AP402" s="554" t="str">
        <f>INDEX(CarrierDriverTBL!$D:$D,MATCH(Table1[[#This Row],[DriverID]],CarrierDriverTBL!$A:$A,0))</f>
        <v>Martin Del Campo Velarca</v>
      </c>
      <c r="AQ402" s="554" t="str">
        <f>INDEX(CarrierDriverTBL!$X:$X,MATCH(Table1[[#This Row],[DriverID]],CarrierDriverTBL!$A:$A,0))</f>
        <v>D5179619</v>
      </c>
      <c r="AR402" s="556">
        <f>INDEX(CarrierDriverTBL!$Y:$Y,MATCH(Table1[[#This Row],[DriverID]],CarrierDriverTBL!$A:$A,0))</f>
        <v>43843</v>
      </c>
      <c r="AS402" s="554" t="str">
        <f t="shared" si="170"/>
        <v>GOOD</v>
      </c>
      <c r="AT402" s="556">
        <f>INDEX(CarrierDriverTBL!$E:$E,MATCH(Table1[[#This Row],[DriverID]],CarrierDriverTBL!$A:$A,0))</f>
        <v>21198</v>
      </c>
      <c r="AU402" s="562">
        <f ca="1">INDEX(CarrierDriverTBL!$F:$F,MATCH(Table1[[#This Row],[DriverID]],CarrierDriverTBL!$A:$A,0))</f>
        <v>58.56986301369863</v>
      </c>
      <c r="AV402" s="554" t="str">
        <f>INDEX(CarrierDriverTBL!$K:$K,MATCH(Table1[[#This Row],[DriverID]],CarrierDriverTBL!$A:$A,0))</f>
        <v>209-322-5231</v>
      </c>
      <c r="AW402" s="554" t="str">
        <f>INDEX(CarrierDriverTBL!$M:$M,MATCH(Table1[[#This Row],[DriverID]],CarrierDriverTBL!$A:$A,0))</f>
        <v>572 Predersen RD</v>
      </c>
      <c r="AX402" s="554" t="str">
        <f>INDEX(CarrierDriverTBL!$N:$N,MATCH(Table1[[#This Row],[DriverID]],CarrierDriverTBL!$A:$A,0))</f>
        <v>Oakdale</v>
      </c>
      <c r="AY402" s="554" t="str">
        <f>INDEX(CarrierDriverTBL!$O:$O,MATCH(Table1[[#This Row],[DriverID]],CarrierDriverTBL!$A:$A,0))</f>
        <v>CA</v>
      </c>
      <c r="AZ402" s="554">
        <f>INDEX(CarrierDriverTBL!$P:$P,MATCH(Table1[[#This Row],[DriverID]],CarrierDriverTBL!$A:$A,0))</f>
        <v>95361</v>
      </c>
      <c r="BA402" s="554" t="str">
        <f>INDEX(CarrierDriverTBL!$Q:$Q,MATCH(Table1[[#This Row],[DriverID]],CarrierDriverTBL!$A:$A,0))</f>
        <v>US</v>
      </c>
      <c r="BB402" s="554" t="str">
        <f>INDEX(CarrierDriverTBL!$R:$R,MATCH(Table1[[#This Row],[DriverID]],CarrierDriverTBL!$A:$A,0))</f>
        <v>Miguelmartin52@yahoo.com</v>
      </c>
      <c r="BC402" s="160">
        <f>INDEX(CarrierDriverTBL!$AB:$AB,MATCH(Table1[[#This Row],[DriverID]],CarrierDriverTBL!$A:$A,0))</f>
        <v>42334</v>
      </c>
      <c r="BD402" s="142" t="str">
        <f ca="1">INDEX(CarrierDriverTBL!$AD:$AD,MATCH(LoadMaster!$AN:$AN,CarrierDriverTBL!$A:$A,0))</f>
        <v>MISSING</v>
      </c>
      <c r="BE402" s="554">
        <f>INDEX(CarrierDriverTBL!$AE:$AE,MATCH(Table1[DriverID],CarrierDriverTBL!$A:$A,0))</f>
        <v>913971</v>
      </c>
      <c r="BF402" s="554">
        <f>INDEX(CarrierDriverTBL!$AF:$AF,MATCH(Table1[DriverID],CarrierDriverTBL!$A:$A,0))</f>
        <v>2627544</v>
      </c>
      <c r="BG402" s="236">
        <f>INDEX(CarrierDriverTBL!$AG:$AG,MATCH(Table1[DriverID],CarrierDriverTBL!$A:$A,0))</f>
        <v>466133</v>
      </c>
      <c r="BH402" s="554" t="str">
        <f>INDEX(CarrierDriverTBL!$AH:$AH,MATCH(Table1[DriverID],CarrierDriverTBL!$A:$A,0))</f>
        <v>GM Lawrence Ins</v>
      </c>
      <c r="BI402" s="554" t="str">
        <f>INDEX(CarrierDriverTBL!$AI:$AI,MATCH(Table1[DriverID],CarrierDriverTBL!$A:$A,0))</f>
        <v>DSK2842P160210</v>
      </c>
      <c r="BJ402" s="556">
        <f>INDEX(CarrierDriverTBL!$AJ:$AJ,MATCH(Table1[[#This Row],[DriverID]],CarrierDriverTBL!$A:$A,0))</f>
        <v>42778</v>
      </c>
      <c r="BK402" s="10">
        <f t="shared" si="171"/>
        <v>286</v>
      </c>
      <c r="BL402" s="237">
        <v>575</v>
      </c>
      <c r="BM402" s="554">
        <v>237.3</v>
      </c>
      <c r="BN402" s="558">
        <f t="shared" si="188"/>
        <v>2.4230931310577328</v>
      </c>
      <c r="BO402" s="241">
        <f>1*Table1[[#This Row],[ChargeBroker]]</f>
        <v>575</v>
      </c>
      <c r="BP402" s="558">
        <f t="shared" si="189"/>
        <v>2.4230931310577328</v>
      </c>
      <c r="BQ402" s="558">
        <v>2.6</v>
      </c>
      <c r="BR402" s="559">
        <f t="shared" si="190"/>
        <v>0.1166666666666667</v>
      </c>
      <c r="BS402" s="558">
        <f t="shared" si="172"/>
        <v>2.3064264643910661</v>
      </c>
      <c r="BT402" s="558">
        <f t="shared" si="173"/>
        <v>27.685000000000009</v>
      </c>
      <c r="BU402" s="236" t="str">
        <f t="shared" si="174"/>
        <v>Echo Global Logistics Inc.</v>
      </c>
      <c r="BV402" s="550"/>
      <c r="BW402" s="235" t="str">
        <f>Table1[[#This Row],[BrokerAddress]]</f>
        <v>600 W. Chicago Ave., Ste. 725</v>
      </c>
      <c r="BX402" s="235" t="str">
        <f t="shared" si="175"/>
        <v>Chicago</v>
      </c>
      <c r="BY402" s="235" t="str">
        <f t="shared" si="176"/>
        <v>IL</v>
      </c>
      <c r="BZ402" s="235">
        <f t="shared" si="177"/>
        <v>60654</v>
      </c>
      <c r="CA402" s="236" t="str">
        <f t="shared" si="178"/>
        <v>US</v>
      </c>
      <c r="CB402" s="15" t="s">
        <v>131</v>
      </c>
      <c r="CC402" s="561"/>
      <c r="CD402" s="15" t="s">
        <v>132</v>
      </c>
      <c r="CE402" s="64">
        <v>0</v>
      </c>
      <c r="CF402" s="4">
        <v>0</v>
      </c>
      <c r="CG402" s="132">
        <f t="shared" si="179"/>
        <v>0</v>
      </c>
      <c r="CH402" s="4" t="s">
        <v>132</v>
      </c>
      <c r="CI402" s="5">
        <v>0</v>
      </c>
      <c r="CJ402" s="4">
        <v>0</v>
      </c>
      <c r="CK402" s="132">
        <f t="shared" si="180"/>
        <v>0</v>
      </c>
      <c r="CL402" s="4" t="s">
        <v>132</v>
      </c>
      <c r="CM402" s="5">
        <v>0</v>
      </c>
      <c r="CN402" s="4">
        <v>0</v>
      </c>
      <c r="CO402" s="132">
        <f t="shared" si="181"/>
        <v>0</v>
      </c>
      <c r="CP402" s="4" t="s">
        <v>132</v>
      </c>
      <c r="CQ402" s="5">
        <v>0</v>
      </c>
      <c r="CR402" s="4">
        <v>0</v>
      </c>
      <c r="CS402" s="132">
        <f t="shared" si="182"/>
        <v>0</v>
      </c>
      <c r="CT402" s="132">
        <f t="shared" si="183"/>
        <v>0</v>
      </c>
      <c r="CU402" s="238">
        <f t="shared" si="184"/>
        <v>575</v>
      </c>
      <c r="CV402" s="239">
        <f t="shared" si="167"/>
        <v>0</v>
      </c>
      <c r="CW402" s="240">
        <f t="shared" si="168"/>
        <v>575</v>
      </c>
      <c r="CX402" s="79">
        <f>IF(ISBLANK(E402),"AddQuickPay",IF(E402=2,CU402*0.98,IF(E402=2.4,CU402*0.976,IF(E402=3,CU402*0.97,IF(E402=5,CU402*0.95,IF(E402=1.5,CU402*0.985,IF(E402=2.5,CU402*0.975,IF(E402=1.3,CU402*0.987,IF(E402=1,CU402*0.99,IF(E402=4,CU402*0.96,CU402*1))))))))))-Table1[[#This Row],[ComCheck+QuickPayFee]]</f>
        <v>563.5</v>
      </c>
      <c r="CY402" s="237">
        <f t="shared" si="185"/>
        <v>0</v>
      </c>
      <c r="CZ402" s="237">
        <f t="shared" si="186"/>
        <v>11.5</v>
      </c>
      <c r="DA402" s="263">
        <f>Table1[[#This Row],[OriginalDispatch]]-Table1[[#This Row],[QuickPayCharge]]</f>
        <v>-11.5</v>
      </c>
      <c r="DB402" s="5">
        <v>0</v>
      </c>
      <c r="DC402" s="237" t="s">
        <v>133</v>
      </c>
      <c r="DD402" s="556">
        <f t="shared" si="187"/>
        <v>42496</v>
      </c>
      <c r="DE402" s="554">
        <f>MONTH(Table1[[#This Row],[Weekending]])</f>
        <v>5</v>
      </c>
      <c r="DF402" s="554">
        <f>YEAR(Table1[[#This Row],[Weekending]])</f>
        <v>2016</v>
      </c>
      <c r="DG402" s="235"/>
    </row>
    <row r="403" spans="1:111">
      <c r="A403" s="416" t="str">
        <f t="shared" si="169"/>
        <v>98555519</v>
      </c>
      <c r="B403" s="104">
        <v>42500</v>
      </c>
      <c r="C403" s="15">
        <v>7696998</v>
      </c>
      <c r="D403" s="416" t="s">
        <v>2185</v>
      </c>
      <c r="E403" s="15">
        <v>4</v>
      </c>
      <c r="F403" s="144" t="str">
        <f>INDEX(BrokerTBL!$B:$B,MATCH(D403,BrokerTBL!$A:$A,0))</f>
        <v>PO Box 6348</v>
      </c>
      <c r="G403" s="15" t="str">
        <f>INDEX(BrokerTBL!$C:$C,MATCH(D403,BrokerTBL!$A:$A,0))</f>
        <v>Scottsdale</v>
      </c>
      <c r="H403" s="4" t="str">
        <f>INDEX(BrokerTBL!$D:$D,MATCH(D403,BrokerTBL!$A:$A,0))</f>
        <v>Az</v>
      </c>
      <c r="I403" s="4" t="str">
        <f>INDEX(BrokerTBL!$E:$E,MATCH(D403,BrokerTBL!$A:$A,0))</f>
        <v>US</v>
      </c>
      <c r="J403" s="4">
        <f>INDEX(BrokerTBL!$F:$F,MATCH(D403,BrokerTBL!$A:$A,0))</f>
        <v>85258</v>
      </c>
      <c r="K403" s="416" t="s">
        <v>2374</v>
      </c>
      <c r="L403" s="81">
        <v>20210511755</v>
      </c>
      <c r="M403" s="104">
        <v>42492</v>
      </c>
      <c r="N403" s="15" t="s">
        <v>2612</v>
      </c>
      <c r="O403" s="15" t="s">
        <v>2375</v>
      </c>
      <c r="P403" s="416" t="s">
        <v>214</v>
      </c>
      <c r="Q403" s="416" t="s">
        <v>2206</v>
      </c>
      <c r="R403" s="416">
        <v>93725</v>
      </c>
      <c r="S403" s="416" t="s">
        <v>2207</v>
      </c>
      <c r="T403" s="416" t="s">
        <v>123</v>
      </c>
      <c r="U403" s="416" t="s">
        <v>120</v>
      </c>
      <c r="V403" s="416">
        <v>53</v>
      </c>
      <c r="W403" s="416" t="s">
        <v>2376</v>
      </c>
      <c r="X403" s="225">
        <v>44008</v>
      </c>
      <c r="Y403" s="15" t="s">
        <v>2220</v>
      </c>
      <c r="Z403" s="416" t="s">
        <v>123</v>
      </c>
      <c r="AA403" s="416">
        <v>26</v>
      </c>
      <c r="AB403" s="416" t="s">
        <v>123</v>
      </c>
      <c r="AC403" s="416" t="s">
        <v>2377</v>
      </c>
      <c r="AD403" s="81">
        <v>20210511755</v>
      </c>
      <c r="AE403" s="104">
        <v>42493</v>
      </c>
      <c r="AF403" s="104" t="s">
        <v>2711</v>
      </c>
      <c r="AG403" s="416" t="s">
        <v>2378</v>
      </c>
      <c r="AH403" s="416" t="s">
        <v>738</v>
      </c>
      <c r="AI403" s="416" t="s">
        <v>2233</v>
      </c>
      <c r="AJ403" s="416">
        <v>89502</v>
      </c>
      <c r="AK403" s="416" t="s">
        <v>2207</v>
      </c>
      <c r="AL403" s="416" t="s">
        <v>123</v>
      </c>
      <c r="AM403" s="171" t="str">
        <f>INDEX(CarrierDriverTBL!$B:$B,MATCH(Table1[[#This Row],[DriverID]],CarrierDriverTBL!$A:$A,0))</f>
        <v>UBTrucking</v>
      </c>
      <c r="AN403" s="10" t="s">
        <v>1409</v>
      </c>
      <c r="AO403" s="2" t="str">
        <f>INDEX(CarrierDriverTBL!$C:$C,MATCH(Table1[[#This Row],[DriverID]],CarrierDriverTBL!$A:$A,0))</f>
        <v>Miguel Jaime</v>
      </c>
      <c r="AP403" s="2" t="str">
        <f>INDEX(CarrierDriverTBL!$D:$D,MATCH(Table1[[#This Row],[DriverID]],CarrierDriverTBL!$A:$A,0))</f>
        <v>Martin Del Campo Velarca</v>
      </c>
      <c r="AQ403" s="2" t="str">
        <f>INDEX(CarrierDriverTBL!$X:$X,MATCH(Table1[[#This Row],[DriverID]],CarrierDriverTBL!$A:$A,0))</f>
        <v>D5179619</v>
      </c>
      <c r="AR403" s="172">
        <f>INDEX(CarrierDriverTBL!$Y:$Y,MATCH(Table1[[#This Row],[DriverID]],CarrierDriverTBL!$A:$A,0))</f>
        <v>43843</v>
      </c>
      <c r="AS403" s="171" t="str">
        <f t="shared" si="170"/>
        <v>GOOD</v>
      </c>
      <c r="AT403" s="172">
        <f>INDEX(CarrierDriverTBL!$E:$E,MATCH(Table1[[#This Row],[DriverID]],CarrierDriverTBL!$A:$A,0))</f>
        <v>21198</v>
      </c>
      <c r="AU403" s="277">
        <f ca="1">INDEX(CarrierDriverTBL!$F:$F,MATCH(Table1[[#This Row],[DriverID]],CarrierDriverTBL!$A:$A,0))</f>
        <v>58.56986301369863</v>
      </c>
      <c r="AV403" s="171" t="str">
        <f>INDEX(CarrierDriverTBL!$K:$K,MATCH(Table1[[#This Row],[DriverID]],CarrierDriverTBL!$A:$A,0))</f>
        <v>209-322-5231</v>
      </c>
      <c r="AW403" s="171" t="str">
        <f>INDEX(CarrierDriverTBL!$M:$M,MATCH(Table1[[#This Row],[DriverID]],CarrierDriverTBL!$A:$A,0))</f>
        <v>572 Predersen RD</v>
      </c>
      <c r="AX403" s="171" t="str">
        <f>INDEX(CarrierDriverTBL!$N:$N,MATCH(Table1[[#This Row],[DriverID]],CarrierDriverTBL!$A:$A,0))</f>
        <v>Oakdale</v>
      </c>
      <c r="AY403" s="171" t="str">
        <f>INDEX(CarrierDriverTBL!$O:$O,MATCH(Table1[[#This Row],[DriverID]],CarrierDriverTBL!$A:$A,0))</f>
        <v>CA</v>
      </c>
      <c r="AZ403" s="171">
        <f>INDEX(CarrierDriverTBL!$P:$P,MATCH(Table1[[#This Row],[DriverID]],CarrierDriverTBL!$A:$A,0))</f>
        <v>95361</v>
      </c>
      <c r="BA403" s="171" t="str">
        <f>INDEX(CarrierDriverTBL!$Q:$Q,MATCH(Table1[[#This Row],[DriverID]],CarrierDriverTBL!$A:$A,0))</f>
        <v>US</v>
      </c>
      <c r="BB403" s="171" t="str">
        <f>INDEX(CarrierDriverTBL!$R:$R,MATCH(Table1[[#This Row],[DriverID]],CarrierDriverTBL!$A:$A,0))</f>
        <v>Miguelmartin52@yahoo.com</v>
      </c>
      <c r="BC403" s="172">
        <f>INDEX(CarrierDriverTBL!$AB:$AB,MATCH(Table1[[#This Row],[DriverID]],CarrierDriverTBL!$A:$A,0))</f>
        <v>42334</v>
      </c>
      <c r="BD403" s="2" t="str">
        <f ca="1">INDEX(CarrierDriverTBL!$AD:$AD,MATCH(LoadMaster!$AN:$AN,CarrierDriverTBL!$A:$A,0))</f>
        <v>MISSING</v>
      </c>
      <c r="BE403" s="2">
        <f>INDEX(CarrierDriverTBL!$AE:$AE,MATCH(Table1[DriverID],CarrierDriverTBL!$A:$A,0))</f>
        <v>913971</v>
      </c>
      <c r="BF403" s="171">
        <f>INDEX(CarrierDriverTBL!$AF:$AF,MATCH(Table1[DriverID],CarrierDriverTBL!$A:$A,0))</f>
        <v>2627544</v>
      </c>
      <c r="BG403" s="10">
        <f>INDEX(CarrierDriverTBL!$AG:$AG,MATCH(Table1[DriverID],CarrierDriverTBL!$A:$A,0))</f>
        <v>466133</v>
      </c>
      <c r="BH403" s="171" t="str">
        <f>INDEX(CarrierDriverTBL!$AH:$AH,MATCH(Table1[DriverID],CarrierDriverTBL!$A:$A,0))</f>
        <v>GM Lawrence Ins</v>
      </c>
      <c r="BI403" s="171" t="str">
        <f>INDEX(CarrierDriverTBL!$AI:$AI,MATCH(Table1[DriverID],CarrierDriverTBL!$A:$A,0))</f>
        <v>DSK2842P160210</v>
      </c>
      <c r="BJ403" s="172">
        <f>INDEX(CarrierDriverTBL!$AJ:$AJ,MATCH(Table1[[#This Row],[DriverID]],CarrierDriverTBL!$A:$A,0))</f>
        <v>42778</v>
      </c>
      <c r="BK403" s="171">
        <f t="shared" si="171"/>
        <v>286</v>
      </c>
      <c r="BL403" s="133">
        <v>650</v>
      </c>
      <c r="BM403" s="171">
        <v>305</v>
      </c>
      <c r="BN403" s="133">
        <f t="shared" si="188"/>
        <v>2.1311475409836067</v>
      </c>
      <c r="BO403" s="134">
        <f>0.93*Table1[[#This Row],[ChargeBroker]]</f>
        <v>604.5</v>
      </c>
      <c r="BP403" s="133">
        <f t="shared" si="189"/>
        <v>1.9819672131147541</v>
      </c>
      <c r="BQ403" s="558">
        <v>2.6</v>
      </c>
      <c r="BR403" s="215">
        <f t="shared" si="190"/>
        <v>0.1166666666666667</v>
      </c>
      <c r="BS403" s="133">
        <f t="shared" si="172"/>
        <v>1.8653005464480874</v>
      </c>
      <c r="BT403" s="133">
        <f t="shared" si="173"/>
        <v>35.583333333333343</v>
      </c>
      <c r="BU403" s="10" t="str">
        <f t="shared" si="174"/>
        <v>Globaltranz</v>
      </c>
      <c r="BV403" s="171"/>
      <c r="BW403" s="10" t="str">
        <f>Table1[[#This Row],[BrokerAddress]]</f>
        <v>PO Box 6348</v>
      </c>
      <c r="BX403" s="10" t="str">
        <f t="shared" si="175"/>
        <v>Scottsdale</v>
      </c>
      <c r="BY403" s="278" t="str">
        <f t="shared" si="176"/>
        <v>Az</v>
      </c>
      <c r="BZ403" s="10">
        <f t="shared" si="177"/>
        <v>85258</v>
      </c>
      <c r="CA403" s="10" t="str">
        <f t="shared" si="178"/>
        <v>US</v>
      </c>
      <c r="CB403" s="15" t="s">
        <v>131</v>
      </c>
      <c r="CC403" s="62"/>
      <c r="CD403" s="15" t="s">
        <v>132</v>
      </c>
      <c r="CE403" s="64">
        <v>0</v>
      </c>
      <c r="CF403" s="4">
        <v>0</v>
      </c>
      <c r="CG403" s="132">
        <f t="shared" si="179"/>
        <v>0</v>
      </c>
      <c r="CH403" s="4" t="s">
        <v>132</v>
      </c>
      <c r="CI403" s="5">
        <v>0</v>
      </c>
      <c r="CJ403" s="4">
        <v>0</v>
      </c>
      <c r="CK403" s="132">
        <f t="shared" si="180"/>
        <v>0</v>
      </c>
      <c r="CL403" s="4" t="s">
        <v>132</v>
      </c>
      <c r="CM403" s="5">
        <v>0</v>
      </c>
      <c r="CN403" s="4">
        <v>0</v>
      </c>
      <c r="CO403" s="132">
        <f t="shared" si="181"/>
        <v>0</v>
      </c>
      <c r="CP403" s="4" t="s">
        <v>132</v>
      </c>
      <c r="CQ403" s="5">
        <v>0</v>
      </c>
      <c r="CR403" s="4">
        <v>0</v>
      </c>
      <c r="CS403" s="132">
        <f t="shared" si="182"/>
        <v>0</v>
      </c>
      <c r="CT403" s="132">
        <f t="shared" si="183"/>
        <v>0</v>
      </c>
      <c r="CU403" s="168">
        <f t="shared" si="184"/>
        <v>650</v>
      </c>
      <c r="CV403" s="177">
        <f t="shared" si="167"/>
        <v>0</v>
      </c>
      <c r="CW403" s="82">
        <f t="shared" si="168"/>
        <v>604.5</v>
      </c>
      <c r="CX403" s="79">
        <f>IF(ISBLANK(E403),"AddQuickPay",IF(E403=2,CU403*0.98,IF(E403=2.4,CU403*0.976,IF(E403=3,CU403*0.97,IF(E403=5,CU403*0.95,IF(E403=1.5,CU403*0.985,IF(E403=2.5,CU403*0.975,IF(E403=1.3,CU403*0.987,IF(E403=1,CU403*0.99,IF(E403=4,CU403*0.96,CU403*1))))))))))-Table1[[#This Row],[ComCheck+QuickPayFee]]</f>
        <v>624</v>
      </c>
      <c r="CY403" s="5">
        <f t="shared" si="185"/>
        <v>45.5</v>
      </c>
      <c r="CZ403" s="5">
        <f t="shared" si="186"/>
        <v>26</v>
      </c>
      <c r="DA403" s="258">
        <f>Table1[[#This Row],[OriginalDispatch]]-Table1[[#This Row],[QuickPayCharge]]</f>
        <v>19.5</v>
      </c>
      <c r="DB403" s="5">
        <v>0</v>
      </c>
      <c r="DC403" s="237" t="s">
        <v>133</v>
      </c>
      <c r="DD403" s="104">
        <f t="shared" si="187"/>
        <v>42496</v>
      </c>
      <c r="DE403" s="171">
        <f>MONTH(Table1[[#This Row],[Weekending]])</f>
        <v>5</v>
      </c>
      <c r="DF403" s="171">
        <f>YEAR(Table1[[#This Row],[Weekending]])</f>
        <v>2016</v>
      </c>
      <c r="DG403" s="4"/>
    </row>
    <row r="404" spans="1:111">
      <c r="A404" s="548" t="str">
        <f t="shared" si="169"/>
        <v>5614wn93</v>
      </c>
      <c r="B404" s="549">
        <v>42494</v>
      </c>
      <c r="C404" s="550">
        <v>1987556</v>
      </c>
      <c r="D404" s="548" t="s">
        <v>2405</v>
      </c>
      <c r="E404" s="550">
        <v>3</v>
      </c>
      <c r="F404" s="551" t="str">
        <f>INDEX(BrokerTBL!$B:$B,MATCH(D404,BrokerTBL!$A:$A,0))</f>
        <v xml:space="preserve">303 E Wacker Dr. </v>
      </c>
      <c r="G404" s="550" t="str">
        <f>INDEX(BrokerTBL!$C:$C,MATCH(D404,BrokerTBL!$A:$A,0))</f>
        <v>Chicago</v>
      </c>
      <c r="H404" s="235" t="str">
        <f>INDEX(BrokerTBL!$D:$D,MATCH(D404,BrokerTBL!$A:$A,0))</f>
        <v>IL</v>
      </c>
      <c r="I404" s="235" t="str">
        <f>INDEX(BrokerTBL!$E:$E,MATCH(D404,BrokerTBL!$A:$A,0))</f>
        <v>US</v>
      </c>
      <c r="J404" s="235">
        <f>INDEX(BrokerTBL!$F:$F,MATCH(D404,BrokerTBL!$A:$A,0))</f>
        <v>60601</v>
      </c>
      <c r="K404" s="548" t="s">
        <v>2406</v>
      </c>
      <c r="L404" s="552">
        <v>293314</v>
      </c>
      <c r="M404" s="549">
        <v>42493</v>
      </c>
      <c r="N404" s="550" t="s">
        <v>1055</v>
      </c>
      <c r="O404" s="550" t="s">
        <v>2407</v>
      </c>
      <c r="P404" s="548" t="s">
        <v>2408</v>
      </c>
      <c r="Q404" s="548" t="s">
        <v>2233</v>
      </c>
      <c r="R404" s="548">
        <v>89706</v>
      </c>
      <c r="S404" s="548" t="s">
        <v>2207</v>
      </c>
      <c r="T404" s="298" t="s">
        <v>123</v>
      </c>
      <c r="U404" s="548" t="s">
        <v>120</v>
      </c>
      <c r="V404" s="548">
        <v>53</v>
      </c>
      <c r="W404" s="548" t="s">
        <v>2409</v>
      </c>
      <c r="X404" s="553">
        <v>45000</v>
      </c>
      <c r="Y404" s="550" t="s">
        <v>2220</v>
      </c>
      <c r="Z404" s="548">
        <v>50</v>
      </c>
      <c r="AA404" s="548" t="s">
        <v>123</v>
      </c>
      <c r="AB404" s="548" t="s">
        <v>123</v>
      </c>
      <c r="AC404" s="548" t="s">
        <v>2411</v>
      </c>
      <c r="AD404" s="552" t="s">
        <v>1205</v>
      </c>
      <c r="AE404" s="549">
        <v>42494</v>
      </c>
      <c r="AF404" s="549" t="s">
        <v>1316</v>
      </c>
      <c r="AG404" s="548" t="s">
        <v>2412</v>
      </c>
      <c r="AH404" s="548" t="s">
        <v>2168</v>
      </c>
      <c r="AI404" s="548" t="s">
        <v>2206</v>
      </c>
      <c r="AJ404" s="548">
        <v>93235</v>
      </c>
      <c r="AK404" s="548" t="s">
        <v>2207</v>
      </c>
      <c r="AL404" s="548" t="s">
        <v>123</v>
      </c>
      <c r="AM404" s="554" t="str">
        <f>INDEX(CarrierDriverTBL!$B:$B,MATCH(Table1[[#This Row],[DriverID]],CarrierDriverTBL!$A:$A,0))</f>
        <v>UBTrucking</v>
      </c>
      <c r="AN404" s="10" t="s">
        <v>2234</v>
      </c>
      <c r="AO404" s="554" t="str">
        <f>INDEX(CarrierDriverTBL!$C:$C,MATCH(Table1[[#This Row],[DriverID]],CarrierDriverTBL!$A:$A,0))</f>
        <v>Arturo</v>
      </c>
      <c r="AP404" s="554" t="str">
        <f>INDEX(CarrierDriverTBL!$D:$D,MATCH(Table1[[#This Row],[DriverID]],CarrierDriverTBL!$A:$A,0))</f>
        <v>Carrillo</v>
      </c>
      <c r="AQ404" s="554" t="str">
        <f>INDEX(CarrierDriverTBL!$X:$X,MATCH(Table1[[#This Row],[DriverID]],CarrierDriverTBL!$A:$A,0))</f>
        <v>C7056793</v>
      </c>
      <c r="AR404" s="556">
        <f>INDEX(CarrierDriverTBL!$Y:$Y,MATCH(Table1[[#This Row],[DriverID]],CarrierDriverTBL!$A:$A,0))</f>
        <v>43410</v>
      </c>
      <c r="AS404" s="554" t="str">
        <f t="shared" si="170"/>
        <v>GOOD</v>
      </c>
      <c r="AT404" s="556">
        <f>INDEX(CarrierDriverTBL!$E:$E,MATCH(Table1[[#This Row],[DriverID]],CarrierDriverTBL!$A:$A,0))</f>
        <v>24782</v>
      </c>
      <c r="AU404" s="562">
        <f ca="1">INDEX(CarrierDriverTBL!$F:$F,MATCH(Table1[[#This Row],[DriverID]],CarrierDriverTBL!$A:$A,0))</f>
        <v>48.750684931506846</v>
      </c>
      <c r="AV404" s="554" t="str">
        <f>INDEX(CarrierDriverTBL!$K:$K,MATCH(Table1[[#This Row],[DriverID]],CarrierDriverTBL!$A:$A,0))</f>
        <v>209-276-9785</v>
      </c>
      <c r="AW404" s="554" t="str">
        <f>INDEX(CarrierDriverTBL!$M:$M,MATCH(Table1[[#This Row],[DriverID]],CarrierDriverTBL!$A:$A,0))</f>
        <v>1685 Winthrop Ln</v>
      </c>
      <c r="AX404" s="554" t="str">
        <f>INDEX(CarrierDriverTBL!$N:$N,MATCH(Table1[[#This Row],[DriverID]],CarrierDriverTBL!$A:$A,0))</f>
        <v>Ceres</v>
      </c>
      <c r="AY404" s="554" t="str">
        <f>INDEX(CarrierDriverTBL!$O:$O,MATCH(Table1[[#This Row],[DriverID]],CarrierDriverTBL!$A:$A,0))</f>
        <v>CA</v>
      </c>
      <c r="AZ404" s="554">
        <f>INDEX(CarrierDriverTBL!$P:$P,MATCH(Table1[[#This Row],[DriverID]],CarrierDriverTBL!$A:$A,0))</f>
        <v>95307</v>
      </c>
      <c r="BA404" s="554" t="str">
        <f>INDEX(CarrierDriverTBL!$Q:$Q,MATCH(Table1[[#This Row],[DriverID]],CarrierDriverTBL!$A:$A,0))</f>
        <v>US</v>
      </c>
      <c r="BB404" s="554" t="str">
        <f>INDEX(CarrierDriverTBL!$R:$R,MATCH(Table1[[#This Row],[DriverID]],CarrierDriverTBL!$A:$A,0))</f>
        <v>arturocarr777@gmail.com</v>
      </c>
      <c r="BC404" s="160">
        <f>INDEX(CarrierDriverTBL!$AB:$AB,MATCH(Table1[[#This Row],[DriverID]],CarrierDriverTBL!$A:$A,0))</f>
        <v>42418</v>
      </c>
      <c r="BD404" s="142" t="str">
        <f ca="1">INDEX(CarrierDriverTBL!$AD:$AD,MATCH(LoadMaster!$AN:$AN,CarrierDriverTBL!$A:$A,0))</f>
        <v>MISSING</v>
      </c>
      <c r="BE404" s="554">
        <f>INDEX(CarrierDriverTBL!$AE:$AE,MATCH(Table1[DriverID],CarrierDriverTBL!$A:$A,0))</f>
        <v>913971</v>
      </c>
      <c r="BF404" s="554">
        <f>INDEX(CarrierDriverTBL!$AF:$AF,MATCH(Table1[DriverID],CarrierDriverTBL!$A:$A,0))</f>
        <v>2627544</v>
      </c>
      <c r="BG404" s="236">
        <f>INDEX(CarrierDriverTBL!$AG:$AG,MATCH(Table1[DriverID],CarrierDriverTBL!$A:$A,0))</f>
        <v>466133</v>
      </c>
      <c r="BH404" s="554" t="str">
        <f>INDEX(CarrierDriverTBL!$AH:$AH,MATCH(Table1[DriverID],CarrierDriverTBL!$A:$A,0))</f>
        <v>GM Lawrence Ins</v>
      </c>
      <c r="BI404" s="554" t="str">
        <f>INDEX(CarrierDriverTBL!$AI:$AI,MATCH(Table1[DriverID],CarrierDriverTBL!$A:$A,0))</f>
        <v>DSK2842P160210</v>
      </c>
      <c r="BJ404" s="556">
        <f>INDEX(CarrierDriverTBL!$AJ:$AJ,MATCH(Table1[[#This Row],[DriverID]],CarrierDriverTBL!$A:$A,0))</f>
        <v>42778</v>
      </c>
      <c r="BK404" s="10">
        <f t="shared" si="171"/>
        <v>285</v>
      </c>
      <c r="BL404" s="237">
        <v>600</v>
      </c>
      <c r="BM404" s="554">
        <v>311.5</v>
      </c>
      <c r="BN404" s="558">
        <f t="shared" si="188"/>
        <v>1.926163723916533</v>
      </c>
      <c r="BO404" s="241">
        <f>0.93*Table1[[#This Row],[ChargeBroker]]</f>
        <v>558</v>
      </c>
      <c r="BP404" s="558">
        <f t="shared" si="189"/>
        <v>1.7913322632423756</v>
      </c>
      <c r="BQ404" s="558">
        <v>2.6</v>
      </c>
      <c r="BR404" s="559">
        <f t="shared" si="190"/>
        <v>0.1166666666666667</v>
      </c>
      <c r="BS404" s="558">
        <f t="shared" si="172"/>
        <v>1.6746655965757089</v>
      </c>
      <c r="BT404" s="558">
        <f t="shared" si="173"/>
        <v>36.341666666666676</v>
      </c>
      <c r="BU404" s="236" t="str">
        <f t="shared" si="174"/>
        <v>XPOLogistics</v>
      </c>
      <c r="BV404" s="550"/>
      <c r="BW404" s="235" t="str">
        <f>Table1[[#This Row],[BrokerAddress]]</f>
        <v xml:space="preserve">303 E Wacker Dr. </v>
      </c>
      <c r="BX404" s="235" t="str">
        <f t="shared" si="175"/>
        <v>Chicago</v>
      </c>
      <c r="BY404" s="235" t="str">
        <f t="shared" si="176"/>
        <v>IL</v>
      </c>
      <c r="BZ404" s="235">
        <f t="shared" si="177"/>
        <v>60601</v>
      </c>
      <c r="CA404" s="236" t="str">
        <f t="shared" si="178"/>
        <v>US</v>
      </c>
      <c r="CB404" s="15" t="s">
        <v>131</v>
      </c>
      <c r="CC404" s="561"/>
      <c r="CD404" s="15" t="s">
        <v>132</v>
      </c>
      <c r="CE404" s="64">
        <v>0</v>
      </c>
      <c r="CF404" s="4">
        <v>0</v>
      </c>
      <c r="CG404" s="132">
        <f t="shared" si="179"/>
        <v>0</v>
      </c>
      <c r="CH404" s="4" t="s">
        <v>132</v>
      </c>
      <c r="CI404" s="5">
        <v>0</v>
      </c>
      <c r="CJ404" s="4">
        <v>0</v>
      </c>
      <c r="CK404" s="132">
        <f t="shared" si="180"/>
        <v>0</v>
      </c>
      <c r="CL404" s="4" t="s">
        <v>132</v>
      </c>
      <c r="CM404" s="5">
        <v>0</v>
      </c>
      <c r="CN404" s="4">
        <v>0</v>
      </c>
      <c r="CO404" s="132">
        <f t="shared" si="181"/>
        <v>0</v>
      </c>
      <c r="CP404" s="4" t="s">
        <v>132</v>
      </c>
      <c r="CQ404" s="5">
        <v>0</v>
      </c>
      <c r="CR404" s="4">
        <v>0</v>
      </c>
      <c r="CS404" s="132">
        <f t="shared" si="182"/>
        <v>0</v>
      </c>
      <c r="CT404" s="132">
        <f t="shared" si="183"/>
        <v>0</v>
      </c>
      <c r="CU404" s="238">
        <f t="shared" si="184"/>
        <v>600</v>
      </c>
      <c r="CV404" s="239">
        <f t="shared" si="167"/>
        <v>0</v>
      </c>
      <c r="CW404" s="240">
        <f t="shared" si="168"/>
        <v>558</v>
      </c>
      <c r="CX404" s="79">
        <f>IF(ISBLANK(E404),"AddQuickPay",IF(E404=2,CU404*0.98,IF(E404=2.4,CU404*0.976,IF(E404=3,CU404*0.97,IF(E404=5,CU404*0.95,IF(E404=1.5,CU404*0.985,IF(E404=2.5,CU404*0.975,IF(E404=1.3,CU404*0.987,IF(E404=1,CU404*0.99,IF(E404=4,CU404*0.96,CU404*1))))))))))-Table1[[#This Row],[ComCheck+QuickPayFee]]</f>
        <v>582</v>
      </c>
      <c r="CY404" s="237">
        <f t="shared" si="185"/>
        <v>42</v>
      </c>
      <c r="CZ404" s="237">
        <f t="shared" si="186"/>
        <v>18</v>
      </c>
      <c r="DA404" s="263">
        <f>Table1[[#This Row],[OriginalDispatch]]-Table1[[#This Row],[QuickPayCharge]]</f>
        <v>24</v>
      </c>
      <c r="DB404" s="5">
        <v>0</v>
      </c>
      <c r="DC404" s="237" t="s">
        <v>133</v>
      </c>
      <c r="DD404" s="556">
        <f t="shared" si="187"/>
        <v>42496</v>
      </c>
      <c r="DE404" s="554">
        <f>MONTH(Table1[[#This Row],[Weekending]])</f>
        <v>5</v>
      </c>
      <c r="DF404" s="554">
        <f>YEAR(Table1[[#This Row],[Weekending]])</f>
        <v>2016</v>
      </c>
      <c r="DG404" s="235"/>
    </row>
    <row r="405" spans="1:111">
      <c r="A405" s="548" t="str">
        <f t="shared" si="169"/>
        <v>72wnwn49</v>
      </c>
      <c r="B405" s="549">
        <v>42494</v>
      </c>
      <c r="C405" s="550">
        <v>7698072</v>
      </c>
      <c r="D405" s="548" t="s">
        <v>2185</v>
      </c>
      <c r="E405" s="550">
        <v>4</v>
      </c>
      <c r="F405" s="551" t="str">
        <f>INDEX(BrokerTBL!$B:$B,MATCH(D405,BrokerTBL!$A:$A,0))</f>
        <v>PO Box 6348</v>
      </c>
      <c r="G405" s="550" t="str">
        <f>INDEX(BrokerTBL!$C:$C,MATCH(D405,BrokerTBL!$A:$A,0))</f>
        <v>Scottsdale</v>
      </c>
      <c r="H405" s="235" t="str">
        <f>INDEX(BrokerTBL!$D:$D,MATCH(D405,BrokerTBL!$A:$A,0))</f>
        <v>Az</v>
      </c>
      <c r="I405" s="235" t="str">
        <f>INDEX(BrokerTBL!$E:$E,MATCH(D405,BrokerTBL!$A:$A,0))</f>
        <v>US</v>
      </c>
      <c r="J405" s="235">
        <f>INDEX(BrokerTBL!$F:$F,MATCH(D405,BrokerTBL!$A:$A,0))</f>
        <v>85258</v>
      </c>
      <c r="K405" s="548" t="s">
        <v>2712</v>
      </c>
      <c r="L405" s="552" t="s">
        <v>1205</v>
      </c>
      <c r="M405" s="549">
        <v>42493</v>
      </c>
      <c r="N405" s="550" t="s">
        <v>1723</v>
      </c>
      <c r="O405" s="550" t="s">
        <v>2713</v>
      </c>
      <c r="P405" s="548" t="s">
        <v>738</v>
      </c>
      <c r="Q405" s="548" t="s">
        <v>2206</v>
      </c>
      <c r="R405" s="548">
        <v>89506</v>
      </c>
      <c r="S405" s="548" t="s">
        <v>2207</v>
      </c>
      <c r="T405" s="298" t="s">
        <v>123</v>
      </c>
      <c r="U405" s="548" t="s">
        <v>120</v>
      </c>
      <c r="V405" s="548">
        <v>53</v>
      </c>
      <c r="W405" s="548" t="s">
        <v>2714</v>
      </c>
      <c r="X405" s="553">
        <v>40000</v>
      </c>
      <c r="Y405" s="550" t="s">
        <v>2220</v>
      </c>
      <c r="Z405" s="548" t="s">
        <v>123</v>
      </c>
      <c r="AA405" s="548">
        <v>24</v>
      </c>
      <c r="AB405" s="548" t="s">
        <v>123</v>
      </c>
      <c r="AC405" s="548" t="s">
        <v>2715</v>
      </c>
      <c r="AD405" s="552" t="s">
        <v>1205</v>
      </c>
      <c r="AE405" s="549">
        <v>42494</v>
      </c>
      <c r="AF405" s="549" t="s">
        <v>1723</v>
      </c>
      <c r="AG405" s="548" t="s">
        <v>2716</v>
      </c>
      <c r="AH405" s="548" t="s">
        <v>531</v>
      </c>
      <c r="AI405" s="548" t="s">
        <v>2206</v>
      </c>
      <c r="AJ405" s="548">
        <v>94577</v>
      </c>
      <c r="AK405" s="548" t="s">
        <v>2207</v>
      </c>
      <c r="AL405" s="548" t="s">
        <v>123</v>
      </c>
      <c r="AM405" s="554" t="str">
        <f>INDEX(CarrierDriverTBL!$B:$B,MATCH(Table1[[#This Row],[DriverID]],CarrierDriverTBL!$A:$A,0))</f>
        <v>UBTrucking</v>
      </c>
      <c r="AN405" s="10" t="s">
        <v>192</v>
      </c>
      <c r="AO405" s="554" t="str">
        <f>INDEX(CarrierDriverTBL!$C:$C,MATCH(Table1[[#This Row],[DriverID]],CarrierDriverTBL!$A:$A,0))</f>
        <v>Albel</v>
      </c>
      <c r="AP405" s="554" t="str">
        <f>INDEX(CarrierDriverTBL!$D:$D,MATCH(Table1[[#This Row],[DriverID]],CarrierDriverTBL!$A:$A,0))</f>
        <v>Chahil</v>
      </c>
      <c r="AQ405" s="554" t="str">
        <f>INDEX(CarrierDriverTBL!$X:$X,MATCH(Table1[[#This Row],[DriverID]],CarrierDriverTBL!$A:$A,0))</f>
        <v>A8390649</v>
      </c>
      <c r="AR405" s="556">
        <f>INDEX(CarrierDriverTBL!$Y:$Y,MATCH(Table1[[#This Row],[DriverID]],CarrierDriverTBL!$A:$A,0))</f>
        <v>42402</v>
      </c>
      <c r="AS405" s="554" t="str">
        <f t="shared" si="170"/>
        <v>EXPIRED</v>
      </c>
      <c r="AT405" s="556">
        <f>INDEX(CarrierDriverTBL!$E:$E,MATCH(Table1[[#This Row],[DriverID]],CarrierDriverTBL!$A:$A,0))</f>
        <v>22314</v>
      </c>
      <c r="AU405" s="562">
        <f ca="1">INDEX(CarrierDriverTBL!$F:$F,MATCH(Table1[[#This Row],[DriverID]],CarrierDriverTBL!$A:$A,0))</f>
        <v>55.512328767123286</v>
      </c>
      <c r="AV405" s="554" t="str">
        <f>INDEX(CarrierDriverTBL!$K:$K,MATCH(Table1[[#This Row],[DriverID]],CarrierDriverTBL!$A:$A,0))</f>
        <v>510-773-9450</v>
      </c>
      <c r="AW405" s="554" t="str">
        <f>INDEX(CarrierDriverTBL!$M:$M,MATCH(Table1[[#This Row],[DriverID]],CarrierDriverTBL!$A:$A,0))</f>
        <v>3124 Cynthia CT</v>
      </c>
      <c r="AX405" s="554" t="str">
        <f>INDEX(CarrierDriverTBL!$N:$N,MATCH(Table1[[#This Row],[DriverID]],CarrierDriverTBL!$A:$A,0))</f>
        <v>Tracy</v>
      </c>
      <c r="AY405" s="554" t="str">
        <f>INDEX(CarrierDriverTBL!$O:$O,MATCH(Table1[[#This Row],[DriverID]],CarrierDriverTBL!$A:$A,0))</f>
        <v>CA</v>
      </c>
      <c r="AZ405" s="554">
        <f>INDEX(CarrierDriverTBL!$P:$P,MATCH(Table1[[#This Row],[DriverID]],CarrierDriverTBL!$A:$A,0))</f>
        <v>95377</v>
      </c>
      <c r="BA405" s="554" t="str">
        <f>INDEX(CarrierDriverTBL!$Q:$Q,MATCH(Table1[[#This Row],[DriverID]],CarrierDriverTBL!$A:$A,0))</f>
        <v>US</v>
      </c>
      <c r="BB405" s="554" t="str">
        <f>INDEX(CarrierDriverTBL!$R:$R,MATCH(Table1[[#This Row],[DriverID]],CarrierDriverTBL!$A:$A,0))</f>
        <v>ubgollc@gmail.com</v>
      </c>
      <c r="BC405" s="160">
        <f>INDEX(CarrierDriverTBL!$AB:$AB,MATCH(Table1[[#This Row],[DriverID]],CarrierDriverTBL!$A:$A,0))</f>
        <v>42167</v>
      </c>
      <c r="BD405" s="142" t="str">
        <f ca="1">INDEX(CarrierDriverTBL!$AD:$AD,MATCH(LoadMaster!$AN:$AN,CarrierDriverTBL!$A:$A,0))</f>
        <v>MISSING</v>
      </c>
      <c r="BE405" s="554">
        <f>INDEX(CarrierDriverTBL!$AE:$AE,MATCH(Table1[DriverID],CarrierDriverTBL!$A:$A,0))</f>
        <v>913971</v>
      </c>
      <c r="BF405" s="554">
        <f>INDEX(CarrierDriverTBL!$AF:$AF,MATCH(Table1[DriverID],CarrierDriverTBL!$A:$A,0))</f>
        <v>2627544</v>
      </c>
      <c r="BG405" s="236">
        <f>INDEX(CarrierDriverTBL!$AG:$AG,MATCH(Table1[DriverID],CarrierDriverTBL!$A:$A,0))</f>
        <v>466133</v>
      </c>
      <c r="BH405" s="554" t="str">
        <f>INDEX(CarrierDriverTBL!$AH:$AH,MATCH(Table1[DriverID],CarrierDriverTBL!$A:$A,0))</f>
        <v>GM Lawrence Ins</v>
      </c>
      <c r="BI405" s="554" t="str">
        <f>INDEX(CarrierDriverTBL!$AI:$AI,MATCH(Table1[DriverID],CarrierDriverTBL!$A:$A,0))</f>
        <v>DSK2842P160210</v>
      </c>
      <c r="BJ405" s="556">
        <f>INDEX(CarrierDriverTBL!$AJ:$AJ,MATCH(Table1[[#This Row],[DriverID]],CarrierDriverTBL!$A:$A,0))</f>
        <v>42778</v>
      </c>
      <c r="BK405" s="10">
        <f t="shared" si="171"/>
        <v>285</v>
      </c>
      <c r="BL405" s="237">
        <v>500</v>
      </c>
      <c r="BM405" s="554">
        <v>222.4</v>
      </c>
      <c r="BN405" s="558">
        <f t="shared" si="188"/>
        <v>2.2482014388489207</v>
      </c>
      <c r="BO405" s="241">
        <f>1*Table1[[#This Row],[ChargeBroker]]</f>
        <v>500</v>
      </c>
      <c r="BP405" s="558">
        <f t="shared" si="189"/>
        <v>2.2482014388489207</v>
      </c>
      <c r="BQ405" s="558">
        <v>2.6</v>
      </c>
      <c r="BR405" s="559">
        <f t="shared" si="190"/>
        <v>0.1166666666666667</v>
      </c>
      <c r="BS405" s="558">
        <f t="shared" si="172"/>
        <v>2.131534772182254</v>
      </c>
      <c r="BT405" s="558">
        <f t="shared" si="173"/>
        <v>25.946666666666673</v>
      </c>
      <c r="BU405" s="236" t="str">
        <f t="shared" si="174"/>
        <v>Globaltranz</v>
      </c>
      <c r="BV405" s="550"/>
      <c r="BW405" s="235" t="str">
        <f>Table1[[#This Row],[BrokerAddress]]</f>
        <v>PO Box 6348</v>
      </c>
      <c r="BX405" s="235" t="str">
        <f t="shared" si="175"/>
        <v>Scottsdale</v>
      </c>
      <c r="BY405" s="235" t="str">
        <f t="shared" si="176"/>
        <v>Az</v>
      </c>
      <c r="BZ405" s="235">
        <f t="shared" si="177"/>
        <v>85258</v>
      </c>
      <c r="CA405" s="236" t="str">
        <f t="shared" si="178"/>
        <v>US</v>
      </c>
      <c r="CB405" s="15" t="s">
        <v>131</v>
      </c>
      <c r="CC405" s="561"/>
      <c r="CD405" s="15" t="s">
        <v>132</v>
      </c>
      <c r="CE405" s="64">
        <v>0</v>
      </c>
      <c r="CF405" s="4">
        <v>0</v>
      </c>
      <c r="CG405" s="132">
        <f t="shared" si="179"/>
        <v>0</v>
      </c>
      <c r="CH405" s="4" t="s">
        <v>132</v>
      </c>
      <c r="CI405" s="5">
        <v>0</v>
      </c>
      <c r="CJ405" s="4">
        <v>0</v>
      </c>
      <c r="CK405" s="132">
        <f t="shared" si="180"/>
        <v>0</v>
      </c>
      <c r="CL405" s="4" t="s">
        <v>132</v>
      </c>
      <c r="CM405" s="5">
        <v>0</v>
      </c>
      <c r="CN405" s="4">
        <v>0</v>
      </c>
      <c r="CO405" s="132">
        <f t="shared" si="181"/>
        <v>0</v>
      </c>
      <c r="CP405" s="4" t="s">
        <v>132</v>
      </c>
      <c r="CQ405" s="5">
        <v>0</v>
      </c>
      <c r="CR405" s="4">
        <v>0</v>
      </c>
      <c r="CS405" s="132">
        <f t="shared" si="182"/>
        <v>0</v>
      </c>
      <c r="CT405" s="132">
        <f t="shared" si="183"/>
        <v>0</v>
      </c>
      <c r="CU405" s="238">
        <f t="shared" si="184"/>
        <v>500</v>
      </c>
      <c r="CV405" s="239">
        <f t="shared" si="167"/>
        <v>0</v>
      </c>
      <c r="CW405" s="240">
        <f t="shared" si="168"/>
        <v>500</v>
      </c>
      <c r="CX405" s="79">
        <f>IF(ISBLANK(E405),"AddQuickPay",IF(E405=2,CU405*0.98,IF(E405=2.4,CU405*0.976,IF(E405=3,CU405*0.97,IF(E405=5,CU405*0.95,IF(E405=1.5,CU405*0.985,IF(E405=2.5,CU405*0.975,IF(E405=1.3,CU405*0.987,IF(E405=1,CU405*0.99,IF(E405=4,CU405*0.96,CU405*1))))))))))-Table1[[#This Row],[ComCheck+QuickPayFee]]</f>
        <v>480</v>
      </c>
      <c r="CY405" s="237">
        <f t="shared" si="185"/>
        <v>0</v>
      </c>
      <c r="CZ405" s="237">
        <f t="shared" si="186"/>
        <v>20</v>
      </c>
      <c r="DA405" s="263">
        <f>Table1[[#This Row],[OriginalDispatch]]-Table1[[#This Row],[QuickPayCharge]]</f>
        <v>-20</v>
      </c>
      <c r="DB405" s="5">
        <v>0</v>
      </c>
      <c r="DC405" s="237" t="s">
        <v>133</v>
      </c>
      <c r="DD405" s="556">
        <f t="shared" si="187"/>
        <v>42496</v>
      </c>
      <c r="DE405" s="554">
        <f>MONTH(Table1[[#This Row],[Weekending]])</f>
        <v>5</v>
      </c>
      <c r="DF405" s="554">
        <f>YEAR(Table1[[#This Row],[Weekending]])</f>
        <v>2016</v>
      </c>
      <c r="DG405" s="235"/>
    </row>
    <row r="406" spans="1:111">
      <c r="A406" s="548" t="str">
        <f t="shared" si="169"/>
        <v>66189693</v>
      </c>
      <c r="B406" s="549">
        <v>42494</v>
      </c>
      <c r="C406" s="550">
        <v>1764466</v>
      </c>
      <c r="D406" s="548" t="s">
        <v>384</v>
      </c>
      <c r="E406" s="550">
        <v>1.5</v>
      </c>
      <c r="F406" s="551" t="str">
        <f>INDEX(BrokerTBL!$B:$B,MATCH(D406,BrokerTBL!$A:$A,0))</f>
        <v>11707 21St Ave Ct So</v>
      </c>
      <c r="G406" s="550" t="str">
        <f>INDEX(BrokerTBL!$C:$C,MATCH(D406,BrokerTBL!$A:$A,0))</f>
        <v>Tacoma</v>
      </c>
      <c r="H406" s="235" t="str">
        <f>INDEX(BrokerTBL!$D:$D,MATCH(D406,BrokerTBL!$A:$A,0))</f>
        <v>Wa</v>
      </c>
      <c r="I406" s="235" t="str">
        <f>INDEX(BrokerTBL!$E:$E,MATCH(D406,BrokerTBL!$A:$A,0))</f>
        <v>US</v>
      </c>
      <c r="J406" s="235">
        <f>INDEX(BrokerTBL!$F:$F,MATCH(D406,BrokerTBL!$A:$A,0))</f>
        <v>98444</v>
      </c>
      <c r="K406" s="548" t="s">
        <v>2275</v>
      </c>
      <c r="L406" s="552">
        <v>198890318</v>
      </c>
      <c r="M406" s="549">
        <v>42494</v>
      </c>
      <c r="N406" s="550">
        <v>0.52083333333333337</v>
      </c>
      <c r="O406" s="550" t="s">
        <v>2276</v>
      </c>
      <c r="P406" s="548" t="s">
        <v>2277</v>
      </c>
      <c r="Q406" s="548" t="s">
        <v>2206</v>
      </c>
      <c r="R406" s="548">
        <v>93702</v>
      </c>
      <c r="S406" s="548" t="s">
        <v>2207</v>
      </c>
      <c r="T406" s="298" t="s">
        <v>123</v>
      </c>
      <c r="U406" s="548" t="s">
        <v>120</v>
      </c>
      <c r="V406" s="548">
        <v>53</v>
      </c>
      <c r="W406" s="548" t="s">
        <v>2278</v>
      </c>
      <c r="X406" s="553">
        <v>38760</v>
      </c>
      <c r="Y406" s="550" t="s">
        <v>2220</v>
      </c>
      <c r="Z406" s="548" t="s">
        <v>123</v>
      </c>
      <c r="AA406" s="548">
        <v>17</v>
      </c>
      <c r="AB406" s="548" t="s">
        <v>123</v>
      </c>
      <c r="AC406" s="548" t="s">
        <v>2449</v>
      </c>
      <c r="AD406" s="552">
        <v>163143396</v>
      </c>
      <c r="AE406" s="549">
        <v>42495</v>
      </c>
      <c r="AF406" s="549">
        <v>0.35416666666666669</v>
      </c>
      <c r="AG406" s="548" t="s">
        <v>2450</v>
      </c>
      <c r="AH406" s="548" t="s">
        <v>2451</v>
      </c>
      <c r="AI406" s="548" t="s">
        <v>2233</v>
      </c>
      <c r="AJ406" s="548">
        <v>89434</v>
      </c>
      <c r="AK406" s="548" t="s">
        <v>2207</v>
      </c>
      <c r="AL406" s="548" t="s">
        <v>123</v>
      </c>
      <c r="AM406" s="554" t="str">
        <f>INDEX(CarrierDriverTBL!$B:$B,MATCH(Table1[[#This Row],[DriverID]],CarrierDriverTBL!$A:$A,0))</f>
        <v>UBTrucking</v>
      </c>
      <c r="AN406" s="10" t="s">
        <v>2234</v>
      </c>
      <c r="AO406" s="554" t="str">
        <f>INDEX(CarrierDriverTBL!$C:$C,MATCH(Table1[[#This Row],[DriverID]],CarrierDriverTBL!$A:$A,0))</f>
        <v>Arturo</v>
      </c>
      <c r="AP406" s="554" t="str">
        <f>INDEX(CarrierDriverTBL!$D:$D,MATCH(Table1[[#This Row],[DriverID]],CarrierDriverTBL!$A:$A,0))</f>
        <v>Carrillo</v>
      </c>
      <c r="AQ406" s="554" t="str">
        <f>INDEX(CarrierDriverTBL!$X:$X,MATCH(Table1[[#This Row],[DriverID]],CarrierDriverTBL!$A:$A,0))</f>
        <v>C7056793</v>
      </c>
      <c r="AR406" s="556">
        <f>INDEX(CarrierDriverTBL!$Y:$Y,MATCH(Table1[[#This Row],[DriverID]],CarrierDriverTBL!$A:$A,0))</f>
        <v>43410</v>
      </c>
      <c r="AS406" s="554" t="str">
        <f t="shared" si="170"/>
        <v>GOOD</v>
      </c>
      <c r="AT406" s="556">
        <f>INDEX(CarrierDriverTBL!$E:$E,MATCH(Table1[[#This Row],[DriverID]],CarrierDriverTBL!$A:$A,0))</f>
        <v>24782</v>
      </c>
      <c r="AU406" s="562">
        <f ca="1">INDEX(CarrierDriverTBL!$F:$F,MATCH(Table1[[#This Row],[DriverID]],CarrierDriverTBL!$A:$A,0))</f>
        <v>48.750684931506846</v>
      </c>
      <c r="AV406" s="554" t="str">
        <f>INDEX(CarrierDriverTBL!$K:$K,MATCH(Table1[[#This Row],[DriverID]],CarrierDriverTBL!$A:$A,0))</f>
        <v>209-276-9785</v>
      </c>
      <c r="AW406" s="554" t="str">
        <f>INDEX(CarrierDriverTBL!$M:$M,MATCH(Table1[[#This Row],[DriverID]],CarrierDriverTBL!$A:$A,0))</f>
        <v>1685 Winthrop Ln</v>
      </c>
      <c r="AX406" s="554" t="str">
        <f>INDEX(CarrierDriverTBL!$N:$N,MATCH(Table1[[#This Row],[DriverID]],CarrierDriverTBL!$A:$A,0))</f>
        <v>Ceres</v>
      </c>
      <c r="AY406" s="554" t="str">
        <f>INDEX(CarrierDriverTBL!$O:$O,MATCH(Table1[[#This Row],[DriverID]],CarrierDriverTBL!$A:$A,0))</f>
        <v>CA</v>
      </c>
      <c r="AZ406" s="554">
        <f>INDEX(CarrierDriverTBL!$P:$P,MATCH(Table1[[#This Row],[DriverID]],CarrierDriverTBL!$A:$A,0))</f>
        <v>95307</v>
      </c>
      <c r="BA406" s="554" t="str">
        <f>INDEX(CarrierDriverTBL!$Q:$Q,MATCH(Table1[[#This Row],[DriverID]],CarrierDriverTBL!$A:$A,0))</f>
        <v>US</v>
      </c>
      <c r="BB406" s="554" t="str">
        <f>INDEX(CarrierDriverTBL!$R:$R,MATCH(Table1[[#This Row],[DriverID]],CarrierDriverTBL!$A:$A,0))</f>
        <v>arturocarr777@gmail.com</v>
      </c>
      <c r="BC406" s="160">
        <f>INDEX(CarrierDriverTBL!$AB:$AB,MATCH(Table1[[#This Row],[DriverID]],CarrierDriverTBL!$A:$A,0))</f>
        <v>42418</v>
      </c>
      <c r="BD406" s="142" t="str">
        <f ca="1">INDEX(CarrierDriverTBL!$AD:$AD,MATCH(LoadMaster!$AN:$AN,CarrierDriverTBL!$A:$A,0))</f>
        <v>MISSING</v>
      </c>
      <c r="BE406" s="554">
        <f>INDEX(CarrierDriverTBL!$AE:$AE,MATCH(Table1[DriverID],CarrierDriverTBL!$A:$A,0))</f>
        <v>913971</v>
      </c>
      <c r="BF406" s="554">
        <f>INDEX(CarrierDriverTBL!$AF:$AF,MATCH(Table1[DriverID],CarrierDriverTBL!$A:$A,0))</f>
        <v>2627544</v>
      </c>
      <c r="BG406" s="236">
        <f>INDEX(CarrierDriverTBL!$AG:$AG,MATCH(Table1[DriverID],CarrierDriverTBL!$A:$A,0))</f>
        <v>466133</v>
      </c>
      <c r="BH406" s="554" t="str">
        <f>INDEX(CarrierDriverTBL!$AH:$AH,MATCH(Table1[DriverID],CarrierDriverTBL!$A:$A,0))</f>
        <v>GM Lawrence Ins</v>
      </c>
      <c r="BI406" s="554" t="str">
        <f>INDEX(CarrierDriverTBL!$AI:$AI,MATCH(Table1[DriverID],CarrierDriverTBL!$A:$A,0))</f>
        <v>DSK2842P160210</v>
      </c>
      <c r="BJ406" s="556">
        <f>INDEX(CarrierDriverTBL!$AJ:$AJ,MATCH(Table1[[#This Row],[DriverID]],CarrierDriverTBL!$A:$A,0))</f>
        <v>42778</v>
      </c>
      <c r="BK406" s="10">
        <f t="shared" si="171"/>
        <v>284</v>
      </c>
      <c r="BL406" s="237">
        <v>725</v>
      </c>
      <c r="BM406" s="554">
        <v>303.2</v>
      </c>
      <c r="BN406" s="558">
        <f t="shared" si="188"/>
        <v>2.3911609498680741</v>
      </c>
      <c r="BO406" s="241">
        <f>0.93*Table1[[#This Row],[ChargeBroker]]</f>
        <v>674.25</v>
      </c>
      <c r="BP406" s="558">
        <f t="shared" si="189"/>
        <v>2.2237796833773089</v>
      </c>
      <c r="BQ406" s="558">
        <v>2.6</v>
      </c>
      <c r="BR406" s="559">
        <f t="shared" si="190"/>
        <v>0.1166666666666667</v>
      </c>
      <c r="BS406" s="558">
        <f t="shared" si="172"/>
        <v>2.1071130167106422</v>
      </c>
      <c r="BT406" s="558">
        <f t="shared" si="173"/>
        <v>35.373333333333342</v>
      </c>
      <c r="BU406" s="236" t="str">
        <f t="shared" si="174"/>
        <v>Interstate Distributor Co</v>
      </c>
      <c r="BV406" s="550"/>
      <c r="BW406" s="235" t="str">
        <f>Table1[[#This Row],[BrokerAddress]]</f>
        <v>11707 21St Ave Ct So</v>
      </c>
      <c r="BX406" s="235" t="str">
        <f t="shared" si="175"/>
        <v>Tacoma</v>
      </c>
      <c r="BY406" s="235" t="str">
        <f t="shared" si="176"/>
        <v>Wa</v>
      </c>
      <c r="BZ406" s="235">
        <f t="shared" si="177"/>
        <v>98444</v>
      </c>
      <c r="CA406" s="236" t="str">
        <f t="shared" si="178"/>
        <v>US</v>
      </c>
      <c r="CB406" s="15" t="s">
        <v>131</v>
      </c>
      <c r="CC406" s="561"/>
      <c r="CD406" s="15" t="s">
        <v>132</v>
      </c>
      <c r="CE406" s="64">
        <v>0</v>
      </c>
      <c r="CF406" s="4">
        <v>0</v>
      </c>
      <c r="CG406" s="132">
        <f t="shared" si="179"/>
        <v>0</v>
      </c>
      <c r="CH406" s="4" t="s">
        <v>132</v>
      </c>
      <c r="CI406" s="5">
        <v>0</v>
      </c>
      <c r="CJ406" s="4">
        <v>0</v>
      </c>
      <c r="CK406" s="132">
        <f t="shared" si="180"/>
        <v>0</v>
      </c>
      <c r="CL406" s="4" t="s">
        <v>132</v>
      </c>
      <c r="CM406" s="5">
        <v>0</v>
      </c>
      <c r="CN406" s="4">
        <v>0</v>
      </c>
      <c r="CO406" s="132">
        <f t="shared" si="181"/>
        <v>0</v>
      </c>
      <c r="CP406" s="4" t="s">
        <v>132</v>
      </c>
      <c r="CQ406" s="5">
        <v>0</v>
      </c>
      <c r="CR406" s="4">
        <v>0</v>
      </c>
      <c r="CS406" s="132">
        <f t="shared" si="182"/>
        <v>0</v>
      </c>
      <c r="CT406" s="132">
        <f t="shared" si="183"/>
        <v>0</v>
      </c>
      <c r="CU406" s="238">
        <f t="shared" si="184"/>
        <v>725</v>
      </c>
      <c r="CV406" s="239">
        <f t="shared" si="167"/>
        <v>0</v>
      </c>
      <c r="CW406" s="240">
        <f t="shared" si="168"/>
        <v>674.25</v>
      </c>
      <c r="CX406" s="79">
        <f>IF(ISBLANK(E406),"AddQuickPay",IF(E406=2,CU406*0.98,IF(E406=2.4,CU406*0.976,IF(E406=3,CU406*0.97,IF(E406=5,CU406*0.95,IF(E406=1.5,CU406*0.985,IF(E406=2.5,CU406*0.975,IF(E406=1.3,CU406*0.987,IF(E406=1,CU406*0.99,IF(E406=4,CU406*0.96,CU406*1))))))))))-Table1[[#This Row],[ComCheck+QuickPayFee]]</f>
        <v>714.125</v>
      </c>
      <c r="CY406" s="237">
        <f t="shared" si="185"/>
        <v>50.75</v>
      </c>
      <c r="CZ406" s="237">
        <f t="shared" si="186"/>
        <v>10.875</v>
      </c>
      <c r="DA406" s="263">
        <f>Table1[[#This Row],[OriginalDispatch]]-Table1[[#This Row],[QuickPayCharge]]</f>
        <v>39.875</v>
      </c>
      <c r="DB406" s="5">
        <v>0</v>
      </c>
      <c r="DC406" s="237" t="s">
        <v>133</v>
      </c>
      <c r="DD406" s="556">
        <f t="shared" si="187"/>
        <v>42496</v>
      </c>
      <c r="DE406" s="554">
        <f>MONTH(Table1[[#This Row],[Weekending]])</f>
        <v>5</v>
      </c>
      <c r="DF406" s="554">
        <f>YEAR(Table1[[#This Row],[Weekending]])</f>
        <v>2016</v>
      </c>
      <c r="DG406" s="235"/>
    </row>
    <row r="407" spans="1:111">
      <c r="A407" s="548" t="str">
        <f t="shared" si="169"/>
        <v>20wnwn93</v>
      </c>
      <c r="B407" s="549">
        <v>42496</v>
      </c>
      <c r="C407" s="550">
        <v>1990320</v>
      </c>
      <c r="D407" s="548" t="s">
        <v>2405</v>
      </c>
      <c r="E407" s="550">
        <v>3</v>
      </c>
      <c r="F407" s="551" t="str">
        <f>INDEX(BrokerTBL!$B:$B,MATCH(D407,BrokerTBL!$A:$A,0))</f>
        <v xml:space="preserve">303 E Wacker Dr. </v>
      </c>
      <c r="G407" s="550" t="str">
        <f>INDEX(BrokerTBL!$C:$C,MATCH(D407,BrokerTBL!$A:$A,0))</f>
        <v>Chicago</v>
      </c>
      <c r="H407" s="235" t="str">
        <f>INDEX(BrokerTBL!$D:$D,MATCH(D407,BrokerTBL!$A:$A,0))</f>
        <v>IL</v>
      </c>
      <c r="I407" s="235" t="str">
        <f>INDEX(BrokerTBL!$E:$E,MATCH(D407,BrokerTBL!$A:$A,0))</f>
        <v>US</v>
      </c>
      <c r="J407" s="235">
        <f>INDEX(BrokerTBL!$F:$F,MATCH(D407,BrokerTBL!$A:$A,0))</f>
        <v>60601</v>
      </c>
      <c r="K407" s="548" t="s">
        <v>2406</v>
      </c>
      <c r="L407" s="552" t="s">
        <v>1205</v>
      </c>
      <c r="M407" s="549">
        <v>42495</v>
      </c>
      <c r="N407" s="550" t="s">
        <v>1055</v>
      </c>
      <c r="O407" s="550" t="s">
        <v>2407</v>
      </c>
      <c r="P407" s="548" t="s">
        <v>2408</v>
      </c>
      <c r="Q407" s="548" t="s">
        <v>2233</v>
      </c>
      <c r="R407" s="548">
        <v>89706</v>
      </c>
      <c r="S407" s="548" t="s">
        <v>2207</v>
      </c>
      <c r="T407" s="548" t="s">
        <v>123</v>
      </c>
      <c r="U407" s="548" t="s">
        <v>120</v>
      </c>
      <c r="V407" s="548">
        <v>53</v>
      </c>
      <c r="W407" s="548" t="s">
        <v>2409</v>
      </c>
      <c r="X407" s="553">
        <v>45000</v>
      </c>
      <c r="Y407" s="550" t="s">
        <v>2220</v>
      </c>
      <c r="Z407" s="548" t="s">
        <v>123</v>
      </c>
      <c r="AA407" s="548">
        <v>50</v>
      </c>
      <c r="AB407" s="548" t="s">
        <v>123</v>
      </c>
      <c r="AC407" s="548" t="s">
        <v>2411</v>
      </c>
      <c r="AD407" s="552" t="s">
        <v>1205</v>
      </c>
      <c r="AE407" s="549">
        <v>42499</v>
      </c>
      <c r="AF407" s="549" t="s">
        <v>1316</v>
      </c>
      <c r="AG407" s="548" t="s">
        <v>2412</v>
      </c>
      <c r="AH407" s="548" t="s">
        <v>2168</v>
      </c>
      <c r="AI407" s="548" t="s">
        <v>2206</v>
      </c>
      <c r="AJ407" s="548">
        <v>93235</v>
      </c>
      <c r="AK407" s="548" t="s">
        <v>2207</v>
      </c>
      <c r="AL407" s="548" t="s">
        <v>123</v>
      </c>
      <c r="AM407" s="554" t="str">
        <f>INDEX(CarrierDriverTBL!$B:$B,MATCH(Table1[[#This Row],[DriverID]],CarrierDriverTBL!$A:$A,0))</f>
        <v>UBTrucking</v>
      </c>
      <c r="AN407" s="10" t="s">
        <v>2234</v>
      </c>
      <c r="AO407" s="555" t="str">
        <f>INDEX(CarrierDriverTBL!$C:$C,MATCH(Table1[[#This Row],[DriverID]],CarrierDriverTBL!$A:$A,0))</f>
        <v>Arturo</v>
      </c>
      <c r="AP407" s="555" t="str">
        <f>INDEX(CarrierDriverTBL!$D:$D,MATCH(Table1[[#This Row],[DriverID]],CarrierDriverTBL!$A:$A,0))</f>
        <v>Carrillo</v>
      </c>
      <c r="AQ407" s="555" t="str">
        <f>INDEX(CarrierDriverTBL!$X:$X,MATCH(Table1[[#This Row],[DriverID]],CarrierDriverTBL!$A:$A,0))</f>
        <v>C7056793</v>
      </c>
      <c r="AR407" s="556">
        <f>INDEX(CarrierDriverTBL!$Y:$Y,MATCH(Table1[[#This Row],[DriverID]],CarrierDriverTBL!$A:$A,0))</f>
        <v>43410</v>
      </c>
      <c r="AS407" s="554" t="str">
        <f t="shared" si="170"/>
        <v>GOOD</v>
      </c>
      <c r="AT407" s="556">
        <f>INDEX(CarrierDriverTBL!$E:$E,MATCH(Table1[[#This Row],[DriverID]],CarrierDriverTBL!$A:$A,0))</f>
        <v>24782</v>
      </c>
      <c r="AU407" s="557">
        <f ca="1">INDEX(CarrierDriverTBL!$F:$F,MATCH(Table1[[#This Row],[DriverID]],CarrierDriverTBL!$A:$A,0))</f>
        <v>48.750684931506846</v>
      </c>
      <c r="AV407" s="554" t="str">
        <f>INDEX(CarrierDriverTBL!$K:$K,MATCH(Table1[[#This Row],[DriverID]],CarrierDriverTBL!$A:$A,0))</f>
        <v>209-276-9785</v>
      </c>
      <c r="AW407" s="554" t="str">
        <f>INDEX(CarrierDriverTBL!$M:$M,MATCH(Table1[[#This Row],[DriverID]],CarrierDriverTBL!$A:$A,0))</f>
        <v>1685 Winthrop Ln</v>
      </c>
      <c r="AX407" s="554" t="str">
        <f>INDEX(CarrierDriverTBL!$N:$N,MATCH(Table1[[#This Row],[DriverID]],CarrierDriverTBL!$A:$A,0))</f>
        <v>Ceres</v>
      </c>
      <c r="AY407" s="554" t="str">
        <f>INDEX(CarrierDriverTBL!$O:$O,MATCH(Table1[[#This Row],[DriverID]],CarrierDriverTBL!$A:$A,0))</f>
        <v>CA</v>
      </c>
      <c r="AZ407" s="554">
        <f>INDEX(CarrierDriverTBL!$P:$P,MATCH(Table1[[#This Row],[DriverID]],CarrierDriverTBL!$A:$A,0))</f>
        <v>95307</v>
      </c>
      <c r="BA407" s="554" t="str">
        <f>INDEX(CarrierDriverTBL!$Q:$Q,MATCH(Table1[[#This Row],[DriverID]],CarrierDriverTBL!$A:$A,0))</f>
        <v>US</v>
      </c>
      <c r="BB407" s="554" t="str">
        <f>INDEX(CarrierDriverTBL!$R:$R,MATCH(Table1[[#This Row],[DriverID]],CarrierDriverTBL!$A:$A,0))</f>
        <v>arturocarr777@gmail.com</v>
      </c>
      <c r="BC407" s="556">
        <f>INDEX(CarrierDriverTBL!$AB:$AB,MATCH(Table1[[#This Row],[DriverID]],CarrierDriverTBL!$A:$A,0))</f>
        <v>42418</v>
      </c>
      <c r="BD407" s="555" t="str">
        <f ca="1">INDEX(CarrierDriverTBL!$AD:$AD,MATCH(LoadMaster!$AN:$AN,CarrierDriverTBL!$A:$A,0))</f>
        <v>MISSING</v>
      </c>
      <c r="BE407" s="555">
        <f>INDEX(CarrierDriverTBL!$AE:$AE,MATCH(Table1[DriverID],CarrierDriverTBL!$A:$A,0))</f>
        <v>913971</v>
      </c>
      <c r="BF407" s="554">
        <f>INDEX(CarrierDriverTBL!$AF:$AF,MATCH(Table1[DriverID],CarrierDriverTBL!$A:$A,0))</f>
        <v>2627544</v>
      </c>
      <c r="BG407" s="236">
        <f>INDEX(CarrierDriverTBL!$AG:$AG,MATCH(Table1[DriverID],CarrierDriverTBL!$A:$A,0))</f>
        <v>466133</v>
      </c>
      <c r="BH407" s="554" t="str">
        <f>INDEX(CarrierDriverTBL!$AH:$AH,MATCH(Table1[DriverID],CarrierDriverTBL!$A:$A,0))</f>
        <v>GM Lawrence Ins</v>
      </c>
      <c r="BI407" s="554" t="str">
        <f>INDEX(CarrierDriverTBL!$AI:$AI,MATCH(Table1[DriverID],CarrierDriverTBL!$A:$A,0))</f>
        <v>DSK2842P160210</v>
      </c>
      <c r="BJ407" s="556">
        <f>INDEX(CarrierDriverTBL!$AJ:$AJ,MATCH(Table1[[#This Row],[DriverID]],CarrierDriverTBL!$A:$A,0))</f>
        <v>42778</v>
      </c>
      <c r="BK407" s="554">
        <f t="shared" si="171"/>
        <v>283</v>
      </c>
      <c r="BL407" s="558">
        <v>600</v>
      </c>
      <c r="BM407" s="554">
        <v>311.5</v>
      </c>
      <c r="BN407" s="558">
        <f t="shared" si="188"/>
        <v>1.926163723916533</v>
      </c>
      <c r="BO407" s="241">
        <f>0.93*600</f>
        <v>558</v>
      </c>
      <c r="BP407" s="558">
        <f t="shared" si="189"/>
        <v>1.7913322632423756</v>
      </c>
      <c r="BQ407" s="558">
        <v>2.6</v>
      </c>
      <c r="BR407" s="559">
        <f t="shared" si="190"/>
        <v>0.1166666666666667</v>
      </c>
      <c r="BS407" s="558">
        <f t="shared" si="172"/>
        <v>1.6746655965757089</v>
      </c>
      <c r="BT407" s="558">
        <f t="shared" si="173"/>
        <v>36.341666666666676</v>
      </c>
      <c r="BU407" s="236" t="str">
        <f t="shared" si="174"/>
        <v>XPOLogistics</v>
      </c>
      <c r="BV407" s="554"/>
      <c r="BW407" s="236" t="str">
        <f>Table1[[#This Row],[BrokerAddress]]</f>
        <v xml:space="preserve">303 E Wacker Dr. </v>
      </c>
      <c r="BX407" s="236" t="str">
        <f t="shared" si="175"/>
        <v>Chicago</v>
      </c>
      <c r="BY407" s="269" t="str">
        <f t="shared" si="176"/>
        <v>IL</v>
      </c>
      <c r="BZ407" s="236">
        <f t="shared" si="177"/>
        <v>60601</v>
      </c>
      <c r="CA407" s="236" t="str">
        <f t="shared" si="178"/>
        <v>US</v>
      </c>
      <c r="CB407" s="15" t="s">
        <v>131</v>
      </c>
      <c r="CC407" s="561"/>
      <c r="CD407" s="15" t="s">
        <v>132</v>
      </c>
      <c r="CE407" s="64">
        <v>0</v>
      </c>
      <c r="CF407" s="4">
        <v>0</v>
      </c>
      <c r="CG407" s="132">
        <f t="shared" si="179"/>
        <v>0</v>
      </c>
      <c r="CH407" s="4" t="s">
        <v>132</v>
      </c>
      <c r="CI407" s="5">
        <v>0</v>
      </c>
      <c r="CJ407" s="4">
        <v>0</v>
      </c>
      <c r="CK407" s="132">
        <f t="shared" si="180"/>
        <v>0</v>
      </c>
      <c r="CL407" s="4" t="s">
        <v>132</v>
      </c>
      <c r="CM407" s="5">
        <v>0</v>
      </c>
      <c r="CN407" s="4">
        <v>0</v>
      </c>
      <c r="CO407" s="132">
        <f t="shared" si="181"/>
        <v>0</v>
      </c>
      <c r="CP407" s="4" t="s">
        <v>132</v>
      </c>
      <c r="CQ407" s="5">
        <v>0</v>
      </c>
      <c r="CR407" s="4">
        <v>0</v>
      </c>
      <c r="CS407" s="132">
        <f t="shared" si="182"/>
        <v>0</v>
      </c>
      <c r="CT407" s="132">
        <f t="shared" si="183"/>
        <v>0</v>
      </c>
      <c r="CU407" s="238">
        <f t="shared" si="184"/>
        <v>600</v>
      </c>
      <c r="CV407" s="239">
        <f t="shared" si="167"/>
        <v>0</v>
      </c>
      <c r="CW407" s="240">
        <f t="shared" si="168"/>
        <v>558</v>
      </c>
      <c r="CX407" s="79">
        <f>IF(ISBLANK(E407),"AddQuickPay",IF(E407=2,CU407*0.98,IF(E407=2.4,CU407*0.976,IF(E407=3,CU407*0.97,IF(E407=5,CU407*0.95,IF(E407=1.5,CU407*0.985,IF(E407=2.5,CU407*0.975,IF(E407=1.3,CU407*0.987,IF(E407=1,CU407*0.99,IF(E407=4,CU407*0.96,CU407*1))))))))))-Table1[[#This Row],[ComCheck+QuickPayFee]]</f>
        <v>582</v>
      </c>
      <c r="CY407" s="237">
        <f t="shared" si="185"/>
        <v>42</v>
      </c>
      <c r="CZ407" s="237">
        <f t="shared" si="186"/>
        <v>18</v>
      </c>
      <c r="DA407" s="263">
        <f>Table1[[#This Row],[OriginalDispatch]]-Table1[[#This Row],[QuickPayCharge]]</f>
        <v>24</v>
      </c>
      <c r="DB407" s="5">
        <v>0</v>
      </c>
      <c r="DC407" s="237" t="s">
        <v>133</v>
      </c>
      <c r="DD407" s="549">
        <f t="shared" si="187"/>
        <v>42496</v>
      </c>
      <c r="DE407" s="554">
        <f>MONTH(Table1[[#This Row],[Weekending]])</f>
        <v>5</v>
      </c>
      <c r="DF407" s="554">
        <f>YEAR(Table1[[#This Row],[Weekending]])</f>
        <v>2016</v>
      </c>
      <c r="DG407" s="235"/>
    </row>
    <row r="408" spans="1:111">
      <c r="A408" s="548" t="str">
        <f t="shared" si="169"/>
        <v>08992349</v>
      </c>
      <c r="B408" s="549">
        <v>42496</v>
      </c>
      <c r="C408" s="550">
        <v>1766408</v>
      </c>
      <c r="D408" s="548" t="s">
        <v>384</v>
      </c>
      <c r="E408" s="550">
        <v>1.5</v>
      </c>
      <c r="F408" s="551" t="str">
        <f>INDEX(BrokerTBL!$B:$B,MATCH(D408,BrokerTBL!$A:$A,0))</f>
        <v>11707 21St Ave Ct So</v>
      </c>
      <c r="G408" s="550" t="str">
        <f>INDEX(BrokerTBL!$C:$C,MATCH(D408,BrokerTBL!$A:$A,0))</f>
        <v>Tacoma</v>
      </c>
      <c r="H408" s="235" t="str">
        <f>INDEX(BrokerTBL!$D:$D,MATCH(D408,BrokerTBL!$A:$A,0))</f>
        <v>Wa</v>
      </c>
      <c r="I408" s="235" t="str">
        <f>INDEX(BrokerTBL!$E:$E,MATCH(D408,BrokerTBL!$A:$A,0))</f>
        <v>US</v>
      </c>
      <c r="J408" s="235">
        <f>INDEX(BrokerTBL!$F:$F,MATCH(D408,BrokerTBL!$A:$A,0))</f>
        <v>98444</v>
      </c>
      <c r="K408" s="548" t="s">
        <v>2275</v>
      </c>
      <c r="L408" s="552">
        <v>199138699</v>
      </c>
      <c r="M408" s="549">
        <v>42495</v>
      </c>
      <c r="N408" s="560">
        <v>0.58333333333333337</v>
      </c>
      <c r="O408" s="550" t="s">
        <v>2276</v>
      </c>
      <c r="P408" s="548" t="s">
        <v>2277</v>
      </c>
      <c r="Q408" s="548" t="s">
        <v>2206</v>
      </c>
      <c r="R408" s="548">
        <v>93702</v>
      </c>
      <c r="S408" s="548" t="s">
        <v>2207</v>
      </c>
      <c r="T408" s="548" t="s">
        <v>123</v>
      </c>
      <c r="U408" s="548" t="s">
        <v>120</v>
      </c>
      <c r="V408" s="548">
        <v>53</v>
      </c>
      <c r="W408" s="548" t="s">
        <v>2278</v>
      </c>
      <c r="X408" s="553">
        <v>34264</v>
      </c>
      <c r="Y408" s="550" t="s">
        <v>2220</v>
      </c>
      <c r="Z408" s="548" t="s">
        <v>123</v>
      </c>
      <c r="AA408" s="548">
        <v>16</v>
      </c>
      <c r="AB408" s="548" t="s">
        <v>123</v>
      </c>
      <c r="AC408" s="548" t="s">
        <v>2279</v>
      </c>
      <c r="AD408" s="552">
        <v>163143623</v>
      </c>
      <c r="AE408" s="549">
        <v>42496</v>
      </c>
      <c r="AF408" s="560">
        <v>0.47916666666666669</v>
      </c>
      <c r="AG408" s="548" t="s">
        <v>2280</v>
      </c>
      <c r="AH408" s="548" t="s">
        <v>2281</v>
      </c>
      <c r="AI408" s="548" t="s">
        <v>2233</v>
      </c>
      <c r="AJ408" s="548">
        <v>89423</v>
      </c>
      <c r="AK408" s="548" t="s">
        <v>2207</v>
      </c>
      <c r="AL408" s="548" t="s">
        <v>123</v>
      </c>
      <c r="AM408" s="554" t="str">
        <f>INDEX(CarrierDriverTBL!$B:$B,MATCH(Table1[[#This Row],[DriverID]],CarrierDriverTBL!$A:$A,0))</f>
        <v>UBTrucking</v>
      </c>
      <c r="AN408" s="10" t="s">
        <v>192</v>
      </c>
      <c r="AO408" s="555" t="str">
        <f>INDEX(CarrierDriverTBL!$C:$C,MATCH(Table1[[#This Row],[DriverID]],CarrierDriverTBL!$A:$A,0))</f>
        <v>Albel</v>
      </c>
      <c r="AP408" s="555" t="str">
        <f>INDEX(CarrierDriverTBL!$D:$D,MATCH(Table1[[#This Row],[DriverID]],CarrierDriverTBL!$A:$A,0))</f>
        <v>Chahil</v>
      </c>
      <c r="AQ408" s="555" t="str">
        <f>INDEX(CarrierDriverTBL!$X:$X,MATCH(Table1[[#This Row],[DriverID]],CarrierDriverTBL!$A:$A,0))</f>
        <v>A8390649</v>
      </c>
      <c r="AR408" s="556">
        <f>INDEX(CarrierDriverTBL!$Y:$Y,MATCH(Table1[[#This Row],[DriverID]],CarrierDriverTBL!$A:$A,0))</f>
        <v>42402</v>
      </c>
      <c r="AS408" s="554" t="str">
        <f t="shared" si="170"/>
        <v>EXPIRED</v>
      </c>
      <c r="AT408" s="556">
        <f>INDEX(CarrierDriverTBL!$E:$E,MATCH(Table1[[#This Row],[DriverID]],CarrierDriverTBL!$A:$A,0))</f>
        <v>22314</v>
      </c>
      <c r="AU408" s="557">
        <f ca="1">INDEX(CarrierDriverTBL!$F:$F,MATCH(Table1[[#This Row],[DriverID]],CarrierDriverTBL!$A:$A,0))</f>
        <v>55.512328767123286</v>
      </c>
      <c r="AV408" s="554" t="str">
        <f>INDEX(CarrierDriverTBL!$K:$K,MATCH(Table1[[#This Row],[DriverID]],CarrierDriverTBL!$A:$A,0))</f>
        <v>510-773-9450</v>
      </c>
      <c r="AW408" s="554" t="str">
        <f>INDEX(CarrierDriverTBL!$M:$M,MATCH(Table1[[#This Row],[DriverID]],CarrierDriverTBL!$A:$A,0))</f>
        <v>3124 Cynthia CT</v>
      </c>
      <c r="AX408" s="554" t="str">
        <f>INDEX(CarrierDriverTBL!$N:$N,MATCH(Table1[[#This Row],[DriverID]],CarrierDriverTBL!$A:$A,0))</f>
        <v>Tracy</v>
      </c>
      <c r="AY408" s="554" t="str">
        <f>INDEX(CarrierDriverTBL!$O:$O,MATCH(Table1[[#This Row],[DriverID]],CarrierDriverTBL!$A:$A,0))</f>
        <v>CA</v>
      </c>
      <c r="AZ408" s="554">
        <f>INDEX(CarrierDriverTBL!$P:$P,MATCH(Table1[[#This Row],[DriverID]],CarrierDriverTBL!$A:$A,0))</f>
        <v>95377</v>
      </c>
      <c r="BA408" s="554" t="str">
        <f>INDEX(CarrierDriverTBL!$Q:$Q,MATCH(Table1[[#This Row],[DriverID]],CarrierDriverTBL!$A:$A,0))</f>
        <v>US</v>
      </c>
      <c r="BB408" s="554" t="str">
        <f>INDEX(CarrierDriverTBL!$R:$R,MATCH(Table1[[#This Row],[DriverID]],CarrierDriverTBL!$A:$A,0))</f>
        <v>ubgollc@gmail.com</v>
      </c>
      <c r="BC408" s="556">
        <f>INDEX(CarrierDriverTBL!$AB:$AB,MATCH(Table1[[#This Row],[DriverID]],CarrierDriverTBL!$A:$A,0))</f>
        <v>42167</v>
      </c>
      <c r="BD408" s="555" t="str">
        <f ca="1">INDEX(CarrierDriverTBL!$AD:$AD,MATCH(LoadMaster!$AN:$AN,CarrierDriverTBL!$A:$A,0))</f>
        <v>MISSING</v>
      </c>
      <c r="BE408" s="555">
        <f>INDEX(CarrierDriverTBL!$AE:$AE,MATCH(Table1[DriverID],CarrierDriverTBL!$A:$A,0))</f>
        <v>913971</v>
      </c>
      <c r="BF408" s="554">
        <f>INDEX(CarrierDriverTBL!$AF:$AF,MATCH(Table1[DriverID],CarrierDriverTBL!$A:$A,0))</f>
        <v>2627544</v>
      </c>
      <c r="BG408" s="236">
        <f>INDEX(CarrierDriverTBL!$AG:$AG,MATCH(Table1[DriverID],CarrierDriverTBL!$A:$A,0))</f>
        <v>466133</v>
      </c>
      <c r="BH408" s="554" t="str">
        <f>INDEX(CarrierDriverTBL!$AH:$AH,MATCH(Table1[DriverID],CarrierDriverTBL!$A:$A,0))</f>
        <v>GM Lawrence Ins</v>
      </c>
      <c r="BI408" s="554" t="str">
        <f>INDEX(CarrierDriverTBL!$AI:$AI,MATCH(Table1[DriverID],CarrierDriverTBL!$A:$A,0))</f>
        <v>DSK2842P160210</v>
      </c>
      <c r="BJ408" s="556">
        <f>INDEX(CarrierDriverTBL!$AJ:$AJ,MATCH(Table1[[#This Row],[DriverID]],CarrierDriverTBL!$A:$A,0))</f>
        <v>42778</v>
      </c>
      <c r="BK408" s="554">
        <f t="shared" si="171"/>
        <v>283</v>
      </c>
      <c r="BL408" s="558">
        <v>725</v>
      </c>
      <c r="BM408" s="554">
        <v>255.8</v>
      </c>
      <c r="BN408" s="558">
        <f t="shared" si="188"/>
        <v>2.8342455043002346</v>
      </c>
      <c r="BO408" s="241">
        <f>0.93*725</f>
        <v>674.25</v>
      </c>
      <c r="BP408" s="558">
        <f t="shared" si="189"/>
        <v>2.6358483189992179</v>
      </c>
      <c r="BQ408" s="558">
        <v>2.6</v>
      </c>
      <c r="BR408" s="559">
        <f t="shared" si="190"/>
        <v>0.1166666666666667</v>
      </c>
      <c r="BS408" s="558">
        <f t="shared" si="172"/>
        <v>2.5191816523325512</v>
      </c>
      <c r="BT408" s="558">
        <f t="shared" si="173"/>
        <v>29.843333333333341</v>
      </c>
      <c r="BU408" s="236" t="str">
        <f t="shared" si="174"/>
        <v>Interstate Distributor Co</v>
      </c>
      <c r="BV408" s="554"/>
      <c r="BW408" s="236" t="str">
        <f>Table1[[#This Row],[BrokerAddress]]</f>
        <v>11707 21St Ave Ct So</v>
      </c>
      <c r="BX408" s="236" t="str">
        <f t="shared" si="175"/>
        <v>Tacoma</v>
      </c>
      <c r="BY408" s="269" t="str">
        <f t="shared" si="176"/>
        <v>Wa</v>
      </c>
      <c r="BZ408" s="236">
        <f t="shared" si="177"/>
        <v>98444</v>
      </c>
      <c r="CA408" s="236" t="str">
        <f t="shared" si="178"/>
        <v>US</v>
      </c>
      <c r="CB408" s="15" t="s">
        <v>131</v>
      </c>
      <c r="CC408" s="561"/>
      <c r="CD408" s="15" t="s">
        <v>132</v>
      </c>
      <c r="CE408" s="64">
        <v>0</v>
      </c>
      <c r="CF408" s="4">
        <v>0</v>
      </c>
      <c r="CG408" s="132">
        <f t="shared" si="179"/>
        <v>0</v>
      </c>
      <c r="CH408" s="4" t="s">
        <v>132</v>
      </c>
      <c r="CI408" s="5">
        <v>0</v>
      </c>
      <c r="CJ408" s="4">
        <v>0</v>
      </c>
      <c r="CK408" s="132">
        <f t="shared" si="180"/>
        <v>0</v>
      </c>
      <c r="CL408" s="4" t="s">
        <v>132</v>
      </c>
      <c r="CM408" s="5">
        <v>0</v>
      </c>
      <c r="CN408" s="4">
        <v>0</v>
      </c>
      <c r="CO408" s="132">
        <f t="shared" si="181"/>
        <v>0</v>
      </c>
      <c r="CP408" s="4" t="s">
        <v>132</v>
      </c>
      <c r="CQ408" s="5">
        <v>0</v>
      </c>
      <c r="CR408" s="4">
        <v>0</v>
      </c>
      <c r="CS408" s="132">
        <f t="shared" si="182"/>
        <v>0</v>
      </c>
      <c r="CT408" s="132">
        <f t="shared" si="183"/>
        <v>0</v>
      </c>
      <c r="CU408" s="238">
        <f t="shared" si="184"/>
        <v>725</v>
      </c>
      <c r="CV408" s="239">
        <f t="shared" si="167"/>
        <v>0</v>
      </c>
      <c r="CW408" s="240">
        <f t="shared" si="168"/>
        <v>674.25</v>
      </c>
      <c r="CX408" s="79">
        <f>IF(ISBLANK(E408),"AddQuickPay",IF(E408=2,CU408*0.98,IF(E408=2.4,CU408*0.976,IF(E408=3,CU408*0.97,IF(E408=5,CU408*0.95,IF(E408=1.5,CU408*0.985,IF(E408=2.5,CU408*0.975,IF(E408=1.3,CU408*0.987,IF(E408=1,CU408*0.99,IF(E408=4,CU408*0.96,CU408*1))))))))))-Table1[[#This Row],[ComCheck+QuickPayFee]]</f>
        <v>714.125</v>
      </c>
      <c r="CY408" s="237">
        <f t="shared" si="185"/>
        <v>50.75</v>
      </c>
      <c r="CZ408" s="237">
        <f t="shared" si="186"/>
        <v>10.875</v>
      </c>
      <c r="DA408" s="263">
        <f>Table1[[#This Row],[OriginalDispatch]]-Table1[[#This Row],[QuickPayCharge]]</f>
        <v>39.875</v>
      </c>
      <c r="DB408" s="5">
        <v>0</v>
      </c>
      <c r="DC408" s="237" t="s">
        <v>133</v>
      </c>
      <c r="DD408" s="549">
        <f t="shared" si="187"/>
        <v>42496</v>
      </c>
      <c r="DE408" s="554">
        <f>MONTH(Table1[[#This Row],[Weekending]])</f>
        <v>5</v>
      </c>
      <c r="DF408" s="554">
        <f>YEAR(Table1[[#This Row],[Weekending]])</f>
        <v>2016</v>
      </c>
      <c r="DG408" s="235"/>
    </row>
    <row r="409" spans="1:111">
      <c r="A409" s="548" t="str">
        <f t="shared" si="169"/>
        <v>19650019</v>
      </c>
      <c r="B409" s="549">
        <v>42496</v>
      </c>
      <c r="C409" s="550">
        <v>7348619</v>
      </c>
      <c r="D409" s="548" t="s">
        <v>445</v>
      </c>
      <c r="E409" s="550">
        <v>3</v>
      </c>
      <c r="F409" s="551" t="str">
        <f>INDEX(BrokerTBL!$B:$B,MATCH(D409,BrokerTBL!$A:$A,0))</f>
        <v>960 Northpoint Parkway Suite 150</v>
      </c>
      <c r="G409" s="550" t="str">
        <f>INDEX(BrokerTBL!$C:$C,MATCH(D409,BrokerTBL!$A:$A,0))</f>
        <v>Alpharetta</v>
      </c>
      <c r="H409" s="235" t="str">
        <f>INDEX(BrokerTBL!$D:$D,MATCH(D409,BrokerTBL!$A:$A,0))</f>
        <v>Ga</v>
      </c>
      <c r="I409" s="235" t="str">
        <f>INDEX(BrokerTBL!$E:$E,MATCH(D409,BrokerTBL!$A:$A,0))</f>
        <v>US</v>
      </c>
      <c r="J409" s="235">
        <f>INDEX(BrokerTBL!$F:$F,MATCH(D409,BrokerTBL!$A:$A,0))</f>
        <v>30005</v>
      </c>
      <c r="K409" s="548" t="s">
        <v>2717</v>
      </c>
      <c r="L409" s="552" t="s">
        <v>2718</v>
      </c>
      <c r="M409" s="549">
        <v>42495</v>
      </c>
      <c r="N409" s="550" t="s">
        <v>912</v>
      </c>
      <c r="O409" s="550" t="s">
        <v>2719</v>
      </c>
      <c r="P409" s="548" t="s">
        <v>738</v>
      </c>
      <c r="Q409" s="548" t="s">
        <v>2233</v>
      </c>
      <c r="R409" s="548">
        <v>89502</v>
      </c>
      <c r="S409" s="548" t="s">
        <v>2207</v>
      </c>
      <c r="T409" s="548" t="s">
        <v>123</v>
      </c>
      <c r="U409" s="548" t="s">
        <v>120</v>
      </c>
      <c r="V409" s="548">
        <v>53</v>
      </c>
      <c r="W409" s="548" t="s">
        <v>2720</v>
      </c>
      <c r="X409" s="553">
        <v>35423</v>
      </c>
      <c r="Y409" s="550" t="s">
        <v>2220</v>
      </c>
      <c r="Z409" s="548" t="s">
        <v>123</v>
      </c>
      <c r="AA409" s="548">
        <v>32</v>
      </c>
      <c r="AB409" s="548" t="s">
        <v>123</v>
      </c>
      <c r="AC409" s="548" t="s">
        <v>2721</v>
      </c>
      <c r="AD409" s="552" t="s">
        <v>2722</v>
      </c>
      <c r="AE409" s="549">
        <v>42496</v>
      </c>
      <c r="AF409" s="560">
        <v>0.33333333333333331</v>
      </c>
      <c r="AG409" s="548" t="s">
        <v>2723</v>
      </c>
      <c r="AH409" s="548" t="s">
        <v>656</v>
      </c>
      <c r="AI409" s="548" t="s">
        <v>2206</v>
      </c>
      <c r="AJ409" s="548">
        <v>93625</v>
      </c>
      <c r="AK409" s="548" t="s">
        <v>2207</v>
      </c>
      <c r="AL409" s="548" t="s">
        <v>123</v>
      </c>
      <c r="AM409" s="554" t="str">
        <f>INDEX(CarrierDriverTBL!$B:$B,MATCH(Table1[[#This Row],[DriverID]],CarrierDriverTBL!$A:$A,0))</f>
        <v>UBTrucking</v>
      </c>
      <c r="AN409" s="10" t="s">
        <v>1409</v>
      </c>
      <c r="AO409" s="555" t="str">
        <f>INDEX(CarrierDriverTBL!$C:$C,MATCH(Table1[[#This Row],[DriverID]],CarrierDriverTBL!$A:$A,0))</f>
        <v>Miguel Jaime</v>
      </c>
      <c r="AP409" s="555" t="str">
        <f>INDEX(CarrierDriverTBL!$D:$D,MATCH(Table1[[#This Row],[DriverID]],CarrierDriverTBL!$A:$A,0))</f>
        <v>Martin Del Campo Velarca</v>
      </c>
      <c r="AQ409" s="555" t="str">
        <f>INDEX(CarrierDriverTBL!$X:$X,MATCH(Table1[[#This Row],[DriverID]],CarrierDriverTBL!$A:$A,0))</f>
        <v>D5179619</v>
      </c>
      <c r="AR409" s="556">
        <f>INDEX(CarrierDriverTBL!$Y:$Y,MATCH(Table1[[#This Row],[DriverID]],CarrierDriverTBL!$A:$A,0))</f>
        <v>43843</v>
      </c>
      <c r="AS409" s="554" t="str">
        <f t="shared" si="170"/>
        <v>GOOD</v>
      </c>
      <c r="AT409" s="556">
        <f>INDEX(CarrierDriverTBL!$E:$E,MATCH(Table1[[#This Row],[DriverID]],CarrierDriverTBL!$A:$A,0))</f>
        <v>21198</v>
      </c>
      <c r="AU409" s="557">
        <f ca="1">INDEX(CarrierDriverTBL!$F:$F,MATCH(Table1[[#This Row],[DriverID]],CarrierDriverTBL!$A:$A,0))</f>
        <v>58.56986301369863</v>
      </c>
      <c r="AV409" s="554" t="str">
        <f>INDEX(CarrierDriverTBL!$K:$K,MATCH(Table1[[#This Row],[DriverID]],CarrierDriverTBL!$A:$A,0))</f>
        <v>209-322-5231</v>
      </c>
      <c r="AW409" s="554" t="str">
        <f>INDEX(CarrierDriverTBL!$M:$M,MATCH(Table1[[#This Row],[DriverID]],CarrierDriverTBL!$A:$A,0))</f>
        <v>572 Predersen RD</v>
      </c>
      <c r="AX409" s="554" t="str">
        <f>INDEX(CarrierDriverTBL!$N:$N,MATCH(Table1[[#This Row],[DriverID]],CarrierDriverTBL!$A:$A,0))</f>
        <v>Oakdale</v>
      </c>
      <c r="AY409" s="554" t="str">
        <f>INDEX(CarrierDriverTBL!$O:$O,MATCH(Table1[[#This Row],[DriverID]],CarrierDriverTBL!$A:$A,0))</f>
        <v>CA</v>
      </c>
      <c r="AZ409" s="554">
        <f>INDEX(CarrierDriverTBL!$P:$P,MATCH(Table1[[#This Row],[DriverID]],CarrierDriverTBL!$A:$A,0))</f>
        <v>95361</v>
      </c>
      <c r="BA409" s="554" t="str">
        <f>INDEX(CarrierDriverTBL!$Q:$Q,MATCH(Table1[[#This Row],[DriverID]],CarrierDriverTBL!$A:$A,0))</f>
        <v>US</v>
      </c>
      <c r="BB409" s="554" t="str">
        <f>INDEX(CarrierDriverTBL!$R:$R,MATCH(Table1[[#This Row],[DriverID]],CarrierDriverTBL!$A:$A,0))</f>
        <v>Miguelmartin52@yahoo.com</v>
      </c>
      <c r="BC409" s="556">
        <f>INDEX(CarrierDriverTBL!$AB:$AB,MATCH(Table1[[#This Row],[DriverID]],CarrierDriverTBL!$A:$A,0))</f>
        <v>42334</v>
      </c>
      <c r="BD409" s="555" t="str">
        <f ca="1">INDEX(CarrierDriverTBL!$AD:$AD,MATCH(LoadMaster!$AN:$AN,CarrierDriverTBL!$A:$A,0))</f>
        <v>MISSING</v>
      </c>
      <c r="BE409" s="555">
        <f>INDEX(CarrierDriverTBL!$AE:$AE,MATCH(Table1[DriverID],CarrierDriverTBL!$A:$A,0))</f>
        <v>913971</v>
      </c>
      <c r="BF409" s="554">
        <f>INDEX(CarrierDriverTBL!$AF:$AF,MATCH(Table1[DriverID],CarrierDriverTBL!$A:$A,0))</f>
        <v>2627544</v>
      </c>
      <c r="BG409" s="236">
        <f>INDEX(CarrierDriverTBL!$AG:$AG,MATCH(Table1[DriverID],CarrierDriverTBL!$A:$A,0))</f>
        <v>466133</v>
      </c>
      <c r="BH409" s="554" t="str">
        <f>INDEX(CarrierDriverTBL!$AH:$AH,MATCH(Table1[DriverID],CarrierDriverTBL!$A:$A,0))</f>
        <v>GM Lawrence Ins</v>
      </c>
      <c r="BI409" s="554" t="str">
        <f>INDEX(CarrierDriverTBL!$AI:$AI,MATCH(Table1[DriverID],CarrierDriverTBL!$A:$A,0))</f>
        <v>DSK2842P160210</v>
      </c>
      <c r="BJ409" s="556">
        <f>INDEX(CarrierDriverTBL!$AJ:$AJ,MATCH(Table1[[#This Row],[DriverID]],CarrierDriverTBL!$A:$A,0))</f>
        <v>42778</v>
      </c>
      <c r="BK409" s="554">
        <f t="shared" si="171"/>
        <v>283</v>
      </c>
      <c r="BL409" s="558">
        <v>600</v>
      </c>
      <c r="BM409" s="554">
        <v>307.60000000000002</v>
      </c>
      <c r="BN409" s="558">
        <f t="shared" si="188"/>
        <v>1.9505851755526658</v>
      </c>
      <c r="BO409" s="241">
        <f>0.93*600</f>
        <v>558</v>
      </c>
      <c r="BP409" s="558">
        <f t="shared" si="189"/>
        <v>1.8140442132639791</v>
      </c>
      <c r="BQ409" s="558">
        <v>2.6</v>
      </c>
      <c r="BR409" s="559">
        <f t="shared" si="190"/>
        <v>0.1166666666666667</v>
      </c>
      <c r="BS409" s="558">
        <f t="shared" si="172"/>
        <v>1.6973775465973124</v>
      </c>
      <c r="BT409" s="558">
        <f t="shared" si="173"/>
        <v>35.886666666666677</v>
      </c>
      <c r="BU409" s="236" t="str">
        <f t="shared" si="174"/>
        <v>Coyote</v>
      </c>
      <c r="BV409" s="554"/>
      <c r="BW409" s="236" t="str">
        <f>Table1[[#This Row],[BrokerAddress]]</f>
        <v>960 Northpoint Parkway Suite 150</v>
      </c>
      <c r="BX409" s="236" t="str">
        <f t="shared" si="175"/>
        <v>Alpharetta</v>
      </c>
      <c r="BY409" s="269" t="str">
        <f t="shared" si="176"/>
        <v>Ga</v>
      </c>
      <c r="BZ409" s="236">
        <f t="shared" si="177"/>
        <v>30005</v>
      </c>
      <c r="CA409" s="236" t="str">
        <f t="shared" si="178"/>
        <v>US</v>
      </c>
      <c r="CB409" s="15" t="s">
        <v>131</v>
      </c>
      <c r="CC409" s="561"/>
      <c r="CD409" s="15" t="s">
        <v>132</v>
      </c>
      <c r="CE409" s="64">
        <v>0</v>
      </c>
      <c r="CF409" s="4">
        <v>0</v>
      </c>
      <c r="CG409" s="132">
        <f t="shared" si="179"/>
        <v>0</v>
      </c>
      <c r="CH409" s="4" t="s">
        <v>132</v>
      </c>
      <c r="CI409" s="5">
        <v>0</v>
      </c>
      <c r="CJ409" s="4">
        <v>0</v>
      </c>
      <c r="CK409" s="132">
        <f t="shared" si="180"/>
        <v>0</v>
      </c>
      <c r="CL409" s="4" t="s">
        <v>132</v>
      </c>
      <c r="CM409" s="5">
        <v>0</v>
      </c>
      <c r="CN409" s="4">
        <v>0</v>
      </c>
      <c r="CO409" s="132">
        <f t="shared" si="181"/>
        <v>0</v>
      </c>
      <c r="CP409" s="4" t="s">
        <v>132</v>
      </c>
      <c r="CQ409" s="5">
        <v>0</v>
      </c>
      <c r="CR409" s="4">
        <v>0</v>
      </c>
      <c r="CS409" s="132">
        <f t="shared" si="182"/>
        <v>0</v>
      </c>
      <c r="CT409" s="132">
        <f t="shared" si="183"/>
        <v>0</v>
      </c>
      <c r="CU409" s="238">
        <f t="shared" si="184"/>
        <v>600</v>
      </c>
      <c r="CV409" s="239">
        <f t="shared" si="167"/>
        <v>0</v>
      </c>
      <c r="CW409" s="240">
        <f t="shared" si="168"/>
        <v>558</v>
      </c>
      <c r="CX409" s="79">
        <f>IF(ISBLANK(E409),"AddQuickPay",IF(E409=2,CU409*0.98,IF(E409=2.4,CU409*0.976,IF(E409=3,CU409*0.97,IF(E409=5,CU409*0.95,IF(E409=1.5,CU409*0.985,IF(E409=2.5,CU409*0.975,IF(E409=1.3,CU409*0.987,IF(E409=1,CU409*0.99,IF(E409=4,CU409*0.96,CU409*1))))))))))-Table1[[#This Row],[ComCheck+QuickPayFee]]</f>
        <v>582</v>
      </c>
      <c r="CY409" s="237">
        <f t="shared" si="185"/>
        <v>42</v>
      </c>
      <c r="CZ409" s="237">
        <f t="shared" si="186"/>
        <v>18</v>
      </c>
      <c r="DA409" s="263">
        <f>Table1[[#This Row],[OriginalDispatch]]-Table1[[#This Row],[QuickPayCharge]]</f>
        <v>24</v>
      </c>
      <c r="DB409" s="5">
        <v>0</v>
      </c>
      <c r="DC409" s="237" t="s">
        <v>133</v>
      </c>
      <c r="DD409" s="549">
        <f t="shared" si="187"/>
        <v>42496</v>
      </c>
      <c r="DE409" s="554">
        <f>MONTH(Table1[[#This Row],[Weekending]])</f>
        <v>5</v>
      </c>
      <c r="DF409" s="554">
        <f>YEAR(Table1[[#This Row],[Weekending]])</f>
        <v>2016</v>
      </c>
      <c r="DG409" s="235"/>
    </row>
    <row r="410" spans="1:111">
      <c r="A410" s="548" t="str">
        <f t="shared" si="169"/>
        <v>63wnwn49</v>
      </c>
      <c r="B410" s="549">
        <v>42496</v>
      </c>
      <c r="C410" s="550">
        <v>1991963</v>
      </c>
      <c r="D410" s="548" t="s">
        <v>2405</v>
      </c>
      <c r="E410" s="550">
        <v>3</v>
      </c>
      <c r="F410" s="551" t="str">
        <f>INDEX(BrokerTBL!$B:$B,MATCH(D410,BrokerTBL!$A:$A,0))</f>
        <v xml:space="preserve">303 E Wacker Dr. </v>
      </c>
      <c r="G410" s="550" t="str">
        <f>INDEX(BrokerTBL!$C:$C,MATCH(D410,BrokerTBL!$A:$A,0))</f>
        <v>Chicago</v>
      </c>
      <c r="H410" s="235" t="str">
        <f>INDEX(BrokerTBL!$D:$D,MATCH(D410,BrokerTBL!$A:$A,0))</f>
        <v>IL</v>
      </c>
      <c r="I410" s="235" t="str">
        <f>INDEX(BrokerTBL!$E:$E,MATCH(D410,BrokerTBL!$A:$A,0))</f>
        <v>US</v>
      </c>
      <c r="J410" s="235">
        <f>INDEX(BrokerTBL!$F:$F,MATCH(D410,BrokerTBL!$A:$A,0))</f>
        <v>60601</v>
      </c>
      <c r="K410" s="548" t="s">
        <v>2406</v>
      </c>
      <c r="L410" s="552" t="s">
        <v>1205</v>
      </c>
      <c r="M410" s="549">
        <v>42496</v>
      </c>
      <c r="N410" s="550" t="s">
        <v>2060</v>
      </c>
      <c r="O410" s="550" t="s">
        <v>2407</v>
      </c>
      <c r="P410" s="548" t="s">
        <v>2408</v>
      </c>
      <c r="Q410" s="548" t="s">
        <v>2233</v>
      </c>
      <c r="R410" s="548">
        <v>89706</v>
      </c>
      <c r="S410" s="548" t="s">
        <v>2207</v>
      </c>
      <c r="T410" s="548" t="s">
        <v>123</v>
      </c>
      <c r="U410" s="548" t="s">
        <v>120</v>
      </c>
      <c r="V410" s="548">
        <v>53</v>
      </c>
      <c r="W410" s="548" t="s">
        <v>2409</v>
      </c>
      <c r="X410" s="553">
        <v>45000</v>
      </c>
      <c r="Y410" s="550" t="s">
        <v>2220</v>
      </c>
      <c r="Z410" s="548" t="s">
        <v>123</v>
      </c>
      <c r="AA410" s="548">
        <v>50</v>
      </c>
      <c r="AB410" s="548" t="s">
        <v>123</v>
      </c>
      <c r="AC410" s="548" t="s">
        <v>2411</v>
      </c>
      <c r="AD410" s="552" t="s">
        <v>1205</v>
      </c>
      <c r="AE410" s="549">
        <v>42499</v>
      </c>
      <c r="AF410" s="549" t="s">
        <v>1316</v>
      </c>
      <c r="AG410" s="548" t="s">
        <v>2412</v>
      </c>
      <c r="AH410" s="548" t="s">
        <v>2168</v>
      </c>
      <c r="AI410" s="548" t="s">
        <v>2206</v>
      </c>
      <c r="AJ410" s="548">
        <v>93235</v>
      </c>
      <c r="AK410" s="548" t="s">
        <v>2207</v>
      </c>
      <c r="AL410" s="548" t="s">
        <v>123</v>
      </c>
      <c r="AM410" s="554" t="str">
        <f>INDEX(CarrierDriverTBL!$B:$B,MATCH(Table1[[#This Row],[DriverID]],CarrierDriverTBL!$A:$A,0))</f>
        <v>UBTrucking</v>
      </c>
      <c r="AN410" s="10" t="s">
        <v>192</v>
      </c>
      <c r="AO410" s="555" t="str">
        <f>INDEX(CarrierDriverTBL!$C:$C,MATCH(Table1[[#This Row],[DriverID]],CarrierDriverTBL!$A:$A,0))</f>
        <v>Albel</v>
      </c>
      <c r="AP410" s="555" t="str">
        <f>INDEX(CarrierDriverTBL!$D:$D,MATCH(Table1[[#This Row],[DriverID]],CarrierDriverTBL!$A:$A,0))</f>
        <v>Chahil</v>
      </c>
      <c r="AQ410" s="555" t="str">
        <f>INDEX(CarrierDriverTBL!$X:$X,MATCH(Table1[[#This Row],[DriverID]],CarrierDriverTBL!$A:$A,0))</f>
        <v>A8390649</v>
      </c>
      <c r="AR410" s="556">
        <f>INDEX(CarrierDriverTBL!$Y:$Y,MATCH(Table1[[#This Row],[DriverID]],CarrierDriverTBL!$A:$A,0))</f>
        <v>42402</v>
      </c>
      <c r="AS410" s="554" t="str">
        <f t="shared" si="170"/>
        <v>EXPIRED</v>
      </c>
      <c r="AT410" s="556">
        <f>INDEX(CarrierDriverTBL!$E:$E,MATCH(Table1[[#This Row],[DriverID]],CarrierDriverTBL!$A:$A,0))</f>
        <v>22314</v>
      </c>
      <c r="AU410" s="557">
        <f ca="1">INDEX(CarrierDriverTBL!$F:$F,MATCH(Table1[[#This Row],[DriverID]],CarrierDriverTBL!$A:$A,0))</f>
        <v>55.512328767123286</v>
      </c>
      <c r="AV410" s="554" t="str">
        <f>INDEX(CarrierDriverTBL!$K:$K,MATCH(Table1[[#This Row],[DriverID]],CarrierDriverTBL!$A:$A,0))</f>
        <v>510-773-9450</v>
      </c>
      <c r="AW410" s="554" t="str">
        <f>INDEX(CarrierDriverTBL!$M:$M,MATCH(Table1[[#This Row],[DriverID]],CarrierDriverTBL!$A:$A,0))</f>
        <v>3124 Cynthia CT</v>
      </c>
      <c r="AX410" s="554" t="str">
        <f>INDEX(CarrierDriverTBL!$N:$N,MATCH(Table1[[#This Row],[DriverID]],CarrierDriverTBL!$A:$A,0))</f>
        <v>Tracy</v>
      </c>
      <c r="AY410" s="554" t="str">
        <f>INDEX(CarrierDriverTBL!$O:$O,MATCH(Table1[[#This Row],[DriverID]],CarrierDriverTBL!$A:$A,0))</f>
        <v>CA</v>
      </c>
      <c r="AZ410" s="554">
        <f>INDEX(CarrierDriverTBL!$P:$P,MATCH(Table1[[#This Row],[DriverID]],CarrierDriverTBL!$A:$A,0))</f>
        <v>95377</v>
      </c>
      <c r="BA410" s="554" t="str">
        <f>INDEX(CarrierDriverTBL!$Q:$Q,MATCH(Table1[[#This Row],[DriverID]],CarrierDriverTBL!$A:$A,0))</f>
        <v>US</v>
      </c>
      <c r="BB410" s="554" t="str">
        <f>INDEX(CarrierDriverTBL!$R:$R,MATCH(Table1[[#This Row],[DriverID]],CarrierDriverTBL!$A:$A,0))</f>
        <v>ubgollc@gmail.com</v>
      </c>
      <c r="BC410" s="556">
        <f>INDEX(CarrierDriverTBL!$AB:$AB,MATCH(Table1[[#This Row],[DriverID]],CarrierDriverTBL!$A:$A,0))</f>
        <v>42167</v>
      </c>
      <c r="BD410" s="555" t="str">
        <f ca="1">INDEX(CarrierDriverTBL!$AD:$AD,MATCH(LoadMaster!$AN:$AN,CarrierDriverTBL!$A:$A,0))</f>
        <v>MISSING</v>
      </c>
      <c r="BE410" s="555">
        <f>INDEX(CarrierDriverTBL!$AE:$AE,MATCH(Table1[DriverID],CarrierDriverTBL!$A:$A,0))</f>
        <v>913971</v>
      </c>
      <c r="BF410" s="554">
        <f>INDEX(CarrierDriverTBL!$AF:$AF,MATCH(Table1[DriverID],CarrierDriverTBL!$A:$A,0))</f>
        <v>2627544</v>
      </c>
      <c r="BG410" s="236">
        <f>INDEX(CarrierDriverTBL!$AG:$AG,MATCH(Table1[DriverID],CarrierDriverTBL!$A:$A,0))</f>
        <v>466133</v>
      </c>
      <c r="BH410" s="554" t="str">
        <f>INDEX(CarrierDriverTBL!$AH:$AH,MATCH(Table1[DriverID],CarrierDriverTBL!$A:$A,0))</f>
        <v>GM Lawrence Ins</v>
      </c>
      <c r="BI410" s="554" t="str">
        <f>INDEX(CarrierDriverTBL!$AI:$AI,MATCH(Table1[DriverID],CarrierDriverTBL!$A:$A,0))</f>
        <v>DSK2842P160210</v>
      </c>
      <c r="BJ410" s="556">
        <f>INDEX(CarrierDriverTBL!$AJ:$AJ,MATCH(Table1[[#This Row],[DriverID]],CarrierDriverTBL!$A:$A,0))</f>
        <v>42778</v>
      </c>
      <c r="BK410" s="554">
        <f t="shared" si="171"/>
        <v>282</v>
      </c>
      <c r="BL410" s="558">
        <v>600</v>
      </c>
      <c r="BM410" s="554">
        <v>311.5</v>
      </c>
      <c r="BN410" s="558">
        <f t="shared" si="188"/>
        <v>1.926163723916533</v>
      </c>
      <c r="BO410" s="241">
        <f>1*600</f>
        <v>600</v>
      </c>
      <c r="BP410" s="558">
        <f t="shared" si="189"/>
        <v>1.926163723916533</v>
      </c>
      <c r="BQ410" s="558">
        <v>2.6</v>
      </c>
      <c r="BR410" s="559">
        <f t="shared" si="190"/>
        <v>0.1166666666666667</v>
      </c>
      <c r="BS410" s="558">
        <f t="shared" si="172"/>
        <v>1.8094970572498663</v>
      </c>
      <c r="BT410" s="558">
        <f t="shared" si="173"/>
        <v>36.341666666666676</v>
      </c>
      <c r="BU410" s="236" t="str">
        <f t="shared" si="174"/>
        <v>XPOLogistics</v>
      </c>
      <c r="BV410" s="554"/>
      <c r="BW410" s="236" t="str">
        <f>Table1[[#This Row],[BrokerAddress]]</f>
        <v xml:space="preserve">303 E Wacker Dr. </v>
      </c>
      <c r="BX410" s="236" t="str">
        <f t="shared" si="175"/>
        <v>Chicago</v>
      </c>
      <c r="BY410" s="269" t="str">
        <f t="shared" si="176"/>
        <v>IL</v>
      </c>
      <c r="BZ410" s="236">
        <f t="shared" si="177"/>
        <v>60601</v>
      </c>
      <c r="CA410" s="236" t="str">
        <f t="shared" si="178"/>
        <v>US</v>
      </c>
      <c r="CB410" s="15" t="s">
        <v>131</v>
      </c>
      <c r="CC410" s="561"/>
      <c r="CD410" s="15" t="s">
        <v>132</v>
      </c>
      <c r="CE410" s="64">
        <v>0</v>
      </c>
      <c r="CF410" s="4">
        <v>0</v>
      </c>
      <c r="CG410" s="132">
        <f t="shared" si="179"/>
        <v>0</v>
      </c>
      <c r="CH410" s="4" t="s">
        <v>132</v>
      </c>
      <c r="CI410" s="5">
        <v>0</v>
      </c>
      <c r="CJ410" s="4">
        <v>0</v>
      </c>
      <c r="CK410" s="132">
        <f t="shared" si="180"/>
        <v>0</v>
      </c>
      <c r="CL410" s="4" t="s">
        <v>132</v>
      </c>
      <c r="CM410" s="5">
        <v>0</v>
      </c>
      <c r="CN410" s="4">
        <v>0</v>
      </c>
      <c r="CO410" s="132">
        <f t="shared" si="181"/>
        <v>0</v>
      </c>
      <c r="CP410" s="4" t="s">
        <v>132</v>
      </c>
      <c r="CQ410" s="5">
        <v>0</v>
      </c>
      <c r="CR410" s="4">
        <v>0</v>
      </c>
      <c r="CS410" s="132">
        <f t="shared" si="182"/>
        <v>0</v>
      </c>
      <c r="CT410" s="132">
        <f t="shared" si="183"/>
        <v>0</v>
      </c>
      <c r="CU410" s="238">
        <f t="shared" si="184"/>
        <v>600</v>
      </c>
      <c r="CV410" s="239">
        <f t="shared" si="167"/>
        <v>0</v>
      </c>
      <c r="CW410" s="240">
        <f t="shared" si="168"/>
        <v>600</v>
      </c>
      <c r="CX410" s="79">
        <f>IF(ISBLANK(E410),"AddQuickPay",IF(E410=2,CU410*0.98,IF(E410=2.4,CU410*0.976,IF(E410=3,CU410*0.97,IF(E410=5,CU410*0.95,IF(E410=1.5,CU410*0.985,IF(E410=2.5,CU410*0.975,IF(E410=1.3,CU410*0.987,IF(E410=1,CU410*0.99,IF(E410=4,CU410*0.96,CU410*1))))))))))-Table1[[#This Row],[ComCheck+QuickPayFee]]</f>
        <v>582</v>
      </c>
      <c r="CY410" s="237">
        <f t="shared" si="185"/>
        <v>0</v>
      </c>
      <c r="CZ410" s="237">
        <f t="shared" si="186"/>
        <v>18</v>
      </c>
      <c r="DA410" s="263">
        <f>Table1[[#This Row],[OriginalDispatch]]-Table1[[#This Row],[QuickPayCharge]]</f>
        <v>-18</v>
      </c>
      <c r="DB410" s="5">
        <v>0</v>
      </c>
      <c r="DC410" s="237" t="s">
        <v>133</v>
      </c>
      <c r="DD410" s="549">
        <f t="shared" si="187"/>
        <v>42496</v>
      </c>
      <c r="DE410" s="554">
        <f>MONTH(Table1[[#This Row],[Weekending]])</f>
        <v>5</v>
      </c>
      <c r="DF410" s="554">
        <f>YEAR(Table1[[#This Row],[Weekending]])</f>
        <v>2016</v>
      </c>
      <c r="DG410" s="235"/>
    </row>
    <row r="411" spans="1:111">
      <c r="A411" s="548" t="str">
        <f t="shared" si="169"/>
        <v>7707wn93</v>
      </c>
      <c r="B411" s="549">
        <v>42496</v>
      </c>
      <c r="C411" s="550">
        <v>200642277</v>
      </c>
      <c r="D411" s="548" t="s">
        <v>111</v>
      </c>
      <c r="E411" s="550">
        <v>2</v>
      </c>
      <c r="F411" s="551" t="str">
        <f>INDEX(BrokerTBL!$B:$B,MATCH(D411,BrokerTBL!$A:$A,0))</f>
        <v>P.O. Box 3474</v>
      </c>
      <c r="G411" s="550" t="str">
        <f>INDEX(BrokerTBL!$C:$C,MATCH(D411,BrokerTBL!$A:$A,0))</f>
        <v>Chicago</v>
      </c>
      <c r="H411" s="235" t="str">
        <f>INDEX(BrokerTBL!$D:$D,MATCH(D411,BrokerTBL!$A:$A,0))</f>
        <v>Il</v>
      </c>
      <c r="I411" s="235" t="str">
        <f>INDEX(BrokerTBL!$E:$E,MATCH(D411,BrokerTBL!$A:$A,0))</f>
        <v>US</v>
      </c>
      <c r="J411" s="235">
        <f>INDEX(BrokerTBL!$F:$F,MATCH(D411,BrokerTBL!$A:$A,0))</f>
        <v>60654</v>
      </c>
      <c r="K411" s="548" t="s">
        <v>1510</v>
      </c>
      <c r="L411" s="552" t="s">
        <v>2724</v>
      </c>
      <c r="M411" s="549">
        <v>42496</v>
      </c>
      <c r="N411" s="550" t="s">
        <v>2188</v>
      </c>
      <c r="O411" s="550" t="s">
        <v>1511</v>
      </c>
      <c r="P411" s="548" t="s">
        <v>253</v>
      </c>
      <c r="Q411" s="548" t="s">
        <v>2206</v>
      </c>
      <c r="R411" s="548">
        <v>93639</v>
      </c>
      <c r="S411" s="548" t="s">
        <v>2207</v>
      </c>
      <c r="T411" s="548" t="s">
        <v>2725</v>
      </c>
      <c r="U411" s="548" t="s">
        <v>120</v>
      </c>
      <c r="V411" s="548">
        <v>53</v>
      </c>
      <c r="W411" s="548" t="s">
        <v>1512</v>
      </c>
      <c r="X411" s="553">
        <v>20000</v>
      </c>
      <c r="Y411" s="550" t="s">
        <v>2726</v>
      </c>
      <c r="Z411" s="548" t="s">
        <v>123</v>
      </c>
      <c r="AA411" s="548" t="s">
        <v>123</v>
      </c>
      <c r="AB411" s="548" t="s">
        <v>123</v>
      </c>
      <c r="AC411" s="548" t="s">
        <v>2727</v>
      </c>
      <c r="AD411" s="552" t="s">
        <v>1205</v>
      </c>
      <c r="AE411" s="549">
        <v>42499</v>
      </c>
      <c r="AF411" s="549" t="s">
        <v>123</v>
      </c>
      <c r="AG411" s="548" t="s">
        <v>1515</v>
      </c>
      <c r="AH411" s="548" t="s">
        <v>738</v>
      </c>
      <c r="AI411" s="548" t="s">
        <v>2233</v>
      </c>
      <c r="AJ411" s="548">
        <v>89506</v>
      </c>
      <c r="AK411" s="548" t="s">
        <v>2207</v>
      </c>
      <c r="AL411" s="548" t="s">
        <v>2728</v>
      </c>
      <c r="AM411" s="554" t="str">
        <f>INDEX(CarrierDriverTBL!$B:$B,MATCH(Table1[[#This Row],[DriverID]],CarrierDriverTBL!$A:$A,0))</f>
        <v>UBTrucking</v>
      </c>
      <c r="AN411" s="10" t="s">
        <v>2234</v>
      </c>
      <c r="AO411" s="555" t="str">
        <f>INDEX(CarrierDriverTBL!$C:$C,MATCH(Table1[[#This Row],[DriverID]],CarrierDriverTBL!$A:$A,0))</f>
        <v>Arturo</v>
      </c>
      <c r="AP411" s="555" t="str">
        <f>INDEX(CarrierDriverTBL!$D:$D,MATCH(Table1[[#This Row],[DriverID]],CarrierDriverTBL!$A:$A,0))</f>
        <v>Carrillo</v>
      </c>
      <c r="AQ411" s="555" t="str">
        <f>INDEX(CarrierDriverTBL!$X:$X,MATCH(Table1[[#This Row],[DriverID]],CarrierDriverTBL!$A:$A,0))</f>
        <v>C7056793</v>
      </c>
      <c r="AR411" s="556">
        <f>INDEX(CarrierDriverTBL!$Y:$Y,MATCH(Table1[[#This Row],[DriverID]],CarrierDriverTBL!$A:$A,0))</f>
        <v>43410</v>
      </c>
      <c r="AS411" s="554" t="str">
        <f t="shared" si="170"/>
        <v>GOOD</v>
      </c>
      <c r="AT411" s="556">
        <f>INDEX(CarrierDriverTBL!$E:$E,MATCH(Table1[[#This Row],[DriverID]],CarrierDriverTBL!$A:$A,0))</f>
        <v>24782</v>
      </c>
      <c r="AU411" s="557">
        <f ca="1">INDEX(CarrierDriverTBL!$F:$F,MATCH(Table1[[#This Row],[DriverID]],CarrierDriverTBL!$A:$A,0))</f>
        <v>48.750684931506846</v>
      </c>
      <c r="AV411" s="554" t="str">
        <f>INDEX(CarrierDriverTBL!$K:$K,MATCH(Table1[[#This Row],[DriverID]],CarrierDriverTBL!$A:$A,0))</f>
        <v>209-276-9785</v>
      </c>
      <c r="AW411" s="554" t="str">
        <f>INDEX(CarrierDriverTBL!$M:$M,MATCH(Table1[[#This Row],[DriverID]],CarrierDriverTBL!$A:$A,0))</f>
        <v>1685 Winthrop Ln</v>
      </c>
      <c r="AX411" s="554" t="str">
        <f>INDEX(CarrierDriverTBL!$N:$N,MATCH(Table1[[#This Row],[DriverID]],CarrierDriverTBL!$A:$A,0))</f>
        <v>Ceres</v>
      </c>
      <c r="AY411" s="554" t="str">
        <f>INDEX(CarrierDriverTBL!$O:$O,MATCH(Table1[[#This Row],[DriverID]],CarrierDriverTBL!$A:$A,0))</f>
        <v>CA</v>
      </c>
      <c r="AZ411" s="554">
        <f>INDEX(CarrierDriverTBL!$P:$P,MATCH(Table1[[#This Row],[DriverID]],CarrierDriverTBL!$A:$A,0))</f>
        <v>95307</v>
      </c>
      <c r="BA411" s="554" t="str">
        <f>INDEX(CarrierDriverTBL!$Q:$Q,MATCH(Table1[[#This Row],[DriverID]],CarrierDriverTBL!$A:$A,0))</f>
        <v>US</v>
      </c>
      <c r="BB411" s="554" t="str">
        <f>INDEX(CarrierDriverTBL!$R:$R,MATCH(Table1[[#This Row],[DriverID]],CarrierDriverTBL!$A:$A,0))</f>
        <v>arturocarr777@gmail.com</v>
      </c>
      <c r="BC411" s="556">
        <f>INDEX(CarrierDriverTBL!$AB:$AB,MATCH(Table1[[#This Row],[DriverID]],CarrierDriverTBL!$A:$A,0))</f>
        <v>42418</v>
      </c>
      <c r="BD411" s="555" t="str">
        <f ca="1">INDEX(CarrierDriverTBL!$AD:$AD,MATCH(LoadMaster!$AN:$AN,CarrierDriverTBL!$A:$A,0))</f>
        <v>MISSING</v>
      </c>
      <c r="BE411" s="555">
        <f>INDEX(CarrierDriverTBL!$AE:$AE,MATCH(Table1[DriverID],CarrierDriverTBL!$A:$A,0))</f>
        <v>913971</v>
      </c>
      <c r="BF411" s="554">
        <f>INDEX(CarrierDriverTBL!$AF:$AF,MATCH(Table1[DriverID],CarrierDriverTBL!$A:$A,0))</f>
        <v>2627544</v>
      </c>
      <c r="BG411" s="236">
        <f>INDEX(CarrierDriverTBL!$AG:$AG,MATCH(Table1[DriverID],CarrierDriverTBL!$A:$A,0))</f>
        <v>466133</v>
      </c>
      <c r="BH411" s="554" t="str">
        <f>INDEX(CarrierDriverTBL!$AH:$AH,MATCH(Table1[DriverID],CarrierDriverTBL!$A:$A,0))</f>
        <v>GM Lawrence Ins</v>
      </c>
      <c r="BI411" s="554" t="str">
        <f>INDEX(CarrierDriverTBL!$AI:$AI,MATCH(Table1[DriverID],CarrierDriverTBL!$A:$A,0))</f>
        <v>DSK2842P160210</v>
      </c>
      <c r="BJ411" s="556">
        <f>INDEX(CarrierDriverTBL!$AJ:$AJ,MATCH(Table1[[#This Row],[DriverID]],CarrierDriverTBL!$A:$A,0))</f>
        <v>42778</v>
      </c>
      <c r="BK411" s="554">
        <f t="shared" si="171"/>
        <v>282</v>
      </c>
      <c r="BL411" s="558">
        <v>550</v>
      </c>
      <c r="BM411" s="554">
        <v>275.60000000000002</v>
      </c>
      <c r="BN411" s="558">
        <f t="shared" si="188"/>
        <v>1.9956458635703918</v>
      </c>
      <c r="BO411" s="241">
        <f>0.93*550</f>
        <v>511.5</v>
      </c>
      <c r="BP411" s="558">
        <f t="shared" si="189"/>
        <v>1.8559506531204644</v>
      </c>
      <c r="BQ411" s="558">
        <v>2.6</v>
      </c>
      <c r="BR411" s="559">
        <f t="shared" si="190"/>
        <v>0.1166666666666667</v>
      </c>
      <c r="BS411" s="558">
        <f t="shared" si="172"/>
        <v>1.7392839864537977</v>
      </c>
      <c r="BT411" s="558">
        <f t="shared" si="173"/>
        <v>32.153333333333343</v>
      </c>
      <c r="BU411" s="236" t="str">
        <f t="shared" si="174"/>
        <v>Ch Robinson</v>
      </c>
      <c r="BV411" s="554"/>
      <c r="BW411" s="236" t="str">
        <f>Table1[[#This Row],[BrokerAddress]]</f>
        <v>P.O. Box 3474</v>
      </c>
      <c r="BX411" s="236" t="str">
        <f t="shared" si="175"/>
        <v>Chicago</v>
      </c>
      <c r="BY411" s="269" t="str">
        <f t="shared" si="176"/>
        <v>Il</v>
      </c>
      <c r="BZ411" s="236">
        <f t="shared" si="177"/>
        <v>60654</v>
      </c>
      <c r="CA411" s="236" t="str">
        <f t="shared" si="178"/>
        <v>US</v>
      </c>
      <c r="CB411" s="15" t="s">
        <v>131</v>
      </c>
      <c r="CC411" s="561"/>
      <c r="CD411" s="15" t="s">
        <v>132</v>
      </c>
      <c r="CE411" s="64">
        <v>0</v>
      </c>
      <c r="CF411" s="4">
        <v>0</v>
      </c>
      <c r="CG411" s="132">
        <f t="shared" si="179"/>
        <v>0</v>
      </c>
      <c r="CH411" s="4" t="s">
        <v>132</v>
      </c>
      <c r="CI411" s="5">
        <v>0</v>
      </c>
      <c r="CJ411" s="4">
        <v>0</v>
      </c>
      <c r="CK411" s="132">
        <f t="shared" si="180"/>
        <v>0</v>
      </c>
      <c r="CL411" s="4" t="s">
        <v>132</v>
      </c>
      <c r="CM411" s="5">
        <v>0</v>
      </c>
      <c r="CN411" s="4">
        <v>0</v>
      </c>
      <c r="CO411" s="132">
        <f t="shared" si="181"/>
        <v>0</v>
      </c>
      <c r="CP411" s="4" t="s">
        <v>132</v>
      </c>
      <c r="CQ411" s="5">
        <v>0</v>
      </c>
      <c r="CR411" s="4">
        <v>0</v>
      </c>
      <c r="CS411" s="132">
        <f t="shared" si="182"/>
        <v>0</v>
      </c>
      <c r="CT411" s="132">
        <f t="shared" si="183"/>
        <v>0</v>
      </c>
      <c r="CU411" s="238">
        <f t="shared" si="184"/>
        <v>550</v>
      </c>
      <c r="CV411" s="239">
        <f t="shared" si="167"/>
        <v>0</v>
      </c>
      <c r="CW411" s="240">
        <f t="shared" si="168"/>
        <v>511.5</v>
      </c>
      <c r="CX411" s="79">
        <f>IF(ISBLANK(E411),"AddQuickPay",IF(E411=2,CU411*0.98,IF(E411=2.4,CU411*0.976,IF(E411=3,CU411*0.97,IF(E411=5,CU411*0.95,IF(E411=1.5,CU411*0.985,IF(E411=2.5,CU411*0.975,IF(E411=1.3,CU411*0.987,IF(E411=1,CU411*0.99,IF(E411=4,CU411*0.96,CU411*1))))))))))-Table1[[#This Row],[ComCheck+QuickPayFee]]</f>
        <v>539</v>
      </c>
      <c r="CY411" s="237">
        <f t="shared" si="185"/>
        <v>38.5</v>
      </c>
      <c r="CZ411" s="237">
        <f t="shared" si="186"/>
        <v>11</v>
      </c>
      <c r="DA411" s="263">
        <f>Table1[[#This Row],[OriginalDispatch]]-Table1[[#This Row],[QuickPayCharge]]</f>
        <v>27.5</v>
      </c>
      <c r="DB411" s="5">
        <v>0</v>
      </c>
      <c r="DC411" s="237" t="s">
        <v>133</v>
      </c>
      <c r="DD411" s="549">
        <f t="shared" si="187"/>
        <v>42496</v>
      </c>
      <c r="DE411" s="554">
        <f>MONTH(Table1[[#This Row],[Weekending]])</f>
        <v>5</v>
      </c>
      <c r="DF411" s="554">
        <f>YEAR(Table1[[#This Row],[Weekending]])</f>
        <v>2016</v>
      </c>
      <c r="DG411" s="235"/>
    </row>
    <row r="412" spans="1:111">
      <c r="A412" s="548" t="str">
        <f t="shared" si="169"/>
        <v>98Xwn19</v>
      </c>
      <c r="B412" s="549">
        <v>42496</v>
      </c>
      <c r="C412" s="550">
        <v>200666198</v>
      </c>
      <c r="D412" s="548" t="s">
        <v>111</v>
      </c>
      <c r="E412" s="550">
        <v>2</v>
      </c>
      <c r="F412" s="551" t="str">
        <f>INDEX(BrokerTBL!$B:$B,MATCH(D412,BrokerTBL!$A:$A,0))</f>
        <v>P.O. Box 3474</v>
      </c>
      <c r="G412" s="550" t="str">
        <f>INDEX(BrokerTBL!$C:$C,MATCH(D412,BrokerTBL!$A:$A,0))</f>
        <v>Chicago</v>
      </c>
      <c r="H412" s="235" t="str">
        <f>INDEX(BrokerTBL!$D:$D,MATCH(D412,BrokerTBL!$A:$A,0))</f>
        <v>Il</v>
      </c>
      <c r="I412" s="235" t="str">
        <f>INDEX(BrokerTBL!$E:$E,MATCH(D412,BrokerTBL!$A:$A,0))</f>
        <v>US</v>
      </c>
      <c r="J412" s="235">
        <f>INDEX(BrokerTBL!$F:$F,MATCH(D412,BrokerTBL!$A:$A,0))</f>
        <v>60654</v>
      </c>
      <c r="K412" s="548" t="s">
        <v>2729</v>
      </c>
      <c r="L412" s="552" t="s">
        <v>2730</v>
      </c>
      <c r="M412" s="549">
        <v>42496</v>
      </c>
      <c r="N412" s="550" t="s">
        <v>1055</v>
      </c>
      <c r="O412" s="550" t="s">
        <v>2731</v>
      </c>
      <c r="P412" s="548" t="s">
        <v>214</v>
      </c>
      <c r="Q412" s="548" t="s">
        <v>2206</v>
      </c>
      <c r="R412" s="548">
        <v>93726</v>
      </c>
      <c r="S412" s="548" t="s">
        <v>2207</v>
      </c>
      <c r="T412" s="548" t="s">
        <v>123</v>
      </c>
      <c r="U412" s="548" t="s">
        <v>120</v>
      </c>
      <c r="V412" s="548">
        <v>53</v>
      </c>
      <c r="W412" s="548" t="s">
        <v>2730</v>
      </c>
      <c r="X412" s="553">
        <v>37000</v>
      </c>
      <c r="Y412" s="550" t="s">
        <v>2732</v>
      </c>
      <c r="Z412" s="548" t="s">
        <v>123</v>
      </c>
      <c r="AA412" s="548" t="s">
        <v>123</v>
      </c>
      <c r="AB412" s="548" t="s">
        <v>123</v>
      </c>
      <c r="AC412" s="548" t="s">
        <v>2733</v>
      </c>
      <c r="AD412" s="552" t="s">
        <v>1205</v>
      </c>
      <c r="AE412" s="549">
        <v>42499</v>
      </c>
      <c r="AF412" s="549" t="s">
        <v>1055</v>
      </c>
      <c r="AG412" s="548" t="s">
        <v>2734</v>
      </c>
      <c r="AH412" s="548" t="s">
        <v>2735</v>
      </c>
      <c r="AI412" s="548" t="s">
        <v>2206</v>
      </c>
      <c r="AJ412" s="548" t="s">
        <v>2736</v>
      </c>
      <c r="AK412" s="548" t="s">
        <v>2207</v>
      </c>
      <c r="AL412" s="548" t="s">
        <v>123</v>
      </c>
      <c r="AM412" s="554" t="str">
        <f>INDEX(CarrierDriverTBL!$B:$B,MATCH(Table1[[#This Row],[DriverID]],CarrierDriverTBL!$A:$A,0))</f>
        <v>UBTrucking</v>
      </c>
      <c r="AN412" s="10" t="s">
        <v>1409</v>
      </c>
      <c r="AO412" s="555" t="str">
        <f>INDEX(CarrierDriverTBL!$C:$C,MATCH(Table1[[#This Row],[DriverID]],CarrierDriverTBL!$A:$A,0))</f>
        <v>Miguel Jaime</v>
      </c>
      <c r="AP412" s="555" t="str">
        <f>INDEX(CarrierDriverTBL!$D:$D,MATCH(Table1[[#This Row],[DriverID]],CarrierDriverTBL!$A:$A,0))</f>
        <v>Martin Del Campo Velarca</v>
      </c>
      <c r="AQ412" s="555" t="str">
        <f>INDEX(CarrierDriverTBL!$X:$X,MATCH(Table1[[#This Row],[DriverID]],CarrierDriverTBL!$A:$A,0))</f>
        <v>D5179619</v>
      </c>
      <c r="AR412" s="556">
        <f>INDEX(CarrierDriverTBL!$Y:$Y,MATCH(Table1[[#This Row],[DriverID]],CarrierDriverTBL!$A:$A,0))</f>
        <v>43843</v>
      </c>
      <c r="AS412" s="554" t="str">
        <f t="shared" si="170"/>
        <v>GOOD</v>
      </c>
      <c r="AT412" s="556">
        <f>INDEX(CarrierDriverTBL!$E:$E,MATCH(Table1[[#This Row],[DriverID]],CarrierDriverTBL!$A:$A,0))</f>
        <v>21198</v>
      </c>
      <c r="AU412" s="557">
        <f ca="1">INDEX(CarrierDriverTBL!$F:$F,MATCH(Table1[[#This Row],[DriverID]],CarrierDriverTBL!$A:$A,0))</f>
        <v>58.56986301369863</v>
      </c>
      <c r="AV412" s="554" t="str">
        <f>INDEX(CarrierDriverTBL!$K:$K,MATCH(Table1[[#This Row],[DriverID]],CarrierDriverTBL!$A:$A,0))</f>
        <v>209-322-5231</v>
      </c>
      <c r="AW412" s="554" t="str">
        <f>INDEX(CarrierDriverTBL!$M:$M,MATCH(Table1[[#This Row],[DriverID]],CarrierDriverTBL!$A:$A,0))</f>
        <v>572 Predersen RD</v>
      </c>
      <c r="AX412" s="554" t="str">
        <f>INDEX(CarrierDriverTBL!$N:$N,MATCH(Table1[[#This Row],[DriverID]],CarrierDriverTBL!$A:$A,0))</f>
        <v>Oakdale</v>
      </c>
      <c r="AY412" s="554" t="str">
        <f>INDEX(CarrierDriverTBL!$O:$O,MATCH(Table1[[#This Row],[DriverID]],CarrierDriverTBL!$A:$A,0))</f>
        <v>CA</v>
      </c>
      <c r="AZ412" s="554">
        <f>INDEX(CarrierDriverTBL!$P:$P,MATCH(Table1[[#This Row],[DriverID]],CarrierDriverTBL!$A:$A,0))</f>
        <v>95361</v>
      </c>
      <c r="BA412" s="554" t="str">
        <f>INDEX(CarrierDriverTBL!$Q:$Q,MATCH(Table1[[#This Row],[DriverID]],CarrierDriverTBL!$A:$A,0))</f>
        <v>US</v>
      </c>
      <c r="BB412" s="554" t="str">
        <f>INDEX(CarrierDriverTBL!$R:$R,MATCH(Table1[[#This Row],[DriverID]],CarrierDriverTBL!$A:$A,0))</f>
        <v>Miguelmartin52@yahoo.com</v>
      </c>
      <c r="BC412" s="556">
        <f>INDEX(CarrierDriverTBL!$AB:$AB,MATCH(Table1[[#This Row],[DriverID]],CarrierDriverTBL!$A:$A,0))</f>
        <v>42334</v>
      </c>
      <c r="BD412" s="555" t="str">
        <f ca="1">INDEX(CarrierDriverTBL!$AD:$AD,MATCH(LoadMaster!$AN:$AN,CarrierDriverTBL!$A:$A,0))</f>
        <v>MISSING</v>
      </c>
      <c r="BE412" s="555">
        <f>INDEX(CarrierDriverTBL!$AE:$AE,MATCH(Table1[DriverID],CarrierDriverTBL!$A:$A,0))</f>
        <v>913971</v>
      </c>
      <c r="BF412" s="554">
        <f>INDEX(CarrierDriverTBL!$AF:$AF,MATCH(Table1[DriverID],CarrierDriverTBL!$A:$A,0))</f>
        <v>2627544</v>
      </c>
      <c r="BG412" s="236">
        <f>INDEX(CarrierDriverTBL!$AG:$AG,MATCH(Table1[DriverID],CarrierDriverTBL!$A:$A,0))</f>
        <v>466133</v>
      </c>
      <c r="BH412" s="554" t="str">
        <f>INDEX(CarrierDriverTBL!$AH:$AH,MATCH(Table1[DriverID],CarrierDriverTBL!$A:$A,0))</f>
        <v>GM Lawrence Ins</v>
      </c>
      <c r="BI412" s="554" t="str">
        <f>INDEX(CarrierDriverTBL!$AI:$AI,MATCH(Table1[DriverID],CarrierDriverTBL!$A:$A,0))</f>
        <v>DSK2842P160210</v>
      </c>
      <c r="BJ412" s="556">
        <f>INDEX(CarrierDriverTBL!$AJ:$AJ,MATCH(Table1[[#This Row],[DriverID]],CarrierDriverTBL!$A:$A,0))</f>
        <v>42778</v>
      </c>
      <c r="BK412" s="554">
        <f t="shared" si="171"/>
        <v>282</v>
      </c>
      <c r="BL412" s="558">
        <v>400</v>
      </c>
      <c r="BM412" s="554">
        <v>155.80000000000001</v>
      </c>
      <c r="BN412" s="558">
        <f t="shared" si="188"/>
        <v>2.5673940949935812</v>
      </c>
      <c r="BO412" s="241">
        <f>1*400</f>
        <v>400</v>
      </c>
      <c r="BP412" s="558">
        <f t="shared" si="189"/>
        <v>2.5673940949935812</v>
      </c>
      <c r="BQ412" s="558">
        <v>2.6</v>
      </c>
      <c r="BR412" s="559">
        <f t="shared" si="190"/>
        <v>0.1166666666666667</v>
      </c>
      <c r="BS412" s="558">
        <f t="shared" si="172"/>
        <v>2.4507274283269145</v>
      </c>
      <c r="BT412" s="558">
        <f t="shared" si="173"/>
        <v>18.176666666666673</v>
      </c>
      <c r="BU412" s="236" t="str">
        <f t="shared" si="174"/>
        <v>Ch Robinson</v>
      </c>
      <c r="BV412" s="554"/>
      <c r="BW412" s="236" t="str">
        <f>Table1[[#This Row],[BrokerAddress]]</f>
        <v>P.O. Box 3474</v>
      </c>
      <c r="BX412" s="236" t="str">
        <f t="shared" si="175"/>
        <v>Chicago</v>
      </c>
      <c r="BY412" s="269" t="str">
        <f t="shared" si="176"/>
        <v>Il</v>
      </c>
      <c r="BZ412" s="236">
        <f t="shared" si="177"/>
        <v>60654</v>
      </c>
      <c r="CA412" s="236" t="str">
        <f t="shared" si="178"/>
        <v>US</v>
      </c>
      <c r="CB412" s="15" t="s">
        <v>131</v>
      </c>
      <c r="CC412" s="561"/>
      <c r="CD412" s="15" t="s">
        <v>132</v>
      </c>
      <c r="CE412" s="64">
        <v>0</v>
      </c>
      <c r="CF412" s="4">
        <v>0</v>
      </c>
      <c r="CG412" s="132">
        <f t="shared" si="179"/>
        <v>0</v>
      </c>
      <c r="CH412" s="4" t="s">
        <v>132</v>
      </c>
      <c r="CI412" s="5">
        <v>0</v>
      </c>
      <c r="CJ412" s="4">
        <v>0</v>
      </c>
      <c r="CK412" s="132">
        <f t="shared" si="180"/>
        <v>0</v>
      </c>
      <c r="CL412" s="4" t="s">
        <v>132</v>
      </c>
      <c r="CM412" s="5">
        <v>0</v>
      </c>
      <c r="CN412" s="4">
        <v>0</v>
      </c>
      <c r="CO412" s="132">
        <f t="shared" si="181"/>
        <v>0</v>
      </c>
      <c r="CP412" s="4" t="s">
        <v>132</v>
      </c>
      <c r="CQ412" s="5">
        <v>0</v>
      </c>
      <c r="CR412" s="4">
        <v>0</v>
      </c>
      <c r="CS412" s="132">
        <f t="shared" si="182"/>
        <v>0</v>
      </c>
      <c r="CT412" s="132">
        <f t="shared" si="183"/>
        <v>0</v>
      </c>
      <c r="CU412" s="238">
        <f t="shared" si="184"/>
        <v>400</v>
      </c>
      <c r="CV412" s="239">
        <f t="shared" si="167"/>
        <v>0</v>
      </c>
      <c r="CW412" s="240">
        <f t="shared" si="168"/>
        <v>400</v>
      </c>
      <c r="CX412" s="79">
        <f>IF(ISBLANK(E412),"AddQuickPay",IF(E412=2,CU412*0.98,IF(E412=2.4,CU412*0.976,IF(E412=3,CU412*0.97,IF(E412=5,CU412*0.95,IF(E412=1.5,CU412*0.985,IF(E412=2.5,CU412*0.975,IF(E412=1.3,CU412*0.987,IF(E412=1,CU412*0.99,IF(E412=4,CU412*0.96,CU412*1))))))))))-Table1[[#This Row],[ComCheck+QuickPayFee]]</f>
        <v>392</v>
      </c>
      <c r="CY412" s="237">
        <f t="shared" si="185"/>
        <v>0</v>
      </c>
      <c r="CZ412" s="237">
        <f t="shared" si="186"/>
        <v>8</v>
      </c>
      <c r="DA412" s="263">
        <f>Table1[[#This Row],[OriginalDispatch]]-Table1[[#This Row],[QuickPayCharge]]</f>
        <v>-8</v>
      </c>
      <c r="DB412" s="5">
        <v>0</v>
      </c>
      <c r="DC412" s="237" t="s">
        <v>133</v>
      </c>
      <c r="DD412" s="549">
        <f t="shared" si="187"/>
        <v>42496</v>
      </c>
      <c r="DE412" s="554">
        <f>MONTH(Table1[[#This Row],[Weekending]])</f>
        <v>5</v>
      </c>
      <c r="DF412" s="554">
        <f>YEAR(Table1[[#This Row],[Weekending]])</f>
        <v>2016</v>
      </c>
      <c r="DG412" s="235"/>
    </row>
    <row r="413" spans="1:111">
      <c r="A413" s="548" t="str">
        <f t="shared" si="169"/>
        <v>64474719</v>
      </c>
      <c r="B413" s="549">
        <v>42500</v>
      </c>
      <c r="C413" s="550">
        <v>7356964</v>
      </c>
      <c r="D413" s="548" t="s">
        <v>445</v>
      </c>
      <c r="E413" s="550">
        <v>3</v>
      </c>
      <c r="F413" s="551" t="str">
        <f>INDEX(BrokerTBL!$B:$B,MATCH(D413,BrokerTBL!$A:$A,0))</f>
        <v>960 Northpoint Parkway Suite 150</v>
      </c>
      <c r="G413" s="550" t="str">
        <f>INDEX(BrokerTBL!$C:$C,MATCH(D413,BrokerTBL!$A:$A,0))</f>
        <v>Alpharetta</v>
      </c>
      <c r="H413" s="235" t="str">
        <f>INDEX(BrokerTBL!$D:$D,MATCH(D413,BrokerTBL!$A:$A,0))</f>
        <v>Ga</v>
      </c>
      <c r="I413" s="235" t="str">
        <f>INDEX(BrokerTBL!$E:$E,MATCH(D413,BrokerTBL!$A:$A,0))</f>
        <v>US</v>
      </c>
      <c r="J413" s="235">
        <f>INDEX(BrokerTBL!$F:$F,MATCH(D413,BrokerTBL!$A:$A,0))</f>
        <v>30005</v>
      </c>
      <c r="K413" s="548" t="s">
        <v>2737</v>
      </c>
      <c r="L413" s="552" t="s">
        <v>2738</v>
      </c>
      <c r="M413" s="549">
        <v>42499</v>
      </c>
      <c r="N413" s="550" t="s">
        <v>1723</v>
      </c>
      <c r="O413" s="550" t="s">
        <v>2739</v>
      </c>
      <c r="P413" s="548" t="s">
        <v>138</v>
      </c>
      <c r="Q413" s="548" t="s">
        <v>2206</v>
      </c>
      <c r="R413" s="548">
        <v>93230</v>
      </c>
      <c r="S413" s="548" t="s">
        <v>2207</v>
      </c>
      <c r="T413" s="548" t="s">
        <v>123</v>
      </c>
      <c r="U413" s="548" t="s">
        <v>120</v>
      </c>
      <c r="V413" s="548">
        <v>53</v>
      </c>
      <c r="W413" s="548" t="s">
        <v>2740</v>
      </c>
      <c r="X413" s="553">
        <v>2040</v>
      </c>
      <c r="Y413" s="550" t="s">
        <v>2741</v>
      </c>
      <c r="Z413" s="548">
        <v>3000</v>
      </c>
      <c r="AA413" s="548" t="s">
        <v>123</v>
      </c>
      <c r="AB413" s="548" t="s">
        <v>123</v>
      </c>
      <c r="AC413" s="548" t="s">
        <v>2742</v>
      </c>
      <c r="AD413" s="552" t="s">
        <v>2738</v>
      </c>
      <c r="AE413" s="549">
        <v>42500</v>
      </c>
      <c r="AF413" s="560">
        <v>0.33333333333333331</v>
      </c>
      <c r="AG413" s="548" t="s">
        <v>2743</v>
      </c>
      <c r="AH413" s="548" t="s">
        <v>401</v>
      </c>
      <c r="AI413" s="548" t="s">
        <v>2206</v>
      </c>
      <c r="AJ413" s="548">
        <v>96003</v>
      </c>
      <c r="AK413" s="548" t="s">
        <v>2207</v>
      </c>
      <c r="AL413" s="548" t="s">
        <v>123</v>
      </c>
      <c r="AM413" s="554" t="str">
        <f>INDEX(CarrierDriverTBL!$B:$B,MATCH(Table1[[#This Row],[DriverID]],CarrierDriverTBL!$A:$A,0))</f>
        <v>UBTrucking</v>
      </c>
      <c r="AN413" s="10" t="s">
        <v>1409</v>
      </c>
      <c r="AO413" s="555" t="str">
        <f>INDEX(CarrierDriverTBL!$C:$C,MATCH(Table1[[#This Row],[DriverID]],CarrierDriverTBL!$A:$A,0))</f>
        <v>Miguel Jaime</v>
      </c>
      <c r="AP413" s="555" t="str">
        <f>INDEX(CarrierDriverTBL!$D:$D,MATCH(Table1[[#This Row],[DriverID]],CarrierDriverTBL!$A:$A,0))</f>
        <v>Martin Del Campo Velarca</v>
      </c>
      <c r="AQ413" s="555" t="str">
        <f>INDEX(CarrierDriverTBL!$X:$X,MATCH(Table1[[#This Row],[DriverID]],CarrierDriverTBL!$A:$A,0))</f>
        <v>D5179619</v>
      </c>
      <c r="AR413" s="556">
        <f>INDEX(CarrierDriverTBL!$Y:$Y,MATCH(Table1[[#This Row],[DriverID]],CarrierDriverTBL!$A:$A,0))</f>
        <v>43843</v>
      </c>
      <c r="AS413" s="554" t="str">
        <f t="shared" si="170"/>
        <v>GOOD</v>
      </c>
      <c r="AT413" s="556">
        <f>INDEX(CarrierDriverTBL!$E:$E,MATCH(Table1[[#This Row],[DriverID]],CarrierDriverTBL!$A:$A,0))</f>
        <v>21198</v>
      </c>
      <c r="AU413" s="557">
        <f ca="1">INDEX(CarrierDriverTBL!$F:$F,MATCH(Table1[[#This Row],[DriverID]],CarrierDriverTBL!$A:$A,0))</f>
        <v>58.56986301369863</v>
      </c>
      <c r="AV413" s="554" t="str">
        <f>INDEX(CarrierDriverTBL!$K:$K,MATCH(Table1[[#This Row],[DriverID]],CarrierDriverTBL!$A:$A,0))</f>
        <v>209-322-5231</v>
      </c>
      <c r="AW413" s="554" t="str">
        <f>INDEX(CarrierDriverTBL!$M:$M,MATCH(Table1[[#This Row],[DriverID]],CarrierDriverTBL!$A:$A,0))</f>
        <v>572 Predersen RD</v>
      </c>
      <c r="AX413" s="554" t="str">
        <f>INDEX(CarrierDriverTBL!$N:$N,MATCH(Table1[[#This Row],[DriverID]],CarrierDriverTBL!$A:$A,0))</f>
        <v>Oakdale</v>
      </c>
      <c r="AY413" s="554" t="str">
        <f>INDEX(CarrierDriverTBL!$O:$O,MATCH(Table1[[#This Row],[DriverID]],CarrierDriverTBL!$A:$A,0))</f>
        <v>CA</v>
      </c>
      <c r="AZ413" s="554">
        <f>INDEX(CarrierDriverTBL!$P:$P,MATCH(Table1[[#This Row],[DriverID]],CarrierDriverTBL!$A:$A,0))</f>
        <v>95361</v>
      </c>
      <c r="BA413" s="554" t="str">
        <f>INDEX(CarrierDriverTBL!$Q:$Q,MATCH(Table1[[#This Row],[DriverID]],CarrierDriverTBL!$A:$A,0))</f>
        <v>US</v>
      </c>
      <c r="BB413" s="554" t="str">
        <f>INDEX(CarrierDriverTBL!$R:$R,MATCH(Table1[[#This Row],[DriverID]],CarrierDriverTBL!$A:$A,0))</f>
        <v>Miguelmartin52@yahoo.com</v>
      </c>
      <c r="BC413" s="556">
        <f>INDEX(CarrierDriverTBL!$AB:$AB,MATCH(Table1[[#This Row],[DriverID]],CarrierDriverTBL!$A:$A,0))</f>
        <v>42334</v>
      </c>
      <c r="BD413" s="555" t="str">
        <f ca="1">INDEX(CarrierDriverTBL!$AD:$AD,MATCH(LoadMaster!$AN:$AN,CarrierDriverTBL!$A:$A,0))</f>
        <v>MISSING</v>
      </c>
      <c r="BE413" s="555">
        <f>INDEX(CarrierDriverTBL!$AE:$AE,MATCH(Table1[DriverID],CarrierDriverTBL!$A:$A,0))</f>
        <v>913971</v>
      </c>
      <c r="BF413" s="554">
        <f>INDEX(CarrierDriverTBL!$AF:$AF,MATCH(Table1[DriverID],CarrierDriverTBL!$A:$A,0))</f>
        <v>2627544</v>
      </c>
      <c r="BG413" s="236">
        <f>INDEX(CarrierDriverTBL!$AG:$AG,MATCH(Table1[DriverID],CarrierDriverTBL!$A:$A,0))</f>
        <v>466133</v>
      </c>
      <c r="BH413" s="554" t="str">
        <f>INDEX(CarrierDriverTBL!$AH:$AH,MATCH(Table1[DriverID],CarrierDriverTBL!$A:$A,0))</f>
        <v>GM Lawrence Ins</v>
      </c>
      <c r="BI413" s="554" t="str">
        <f>INDEX(CarrierDriverTBL!$AI:$AI,MATCH(Table1[DriverID],CarrierDriverTBL!$A:$A,0))</f>
        <v>DSK2842P160210</v>
      </c>
      <c r="BJ413" s="556">
        <f>INDEX(CarrierDriverTBL!$AJ:$AJ,MATCH(Table1[[#This Row],[DriverID]],CarrierDriverTBL!$A:$A,0))</f>
        <v>42778</v>
      </c>
      <c r="BK413" s="554">
        <f t="shared" si="171"/>
        <v>279</v>
      </c>
      <c r="BL413" s="558">
        <v>750</v>
      </c>
      <c r="BM413" s="554">
        <v>362.8</v>
      </c>
      <c r="BN413" s="558">
        <f t="shared" si="188"/>
        <v>2.0672546857772875</v>
      </c>
      <c r="BO413" s="241">
        <f>0.93*750</f>
        <v>697.5</v>
      </c>
      <c r="BP413" s="558">
        <f t="shared" si="189"/>
        <v>1.9225468577728775</v>
      </c>
      <c r="BQ413" s="558">
        <v>2.6</v>
      </c>
      <c r="BR413" s="559">
        <f t="shared" si="190"/>
        <v>0.1166666666666667</v>
      </c>
      <c r="BS413" s="558">
        <f t="shared" si="172"/>
        <v>1.8058801911062108</v>
      </c>
      <c r="BT413" s="558">
        <f t="shared" si="173"/>
        <v>42.326666666666682</v>
      </c>
      <c r="BU413" s="236" t="str">
        <f t="shared" si="174"/>
        <v>Coyote</v>
      </c>
      <c r="BV413" s="554"/>
      <c r="BW413" s="236" t="str">
        <f>Table1[[#This Row],[BrokerAddress]]</f>
        <v>960 Northpoint Parkway Suite 150</v>
      </c>
      <c r="BX413" s="236" t="str">
        <f t="shared" si="175"/>
        <v>Alpharetta</v>
      </c>
      <c r="BY413" s="269" t="str">
        <f t="shared" si="176"/>
        <v>Ga</v>
      </c>
      <c r="BZ413" s="236">
        <f t="shared" si="177"/>
        <v>30005</v>
      </c>
      <c r="CA413" s="236" t="str">
        <f t="shared" si="178"/>
        <v>US</v>
      </c>
      <c r="CB413" s="15" t="s">
        <v>131</v>
      </c>
      <c r="CC413" s="62"/>
      <c r="CD413" s="15" t="s">
        <v>132</v>
      </c>
      <c r="CE413" s="64">
        <v>0</v>
      </c>
      <c r="CF413" s="4">
        <v>0</v>
      </c>
      <c r="CG413" s="132">
        <f t="shared" si="179"/>
        <v>0</v>
      </c>
      <c r="CH413" s="4" t="s">
        <v>132</v>
      </c>
      <c r="CI413" s="5">
        <v>0</v>
      </c>
      <c r="CJ413" s="4">
        <v>0</v>
      </c>
      <c r="CK413" s="132">
        <f t="shared" si="180"/>
        <v>0</v>
      </c>
      <c r="CL413" s="4" t="s">
        <v>132</v>
      </c>
      <c r="CM413" s="5">
        <v>0</v>
      </c>
      <c r="CN413" s="4">
        <v>0</v>
      </c>
      <c r="CO413" s="132">
        <f t="shared" si="181"/>
        <v>0</v>
      </c>
      <c r="CP413" s="4" t="s">
        <v>132</v>
      </c>
      <c r="CQ413" s="5">
        <v>0</v>
      </c>
      <c r="CR413" s="4">
        <v>0</v>
      </c>
      <c r="CS413" s="132">
        <f t="shared" si="182"/>
        <v>0</v>
      </c>
      <c r="CT413" s="132">
        <f t="shared" si="183"/>
        <v>0</v>
      </c>
      <c r="CU413" s="238">
        <f t="shared" si="184"/>
        <v>750</v>
      </c>
      <c r="CV413" s="239">
        <f t="shared" si="167"/>
        <v>0</v>
      </c>
      <c r="CW413" s="240">
        <f t="shared" si="168"/>
        <v>697.5</v>
      </c>
      <c r="CX413" s="79">
        <f>IF(ISBLANK(E413),"AddQuickPay",IF(E413=2,CU413*0.98,IF(E413=2.4,CU413*0.976,IF(E413=3,CU413*0.97,IF(E413=5,CU413*0.95,IF(E413=1.5,CU413*0.985,IF(E413=2.5,CU413*0.975,IF(E413=1.3,CU413*0.987,IF(E413=1,CU413*0.99,IF(E413=4,CU413*0.96,CU413*1))))))))))-Table1[[#This Row],[ComCheck+QuickPayFee]]</f>
        <v>727.5</v>
      </c>
      <c r="CY413" s="237">
        <f t="shared" si="185"/>
        <v>52.5</v>
      </c>
      <c r="CZ413" s="237">
        <f t="shared" si="186"/>
        <v>22.5</v>
      </c>
      <c r="DA413" s="263">
        <f>Table1[[#This Row],[OriginalDispatch]]-Table1[[#This Row],[QuickPayCharge]]</f>
        <v>30</v>
      </c>
      <c r="DB413" s="5">
        <v>0</v>
      </c>
      <c r="DC413" s="237" t="s">
        <v>133</v>
      </c>
      <c r="DD413" s="549">
        <f t="shared" si="187"/>
        <v>42503</v>
      </c>
      <c r="DE413" s="554">
        <f>MONTH(Table1[[#This Row],[Weekending]])</f>
        <v>5</v>
      </c>
      <c r="DF413" s="554">
        <f>YEAR(Table1[[#This Row],[Weekending]])</f>
        <v>2016</v>
      </c>
      <c r="DG413" s="235"/>
    </row>
    <row r="414" spans="1:111">
      <c r="A414" s="548" t="str">
        <f t="shared" si="169"/>
        <v>9387XX49</v>
      </c>
      <c r="B414" s="549">
        <v>42500</v>
      </c>
      <c r="C414" s="550">
        <v>200661393</v>
      </c>
      <c r="D414" s="548" t="s">
        <v>111</v>
      </c>
      <c r="E414" s="550">
        <v>2</v>
      </c>
      <c r="F414" s="551" t="str">
        <f>INDEX(BrokerTBL!$B:$B,MATCH(D414,BrokerTBL!$A:$A,0))</f>
        <v>P.O. Box 3474</v>
      </c>
      <c r="G414" s="550" t="str">
        <f>INDEX(BrokerTBL!$C:$C,MATCH(D414,BrokerTBL!$A:$A,0))</f>
        <v>Chicago</v>
      </c>
      <c r="H414" s="235" t="str">
        <f>INDEX(BrokerTBL!$D:$D,MATCH(D414,BrokerTBL!$A:$A,0))</f>
        <v>Il</v>
      </c>
      <c r="I414" s="235" t="str">
        <f>INDEX(BrokerTBL!$E:$E,MATCH(D414,BrokerTBL!$A:$A,0))</f>
        <v>US</v>
      </c>
      <c r="J414" s="235">
        <f>INDEX(BrokerTBL!$F:$F,MATCH(D414,BrokerTBL!$A:$A,0))</f>
        <v>60654</v>
      </c>
      <c r="K414" s="548" t="s">
        <v>1516</v>
      </c>
      <c r="L414" s="552">
        <v>103353487</v>
      </c>
      <c r="M414" s="549">
        <v>42499</v>
      </c>
      <c r="N414" s="550" t="s">
        <v>1979</v>
      </c>
      <c r="O414" s="550" t="s">
        <v>1519</v>
      </c>
      <c r="P414" s="548" t="s">
        <v>2744</v>
      </c>
      <c r="Q414" s="548" t="s">
        <v>2206</v>
      </c>
      <c r="R414" s="548">
        <v>94580</v>
      </c>
      <c r="S414" s="548" t="s">
        <v>2207</v>
      </c>
      <c r="T414" s="548" t="s">
        <v>123</v>
      </c>
      <c r="U414" s="548" t="s">
        <v>120</v>
      </c>
      <c r="V414" s="548">
        <v>53</v>
      </c>
      <c r="W414" s="548" t="s">
        <v>2745</v>
      </c>
      <c r="X414" s="553">
        <v>20000</v>
      </c>
      <c r="Y414" s="15" t="s">
        <v>2220</v>
      </c>
      <c r="Z414" s="548" t="s">
        <v>123</v>
      </c>
      <c r="AA414" s="548">
        <v>33</v>
      </c>
      <c r="AB414" s="548" t="s">
        <v>123</v>
      </c>
      <c r="AC414" s="548" t="s">
        <v>2746</v>
      </c>
      <c r="AD414" s="552" t="s">
        <v>2747</v>
      </c>
      <c r="AE414" s="549">
        <v>42500</v>
      </c>
      <c r="AF414" s="549" t="s">
        <v>2748</v>
      </c>
      <c r="AG414" s="548" t="s">
        <v>2749</v>
      </c>
      <c r="AH414" s="548" t="s">
        <v>2750</v>
      </c>
      <c r="AI414" s="548" t="s">
        <v>2206</v>
      </c>
      <c r="AJ414" s="548">
        <v>96113</v>
      </c>
      <c r="AK414" s="548" t="s">
        <v>2207</v>
      </c>
      <c r="AL414" s="548" t="s">
        <v>123</v>
      </c>
      <c r="AM414" s="554" t="str">
        <f>INDEX(CarrierDriverTBL!$B:$B,MATCH(Table1[[#This Row],[DriverID]],CarrierDriverTBL!$A:$A,0))</f>
        <v>UBTrucking</v>
      </c>
      <c r="AN414" s="10" t="s">
        <v>192</v>
      </c>
      <c r="AO414" s="555" t="str">
        <f>INDEX(CarrierDriverTBL!$C:$C,MATCH(Table1[[#This Row],[DriverID]],CarrierDriverTBL!$A:$A,0))</f>
        <v>Albel</v>
      </c>
      <c r="AP414" s="555" t="str">
        <f>INDEX(CarrierDriverTBL!$D:$D,MATCH(Table1[[#This Row],[DriverID]],CarrierDriverTBL!$A:$A,0))</f>
        <v>Chahil</v>
      </c>
      <c r="AQ414" s="555" t="str">
        <f>INDEX(CarrierDriverTBL!$X:$X,MATCH(Table1[[#This Row],[DriverID]],CarrierDriverTBL!$A:$A,0))</f>
        <v>A8390649</v>
      </c>
      <c r="AR414" s="556">
        <f>INDEX(CarrierDriverTBL!$Y:$Y,MATCH(Table1[[#This Row],[DriverID]],CarrierDriverTBL!$A:$A,0))</f>
        <v>42402</v>
      </c>
      <c r="AS414" s="554" t="str">
        <f t="shared" si="170"/>
        <v>EXPIRED</v>
      </c>
      <c r="AT414" s="556">
        <f>INDEX(CarrierDriverTBL!$E:$E,MATCH(Table1[[#This Row],[DriverID]],CarrierDriverTBL!$A:$A,0))</f>
        <v>22314</v>
      </c>
      <c r="AU414" s="557">
        <f ca="1">INDEX(CarrierDriverTBL!$F:$F,MATCH(Table1[[#This Row],[DriverID]],CarrierDriverTBL!$A:$A,0))</f>
        <v>55.512328767123286</v>
      </c>
      <c r="AV414" s="554" t="str">
        <f>INDEX(CarrierDriverTBL!$K:$K,MATCH(Table1[[#This Row],[DriverID]],CarrierDriverTBL!$A:$A,0))</f>
        <v>510-773-9450</v>
      </c>
      <c r="AW414" s="554" t="str">
        <f>INDEX(CarrierDriverTBL!$M:$M,MATCH(Table1[[#This Row],[DriverID]],CarrierDriverTBL!$A:$A,0))</f>
        <v>3124 Cynthia CT</v>
      </c>
      <c r="AX414" s="554" t="str">
        <f>INDEX(CarrierDriverTBL!$N:$N,MATCH(Table1[[#This Row],[DriverID]],CarrierDriverTBL!$A:$A,0))</f>
        <v>Tracy</v>
      </c>
      <c r="AY414" s="554" t="str">
        <f>INDEX(CarrierDriverTBL!$O:$O,MATCH(Table1[[#This Row],[DriverID]],CarrierDriverTBL!$A:$A,0))</f>
        <v>CA</v>
      </c>
      <c r="AZ414" s="554">
        <f>INDEX(CarrierDriverTBL!$P:$P,MATCH(Table1[[#This Row],[DriverID]],CarrierDriverTBL!$A:$A,0))</f>
        <v>95377</v>
      </c>
      <c r="BA414" s="554" t="str">
        <f>INDEX(CarrierDriverTBL!$Q:$Q,MATCH(Table1[[#This Row],[DriverID]],CarrierDriverTBL!$A:$A,0))</f>
        <v>US</v>
      </c>
      <c r="BB414" s="554" t="str">
        <f>INDEX(CarrierDriverTBL!$R:$R,MATCH(Table1[[#This Row],[DriverID]],CarrierDriverTBL!$A:$A,0))</f>
        <v>ubgollc@gmail.com</v>
      </c>
      <c r="BC414" s="556">
        <f>INDEX(CarrierDriverTBL!$AB:$AB,MATCH(Table1[[#This Row],[DriverID]],CarrierDriverTBL!$A:$A,0))</f>
        <v>42167</v>
      </c>
      <c r="BD414" s="555" t="str">
        <f ca="1">INDEX(CarrierDriverTBL!$AD:$AD,MATCH(LoadMaster!$AN:$AN,CarrierDriverTBL!$A:$A,0))</f>
        <v>MISSING</v>
      </c>
      <c r="BE414" s="555">
        <f>INDEX(CarrierDriverTBL!$AE:$AE,MATCH(Table1[DriverID],CarrierDriverTBL!$A:$A,0))</f>
        <v>913971</v>
      </c>
      <c r="BF414" s="554">
        <f>INDEX(CarrierDriverTBL!$AF:$AF,MATCH(Table1[DriverID],CarrierDriverTBL!$A:$A,0))</f>
        <v>2627544</v>
      </c>
      <c r="BG414" s="236">
        <f>INDEX(CarrierDriverTBL!$AG:$AG,MATCH(Table1[DriverID],CarrierDriverTBL!$A:$A,0))</f>
        <v>466133</v>
      </c>
      <c r="BH414" s="554" t="str">
        <f>INDEX(CarrierDriverTBL!$AH:$AH,MATCH(Table1[DriverID],CarrierDriverTBL!$A:$A,0))</f>
        <v>GM Lawrence Ins</v>
      </c>
      <c r="BI414" s="554" t="str">
        <f>INDEX(CarrierDriverTBL!$AI:$AI,MATCH(Table1[DriverID],CarrierDriverTBL!$A:$A,0))</f>
        <v>DSK2842P160210</v>
      </c>
      <c r="BJ414" s="556">
        <f>INDEX(CarrierDriverTBL!$AJ:$AJ,MATCH(Table1[[#This Row],[DriverID]],CarrierDriverTBL!$A:$A,0))</f>
        <v>42778</v>
      </c>
      <c r="BK414" s="554">
        <f t="shared" si="171"/>
        <v>279</v>
      </c>
      <c r="BL414" s="558">
        <v>800</v>
      </c>
      <c r="BM414" s="554">
        <v>286</v>
      </c>
      <c r="BN414" s="558">
        <f t="shared" si="188"/>
        <v>2.7972027972027971</v>
      </c>
      <c r="BO414" s="241">
        <f>0.93*800</f>
        <v>744</v>
      </c>
      <c r="BP414" s="558">
        <f t="shared" si="189"/>
        <v>2.6013986013986012</v>
      </c>
      <c r="BQ414" s="558">
        <v>2.6</v>
      </c>
      <c r="BR414" s="559">
        <f t="shared" si="190"/>
        <v>0.1166666666666667</v>
      </c>
      <c r="BS414" s="558">
        <f t="shared" si="172"/>
        <v>2.4847319347319345</v>
      </c>
      <c r="BT414" s="558">
        <f t="shared" si="173"/>
        <v>33.366666666666674</v>
      </c>
      <c r="BU414" s="236" t="str">
        <f t="shared" si="174"/>
        <v>Ch Robinson</v>
      </c>
      <c r="BV414" s="554"/>
      <c r="BW414" s="236" t="str">
        <f>Table1[[#This Row],[BrokerAddress]]</f>
        <v>P.O. Box 3474</v>
      </c>
      <c r="BX414" s="236" t="str">
        <f t="shared" si="175"/>
        <v>Chicago</v>
      </c>
      <c r="BY414" s="269" t="str">
        <f t="shared" si="176"/>
        <v>Il</v>
      </c>
      <c r="BZ414" s="236">
        <f t="shared" si="177"/>
        <v>60654</v>
      </c>
      <c r="CA414" s="236" t="str">
        <f t="shared" si="178"/>
        <v>US</v>
      </c>
      <c r="CB414" s="15" t="s">
        <v>131</v>
      </c>
      <c r="CC414" s="62"/>
      <c r="CD414" s="15" t="s">
        <v>132</v>
      </c>
      <c r="CE414" s="64">
        <v>0</v>
      </c>
      <c r="CF414" s="4">
        <v>0</v>
      </c>
      <c r="CG414" s="132">
        <f t="shared" si="179"/>
        <v>0</v>
      </c>
      <c r="CH414" s="4" t="s">
        <v>132</v>
      </c>
      <c r="CI414" s="5">
        <v>0</v>
      </c>
      <c r="CJ414" s="4">
        <v>0</v>
      </c>
      <c r="CK414" s="132">
        <f t="shared" si="180"/>
        <v>0</v>
      </c>
      <c r="CL414" s="4" t="s">
        <v>132</v>
      </c>
      <c r="CM414" s="5">
        <v>0</v>
      </c>
      <c r="CN414" s="4">
        <v>0</v>
      </c>
      <c r="CO414" s="132">
        <f t="shared" si="181"/>
        <v>0</v>
      </c>
      <c r="CP414" s="4" t="s">
        <v>132</v>
      </c>
      <c r="CQ414" s="5">
        <v>0</v>
      </c>
      <c r="CR414" s="4">
        <v>0</v>
      </c>
      <c r="CS414" s="132">
        <f t="shared" si="182"/>
        <v>0</v>
      </c>
      <c r="CT414" s="132">
        <f t="shared" si="183"/>
        <v>0</v>
      </c>
      <c r="CU414" s="238">
        <f t="shared" si="184"/>
        <v>800</v>
      </c>
      <c r="CV414" s="239">
        <f t="shared" si="167"/>
        <v>0</v>
      </c>
      <c r="CW414" s="240">
        <f t="shared" si="168"/>
        <v>744</v>
      </c>
      <c r="CX414" s="79">
        <f>IF(ISBLANK(E414),"AddQuickPay",IF(E414=2,CU414*0.98,IF(E414=2.4,CU414*0.976,IF(E414=3,CU414*0.97,IF(E414=5,CU414*0.95,IF(E414=1.5,CU414*0.985,IF(E414=2.5,CU414*0.975,IF(E414=1.3,CU414*0.987,IF(E414=1,CU414*0.99,IF(E414=4,CU414*0.96,CU414*1))))))))))-Table1[[#This Row],[ComCheck+QuickPayFee]]</f>
        <v>784</v>
      </c>
      <c r="CY414" s="237">
        <f t="shared" si="185"/>
        <v>56</v>
      </c>
      <c r="CZ414" s="237">
        <f t="shared" si="186"/>
        <v>16</v>
      </c>
      <c r="DA414" s="263">
        <f>Table1[[#This Row],[OriginalDispatch]]-Table1[[#This Row],[QuickPayCharge]]</f>
        <v>40</v>
      </c>
      <c r="DB414" s="5">
        <v>0</v>
      </c>
      <c r="DC414" s="237" t="s">
        <v>133</v>
      </c>
      <c r="DD414" s="549">
        <f t="shared" si="187"/>
        <v>42503</v>
      </c>
      <c r="DE414" s="554">
        <f>MONTH(Table1[[#This Row],[Weekending]])</f>
        <v>5</v>
      </c>
      <c r="DF414" s="554">
        <f>YEAR(Table1[[#This Row],[Weekending]])</f>
        <v>2016</v>
      </c>
      <c r="DG414" s="235"/>
    </row>
    <row r="415" spans="1:111">
      <c r="A415" s="548" t="str">
        <f t="shared" si="169"/>
        <v>86191993</v>
      </c>
      <c r="B415" s="549">
        <v>42500</v>
      </c>
      <c r="C415" s="550">
        <v>1991986</v>
      </c>
      <c r="D415" s="548" t="s">
        <v>2405</v>
      </c>
      <c r="E415" s="550">
        <v>3</v>
      </c>
      <c r="F415" s="551" t="str">
        <f>INDEX(BrokerTBL!$B:$B,MATCH(D415,BrokerTBL!$A:$A,0))</f>
        <v xml:space="preserve">303 E Wacker Dr. </v>
      </c>
      <c r="G415" s="550" t="str">
        <f>INDEX(BrokerTBL!$C:$C,MATCH(D415,BrokerTBL!$A:$A,0))</f>
        <v>Chicago</v>
      </c>
      <c r="H415" s="235" t="str">
        <f>INDEX(BrokerTBL!$D:$D,MATCH(D415,BrokerTBL!$A:$A,0))</f>
        <v>IL</v>
      </c>
      <c r="I415" s="235" t="str">
        <f>INDEX(BrokerTBL!$E:$E,MATCH(D415,BrokerTBL!$A:$A,0))</f>
        <v>US</v>
      </c>
      <c r="J415" s="235">
        <f>INDEX(BrokerTBL!$F:$F,MATCH(D415,BrokerTBL!$A:$A,0))</f>
        <v>60601</v>
      </c>
      <c r="K415" s="548" t="s">
        <v>2406</v>
      </c>
      <c r="L415" s="552">
        <v>294019</v>
      </c>
      <c r="M415" s="549">
        <v>42499</v>
      </c>
      <c r="N415" s="550" t="s">
        <v>1055</v>
      </c>
      <c r="O415" s="550" t="s">
        <v>2407</v>
      </c>
      <c r="P415" s="548" t="s">
        <v>2751</v>
      </c>
      <c r="Q415" s="548" t="s">
        <v>2233</v>
      </c>
      <c r="R415" s="548">
        <v>89706</v>
      </c>
      <c r="S415" s="548" t="s">
        <v>2207</v>
      </c>
      <c r="T415" s="548" t="s">
        <v>123</v>
      </c>
      <c r="U415" s="548" t="s">
        <v>120</v>
      </c>
      <c r="V415" s="548">
        <v>53</v>
      </c>
      <c r="W415" s="548" t="s">
        <v>2409</v>
      </c>
      <c r="X415" s="553">
        <v>45000</v>
      </c>
      <c r="Y415" s="550" t="s">
        <v>2410</v>
      </c>
      <c r="Z415" s="548">
        <v>50</v>
      </c>
      <c r="AA415" s="548" t="s">
        <v>123</v>
      </c>
      <c r="AB415" s="548" t="s">
        <v>123</v>
      </c>
      <c r="AC415" s="548" t="s">
        <v>2411</v>
      </c>
      <c r="AD415" s="552">
        <v>294019</v>
      </c>
      <c r="AE415" s="549">
        <v>42500</v>
      </c>
      <c r="AF415" s="549" t="s">
        <v>1316</v>
      </c>
      <c r="AG415" s="548" t="s">
        <v>2412</v>
      </c>
      <c r="AH415" s="548" t="s">
        <v>2168</v>
      </c>
      <c r="AI415" s="548" t="s">
        <v>2206</v>
      </c>
      <c r="AJ415" s="548">
        <v>93235</v>
      </c>
      <c r="AK415" s="548" t="s">
        <v>2207</v>
      </c>
      <c r="AL415" s="548" t="s">
        <v>123</v>
      </c>
      <c r="AM415" s="554" t="str">
        <f>INDEX(CarrierDriverTBL!$B:$B,MATCH(Table1[[#This Row],[DriverID]],CarrierDriverTBL!$A:$A,0))</f>
        <v>UBTrucking</v>
      </c>
      <c r="AN415" s="10" t="s">
        <v>2234</v>
      </c>
      <c r="AO415" s="555" t="str">
        <f>INDEX(CarrierDriverTBL!$C:$C,MATCH(Table1[[#This Row],[DriverID]],CarrierDriverTBL!$A:$A,0))</f>
        <v>Arturo</v>
      </c>
      <c r="AP415" s="555" t="str">
        <f>INDEX(CarrierDriverTBL!$D:$D,MATCH(Table1[[#This Row],[DriverID]],CarrierDriverTBL!$A:$A,0))</f>
        <v>Carrillo</v>
      </c>
      <c r="AQ415" s="555" t="str">
        <f>INDEX(CarrierDriverTBL!$X:$X,MATCH(Table1[[#This Row],[DriverID]],CarrierDriverTBL!$A:$A,0))</f>
        <v>C7056793</v>
      </c>
      <c r="AR415" s="556">
        <f>INDEX(CarrierDriverTBL!$Y:$Y,MATCH(Table1[[#This Row],[DriverID]],CarrierDriverTBL!$A:$A,0))</f>
        <v>43410</v>
      </c>
      <c r="AS415" s="554" t="str">
        <f t="shared" si="170"/>
        <v>GOOD</v>
      </c>
      <c r="AT415" s="556">
        <f>INDEX(CarrierDriverTBL!$E:$E,MATCH(Table1[[#This Row],[DriverID]],CarrierDriverTBL!$A:$A,0))</f>
        <v>24782</v>
      </c>
      <c r="AU415" s="557">
        <f ca="1">INDEX(CarrierDriverTBL!$F:$F,MATCH(Table1[[#This Row],[DriverID]],CarrierDriverTBL!$A:$A,0))</f>
        <v>48.750684931506846</v>
      </c>
      <c r="AV415" s="554" t="str">
        <f>INDEX(CarrierDriverTBL!$K:$K,MATCH(Table1[[#This Row],[DriverID]],CarrierDriverTBL!$A:$A,0))</f>
        <v>209-276-9785</v>
      </c>
      <c r="AW415" s="554" t="str">
        <f>INDEX(CarrierDriverTBL!$M:$M,MATCH(Table1[[#This Row],[DriverID]],CarrierDriverTBL!$A:$A,0))</f>
        <v>1685 Winthrop Ln</v>
      </c>
      <c r="AX415" s="554" t="str">
        <f>INDEX(CarrierDriverTBL!$N:$N,MATCH(Table1[[#This Row],[DriverID]],CarrierDriverTBL!$A:$A,0))</f>
        <v>Ceres</v>
      </c>
      <c r="AY415" s="554" t="str">
        <f>INDEX(CarrierDriverTBL!$O:$O,MATCH(Table1[[#This Row],[DriverID]],CarrierDriverTBL!$A:$A,0))</f>
        <v>CA</v>
      </c>
      <c r="AZ415" s="554">
        <f>INDEX(CarrierDriverTBL!$P:$P,MATCH(Table1[[#This Row],[DriverID]],CarrierDriverTBL!$A:$A,0))</f>
        <v>95307</v>
      </c>
      <c r="BA415" s="554" t="str">
        <f>INDEX(CarrierDriverTBL!$Q:$Q,MATCH(Table1[[#This Row],[DriverID]],CarrierDriverTBL!$A:$A,0))</f>
        <v>US</v>
      </c>
      <c r="BB415" s="554" t="str">
        <f>INDEX(CarrierDriverTBL!$R:$R,MATCH(Table1[[#This Row],[DriverID]],CarrierDriverTBL!$A:$A,0))</f>
        <v>arturocarr777@gmail.com</v>
      </c>
      <c r="BC415" s="556">
        <f>INDEX(CarrierDriverTBL!$AB:$AB,MATCH(Table1[[#This Row],[DriverID]],CarrierDriverTBL!$A:$A,0))</f>
        <v>42418</v>
      </c>
      <c r="BD415" s="555" t="str">
        <f ca="1">INDEX(CarrierDriverTBL!$AD:$AD,MATCH(LoadMaster!$AN:$AN,CarrierDriverTBL!$A:$A,0))</f>
        <v>MISSING</v>
      </c>
      <c r="BE415" s="555">
        <f>INDEX(CarrierDriverTBL!$AE:$AE,MATCH(Table1[DriverID],CarrierDriverTBL!$A:$A,0))</f>
        <v>913971</v>
      </c>
      <c r="BF415" s="554">
        <f>INDEX(CarrierDriverTBL!$AF:$AF,MATCH(Table1[DriverID],CarrierDriverTBL!$A:$A,0))</f>
        <v>2627544</v>
      </c>
      <c r="BG415" s="236">
        <f>INDEX(CarrierDriverTBL!$AG:$AG,MATCH(Table1[DriverID],CarrierDriverTBL!$A:$A,0))</f>
        <v>466133</v>
      </c>
      <c r="BH415" s="554" t="str">
        <f>INDEX(CarrierDriverTBL!$AH:$AH,MATCH(Table1[DriverID],CarrierDriverTBL!$A:$A,0))</f>
        <v>GM Lawrence Ins</v>
      </c>
      <c r="BI415" s="554" t="str">
        <f>INDEX(CarrierDriverTBL!$AI:$AI,MATCH(Table1[DriverID],CarrierDriverTBL!$A:$A,0))</f>
        <v>DSK2842P160210</v>
      </c>
      <c r="BJ415" s="556">
        <f>INDEX(CarrierDriverTBL!$AJ:$AJ,MATCH(Table1[[#This Row],[DriverID]],CarrierDriverTBL!$A:$A,0))</f>
        <v>42778</v>
      </c>
      <c r="BK415" s="554">
        <f t="shared" si="171"/>
        <v>279</v>
      </c>
      <c r="BL415" s="558">
        <v>600</v>
      </c>
      <c r="BM415" s="554">
        <v>311.5</v>
      </c>
      <c r="BN415" s="558">
        <f t="shared" si="188"/>
        <v>1.926163723916533</v>
      </c>
      <c r="BO415" s="241">
        <f>0.93*600</f>
        <v>558</v>
      </c>
      <c r="BP415" s="558">
        <f t="shared" si="189"/>
        <v>1.7913322632423756</v>
      </c>
      <c r="BQ415" s="558">
        <v>2.6</v>
      </c>
      <c r="BR415" s="559">
        <f t="shared" si="190"/>
        <v>0.1166666666666667</v>
      </c>
      <c r="BS415" s="558">
        <f t="shared" si="172"/>
        <v>1.6746655965757089</v>
      </c>
      <c r="BT415" s="558">
        <f t="shared" si="173"/>
        <v>36.341666666666676</v>
      </c>
      <c r="BU415" s="236" t="str">
        <f t="shared" si="174"/>
        <v>XPOLogistics</v>
      </c>
      <c r="BV415" s="554"/>
      <c r="BW415" s="236" t="str">
        <f>Table1[[#This Row],[BrokerAddress]]</f>
        <v xml:space="preserve">303 E Wacker Dr. </v>
      </c>
      <c r="BX415" s="236" t="str">
        <f t="shared" si="175"/>
        <v>Chicago</v>
      </c>
      <c r="BY415" s="269" t="str">
        <f t="shared" si="176"/>
        <v>IL</v>
      </c>
      <c r="BZ415" s="236">
        <f t="shared" si="177"/>
        <v>60601</v>
      </c>
      <c r="CA415" s="236" t="str">
        <f t="shared" si="178"/>
        <v>US</v>
      </c>
      <c r="CB415" s="15" t="s">
        <v>131</v>
      </c>
      <c r="CC415" s="62"/>
      <c r="CD415" s="15" t="s">
        <v>132</v>
      </c>
      <c r="CE415" s="64">
        <v>0</v>
      </c>
      <c r="CF415" s="4">
        <v>0</v>
      </c>
      <c r="CG415" s="132">
        <f t="shared" si="179"/>
        <v>0</v>
      </c>
      <c r="CH415" s="4" t="s">
        <v>132</v>
      </c>
      <c r="CI415" s="5">
        <v>0</v>
      </c>
      <c r="CJ415" s="4">
        <v>0</v>
      </c>
      <c r="CK415" s="132">
        <f t="shared" si="180"/>
        <v>0</v>
      </c>
      <c r="CL415" s="4" t="s">
        <v>132</v>
      </c>
      <c r="CM415" s="5">
        <v>0</v>
      </c>
      <c r="CN415" s="4">
        <v>0</v>
      </c>
      <c r="CO415" s="132">
        <f t="shared" si="181"/>
        <v>0</v>
      </c>
      <c r="CP415" s="4" t="s">
        <v>132</v>
      </c>
      <c r="CQ415" s="5">
        <v>0</v>
      </c>
      <c r="CR415" s="4">
        <v>0</v>
      </c>
      <c r="CS415" s="132">
        <f t="shared" si="182"/>
        <v>0</v>
      </c>
      <c r="CT415" s="132">
        <f t="shared" si="183"/>
        <v>0</v>
      </c>
      <c r="CU415" s="238">
        <f t="shared" si="184"/>
        <v>600</v>
      </c>
      <c r="CV415" s="239">
        <f t="shared" si="167"/>
        <v>0</v>
      </c>
      <c r="CW415" s="240">
        <f t="shared" si="168"/>
        <v>558</v>
      </c>
      <c r="CX415" s="79">
        <f>IF(ISBLANK(E415),"AddQuickPay",IF(E415=2,CU415*0.98,IF(E415=2.4,CU415*0.976,IF(E415=3,CU415*0.97,IF(E415=5,CU415*0.95,IF(E415=1.5,CU415*0.985,IF(E415=2.5,CU415*0.975,IF(E415=1.3,CU415*0.987,IF(E415=1,CU415*0.99,IF(E415=4,CU415*0.96,CU415*1))))))))))-Table1[[#This Row],[ComCheck+QuickPayFee]]</f>
        <v>582</v>
      </c>
      <c r="CY415" s="237">
        <f t="shared" si="185"/>
        <v>42</v>
      </c>
      <c r="CZ415" s="237">
        <f t="shared" si="186"/>
        <v>18</v>
      </c>
      <c r="DA415" s="263">
        <f>Table1[[#This Row],[OriginalDispatch]]-Table1[[#This Row],[QuickPayCharge]]</f>
        <v>24</v>
      </c>
      <c r="DB415" s="5">
        <v>0</v>
      </c>
      <c r="DC415" s="237" t="s">
        <v>133</v>
      </c>
      <c r="DD415" s="549">
        <f t="shared" si="187"/>
        <v>42503</v>
      </c>
      <c r="DE415" s="554">
        <f>MONTH(Table1[[#This Row],[Weekending]])</f>
        <v>5</v>
      </c>
      <c r="DF415" s="554">
        <f>YEAR(Table1[[#This Row],[Weekending]])</f>
        <v>2016</v>
      </c>
      <c r="DG415" s="235"/>
    </row>
    <row r="416" spans="1:111">
      <c r="A416" s="548" t="str">
        <f t="shared" si="169"/>
        <v>22404019</v>
      </c>
      <c r="B416" s="549">
        <v>42500</v>
      </c>
      <c r="C416" s="550">
        <v>7354822</v>
      </c>
      <c r="D416" s="548" t="s">
        <v>445</v>
      </c>
      <c r="E416" s="550">
        <v>3</v>
      </c>
      <c r="F416" s="551" t="str">
        <f>INDEX(BrokerTBL!$B:$B,MATCH(D416,BrokerTBL!$A:$A,0))</f>
        <v>960 Northpoint Parkway Suite 150</v>
      </c>
      <c r="G416" s="550" t="str">
        <f>INDEX(BrokerTBL!$C:$C,MATCH(D416,BrokerTBL!$A:$A,0))</f>
        <v>Alpharetta</v>
      </c>
      <c r="H416" s="235" t="str">
        <f>INDEX(BrokerTBL!$D:$D,MATCH(D416,BrokerTBL!$A:$A,0))</f>
        <v>Ga</v>
      </c>
      <c r="I416" s="235" t="str">
        <f>INDEX(BrokerTBL!$E:$E,MATCH(D416,BrokerTBL!$A:$A,0))</f>
        <v>US</v>
      </c>
      <c r="J416" s="235">
        <f>INDEX(BrokerTBL!$F:$F,MATCH(D416,BrokerTBL!$A:$A,0))</f>
        <v>30005</v>
      </c>
      <c r="K416" s="548" t="s">
        <v>2752</v>
      </c>
      <c r="L416" s="552" t="s">
        <v>2753</v>
      </c>
      <c r="M416" s="549">
        <v>42500</v>
      </c>
      <c r="N416" s="550" t="s">
        <v>1316</v>
      </c>
      <c r="O416" s="550" t="s">
        <v>535</v>
      </c>
      <c r="P416" s="548" t="s">
        <v>536</v>
      </c>
      <c r="Q416" s="548" t="s">
        <v>2206</v>
      </c>
      <c r="R416" s="548">
        <v>95963</v>
      </c>
      <c r="S416" s="548" t="s">
        <v>2207</v>
      </c>
      <c r="T416" s="548" t="s">
        <v>123</v>
      </c>
      <c r="U416" s="548" t="s">
        <v>120</v>
      </c>
      <c r="V416" s="548">
        <v>53</v>
      </c>
      <c r="W416" s="548" t="s">
        <v>2754</v>
      </c>
      <c r="X416" s="553">
        <v>44118</v>
      </c>
      <c r="Y416" s="15" t="s">
        <v>2220</v>
      </c>
      <c r="Z416" s="548" t="s">
        <v>123</v>
      </c>
      <c r="AA416" s="548">
        <v>18</v>
      </c>
      <c r="AB416" s="548" t="s">
        <v>123</v>
      </c>
      <c r="AC416" s="548" t="s">
        <v>2755</v>
      </c>
      <c r="AD416" s="552" t="s">
        <v>2753</v>
      </c>
      <c r="AE416" s="549">
        <v>42500</v>
      </c>
      <c r="AF416" s="560">
        <v>0.625</v>
      </c>
      <c r="AG416" s="548" t="s">
        <v>2756</v>
      </c>
      <c r="AH416" s="548" t="s">
        <v>220</v>
      </c>
      <c r="AI416" s="548" t="s">
        <v>2206</v>
      </c>
      <c r="AJ416" s="548">
        <v>95240</v>
      </c>
      <c r="AK416" s="548" t="s">
        <v>2207</v>
      </c>
      <c r="AL416" s="548" t="s">
        <v>123</v>
      </c>
      <c r="AM416" s="554" t="str">
        <f>INDEX(CarrierDriverTBL!$B:$B,MATCH(Table1[[#This Row],[DriverID]],CarrierDriverTBL!$A:$A,0))</f>
        <v>UBTrucking</v>
      </c>
      <c r="AN416" s="10" t="s">
        <v>1409</v>
      </c>
      <c r="AO416" s="555" t="str">
        <f>INDEX(CarrierDriverTBL!$C:$C,MATCH(Table1[[#This Row],[DriverID]],CarrierDriverTBL!$A:$A,0))</f>
        <v>Miguel Jaime</v>
      </c>
      <c r="AP416" s="555" t="str">
        <f>INDEX(CarrierDriverTBL!$D:$D,MATCH(Table1[[#This Row],[DriverID]],CarrierDriverTBL!$A:$A,0))</f>
        <v>Martin Del Campo Velarca</v>
      </c>
      <c r="AQ416" s="555" t="str">
        <f>INDEX(CarrierDriverTBL!$X:$X,MATCH(Table1[[#This Row],[DriverID]],CarrierDriverTBL!$A:$A,0))</f>
        <v>D5179619</v>
      </c>
      <c r="AR416" s="556">
        <f>INDEX(CarrierDriverTBL!$Y:$Y,MATCH(Table1[[#This Row],[DriverID]],CarrierDriverTBL!$A:$A,0))</f>
        <v>43843</v>
      </c>
      <c r="AS416" s="554" t="str">
        <f t="shared" si="170"/>
        <v>GOOD</v>
      </c>
      <c r="AT416" s="556">
        <f>INDEX(CarrierDriverTBL!$E:$E,MATCH(Table1[[#This Row],[DriverID]],CarrierDriverTBL!$A:$A,0))</f>
        <v>21198</v>
      </c>
      <c r="AU416" s="557">
        <f ca="1">INDEX(CarrierDriverTBL!$F:$F,MATCH(Table1[[#This Row],[DriverID]],CarrierDriverTBL!$A:$A,0))</f>
        <v>58.56986301369863</v>
      </c>
      <c r="AV416" s="554" t="str">
        <f>INDEX(CarrierDriverTBL!$K:$K,MATCH(Table1[[#This Row],[DriverID]],CarrierDriverTBL!$A:$A,0))</f>
        <v>209-322-5231</v>
      </c>
      <c r="AW416" s="554" t="str">
        <f>INDEX(CarrierDriverTBL!$M:$M,MATCH(Table1[[#This Row],[DriverID]],CarrierDriverTBL!$A:$A,0))</f>
        <v>572 Predersen RD</v>
      </c>
      <c r="AX416" s="554" t="str">
        <f>INDEX(CarrierDriverTBL!$N:$N,MATCH(Table1[[#This Row],[DriverID]],CarrierDriverTBL!$A:$A,0))</f>
        <v>Oakdale</v>
      </c>
      <c r="AY416" s="554" t="str">
        <f>INDEX(CarrierDriverTBL!$O:$O,MATCH(Table1[[#This Row],[DriverID]],CarrierDriverTBL!$A:$A,0))</f>
        <v>CA</v>
      </c>
      <c r="AZ416" s="554">
        <f>INDEX(CarrierDriverTBL!$P:$P,MATCH(Table1[[#This Row],[DriverID]],CarrierDriverTBL!$A:$A,0))</f>
        <v>95361</v>
      </c>
      <c r="BA416" s="554" t="str">
        <f>INDEX(CarrierDriverTBL!$Q:$Q,MATCH(Table1[[#This Row],[DriverID]],CarrierDriverTBL!$A:$A,0))</f>
        <v>US</v>
      </c>
      <c r="BB416" s="554" t="str">
        <f>INDEX(CarrierDriverTBL!$R:$R,MATCH(Table1[[#This Row],[DriverID]],CarrierDriverTBL!$A:$A,0))</f>
        <v>Miguelmartin52@yahoo.com</v>
      </c>
      <c r="BC416" s="556">
        <f>INDEX(CarrierDriverTBL!$AB:$AB,MATCH(Table1[[#This Row],[DriverID]],CarrierDriverTBL!$A:$A,0))</f>
        <v>42334</v>
      </c>
      <c r="BD416" s="555" t="str">
        <f ca="1">INDEX(CarrierDriverTBL!$AD:$AD,MATCH(LoadMaster!$AN:$AN,CarrierDriverTBL!$A:$A,0))</f>
        <v>MISSING</v>
      </c>
      <c r="BE416" s="555">
        <f>INDEX(CarrierDriverTBL!$AE:$AE,MATCH(Table1[DriverID],CarrierDriverTBL!$A:$A,0))</f>
        <v>913971</v>
      </c>
      <c r="BF416" s="554">
        <f>INDEX(CarrierDriverTBL!$AF:$AF,MATCH(Table1[DriverID],CarrierDriverTBL!$A:$A,0))</f>
        <v>2627544</v>
      </c>
      <c r="BG416" s="236">
        <f>INDEX(CarrierDriverTBL!$AG:$AG,MATCH(Table1[DriverID],CarrierDriverTBL!$A:$A,0))</f>
        <v>466133</v>
      </c>
      <c r="BH416" s="554" t="str">
        <f>INDEX(CarrierDriverTBL!$AH:$AH,MATCH(Table1[DriverID],CarrierDriverTBL!$A:$A,0))</f>
        <v>GM Lawrence Ins</v>
      </c>
      <c r="BI416" s="554" t="str">
        <f>INDEX(CarrierDriverTBL!$AI:$AI,MATCH(Table1[DriverID],CarrierDriverTBL!$A:$A,0))</f>
        <v>DSK2842P160210</v>
      </c>
      <c r="BJ416" s="556">
        <f>INDEX(CarrierDriverTBL!$AJ:$AJ,MATCH(Table1[[#This Row],[DriverID]],CarrierDriverTBL!$A:$A,0))</f>
        <v>42778</v>
      </c>
      <c r="BK416" s="554">
        <f t="shared" si="171"/>
        <v>278</v>
      </c>
      <c r="BL416" s="558">
        <v>300</v>
      </c>
      <c r="BM416" s="554">
        <v>136.80000000000001</v>
      </c>
      <c r="BN416" s="558">
        <f t="shared" si="188"/>
        <v>2.1929824561403506</v>
      </c>
      <c r="BO416" s="241">
        <f>0.93*300</f>
        <v>279</v>
      </c>
      <c r="BP416" s="558">
        <f t="shared" si="189"/>
        <v>2.0394736842105261</v>
      </c>
      <c r="BQ416" s="558">
        <v>2.6</v>
      </c>
      <c r="BR416" s="559">
        <f t="shared" si="190"/>
        <v>0.1166666666666667</v>
      </c>
      <c r="BS416" s="558">
        <f t="shared" si="172"/>
        <v>1.9228070175438594</v>
      </c>
      <c r="BT416" s="558">
        <f t="shared" si="173"/>
        <v>15.960000000000006</v>
      </c>
      <c r="BU416" s="236" t="str">
        <f t="shared" si="174"/>
        <v>Coyote</v>
      </c>
      <c r="BV416" s="554"/>
      <c r="BW416" s="236" t="str">
        <f>Table1[[#This Row],[BrokerAddress]]</f>
        <v>960 Northpoint Parkway Suite 150</v>
      </c>
      <c r="BX416" s="236" t="str">
        <f t="shared" si="175"/>
        <v>Alpharetta</v>
      </c>
      <c r="BY416" s="269" t="str">
        <f t="shared" si="176"/>
        <v>Ga</v>
      </c>
      <c r="BZ416" s="236">
        <f t="shared" si="177"/>
        <v>30005</v>
      </c>
      <c r="CA416" s="236" t="str">
        <f t="shared" si="178"/>
        <v>US</v>
      </c>
      <c r="CB416" s="15" t="s">
        <v>131</v>
      </c>
      <c r="CC416" s="62"/>
      <c r="CD416" s="15" t="s">
        <v>132</v>
      </c>
      <c r="CE416" s="64">
        <v>0</v>
      </c>
      <c r="CF416" s="4">
        <v>0</v>
      </c>
      <c r="CG416" s="132">
        <f t="shared" si="179"/>
        <v>0</v>
      </c>
      <c r="CH416" s="4" t="s">
        <v>132</v>
      </c>
      <c r="CI416" s="5">
        <v>0</v>
      </c>
      <c r="CJ416" s="4">
        <v>0</v>
      </c>
      <c r="CK416" s="132">
        <f t="shared" si="180"/>
        <v>0</v>
      </c>
      <c r="CL416" s="4" t="s">
        <v>132</v>
      </c>
      <c r="CM416" s="5">
        <v>0</v>
      </c>
      <c r="CN416" s="4">
        <v>0</v>
      </c>
      <c r="CO416" s="132">
        <f t="shared" si="181"/>
        <v>0</v>
      </c>
      <c r="CP416" s="4" t="s">
        <v>132</v>
      </c>
      <c r="CQ416" s="5">
        <v>0</v>
      </c>
      <c r="CR416" s="4">
        <v>0</v>
      </c>
      <c r="CS416" s="132">
        <f t="shared" si="182"/>
        <v>0</v>
      </c>
      <c r="CT416" s="132">
        <f t="shared" si="183"/>
        <v>0</v>
      </c>
      <c r="CU416" s="238">
        <f t="shared" si="184"/>
        <v>300</v>
      </c>
      <c r="CV416" s="239">
        <f t="shared" si="167"/>
        <v>0</v>
      </c>
      <c r="CW416" s="240">
        <f t="shared" si="168"/>
        <v>279</v>
      </c>
      <c r="CX416" s="79">
        <f>IF(ISBLANK(E416),"AddQuickPay",IF(E416=2,CU416*0.98,IF(E416=2.4,CU416*0.976,IF(E416=3,CU416*0.97,IF(E416=5,CU416*0.95,IF(E416=1.5,CU416*0.985,IF(E416=2.5,CU416*0.975,IF(E416=1.3,CU416*0.987,IF(E416=1,CU416*0.99,IF(E416=4,CU416*0.96,CU416*1))))))))))-Table1[[#This Row],[ComCheck+QuickPayFee]]</f>
        <v>291</v>
      </c>
      <c r="CY416" s="237">
        <f t="shared" si="185"/>
        <v>21</v>
      </c>
      <c r="CZ416" s="237">
        <f t="shared" si="186"/>
        <v>9</v>
      </c>
      <c r="DA416" s="263">
        <f>Table1[[#This Row],[OriginalDispatch]]-Table1[[#This Row],[QuickPayCharge]]</f>
        <v>12</v>
      </c>
      <c r="DB416" s="5">
        <v>0</v>
      </c>
      <c r="DC416" s="237" t="s">
        <v>133</v>
      </c>
      <c r="DD416" s="549">
        <f t="shared" si="187"/>
        <v>42503</v>
      </c>
      <c r="DE416" s="554">
        <f>MONTH(Table1[[#This Row],[Weekending]])</f>
        <v>5</v>
      </c>
      <c r="DF416" s="554">
        <f>YEAR(Table1[[#This Row],[Weekending]])</f>
        <v>2016</v>
      </c>
      <c r="DG416" s="235"/>
    </row>
    <row r="417" spans="1:111">
      <c r="A417" s="548" t="str">
        <f t="shared" si="169"/>
        <v>11161649</v>
      </c>
      <c r="B417" s="549">
        <v>42500</v>
      </c>
      <c r="C417" s="550">
        <v>1990311</v>
      </c>
      <c r="D417" s="548" t="s">
        <v>2405</v>
      </c>
      <c r="E417" s="550">
        <v>3</v>
      </c>
      <c r="F417" s="551" t="str">
        <f>INDEX(BrokerTBL!$B:$B,MATCH(D417,BrokerTBL!$A:$A,0))</f>
        <v xml:space="preserve">303 E Wacker Dr. </v>
      </c>
      <c r="G417" s="550" t="str">
        <f>INDEX(BrokerTBL!$C:$C,MATCH(D417,BrokerTBL!$A:$A,0))</f>
        <v>Chicago</v>
      </c>
      <c r="H417" s="235" t="str">
        <f>INDEX(BrokerTBL!$D:$D,MATCH(D417,BrokerTBL!$A:$A,0))</f>
        <v>IL</v>
      </c>
      <c r="I417" s="235" t="str">
        <f>INDEX(BrokerTBL!$E:$E,MATCH(D417,BrokerTBL!$A:$A,0))</f>
        <v>US</v>
      </c>
      <c r="J417" s="235">
        <f>INDEX(BrokerTBL!$F:$F,MATCH(D417,BrokerTBL!$A:$A,0))</f>
        <v>60601</v>
      </c>
      <c r="K417" s="548" t="s">
        <v>2406</v>
      </c>
      <c r="L417" s="552">
        <v>293316</v>
      </c>
      <c r="M417" s="549">
        <v>42500</v>
      </c>
      <c r="N417" s="550" t="s">
        <v>1055</v>
      </c>
      <c r="O417" s="550" t="s">
        <v>2407</v>
      </c>
      <c r="P417" s="548" t="s">
        <v>2751</v>
      </c>
      <c r="Q417" s="548" t="s">
        <v>2233</v>
      </c>
      <c r="R417" s="548">
        <v>89706</v>
      </c>
      <c r="S417" s="548" t="s">
        <v>2207</v>
      </c>
      <c r="T417" s="548" t="s">
        <v>123</v>
      </c>
      <c r="U417" s="548" t="s">
        <v>120</v>
      </c>
      <c r="V417" s="548">
        <v>53</v>
      </c>
      <c r="W417" s="548" t="s">
        <v>2409</v>
      </c>
      <c r="X417" s="553">
        <v>45000</v>
      </c>
      <c r="Y417" s="550" t="s">
        <v>2410</v>
      </c>
      <c r="Z417" s="548">
        <v>50</v>
      </c>
      <c r="AA417" s="548" t="s">
        <v>123</v>
      </c>
      <c r="AB417" s="548" t="s">
        <v>123</v>
      </c>
      <c r="AC417" s="548" t="s">
        <v>2411</v>
      </c>
      <c r="AD417" s="552">
        <v>293316</v>
      </c>
      <c r="AE417" s="549">
        <v>42501</v>
      </c>
      <c r="AF417" s="549" t="s">
        <v>1316</v>
      </c>
      <c r="AG417" s="548" t="s">
        <v>2412</v>
      </c>
      <c r="AH417" s="548" t="s">
        <v>2168</v>
      </c>
      <c r="AI417" s="548" t="s">
        <v>2206</v>
      </c>
      <c r="AJ417" s="548">
        <v>93235</v>
      </c>
      <c r="AK417" s="548" t="s">
        <v>2207</v>
      </c>
      <c r="AL417" s="548" t="s">
        <v>123</v>
      </c>
      <c r="AM417" s="554" t="str">
        <f>INDEX(CarrierDriverTBL!$B:$B,MATCH(Table1[[#This Row],[DriverID]],CarrierDriverTBL!$A:$A,0))</f>
        <v>UBTrucking</v>
      </c>
      <c r="AN417" s="10" t="s">
        <v>192</v>
      </c>
      <c r="AO417" s="555" t="str">
        <f>INDEX(CarrierDriverTBL!$C:$C,MATCH(Table1[[#This Row],[DriverID]],CarrierDriverTBL!$A:$A,0))</f>
        <v>Albel</v>
      </c>
      <c r="AP417" s="555" t="str">
        <f>INDEX(CarrierDriverTBL!$D:$D,MATCH(Table1[[#This Row],[DriverID]],CarrierDriverTBL!$A:$A,0))</f>
        <v>Chahil</v>
      </c>
      <c r="AQ417" s="555" t="str">
        <f>INDEX(CarrierDriverTBL!$X:$X,MATCH(Table1[[#This Row],[DriverID]],CarrierDriverTBL!$A:$A,0))</f>
        <v>A8390649</v>
      </c>
      <c r="AR417" s="556">
        <f>INDEX(CarrierDriverTBL!$Y:$Y,MATCH(Table1[[#This Row],[DriverID]],CarrierDriverTBL!$A:$A,0))</f>
        <v>42402</v>
      </c>
      <c r="AS417" s="554" t="str">
        <f t="shared" si="170"/>
        <v>EXPIRED</v>
      </c>
      <c r="AT417" s="556">
        <f>INDEX(CarrierDriverTBL!$E:$E,MATCH(Table1[[#This Row],[DriverID]],CarrierDriverTBL!$A:$A,0))</f>
        <v>22314</v>
      </c>
      <c r="AU417" s="557">
        <f ca="1">INDEX(CarrierDriverTBL!$F:$F,MATCH(Table1[[#This Row],[DriverID]],CarrierDriverTBL!$A:$A,0))</f>
        <v>55.512328767123286</v>
      </c>
      <c r="AV417" s="554" t="str">
        <f>INDEX(CarrierDriverTBL!$K:$K,MATCH(Table1[[#This Row],[DriverID]],CarrierDriverTBL!$A:$A,0))</f>
        <v>510-773-9450</v>
      </c>
      <c r="AW417" s="554" t="str">
        <f>INDEX(CarrierDriverTBL!$M:$M,MATCH(Table1[[#This Row],[DriverID]],CarrierDriverTBL!$A:$A,0))</f>
        <v>3124 Cynthia CT</v>
      </c>
      <c r="AX417" s="554" t="str">
        <f>INDEX(CarrierDriverTBL!$N:$N,MATCH(Table1[[#This Row],[DriverID]],CarrierDriverTBL!$A:$A,0))</f>
        <v>Tracy</v>
      </c>
      <c r="AY417" s="554" t="str">
        <f>INDEX(CarrierDriverTBL!$O:$O,MATCH(Table1[[#This Row],[DriverID]],CarrierDriverTBL!$A:$A,0))</f>
        <v>CA</v>
      </c>
      <c r="AZ417" s="554">
        <f>INDEX(CarrierDriverTBL!$P:$P,MATCH(Table1[[#This Row],[DriverID]],CarrierDriverTBL!$A:$A,0))</f>
        <v>95377</v>
      </c>
      <c r="BA417" s="554" t="str">
        <f>INDEX(CarrierDriverTBL!$Q:$Q,MATCH(Table1[[#This Row],[DriverID]],CarrierDriverTBL!$A:$A,0))</f>
        <v>US</v>
      </c>
      <c r="BB417" s="554" t="str">
        <f>INDEX(CarrierDriverTBL!$R:$R,MATCH(Table1[[#This Row],[DriverID]],CarrierDriverTBL!$A:$A,0))</f>
        <v>ubgollc@gmail.com</v>
      </c>
      <c r="BC417" s="556">
        <f>INDEX(CarrierDriverTBL!$AB:$AB,MATCH(Table1[[#This Row],[DriverID]],CarrierDriverTBL!$A:$A,0))</f>
        <v>42167</v>
      </c>
      <c r="BD417" s="555" t="str">
        <f ca="1">INDEX(CarrierDriverTBL!$AD:$AD,MATCH(LoadMaster!$AN:$AN,CarrierDriverTBL!$A:$A,0))</f>
        <v>MISSING</v>
      </c>
      <c r="BE417" s="555">
        <f>INDEX(CarrierDriverTBL!$AE:$AE,MATCH(Table1[DriverID],CarrierDriverTBL!$A:$A,0))</f>
        <v>913971</v>
      </c>
      <c r="BF417" s="554">
        <f>INDEX(CarrierDriverTBL!$AF:$AF,MATCH(Table1[DriverID],CarrierDriverTBL!$A:$A,0))</f>
        <v>2627544</v>
      </c>
      <c r="BG417" s="236">
        <f>INDEX(CarrierDriverTBL!$AG:$AG,MATCH(Table1[DriverID],CarrierDriverTBL!$A:$A,0))</f>
        <v>466133</v>
      </c>
      <c r="BH417" s="554" t="str">
        <f>INDEX(CarrierDriverTBL!$AH:$AH,MATCH(Table1[DriverID],CarrierDriverTBL!$A:$A,0))</f>
        <v>GM Lawrence Ins</v>
      </c>
      <c r="BI417" s="554" t="str">
        <f>INDEX(CarrierDriverTBL!$AI:$AI,MATCH(Table1[DriverID],CarrierDriverTBL!$A:$A,0))</f>
        <v>DSK2842P160210</v>
      </c>
      <c r="BJ417" s="556">
        <f>INDEX(CarrierDriverTBL!$AJ:$AJ,MATCH(Table1[[#This Row],[DriverID]],CarrierDriverTBL!$A:$A,0))</f>
        <v>42778</v>
      </c>
      <c r="BK417" s="554">
        <f t="shared" si="171"/>
        <v>278</v>
      </c>
      <c r="BL417" s="558">
        <v>600</v>
      </c>
      <c r="BM417" s="554">
        <v>311.5</v>
      </c>
      <c r="BN417" s="558">
        <f t="shared" si="188"/>
        <v>1.926163723916533</v>
      </c>
      <c r="BO417" s="241">
        <f>0.93*600</f>
        <v>558</v>
      </c>
      <c r="BP417" s="558">
        <f t="shared" si="189"/>
        <v>1.7913322632423756</v>
      </c>
      <c r="BQ417" s="558">
        <v>2.6</v>
      </c>
      <c r="BR417" s="559">
        <f t="shared" si="190"/>
        <v>0.1166666666666667</v>
      </c>
      <c r="BS417" s="558">
        <f t="shared" si="172"/>
        <v>1.6746655965757089</v>
      </c>
      <c r="BT417" s="558">
        <f t="shared" si="173"/>
        <v>36.341666666666676</v>
      </c>
      <c r="BU417" s="236" t="str">
        <f t="shared" si="174"/>
        <v>XPOLogistics</v>
      </c>
      <c r="BV417" s="554"/>
      <c r="BW417" s="236" t="str">
        <f>Table1[[#This Row],[BrokerAddress]]</f>
        <v xml:space="preserve">303 E Wacker Dr. </v>
      </c>
      <c r="BX417" s="236" t="str">
        <f t="shared" si="175"/>
        <v>Chicago</v>
      </c>
      <c r="BY417" s="269" t="str">
        <f t="shared" si="176"/>
        <v>IL</v>
      </c>
      <c r="BZ417" s="236">
        <f t="shared" si="177"/>
        <v>60601</v>
      </c>
      <c r="CA417" s="236" t="str">
        <f t="shared" si="178"/>
        <v>US</v>
      </c>
      <c r="CB417" s="15" t="s">
        <v>131</v>
      </c>
      <c r="CC417" s="62"/>
      <c r="CD417" s="15" t="s">
        <v>132</v>
      </c>
      <c r="CE417" s="64">
        <v>0</v>
      </c>
      <c r="CF417" s="4">
        <v>0</v>
      </c>
      <c r="CG417" s="132">
        <f t="shared" si="179"/>
        <v>0</v>
      </c>
      <c r="CH417" s="4" t="s">
        <v>132</v>
      </c>
      <c r="CI417" s="5">
        <v>0</v>
      </c>
      <c r="CJ417" s="4">
        <v>0</v>
      </c>
      <c r="CK417" s="132">
        <f t="shared" si="180"/>
        <v>0</v>
      </c>
      <c r="CL417" s="4" t="s">
        <v>132</v>
      </c>
      <c r="CM417" s="5">
        <v>0</v>
      </c>
      <c r="CN417" s="4">
        <v>0</v>
      </c>
      <c r="CO417" s="132">
        <f t="shared" si="181"/>
        <v>0</v>
      </c>
      <c r="CP417" s="4" t="s">
        <v>132</v>
      </c>
      <c r="CQ417" s="5">
        <v>0</v>
      </c>
      <c r="CR417" s="4">
        <v>0</v>
      </c>
      <c r="CS417" s="132">
        <f t="shared" si="182"/>
        <v>0</v>
      </c>
      <c r="CT417" s="132">
        <f t="shared" si="183"/>
        <v>0</v>
      </c>
      <c r="CU417" s="238">
        <f t="shared" si="184"/>
        <v>600</v>
      </c>
      <c r="CV417" s="239">
        <f t="shared" si="167"/>
        <v>0</v>
      </c>
      <c r="CW417" s="240">
        <f t="shared" si="168"/>
        <v>558</v>
      </c>
      <c r="CX417" s="79">
        <f>IF(ISBLANK(E417),"AddQuickPay",IF(E417=2,CU417*0.98,IF(E417=2.4,CU417*0.976,IF(E417=3,CU417*0.97,IF(E417=5,CU417*0.95,IF(E417=1.5,CU417*0.985,IF(E417=2.5,CU417*0.975,IF(E417=1.3,CU417*0.987,IF(E417=1,CU417*0.99,IF(E417=4,CU417*0.96,CU417*1))))))))))-Table1[[#This Row],[ComCheck+QuickPayFee]]</f>
        <v>582</v>
      </c>
      <c r="CY417" s="237">
        <f t="shared" si="185"/>
        <v>42</v>
      </c>
      <c r="CZ417" s="237">
        <f t="shared" si="186"/>
        <v>18</v>
      </c>
      <c r="DA417" s="263">
        <f>Table1[[#This Row],[OriginalDispatch]]-Table1[[#This Row],[QuickPayCharge]]</f>
        <v>24</v>
      </c>
      <c r="DB417" s="5">
        <v>0</v>
      </c>
      <c r="DC417" s="237" t="s">
        <v>133</v>
      </c>
      <c r="DD417" s="549">
        <f t="shared" si="187"/>
        <v>42503</v>
      </c>
      <c r="DE417" s="554">
        <f>MONTH(Table1[[#This Row],[Weekending]])</f>
        <v>5</v>
      </c>
      <c r="DF417" s="554">
        <f>YEAR(Table1[[#This Row],[Weekending]])</f>
        <v>2016</v>
      </c>
      <c r="DG417" s="235"/>
    </row>
    <row r="418" spans="1:111">
      <c r="A418" s="548" t="str">
        <f t="shared" si="169"/>
        <v>92846993</v>
      </c>
      <c r="B418" s="549">
        <v>42500</v>
      </c>
      <c r="C418" s="550">
        <v>1771792</v>
      </c>
      <c r="D418" s="548" t="s">
        <v>384</v>
      </c>
      <c r="E418" s="550">
        <v>1.5</v>
      </c>
      <c r="F418" s="551" t="str">
        <f>INDEX(BrokerTBL!$B:$B,MATCH(D418,BrokerTBL!$A:$A,0))</f>
        <v>11707 21St Ave Ct So</v>
      </c>
      <c r="G418" s="550" t="str">
        <f>INDEX(BrokerTBL!$C:$C,MATCH(D418,BrokerTBL!$A:$A,0))</f>
        <v>Tacoma</v>
      </c>
      <c r="H418" s="235" t="str">
        <f>INDEX(BrokerTBL!$D:$D,MATCH(D418,BrokerTBL!$A:$A,0))</f>
        <v>Wa</v>
      </c>
      <c r="I418" s="235" t="str">
        <f>INDEX(BrokerTBL!$E:$E,MATCH(D418,BrokerTBL!$A:$A,0))</f>
        <v>US</v>
      </c>
      <c r="J418" s="235">
        <f>INDEX(BrokerTBL!$F:$F,MATCH(D418,BrokerTBL!$A:$A,0))</f>
        <v>98444</v>
      </c>
      <c r="K418" s="548" t="s">
        <v>2757</v>
      </c>
      <c r="L418" s="552" t="s">
        <v>2758</v>
      </c>
      <c r="M418" s="549">
        <v>42500</v>
      </c>
      <c r="N418" s="560" t="s">
        <v>2759</v>
      </c>
      <c r="O418" s="550" t="s">
        <v>2760</v>
      </c>
      <c r="P418" s="548" t="s">
        <v>2761</v>
      </c>
      <c r="Q418" s="548" t="s">
        <v>2206</v>
      </c>
      <c r="R418" s="548" t="s">
        <v>2762</v>
      </c>
      <c r="S418" s="548" t="s">
        <v>2207</v>
      </c>
      <c r="T418" s="548" t="s">
        <v>123</v>
      </c>
      <c r="U418" s="548" t="s">
        <v>120</v>
      </c>
      <c r="V418" s="548">
        <v>53</v>
      </c>
      <c r="W418" s="548" t="s">
        <v>2278</v>
      </c>
      <c r="X418" s="553">
        <v>24566</v>
      </c>
      <c r="Y418" s="550" t="s">
        <v>566</v>
      </c>
      <c r="Z418" s="548">
        <v>3392</v>
      </c>
      <c r="AA418" s="548" t="s">
        <v>123</v>
      </c>
      <c r="AB418" s="548" t="s">
        <v>123</v>
      </c>
      <c r="AC418" s="548" t="s">
        <v>2279</v>
      </c>
      <c r="AD418" s="552">
        <v>163144069</v>
      </c>
      <c r="AE418" s="549">
        <v>42501</v>
      </c>
      <c r="AF418" s="560">
        <v>0.25</v>
      </c>
      <c r="AG418" s="548" t="s">
        <v>2280</v>
      </c>
      <c r="AH418" s="548" t="s">
        <v>2281</v>
      </c>
      <c r="AI418" s="548" t="s">
        <v>2233</v>
      </c>
      <c r="AJ418" s="548">
        <v>89423</v>
      </c>
      <c r="AK418" s="548" t="s">
        <v>2207</v>
      </c>
      <c r="AL418" s="548" t="s">
        <v>123</v>
      </c>
      <c r="AM418" s="554" t="str">
        <f>INDEX(CarrierDriverTBL!$B:$B,MATCH(Table1[[#This Row],[DriverID]],CarrierDriverTBL!$A:$A,0))</f>
        <v>UBTrucking</v>
      </c>
      <c r="AN418" s="10" t="s">
        <v>2234</v>
      </c>
      <c r="AO418" s="555" t="str">
        <f>INDEX(CarrierDriverTBL!$C:$C,MATCH(Table1[[#This Row],[DriverID]],CarrierDriverTBL!$A:$A,0))</f>
        <v>Arturo</v>
      </c>
      <c r="AP418" s="555" t="str">
        <f>INDEX(CarrierDriverTBL!$D:$D,MATCH(Table1[[#This Row],[DriverID]],CarrierDriverTBL!$A:$A,0))</f>
        <v>Carrillo</v>
      </c>
      <c r="AQ418" s="555" t="str">
        <f>INDEX(CarrierDriverTBL!$X:$X,MATCH(Table1[[#This Row],[DriverID]],CarrierDriverTBL!$A:$A,0))</f>
        <v>C7056793</v>
      </c>
      <c r="AR418" s="556">
        <f>INDEX(CarrierDriverTBL!$Y:$Y,MATCH(Table1[[#This Row],[DriverID]],CarrierDriverTBL!$A:$A,0))</f>
        <v>43410</v>
      </c>
      <c r="AS418" s="554" t="str">
        <f t="shared" si="170"/>
        <v>GOOD</v>
      </c>
      <c r="AT418" s="556">
        <f>INDEX(CarrierDriverTBL!$E:$E,MATCH(Table1[[#This Row],[DriverID]],CarrierDriverTBL!$A:$A,0))</f>
        <v>24782</v>
      </c>
      <c r="AU418" s="557">
        <f ca="1">INDEX(CarrierDriverTBL!$F:$F,MATCH(Table1[[#This Row],[DriverID]],CarrierDriverTBL!$A:$A,0))</f>
        <v>48.750684931506846</v>
      </c>
      <c r="AV418" s="554" t="str">
        <f>INDEX(CarrierDriverTBL!$K:$K,MATCH(Table1[[#This Row],[DriverID]],CarrierDriverTBL!$A:$A,0))</f>
        <v>209-276-9785</v>
      </c>
      <c r="AW418" s="554" t="str">
        <f>INDEX(CarrierDriverTBL!$M:$M,MATCH(Table1[[#This Row],[DriverID]],CarrierDriverTBL!$A:$A,0))</f>
        <v>1685 Winthrop Ln</v>
      </c>
      <c r="AX418" s="554" t="str">
        <f>INDEX(CarrierDriverTBL!$N:$N,MATCH(Table1[[#This Row],[DriverID]],CarrierDriverTBL!$A:$A,0))</f>
        <v>Ceres</v>
      </c>
      <c r="AY418" s="554" t="str">
        <f>INDEX(CarrierDriverTBL!$O:$O,MATCH(Table1[[#This Row],[DriverID]],CarrierDriverTBL!$A:$A,0))</f>
        <v>CA</v>
      </c>
      <c r="AZ418" s="554">
        <f>INDEX(CarrierDriverTBL!$P:$P,MATCH(Table1[[#This Row],[DriverID]],CarrierDriverTBL!$A:$A,0))</f>
        <v>95307</v>
      </c>
      <c r="BA418" s="554" t="str">
        <f>INDEX(CarrierDriverTBL!$Q:$Q,MATCH(Table1[[#This Row],[DriverID]],CarrierDriverTBL!$A:$A,0))</f>
        <v>US</v>
      </c>
      <c r="BB418" s="554" t="str">
        <f>INDEX(CarrierDriverTBL!$R:$R,MATCH(Table1[[#This Row],[DriverID]],CarrierDriverTBL!$A:$A,0))</f>
        <v>arturocarr777@gmail.com</v>
      </c>
      <c r="BC418" s="556">
        <f>INDEX(CarrierDriverTBL!$AB:$AB,MATCH(Table1[[#This Row],[DriverID]],CarrierDriverTBL!$A:$A,0))</f>
        <v>42418</v>
      </c>
      <c r="BD418" s="555" t="str">
        <f ca="1">INDEX(CarrierDriverTBL!$AD:$AD,MATCH(LoadMaster!$AN:$AN,CarrierDriverTBL!$A:$A,0))</f>
        <v>MISSING</v>
      </c>
      <c r="BE418" s="555">
        <f>INDEX(CarrierDriverTBL!$AE:$AE,MATCH(Table1[DriverID],CarrierDriverTBL!$A:$A,0))</f>
        <v>913971</v>
      </c>
      <c r="BF418" s="554">
        <f>INDEX(CarrierDriverTBL!$AF:$AF,MATCH(Table1[DriverID],CarrierDriverTBL!$A:$A,0))</f>
        <v>2627544</v>
      </c>
      <c r="BG418" s="236">
        <f>INDEX(CarrierDriverTBL!$AG:$AG,MATCH(Table1[DriverID],CarrierDriverTBL!$A:$A,0))</f>
        <v>466133</v>
      </c>
      <c r="BH418" s="554" t="str">
        <f>INDEX(CarrierDriverTBL!$AH:$AH,MATCH(Table1[DriverID],CarrierDriverTBL!$A:$A,0))</f>
        <v>GM Lawrence Ins</v>
      </c>
      <c r="BI418" s="554" t="str">
        <f>INDEX(CarrierDriverTBL!$AI:$AI,MATCH(Table1[DriverID],CarrierDriverTBL!$A:$A,0))</f>
        <v>DSK2842P160210</v>
      </c>
      <c r="BJ418" s="556">
        <f>INDEX(CarrierDriverTBL!$AJ:$AJ,MATCH(Table1[[#This Row],[DriverID]],CarrierDriverTBL!$A:$A,0))</f>
        <v>42778</v>
      </c>
      <c r="BK418" s="554">
        <f t="shared" si="171"/>
        <v>278</v>
      </c>
      <c r="BL418" s="558">
        <v>775</v>
      </c>
      <c r="BM418" s="554">
        <v>334</v>
      </c>
      <c r="BN418" s="558">
        <f t="shared" si="188"/>
        <v>2.3203592814371259</v>
      </c>
      <c r="BO418" s="241">
        <f>0.93*775</f>
        <v>720.75</v>
      </c>
      <c r="BP418" s="558">
        <f t="shared" si="189"/>
        <v>2.157934131736527</v>
      </c>
      <c r="BQ418" s="558">
        <v>2.6</v>
      </c>
      <c r="BR418" s="559">
        <f t="shared" si="190"/>
        <v>0.1166666666666667</v>
      </c>
      <c r="BS418" s="558">
        <f t="shared" si="172"/>
        <v>2.0412674650698603</v>
      </c>
      <c r="BT418" s="558">
        <f t="shared" si="173"/>
        <v>38.966666666666676</v>
      </c>
      <c r="BU418" s="236" t="str">
        <f t="shared" si="174"/>
        <v>Interstate Distributor Co</v>
      </c>
      <c r="BV418" s="554"/>
      <c r="BW418" s="236" t="str">
        <f>Table1[[#This Row],[BrokerAddress]]</f>
        <v>11707 21St Ave Ct So</v>
      </c>
      <c r="BX418" s="236" t="str">
        <f t="shared" si="175"/>
        <v>Tacoma</v>
      </c>
      <c r="BY418" s="269" t="str">
        <f t="shared" si="176"/>
        <v>Wa</v>
      </c>
      <c r="BZ418" s="236">
        <f t="shared" si="177"/>
        <v>98444</v>
      </c>
      <c r="CA418" s="236" t="str">
        <f t="shared" si="178"/>
        <v>US</v>
      </c>
      <c r="CB418" s="15" t="s">
        <v>131</v>
      </c>
      <c r="CC418" s="62"/>
      <c r="CD418" s="15" t="s">
        <v>132</v>
      </c>
      <c r="CE418" s="64">
        <v>0</v>
      </c>
      <c r="CF418" s="4">
        <v>0</v>
      </c>
      <c r="CG418" s="132">
        <f t="shared" si="179"/>
        <v>0</v>
      </c>
      <c r="CH418" s="4" t="s">
        <v>132</v>
      </c>
      <c r="CI418" s="5">
        <v>0</v>
      </c>
      <c r="CJ418" s="4">
        <v>0</v>
      </c>
      <c r="CK418" s="132">
        <f t="shared" si="180"/>
        <v>0</v>
      </c>
      <c r="CL418" s="4" t="s">
        <v>132</v>
      </c>
      <c r="CM418" s="5">
        <v>0</v>
      </c>
      <c r="CN418" s="4">
        <v>0</v>
      </c>
      <c r="CO418" s="132">
        <f t="shared" si="181"/>
        <v>0</v>
      </c>
      <c r="CP418" s="4" t="s">
        <v>132</v>
      </c>
      <c r="CQ418" s="5">
        <v>0</v>
      </c>
      <c r="CR418" s="4">
        <v>0</v>
      </c>
      <c r="CS418" s="132">
        <f t="shared" si="182"/>
        <v>0</v>
      </c>
      <c r="CT418" s="132">
        <f t="shared" si="183"/>
        <v>0</v>
      </c>
      <c r="CU418" s="238">
        <f t="shared" si="184"/>
        <v>775</v>
      </c>
      <c r="CV418" s="239">
        <f t="shared" si="167"/>
        <v>0</v>
      </c>
      <c r="CW418" s="240">
        <f t="shared" si="168"/>
        <v>720.75</v>
      </c>
      <c r="CX418" s="79">
        <f>IF(ISBLANK(E418),"AddQuickPay",IF(E418=2,CU418*0.98,IF(E418=2.4,CU418*0.976,IF(E418=3,CU418*0.97,IF(E418=5,CU418*0.95,IF(E418=1.5,CU418*0.985,IF(E418=2.5,CU418*0.975,IF(E418=1.3,CU418*0.987,IF(E418=1,CU418*0.99,IF(E418=4,CU418*0.96,CU418*1))))))))))-Table1[[#This Row],[ComCheck+QuickPayFee]]</f>
        <v>763.375</v>
      </c>
      <c r="CY418" s="237">
        <f t="shared" si="185"/>
        <v>54.25</v>
      </c>
      <c r="CZ418" s="237">
        <f t="shared" si="186"/>
        <v>11.625</v>
      </c>
      <c r="DA418" s="263">
        <f>Table1[[#This Row],[OriginalDispatch]]-Table1[[#This Row],[QuickPayCharge]]</f>
        <v>42.625</v>
      </c>
      <c r="DB418" s="5">
        <v>0</v>
      </c>
      <c r="DC418" s="237" t="s">
        <v>133</v>
      </c>
      <c r="DD418" s="549">
        <f t="shared" si="187"/>
        <v>42503</v>
      </c>
      <c r="DE418" s="554">
        <f>MONTH(Table1[[#This Row],[Weekending]])</f>
        <v>5</v>
      </c>
      <c r="DF418" s="554">
        <f>YEAR(Table1[[#This Row],[Weekending]])</f>
        <v>2016</v>
      </c>
      <c r="DG418" s="235"/>
    </row>
    <row r="419" spans="1:111">
      <c r="A419" s="548" t="str">
        <f t="shared" si="169"/>
        <v>74247749</v>
      </c>
      <c r="B419" s="549">
        <v>42136</v>
      </c>
      <c r="C419" s="550">
        <v>200889174</v>
      </c>
      <c r="D419" s="548" t="s">
        <v>111</v>
      </c>
      <c r="E419" s="550">
        <v>2</v>
      </c>
      <c r="F419" s="551" t="str">
        <f>INDEX(BrokerTBL!$B:$B,MATCH(D419,BrokerTBL!$A:$A,0))</f>
        <v>P.O. Box 3474</v>
      </c>
      <c r="G419" s="550" t="str">
        <f>INDEX(BrokerTBL!$C:$C,MATCH(D419,BrokerTBL!$A:$A,0))</f>
        <v>Chicago</v>
      </c>
      <c r="H419" s="235" t="str">
        <f>INDEX(BrokerTBL!$D:$D,MATCH(D419,BrokerTBL!$A:$A,0))</f>
        <v>Il</v>
      </c>
      <c r="I419" s="235" t="str">
        <f>INDEX(BrokerTBL!$E:$E,MATCH(D419,BrokerTBL!$A:$A,0))</f>
        <v>US</v>
      </c>
      <c r="J419" s="235">
        <f>INDEX(BrokerTBL!$F:$F,MATCH(D419,BrokerTBL!$A:$A,0))</f>
        <v>60654</v>
      </c>
      <c r="K419" s="548" t="s">
        <v>2757</v>
      </c>
      <c r="L419" s="552">
        <v>703524</v>
      </c>
      <c r="M419" s="549">
        <v>42501</v>
      </c>
      <c r="N419" s="550" t="s">
        <v>1453</v>
      </c>
      <c r="O419" s="550" t="s">
        <v>2763</v>
      </c>
      <c r="P419" s="548" t="s">
        <v>2277</v>
      </c>
      <c r="Q419" s="548" t="s">
        <v>2206</v>
      </c>
      <c r="R419" s="548">
        <v>93702</v>
      </c>
      <c r="S419" s="548" t="s">
        <v>2207</v>
      </c>
      <c r="T419" s="548" t="s">
        <v>123</v>
      </c>
      <c r="U419" s="548" t="s">
        <v>120</v>
      </c>
      <c r="V419" s="548">
        <v>53</v>
      </c>
      <c r="W419" s="548" t="s">
        <v>2764</v>
      </c>
      <c r="X419" s="553">
        <v>10012</v>
      </c>
      <c r="Y419" s="550" t="s">
        <v>2220</v>
      </c>
      <c r="Z419" s="548">
        <v>286</v>
      </c>
      <c r="AA419" s="548">
        <v>4</v>
      </c>
      <c r="AB419" s="548" t="s">
        <v>123</v>
      </c>
      <c r="AC419" s="548" t="s">
        <v>2765</v>
      </c>
      <c r="AD419" s="552">
        <v>9677</v>
      </c>
      <c r="AE419" s="549">
        <v>42502</v>
      </c>
      <c r="AF419" s="549" t="s">
        <v>1150</v>
      </c>
      <c r="AG419" s="548" t="s">
        <v>2766</v>
      </c>
      <c r="AH419" s="548" t="s">
        <v>1232</v>
      </c>
      <c r="AI419" s="548" t="s">
        <v>2206</v>
      </c>
      <c r="AJ419" s="548">
        <v>95945</v>
      </c>
      <c r="AK419" s="548" t="s">
        <v>2207</v>
      </c>
      <c r="AL419" s="548" t="s">
        <v>123</v>
      </c>
      <c r="AM419" s="554" t="str">
        <f>INDEX(CarrierDriverTBL!$B:$B,MATCH(Table1[[#This Row],[DriverID]],CarrierDriverTBL!$A:$A,0))</f>
        <v>UBTrucking</v>
      </c>
      <c r="AN419" s="10" t="s">
        <v>192</v>
      </c>
      <c r="AO419" s="555" t="str">
        <f>INDEX(CarrierDriverTBL!$C:$C,MATCH(Table1[[#This Row],[DriverID]],CarrierDriverTBL!$A:$A,0))</f>
        <v>Albel</v>
      </c>
      <c r="AP419" s="555" t="str">
        <f>INDEX(CarrierDriverTBL!$D:$D,MATCH(Table1[[#This Row],[DriverID]],CarrierDriverTBL!$A:$A,0))</f>
        <v>Chahil</v>
      </c>
      <c r="AQ419" s="555" t="str">
        <f>INDEX(CarrierDriverTBL!$X:$X,MATCH(Table1[[#This Row],[DriverID]],CarrierDriverTBL!$A:$A,0))</f>
        <v>A8390649</v>
      </c>
      <c r="AR419" s="556">
        <f>INDEX(CarrierDriverTBL!$Y:$Y,MATCH(Table1[[#This Row],[DriverID]],CarrierDriverTBL!$A:$A,0))</f>
        <v>42402</v>
      </c>
      <c r="AS419" s="554" t="str">
        <f t="shared" si="170"/>
        <v>EXPIRED</v>
      </c>
      <c r="AT419" s="556">
        <f>INDEX(CarrierDriverTBL!$E:$E,MATCH(Table1[[#This Row],[DriverID]],CarrierDriverTBL!$A:$A,0))</f>
        <v>22314</v>
      </c>
      <c r="AU419" s="557">
        <f ca="1">INDEX(CarrierDriverTBL!$F:$F,MATCH(Table1[[#This Row],[DriverID]],CarrierDriverTBL!$A:$A,0))</f>
        <v>55.512328767123286</v>
      </c>
      <c r="AV419" s="554" t="str">
        <f>INDEX(CarrierDriverTBL!$K:$K,MATCH(Table1[[#This Row],[DriverID]],CarrierDriverTBL!$A:$A,0))</f>
        <v>510-773-9450</v>
      </c>
      <c r="AW419" s="554" t="str">
        <f>INDEX(CarrierDriverTBL!$M:$M,MATCH(Table1[[#This Row],[DriverID]],CarrierDriverTBL!$A:$A,0))</f>
        <v>3124 Cynthia CT</v>
      </c>
      <c r="AX419" s="554" t="str">
        <f>INDEX(CarrierDriverTBL!$N:$N,MATCH(Table1[[#This Row],[DriverID]],CarrierDriverTBL!$A:$A,0))</f>
        <v>Tracy</v>
      </c>
      <c r="AY419" s="554" t="str">
        <f>INDEX(CarrierDriverTBL!$O:$O,MATCH(Table1[[#This Row],[DriverID]],CarrierDriverTBL!$A:$A,0))</f>
        <v>CA</v>
      </c>
      <c r="AZ419" s="554">
        <f>INDEX(CarrierDriverTBL!$P:$P,MATCH(Table1[[#This Row],[DriverID]],CarrierDriverTBL!$A:$A,0))</f>
        <v>95377</v>
      </c>
      <c r="BA419" s="554" t="str">
        <f>INDEX(CarrierDriverTBL!$Q:$Q,MATCH(Table1[[#This Row],[DriverID]],CarrierDriverTBL!$A:$A,0))</f>
        <v>US</v>
      </c>
      <c r="BB419" s="554" t="str">
        <f>INDEX(CarrierDriverTBL!$R:$R,MATCH(Table1[[#This Row],[DriverID]],CarrierDriverTBL!$A:$A,0))</f>
        <v>ubgollc@gmail.com</v>
      </c>
      <c r="BC419" s="556">
        <f>INDEX(CarrierDriverTBL!$AB:$AB,MATCH(Table1[[#This Row],[DriverID]],CarrierDriverTBL!$A:$A,0))</f>
        <v>42167</v>
      </c>
      <c r="BD419" s="555" t="str">
        <f ca="1">INDEX(CarrierDriverTBL!$AD:$AD,MATCH(LoadMaster!$AN:$AN,CarrierDriverTBL!$A:$A,0))</f>
        <v>MISSING</v>
      </c>
      <c r="BE419" s="555">
        <f>INDEX(CarrierDriverTBL!$AE:$AE,MATCH(Table1[DriverID],CarrierDriverTBL!$A:$A,0))</f>
        <v>913971</v>
      </c>
      <c r="BF419" s="554">
        <f>INDEX(CarrierDriverTBL!$AF:$AF,MATCH(Table1[DriverID],CarrierDriverTBL!$A:$A,0))</f>
        <v>2627544</v>
      </c>
      <c r="BG419" s="236">
        <f>INDEX(CarrierDriverTBL!$AG:$AG,MATCH(Table1[DriverID],CarrierDriverTBL!$A:$A,0))</f>
        <v>466133</v>
      </c>
      <c r="BH419" s="554" t="str">
        <f>INDEX(CarrierDriverTBL!$AH:$AH,MATCH(Table1[DriverID],CarrierDriverTBL!$A:$A,0))</f>
        <v>GM Lawrence Ins</v>
      </c>
      <c r="BI419" s="554" t="str">
        <f>INDEX(CarrierDriverTBL!$AI:$AI,MATCH(Table1[DriverID],CarrierDriverTBL!$A:$A,0))</f>
        <v>DSK2842P160210</v>
      </c>
      <c r="BJ419" s="556">
        <f>INDEX(CarrierDriverTBL!$AJ:$AJ,MATCH(Table1[[#This Row],[DriverID]],CarrierDriverTBL!$A:$A,0))</f>
        <v>42778</v>
      </c>
      <c r="BK419" s="554">
        <f t="shared" si="171"/>
        <v>277</v>
      </c>
      <c r="BL419" s="558">
        <v>600</v>
      </c>
      <c r="BM419" s="554">
        <v>225.1</v>
      </c>
      <c r="BN419" s="558">
        <f t="shared" si="188"/>
        <v>2.6654820079964461</v>
      </c>
      <c r="BO419" s="241">
        <v>558</v>
      </c>
      <c r="BP419" s="558">
        <f t="shared" si="189"/>
        <v>2.4788982674366951</v>
      </c>
      <c r="BQ419" s="558">
        <v>2.6</v>
      </c>
      <c r="BR419" s="559">
        <f t="shared" si="190"/>
        <v>0.1166666666666667</v>
      </c>
      <c r="BS419" s="558">
        <f t="shared" si="172"/>
        <v>2.3622316007700284</v>
      </c>
      <c r="BT419" s="558">
        <f t="shared" si="173"/>
        <v>26.261666666666674</v>
      </c>
      <c r="BU419" s="236" t="str">
        <f t="shared" si="174"/>
        <v>Ch Robinson</v>
      </c>
      <c r="BV419" s="554"/>
      <c r="BW419" s="236" t="str">
        <f>Table1[[#This Row],[BrokerAddress]]</f>
        <v>P.O. Box 3474</v>
      </c>
      <c r="BX419" s="236" t="str">
        <f t="shared" si="175"/>
        <v>Chicago</v>
      </c>
      <c r="BY419" s="269" t="str">
        <f t="shared" si="176"/>
        <v>Il</v>
      </c>
      <c r="BZ419" s="236">
        <f t="shared" si="177"/>
        <v>60654</v>
      </c>
      <c r="CA419" s="236" t="str">
        <f t="shared" si="178"/>
        <v>US</v>
      </c>
      <c r="CB419" s="15" t="s">
        <v>131</v>
      </c>
      <c r="CC419" s="62"/>
      <c r="CD419" s="15" t="s">
        <v>132</v>
      </c>
      <c r="CE419" s="64">
        <v>0</v>
      </c>
      <c r="CF419" s="4">
        <v>0</v>
      </c>
      <c r="CG419" s="132">
        <f t="shared" si="179"/>
        <v>0</v>
      </c>
      <c r="CH419" s="4" t="s">
        <v>132</v>
      </c>
      <c r="CI419" s="5">
        <v>0</v>
      </c>
      <c r="CJ419" s="4">
        <v>0</v>
      </c>
      <c r="CK419" s="132">
        <f t="shared" si="180"/>
        <v>0</v>
      </c>
      <c r="CL419" s="4" t="s">
        <v>132</v>
      </c>
      <c r="CM419" s="5">
        <v>0</v>
      </c>
      <c r="CN419" s="4">
        <v>0</v>
      </c>
      <c r="CO419" s="132">
        <f t="shared" si="181"/>
        <v>0</v>
      </c>
      <c r="CP419" s="4" t="s">
        <v>132</v>
      </c>
      <c r="CQ419" s="5">
        <v>0</v>
      </c>
      <c r="CR419" s="4">
        <v>0</v>
      </c>
      <c r="CS419" s="132">
        <f t="shared" si="182"/>
        <v>0</v>
      </c>
      <c r="CT419" s="132">
        <f t="shared" si="183"/>
        <v>0</v>
      </c>
      <c r="CU419" s="238">
        <f t="shared" si="184"/>
        <v>600</v>
      </c>
      <c r="CV419" s="239">
        <f t="shared" si="167"/>
        <v>0</v>
      </c>
      <c r="CW419" s="240">
        <f t="shared" si="168"/>
        <v>558</v>
      </c>
      <c r="CX419" s="79">
        <f>IF(ISBLANK(E419),"AddQuickPay",IF(E419=2,CU419*0.98,IF(E419=2.4,CU419*0.976,IF(E419=3,CU419*0.97,IF(E419=5,CU419*0.95,IF(E419=1.5,CU419*0.985,IF(E419=2.5,CU419*0.975,IF(E419=1.3,CU419*0.987,IF(E419=1,CU419*0.99,IF(E419=4,CU419*0.96,CU419*1))))))))))-Table1[[#This Row],[ComCheck+QuickPayFee]]</f>
        <v>588</v>
      </c>
      <c r="CY419" s="237">
        <f t="shared" si="185"/>
        <v>42</v>
      </c>
      <c r="CZ419" s="237">
        <f t="shared" si="186"/>
        <v>12</v>
      </c>
      <c r="DA419" s="263">
        <f>Table1[[#This Row],[OriginalDispatch]]-Table1[[#This Row],[QuickPayCharge]]</f>
        <v>30</v>
      </c>
      <c r="DB419" s="5">
        <v>0</v>
      </c>
      <c r="DC419" s="237" t="s">
        <v>133</v>
      </c>
      <c r="DD419" s="549">
        <f t="shared" si="187"/>
        <v>42503</v>
      </c>
      <c r="DE419" s="554">
        <f>MONTH(Table1[[#This Row],[Weekending]])</f>
        <v>5</v>
      </c>
      <c r="DF419" s="554">
        <f>YEAR(Table1[[#This Row],[Weekending]])</f>
        <v>2016</v>
      </c>
      <c r="DG419" s="235"/>
    </row>
    <row r="420" spans="1:111">
      <c r="A420" s="548" t="str">
        <f t="shared" si="169"/>
        <v>27444493</v>
      </c>
      <c r="B420" s="549">
        <v>42502</v>
      </c>
      <c r="C420" s="550">
        <v>1992027</v>
      </c>
      <c r="D420" s="548" t="s">
        <v>2405</v>
      </c>
      <c r="E420" s="550">
        <v>3</v>
      </c>
      <c r="F420" s="551" t="str">
        <f>INDEX(BrokerTBL!$B:$B,MATCH(D420,BrokerTBL!$A:$A,0))</f>
        <v xml:space="preserve">303 E Wacker Dr. </v>
      </c>
      <c r="G420" s="550" t="str">
        <f>INDEX(BrokerTBL!$C:$C,MATCH(D420,BrokerTBL!$A:$A,0))</f>
        <v>Chicago</v>
      </c>
      <c r="H420" s="235" t="str">
        <f>INDEX(BrokerTBL!$D:$D,MATCH(D420,BrokerTBL!$A:$A,0))</f>
        <v>IL</v>
      </c>
      <c r="I420" s="235" t="str">
        <f>INDEX(BrokerTBL!$E:$E,MATCH(D420,BrokerTBL!$A:$A,0))</f>
        <v>US</v>
      </c>
      <c r="J420" s="235">
        <f>INDEX(BrokerTBL!$F:$F,MATCH(D420,BrokerTBL!$A:$A,0))</f>
        <v>60601</v>
      </c>
      <c r="K420" s="548" t="s">
        <v>2406</v>
      </c>
      <c r="L420" s="552">
        <v>30044</v>
      </c>
      <c r="M420" s="549">
        <v>42501</v>
      </c>
      <c r="N420" s="550" t="s">
        <v>1055</v>
      </c>
      <c r="O420" s="550" t="s">
        <v>2407</v>
      </c>
      <c r="P420" s="548" t="s">
        <v>2408</v>
      </c>
      <c r="Q420" s="548" t="s">
        <v>2233</v>
      </c>
      <c r="R420" s="548">
        <v>89706</v>
      </c>
      <c r="S420" s="548" t="s">
        <v>2207</v>
      </c>
      <c r="T420" s="548" t="s">
        <v>123</v>
      </c>
      <c r="U420" s="548" t="s">
        <v>120</v>
      </c>
      <c r="V420" s="548">
        <v>53</v>
      </c>
      <c r="W420" s="548" t="s">
        <v>2409</v>
      </c>
      <c r="X420" s="553">
        <v>45000</v>
      </c>
      <c r="Y420" s="550" t="s">
        <v>2410</v>
      </c>
      <c r="Z420" s="548">
        <v>50</v>
      </c>
      <c r="AA420" s="548" t="s">
        <v>123</v>
      </c>
      <c r="AB420" s="548" t="s">
        <v>123</v>
      </c>
      <c r="AC420" s="548" t="s">
        <v>2411</v>
      </c>
      <c r="AD420" s="552">
        <v>30044</v>
      </c>
      <c r="AE420" s="549">
        <v>42502</v>
      </c>
      <c r="AF420" s="549" t="s">
        <v>1316</v>
      </c>
      <c r="AG420" s="548" t="s">
        <v>2412</v>
      </c>
      <c r="AH420" s="548" t="s">
        <v>2168</v>
      </c>
      <c r="AI420" s="548" t="s">
        <v>2206</v>
      </c>
      <c r="AJ420" s="548">
        <v>93235</v>
      </c>
      <c r="AK420" s="548" t="s">
        <v>2207</v>
      </c>
      <c r="AL420" s="548" t="s">
        <v>123</v>
      </c>
      <c r="AM420" s="554" t="str">
        <f>INDEX(CarrierDriverTBL!$B:$B,MATCH(Table1[[#This Row],[DriverID]],CarrierDriverTBL!$A:$A,0))</f>
        <v>UBTrucking</v>
      </c>
      <c r="AN420" s="10" t="s">
        <v>2234</v>
      </c>
      <c r="AO420" s="555" t="str">
        <f>INDEX(CarrierDriverTBL!$C:$C,MATCH(Table1[[#This Row],[DriverID]],CarrierDriverTBL!$A:$A,0))</f>
        <v>Arturo</v>
      </c>
      <c r="AP420" s="555" t="str">
        <f>INDEX(CarrierDriverTBL!$D:$D,MATCH(Table1[[#This Row],[DriverID]],CarrierDriverTBL!$A:$A,0))</f>
        <v>Carrillo</v>
      </c>
      <c r="AQ420" s="555" t="str">
        <f>INDEX(CarrierDriverTBL!$X:$X,MATCH(Table1[[#This Row],[DriverID]],CarrierDriverTBL!$A:$A,0))</f>
        <v>C7056793</v>
      </c>
      <c r="AR420" s="556">
        <f>INDEX(CarrierDriverTBL!$Y:$Y,MATCH(Table1[[#This Row],[DriverID]],CarrierDriverTBL!$A:$A,0))</f>
        <v>43410</v>
      </c>
      <c r="AS420" s="554" t="str">
        <f t="shared" si="170"/>
        <v>GOOD</v>
      </c>
      <c r="AT420" s="556">
        <f>INDEX(CarrierDriverTBL!$E:$E,MATCH(Table1[[#This Row],[DriverID]],CarrierDriverTBL!$A:$A,0))</f>
        <v>24782</v>
      </c>
      <c r="AU420" s="557">
        <f ca="1">INDEX(CarrierDriverTBL!$F:$F,MATCH(Table1[[#This Row],[DriverID]],CarrierDriverTBL!$A:$A,0))</f>
        <v>48.750684931506846</v>
      </c>
      <c r="AV420" s="554" t="str">
        <f>INDEX(CarrierDriverTBL!$K:$K,MATCH(Table1[[#This Row],[DriverID]],CarrierDriverTBL!$A:$A,0))</f>
        <v>209-276-9785</v>
      </c>
      <c r="AW420" s="554" t="str">
        <f>INDEX(CarrierDriverTBL!$M:$M,MATCH(Table1[[#This Row],[DriverID]],CarrierDriverTBL!$A:$A,0))</f>
        <v>1685 Winthrop Ln</v>
      </c>
      <c r="AX420" s="554" t="str">
        <f>INDEX(CarrierDriverTBL!$N:$N,MATCH(Table1[[#This Row],[DriverID]],CarrierDriverTBL!$A:$A,0))</f>
        <v>Ceres</v>
      </c>
      <c r="AY420" s="554" t="str">
        <f>INDEX(CarrierDriverTBL!$O:$O,MATCH(Table1[[#This Row],[DriverID]],CarrierDriverTBL!$A:$A,0))</f>
        <v>CA</v>
      </c>
      <c r="AZ420" s="554">
        <f>INDEX(CarrierDriverTBL!$P:$P,MATCH(Table1[[#This Row],[DriverID]],CarrierDriverTBL!$A:$A,0))</f>
        <v>95307</v>
      </c>
      <c r="BA420" s="554" t="str">
        <f>INDEX(CarrierDriverTBL!$Q:$Q,MATCH(Table1[[#This Row],[DriverID]],CarrierDriverTBL!$A:$A,0))</f>
        <v>US</v>
      </c>
      <c r="BB420" s="554" t="str">
        <f>INDEX(CarrierDriverTBL!$R:$R,MATCH(Table1[[#This Row],[DriverID]],CarrierDriverTBL!$A:$A,0))</f>
        <v>arturocarr777@gmail.com</v>
      </c>
      <c r="BC420" s="556">
        <f>INDEX(CarrierDriverTBL!$AB:$AB,MATCH(Table1[[#This Row],[DriverID]],CarrierDriverTBL!$A:$A,0))</f>
        <v>42418</v>
      </c>
      <c r="BD420" s="555" t="str">
        <f ca="1">INDEX(CarrierDriverTBL!$AD:$AD,MATCH(LoadMaster!$AN:$AN,CarrierDriverTBL!$A:$A,0))</f>
        <v>MISSING</v>
      </c>
      <c r="BE420" s="555">
        <f>INDEX(CarrierDriverTBL!$AE:$AE,MATCH(Table1[DriverID],CarrierDriverTBL!$A:$A,0))</f>
        <v>913971</v>
      </c>
      <c r="BF420" s="554">
        <f>INDEX(CarrierDriverTBL!$AF:$AF,MATCH(Table1[DriverID],CarrierDriverTBL!$A:$A,0))</f>
        <v>2627544</v>
      </c>
      <c r="BG420" s="236">
        <f>INDEX(CarrierDriverTBL!$AG:$AG,MATCH(Table1[DriverID],CarrierDriverTBL!$A:$A,0))</f>
        <v>466133</v>
      </c>
      <c r="BH420" s="554" t="str">
        <f>INDEX(CarrierDriverTBL!$AH:$AH,MATCH(Table1[DriverID],CarrierDriverTBL!$A:$A,0))</f>
        <v>GM Lawrence Ins</v>
      </c>
      <c r="BI420" s="554" t="str">
        <f>INDEX(CarrierDriverTBL!$AI:$AI,MATCH(Table1[DriverID],CarrierDriverTBL!$A:$A,0))</f>
        <v>DSK2842P160210</v>
      </c>
      <c r="BJ420" s="556">
        <f>INDEX(CarrierDriverTBL!$AJ:$AJ,MATCH(Table1[[#This Row],[DriverID]],CarrierDriverTBL!$A:$A,0))</f>
        <v>42778</v>
      </c>
      <c r="BK420" s="554">
        <f t="shared" si="171"/>
        <v>277</v>
      </c>
      <c r="BL420" s="558">
        <v>600</v>
      </c>
      <c r="BM420" s="554">
        <v>311.5</v>
      </c>
      <c r="BN420" s="558">
        <f t="shared" si="188"/>
        <v>1.926163723916533</v>
      </c>
      <c r="BO420" s="241">
        <v>558</v>
      </c>
      <c r="BP420" s="558">
        <f t="shared" si="189"/>
        <v>1.7913322632423756</v>
      </c>
      <c r="BQ420" s="558">
        <v>2.6</v>
      </c>
      <c r="BR420" s="559">
        <f t="shared" si="190"/>
        <v>0.1166666666666667</v>
      </c>
      <c r="BS420" s="558">
        <f t="shared" si="172"/>
        <v>1.6746655965757089</v>
      </c>
      <c r="BT420" s="558">
        <f t="shared" si="173"/>
        <v>36.341666666666676</v>
      </c>
      <c r="BU420" s="236" t="str">
        <f t="shared" si="174"/>
        <v>XPOLogistics</v>
      </c>
      <c r="BV420" s="554"/>
      <c r="BW420" s="236" t="str">
        <f>Table1[[#This Row],[BrokerAddress]]</f>
        <v xml:space="preserve">303 E Wacker Dr. </v>
      </c>
      <c r="BX420" s="236" t="str">
        <f t="shared" si="175"/>
        <v>Chicago</v>
      </c>
      <c r="BY420" s="269" t="str">
        <f t="shared" si="176"/>
        <v>IL</v>
      </c>
      <c r="BZ420" s="236">
        <f t="shared" si="177"/>
        <v>60601</v>
      </c>
      <c r="CA420" s="236" t="str">
        <f t="shared" si="178"/>
        <v>US</v>
      </c>
      <c r="CB420" s="15" t="s">
        <v>131</v>
      </c>
      <c r="CC420" s="62"/>
      <c r="CD420" s="15" t="s">
        <v>132</v>
      </c>
      <c r="CE420" s="64">
        <v>0</v>
      </c>
      <c r="CF420" s="4">
        <v>0</v>
      </c>
      <c r="CG420" s="132">
        <f t="shared" si="179"/>
        <v>0</v>
      </c>
      <c r="CH420" s="4" t="s">
        <v>132</v>
      </c>
      <c r="CI420" s="5">
        <v>0</v>
      </c>
      <c r="CJ420" s="4">
        <v>0</v>
      </c>
      <c r="CK420" s="132">
        <f t="shared" si="180"/>
        <v>0</v>
      </c>
      <c r="CL420" s="4" t="s">
        <v>132</v>
      </c>
      <c r="CM420" s="5">
        <v>0</v>
      </c>
      <c r="CN420" s="4">
        <v>0</v>
      </c>
      <c r="CO420" s="132">
        <f t="shared" si="181"/>
        <v>0</v>
      </c>
      <c r="CP420" s="4" t="s">
        <v>132</v>
      </c>
      <c r="CQ420" s="5">
        <v>0</v>
      </c>
      <c r="CR420" s="4">
        <v>0</v>
      </c>
      <c r="CS420" s="132">
        <f t="shared" si="182"/>
        <v>0</v>
      </c>
      <c r="CT420" s="132">
        <f t="shared" si="183"/>
        <v>0</v>
      </c>
      <c r="CU420" s="238">
        <f t="shared" si="184"/>
        <v>600</v>
      </c>
      <c r="CV420" s="239">
        <f t="shared" si="167"/>
        <v>0</v>
      </c>
      <c r="CW420" s="240">
        <f t="shared" si="168"/>
        <v>558</v>
      </c>
      <c r="CX420" s="79">
        <f>IF(ISBLANK(E420),"AddQuickPay",IF(E420=2,CU420*0.98,IF(E420=2.4,CU420*0.976,IF(E420=3,CU420*0.97,IF(E420=5,CU420*0.95,IF(E420=1.5,CU420*0.985,IF(E420=2.5,CU420*0.975,IF(E420=1.3,CU420*0.987,IF(E420=1,CU420*0.99,IF(E420=4,CU420*0.96,CU420*1))))))))))-Table1[[#This Row],[ComCheck+QuickPayFee]]</f>
        <v>582</v>
      </c>
      <c r="CY420" s="237">
        <f t="shared" si="185"/>
        <v>42</v>
      </c>
      <c r="CZ420" s="237">
        <f t="shared" si="186"/>
        <v>18</v>
      </c>
      <c r="DA420" s="263">
        <f>Table1[[#This Row],[OriginalDispatch]]-Table1[[#This Row],[QuickPayCharge]]</f>
        <v>24</v>
      </c>
      <c r="DB420" s="5">
        <v>0</v>
      </c>
      <c r="DC420" s="237" t="s">
        <v>133</v>
      </c>
      <c r="DD420" s="549">
        <f t="shared" si="187"/>
        <v>42503</v>
      </c>
      <c r="DE420" s="554">
        <f>MONTH(Table1[[#This Row],[Weekending]])</f>
        <v>5</v>
      </c>
      <c r="DF420" s="554">
        <f>YEAR(Table1[[#This Row],[Weekending]])</f>
        <v>2016</v>
      </c>
      <c r="DG420" s="235"/>
    </row>
    <row r="421" spans="1:111">
      <c r="A421" s="548" t="str">
        <f t="shared" si="169"/>
        <v>14wnwn19</v>
      </c>
      <c r="B421" s="549">
        <v>42502</v>
      </c>
      <c r="C421" s="550">
        <v>6951814</v>
      </c>
      <c r="D421" s="548" t="s">
        <v>2248</v>
      </c>
      <c r="E421" s="550">
        <v>3</v>
      </c>
      <c r="F421" s="551" t="str">
        <f>INDEX(BrokerTBL!$B:$B,MATCH(D421,BrokerTBL!$A:$A,0))</f>
        <v>P.O. Box 799</v>
      </c>
      <c r="G421" s="550" t="str">
        <f>INDEX(BrokerTBL!$C:$C,MATCH(D421,BrokerTBL!$A:$A,0))</f>
        <v>Milford</v>
      </c>
      <c r="H421" s="235" t="str">
        <f>INDEX(BrokerTBL!$D:$D,MATCH(D421,BrokerTBL!$A:$A,0))</f>
        <v>Ohio</v>
      </c>
      <c r="I421" s="235" t="str">
        <f>INDEX(BrokerTBL!$E:$E,MATCH(D421,BrokerTBL!$A:$A,0))</f>
        <v>US</v>
      </c>
      <c r="J421" s="235">
        <f>INDEX(BrokerTBL!$F:$F,MATCH(D421,BrokerTBL!$A:$A,0))</f>
        <v>45150</v>
      </c>
      <c r="K421" s="548" t="s">
        <v>2767</v>
      </c>
      <c r="L421" s="552" t="s">
        <v>1205</v>
      </c>
      <c r="M421" s="549">
        <v>42501</v>
      </c>
      <c r="N421" s="550" t="s">
        <v>1723</v>
      </c>
      <c r="O421" s="550" t="s">
        <v>2768</v>
      </c>
      <c r="P421" s="548" t="s">
        <v>253</v>
      </c>
      <c r="Q421" s="548" t="s">
        <v>2206</v>
      </c>
      <c r="R421" s="548">
        <v>93637</v>
      </c>
      <c r="S421" s="548" t="s">
        <v>2207</v>
      </c>
      <c r="T421" s="548" t="s">
        <v>123</v>
      </c>
      <c r="U421" s="548" t="s">
        <v>120</v>
      </c>
      <c r="V421" s="548">
        <v>53</v>
      </c>
      <c r="W421" s="548" t="s">
        <v>1205</v>
      </c>
      <c r="X421" s="553">
        <v>35000</v>
      </c>
      <c r="Y421" s="550" t="s">
        <v>123</v>
      </c>
      <c r="Z421" s="548" t="s">
        <v>123</v>
      </c>
      <c r="AA421" s="548" t="s">
        <v>123</v>
      </c>
      <c r="AB421" s="548" t="s">
        <v>123</v>
      </c>
      <c r="AC421" s="548" t="s">
        <v>2769</v>
      </c>
      <c r="AD421" s="552" t="s">
        <v>1205</v>
      </c>
      <c r="AE421" s="549">
        <v>42502</v>
      </c>
      <c r="AF421" s="549" t="s">
        <v>2770</v>
      </c>
      <c r="AG421" s="548" t="s">
        <v>2771</v>
      </c>
      <c r="AH421" s="548" t="s">
        <v>2772</v>
      </c>
      <c r="AI421" s="548" t="s">
        <v>2233</v>
      </c>
      <c r="AJ421" s="548" t="s">
        <v>2773</v>
      </c>
      <c r="AK421" s="548" t="s">
        <v>2207</v>
      </c>
      <c r="AL421" s="548" t="s">
        <v>2774</v>
      </c>
      <c r="AM421" s="554" t="str">
        <f>INDEX(CarrierDriverTBL!$B:$B,MATCH(Table1[[#This Row],[DriverID]],CarrierDriverTBL!$A:$A,0))</f>
        <v>UBTrucking</v>
      </c>
      <c r="AN421" s="10" t="s">
        <v>1409</v>
      </c>
      <c r="AO421" s="555" t="str">
        <f>INDEX(CarrierDriverTBL!$C:$C,MATCH(Table1[[#This Row],[DriverID]],CarrierDriverTBL!$A:$A,0))</f>
        <v>Miguel Jaime</v>
      </c>
      <c r="AP421" s="555" t="str">
        <f>INDEX(CarrierDriverTBL!$D:$D,MATCH(Table1[[#This Row],[DriverID]],CarrierDriverTBL!$A:$A,0))</f>
        <v>Martin Del Campo Velarca</v>
      </c>
      <c r="AQ421" s="555" t="str">
        <f>INDEX(CarrierDriverTBL!$X:$X,MATCH(Table1[[#This Row],[DriverID]],CarrierDriverTBL!$A:$A,0))</f>
        <v>D5179619</v>
      </c>
      <c r="AR421" s="556">
        <f>INDEX(CarrierDriverTBL!$Y:$Y,MATCH(Table1[[#This Row],[DriverID]],CarrierDriverTBL!$A:$A,0))</f>
        <v>43843</v>
      </c>
      <c r="AS421" s="554" t="str">
        <f t="shared" si="170"/>
        <v>GOOD</v>
      </c>
      <c r="AT421" s="556">
        <f>INDEX(CarrierDriverTBL!$E:$E,MATCH(Table1[[#This Row],[DriverID]],CarrierDriverTBL!$A:$A,0))</f>
        <v>21198</v>
      </c>
      <c r="AU421" s="557">
        <f ca="1">INDEX(CarrierDriverTBL!$F:$F,MATCH(Table1[[#This Row],[DriverID]],CarrierDriverTBL!$A:$A,0))</f>
        <v>58.56986301369863</v>
      </c>
      <c r="AV421" s="554" t="str">
        <f>INDEX(CarrierDriverTBL!$K:$K,MATCH(Table1[[#This Row],[DriverID]],CarrierDriverTBL!$A:$A,0))</f>
        <v>209-322-5231</v>
      </c>
      <c r="AW421" s="554" t="str">
        <f>INDEX(CarrierDriverTBL!$M:$M,MATCH(Table1[[#This Row],[DriverID]],CarrierDriverTBL!$A:$A,0))</f>
        <v>572 Predersen RD</v>
      </c>
      <c r="AX421" s="554" t="str">
        <f>INDEX(CarrierDriverTBL!$N:$N,MATCH(Table1[[#This Row],[DriverID]],CarrierDriverTBL!$A:$A,0))</f>
        <v>Oakdale</v>
      </c>
      <c r="AY421" s="554" t="str">
        <f>INDEX(CarrierDriverTBL!$O:$O,MATCH(Table1[[#This Row],[DriverID]],CarrierDriverTBL!$A:$A,0))</f>
        <v>CA</v>
      </c>
      <c r="AZ421" s="554">
        <f>INDEX(CarrierDriverTBL!$P:$P,MATCH(Table1[[#This Row],[DriverID]],CarrierDriverTBL!$A:$A,0))</f>
        <v>95361</v>
      </c>
      <c r="BA421" s="554" t="str">
        <f>INDEX(CarrierDriverTBL!$Q:$Q,MATCH(Table1[[#This Row],[DriverID]],CarrierDriverTBL!$A:$A,0))</f>
        <v>US</v>
      </c>
      <c r="BB421" s="554" t="str">
        <f>INDEX(CarrierDriverTBL!$R:$R,MATCH(Table1[[#This Row],[DriverID]],CarrierDriverTBL!$A:$A,0))</f>
        <v>Miguelmartin52@yahoo.com</v>
      </c>
      <c r="BC421" s="556">
        <f>INDEX(CarrierDriverTBL!$AB:$AB,MATCH(Table1[[#This Row],[DriverID]],CarrierDriverTBL!$A:$A,0))</f>
        <v>42334</v>
      </c>
      <c r="BD421" s="555" t="str">
        <f ca="1">INDEX(CarrierDriverTBL!$AD:$AD,MATCH(LoadMaster!$AN:$AN,CarrierDriverTBL!$A:$A,0))</f>
        <v>MISSING</v>
      </c>
      <c r="BE421" s="555">
        <f>INDEX(CarrierDriverTBL!$AE:$AE,MATCH(Table1[DriverID],CarrierDriverTBL!$A:$A,0))</f>
        <v>913971</v>
      </c>
      <c r="BF421" s="554">
        <f>INDEX(CarrierDriverTBL!$AF:$AF,MATCH(Table1[DriverID],CarrierDriverTBL!$A:$A,0))</f>
        <v>2627544</v>
      </c>
      <c r="BG421" s="236">
        <f>INDEX(CarrierDriverTBL!$AG:$AG,MATCH(Table1[DriverID],CarrierDriverTBL!$A:$A,0))</f>
        <v>466133</v>
      </c>
      <c r="BH421" s="554" t="str">
        <f>INDEX(CarrierDriverTBL!$AH:$AH,MATCH(Table1[DriverID],CarrierDriverTBL!$A:$A,0))</f>
        <v>GM Lawrence Ins</v>
      </c>
      <c r="BI421" s="554" t="str">
        <f>INDEX(CarrierDriverTBL!$AI:$AI,MATCH(Table1[DriverID],CarrierDriverTBL!$A:$A,0))</f>
        <v>DSK2842P160210</v>
      </c>
      <c r="BJ421" s="556">
        <f>INDEX(CarrierDriverTBL!$AJ:$AJ,MATCH(Table1[[#This Row],[DriverID]],CarrierDriverTBL!$A:$A,0))</f>
        <v>42778</v>
      </c>
      <c r="BK421" s="554">
        <f t="shared" si="171"/>
        <v>277</v>
      </c>
      <c r="BL421" s="558">
        <v>625</v>
      </c>
      <c r="BM421" s="554">
        <v>283</v>
      </c>
      <c r="BN421" s="558">
        <f t="shared" si="188"/>
        <v>2.2084805653710249</v>
      </c>
      <c r="BO421" s="241">
        <v>581.25</v>
      </c>
      <c r="BP421" s="558">
        <f t="shared" si="189"/>
        <v>2.0538869257950529</v>
      </c>
      <c r="BQ421" s="558">
        <v>2.6</v>
      </c>
      <c r="BR421" s="559">
        <f t="shared" si="190"/>
        <v>0.1166666666666667</v>
      </c>
      <c r="BS421" s="558">
        <f t="shared" si="172"/>
        <v>1.9372202591283862</v>
      </c>
      <c r="BT421" s="558">
        <f t="shared" si="173"/>
        <v>33.016666666666673</v>
      </c>
      <c r="BU421" s="236" t="str">
        <f t="shared" si="174"/>
        <v>TQL</v>
      </c>
      <c r="BV421" s="554"/>
      <c r="BW421" s="236" t="str">
        <f>Table1[[#This Row],[BrokerAddress]]</f>
        <v>P.O. Box 799</v>
      </c>
      <c r="BX421" s="236" t="str">
        <f t="shared" si="175"/>
        <v>Milford</v>
      </c>
      <c r="BY421" s="269" t="str">
        <f t="shared" si="176"/>
        <v>Ohio</v>
      </c>
      <c r="BZ421" s="236">
        <f t="shared" si="177"/>
        <v>45150</v>
      </c>
      <c r="CA421" s="236" t="str">
        <f t="shared" si="178"/>
        <v>US</v>
      </c>
      <c r="CB421" s="15" t="s">
        <v>131</v>
      </c>
      <c r="CC421" s="62"/>
      <c r="CD421" s="15" t="s">
        <v>132</v>
      </c>
      <c r="CE421" s="64">
        <v>0</v>
      </c>
      <c r="CF421" s="4">
        <v>0</v>
      </c>
      <c r="CG421" s="132">
        <f t="shared" si="179"/>
        <v>0</v>
      </c>
      <c r="CH421" s="4" t="s">
        <v>132</v>
      </c>
      <c r="CI421" s="5">
        <v>0</v>
      </c>
      <c r="CJ421" s="4">
        <v>0</v>
      </c>
      <c r="CK421" s="132">
        <f t="shared" si="180"/>
        <v>0</v>
      </c>
      <c r="CL421" s="4" t="s">
        <v>132</v>
      </c>
      <c r="CM421" s="5">
        <v>0</v>
      </c>
      <c r="CN421" s="4">
        <v>0</v>
      </c>
      <c r="CO421" s="132">
        <f t="shared" si="181"/>
        <v>0</v>
      </c>
      <c r="CP421" s="4" t="s">
        <v>132</v>
      </c>
      <c r="CQ421" s="5">
        <v>0</v>
      </c>
      <c r="CR421" s="4">
        <v>0</v>
      </c>
      <c r="CS421" s="132">
        <f t="shared" si="182"/>
        <v>0</v>
      </c>
      <c r="CT421" s="132">
        <f t="shared" si="183"/>
        <v>0</v>
      </c>
      <c r="CU421" s="238">
        <f t="shared" si="184"/>
        <v>625</v>
      </c>
      <c r="CV421" s="239">
        <f t="shared" si="167"/>
        <v>0</v>
      </c>
      <c r="CW421" s="240">
        <f t="shared" si="168"/>
        <v>581.25</v>
      </c>
      <c r="CX421" s="79">
        <f>IF(ISBLANK(E421),"AddQuickPay",IF(E421=2,CU421*0.98,IF(E421=2.4,CU421*0.976,IF(E421=3,CU421*0.97,IF(E421=5,CU421*0.95,IF(E421=1.5,CU421*0.985,IF(E421=2.5,CU421*0.975,IF(E421=1.3,CU421*0.987,IF(E421=1,CU421*0.99,IF(E421=4,CU421*0.96,CU421*1))))))))))-Table1[[#This Row],[ComCheck+QuickPayFee]]</f>
        <v>606.25</v>
      </c>
      <c r="CY421" s="237">
        <f t="shared" si="185"/>
        <v>43.75</v>
      </c>
      <c r="CZ421" s="237">
        <f t="shared" si="186"/>
        <v>18.75</v>
      </c>
      <c r="DA421" s="263">
        <f>Table1[[#This Row],[OriginalDispatch]]-Table1[[#This Row],[QuickPayCharge]]</f>
        <v>25</v>
      </c>
      <c r="DB421" s="5">
        <v>0</v>
      </c>
      <c r="DC421" s="237" t="s">
        <v>133</v>
      </c>
      <c r="DD421" s="549">
        <f t="shared" si="187"/>
        <v>42503</v>
      </c>
      <c r="DE421" s="554">
        <f>MONTH(Table1[[#This Row],[Weekending]])</f>
        <v>5</v>
      </c>
      <c r="DF421" s="554">
        <f>YEAR(Table1[[#This Row],[Weekending]])</f>
        <v>2016</v>
      </c>
      <c r="DG421" s="235"/>
    </row>
    <row r="422" spans="1:111">
      <c r="A422" s="548" t="str">
        <f t="shared" si="169"/>
        <v>50474719</v>
      </c>
      <c r="B422" s="549">
        <v>42502</v>
      </c>
      <c r="C422" s="550">
        <v>1992050</v>
      </c>
      <c r="D422" s="548" t="s">
        <v>2405</v>
      </c>
      <c r="E422" s="550">
        <v>3</v>
      </c>
      <c r="F422" s="551" t="str">
        <f>INDEX(BrokerTBL!$B:$B,MATCH(D422,BrokerTBL!$A:$A,0))</f>
        <v xml:space="preserve">303 E Wacker Dr. </v>
      </c>
      <c r="G422" s="550" t="str">
        <f>INDEX(BrokerTBL!$C:$C,MATCH(D422,BrokerTBL!$A:$A,0))</f>
        <v>Chicago</v>
      </c>
      <c r="H422" s="235" t="str">
        <f>INDEX(BrokerTBL!$D:$D,MATCH(D422,BrokerTBL!$A:$A,0))</f>
        <v>IL</v>
      </c>
      <c r="I422" s="235" t="str">
        <f>INDEX(BrokerTBL!$E:$E,MATCH(D422,BrokerTBL!$A:$A,0))</f>
        <v>US</v>
      </c>
      <c r="J422" s="235">
        <f>INDEX(BrokerTBL!$F:$F,MATCH(D422,BrokerTBL!$A:$A,0))</f>
        <v>60601</v>
      </c>
      <c r="K422" s="548" t="s">
        <v>2406</v>
      </c>
      <c r="L422" s="552">
        <v>30047</v>
      </c>
      <c r="M422" s="549">
        <v>42502</v>
      </c>
      <c r="N422" s="550" t="s">
        <v>1055</v>
      </c>
      <c r="O422" s="550" t="s">
        <v>2407</v>
      </c>
      <c r="P422" s="548" t="s">
        <v>2408</v>
      </c>
      <c r="Q422" s="548" t="s">
        <v>2233</v>
      </c>
      <c r="R422" s="548">
        <v>89706</v>
      </c>
      <c r="S422" s="548" t="s">
        <v>2207</v>
      </c>
      <c r="T422" s="548" t="s">
        <v>123</v>
      </c>
      <c r="U422" s="548" t="s">
        <v>120</v>
      </c>
      <c r="V422" s="548">
        <v>53</v>
      </c>
      <c r="W422" s="548" t="s">
        <v>2409</v>
      </c>
      <c r="X422" s="553">
        <v>45000</v>
      </c>
      <c r="Y422" s="550" t="s">
        <v>2410</v>
      </c>
      <c r="Z422" s="548">
        <v>50</v>
      </c>
      <c r="AA422" s="548" t="s">
        <v>123</v>
      </c>
      <c r="AB422" s="548" t="s">
        <v>123</v>
      </c>
      <c r="AC422" s="548" t="s">
        <v>2411</v>
      </c>
      <c r="AD422" s="552">
        <v>30047</v>
      </c>
      <c r="AE422" s="549">
        <v>42503</v>
      </c>
      <c r="AF422" s="549" t="s">
        <v>1316</v>
      </c>
      <c r="AG422" s="548" t="s">
        <v>2412</v>
      </c>
      <c r="AH422" s="548" t="s">
        <v>2168</v>
      </c>
      <c r="AI422" s="548" t="s">
        <v>2206</v>
      </c>
      <c r="AJ422" s="548">
        <v>93235</v>
      </c>
      <c r="AK422" s="548" t="s">
        <v>2207</v>
      </c>
      <c r="AL422" s="548" t="s">
        <v>123</v>
      </c>
      <c r="AM422" s="554" t="str">
        <f>INDEX(CarrierDriverTBL!$B:$B,MATCH(Table1[[#This Row],[DriverID]],CarrierDriverTBL!$A:$A,0))</f>
        <v>UBTrucking</v>
      </c>
      <c r="AN422" s="10" t="s">
        <v>1409</v>
      </c>
      <c r="AO422" s="555" t="str">
        <f>INDEX(CarrierDriverTBL!$C:$C,MATCH(Table1[[#This Row],[DriverID]],CarrierDriverTBL!$A:$A,0))</f>
        <v>Miguel Jaime</v>
      </c>
      <c r="AP422" s="555" t="str">
        <f>INDEX(CarrierDriverTBL!$D:$D,MATCH(Table1[[#This Row],[DriverID]],CarrierDriverTBL!$A:$A,0))</f>
        <v>Martin Del Campo Velarca</v>
      </c>
      <c r="AQ422" s="555" t="str">
        <f>INDEX(CarrierDriverTBL!$X:$X,MATCH(Table1[[#This Row],[DriverID]],CarrierDriverTBL!$A:$A,0))</f>
        <v>D5179619</v>
      </c>
      <c r="AR422" s="556">
        <f>INDEX(CarrierDriverTBL!$Y:$Y,MATCH(Table1[[#This Row],[DriverID]],CarrierDriverTBL!$A:$A,0))</f>
        <v>43843</v>
      </c>
      <c r="AS422" s="554" t="str">
        <f t="shared" si="170"/>
        <v>GOOD</v>
      </c>
      <c r="AT422" s="556">
        <f>INDEX(CarrierDriverTBL!$E:$E,MATCH(Table1[[#This Row],[DriverID]],CarrierDriverTBL!$A:$A,0))</f>
        <v>21198</v>
      </c>
      <c r="AU422" s="557">
        <f ca="1">INDEX(CarrierDriverTBL!$F:$F,MATCH(Table1[[#This Row],[DriverID]],CarrierDriverTBL!$A:$A,0))</f>
        <v>58.56986301369863</v>
      </c>
      <c r="AV422" s="554" t="str">
        <f>INDEX(CarrierDriverTBL!$K:$K,MATCH(Table1[[#This Row],[DriverID]],CarrierDriverTBL!$A:$A,0))</f>
        <v>209-322-5231</v>
      </c>
      <c r="AW422" s="554" t="str">
        <f>INDEX(CarrierDriverTBL!$M:$M,MATCH(Table1[[#This Row],[DriverID]],CarrierDriverTBL!$A:$A,0))</f>
        <v>572 Predersen RD</v>
      </c>
      <c r="AX422" s="554" t="str">
        <f>INDEX(CarrierDriverTBL!$N:$N,MATCH(Table1[[#This Row],[DriverID]],CarrierDriverTBL!$A:$A,0))</f>
        <v>Oakdale</v>
      </c>
      <c r="AY422" s="554" t="str">
        <f>INDEX(CarrierDriverTBL!$O:$O,MATCH(Table1[[#This Row],[DriverID]],CarrierDriverTBL!$A:$A,0))</f>
        <v>CA</v>
      </c>
      <c r="AZ422" s="554">
        <f>INDEX(CarrierDriverTBL!$P:$P,MATCH(Table1[[#This Row],[DriverID]],CarrierDriverTBL!$A:$A,0))</f>
        <v>95361</v>
      </c>
      <c r="BA422" s="554" t="str">
        <f>INDEX(CarrierDriverTBL!$Q:$Q,MATCH(Table1[[#This Row],[DriverID]],CarrierDriverTBL!$A:$A,0))</f>
        <v>US</v>
      </c>
      <c r="BB422" s="554" t="str">
        <f>INDEX(CarrierDriverTBL!$R:$R,MATCH(Table1[[#This Row],[DriverID]],CarrierDriverTBL!$A:$A,0))</f>
        <v>Miguelmartin52@yahoo.com</v>
      </c>
      <c r="BC422" s="556">
        <f>INDEX(CarrierDriverTBL!$AB:$AB,MATCH(Table1[[#This Row],[DriverID]],CarrierDriverTBL!$A:$A,0))</f>
        <v>42334</v>
      </c>
      <c r="BD422" s="555" t="str">
        <f ca="1">INDEX(CarrierDriverTBL!$AD:$AD,MATCH(LoadMaster!$AN:$AN,CarrierDriverTBL!$A:$A,0))</f>
        <v>MISSING</v>
      </c>
      <c r="BE422" s="555">
        <f>INDEX(CarrierDriverTBL!$AE:$AE,MATCH(Table1[DriverID],CarrierDriverTBL!$A:$A,0))</f>
        <v>913971</v>
      </c>
      <c r="BF422" s="554">
        <f>INDEX(CarrierDriverTBL!$AF:$AF,MATCH(Table1[DriverID],CarrierDriverTBL!$A:$A,0))</f>
        <v>2627544</v>
      </c>
      <c r="BG422" s="236">
        <f>INDEX(CarrierDriverTBL!$AG:$AG,MATCH(Table1[DriverID],CarrierDriverTBL!$A:$A,0))</f>
        <v>466133</v>
      </c>
      <c r="BH422" s="554" t="str">
        <f>INDEX(CarrierDriverTBL!$AH:$AH,MATCH(Table1[DriverID],CarrierDriverTBL!$A:$A,0))</f>
        <v>GM Lawrence Ins</v>
      </c>
      <c r="BI422" s="554" t="str">
        <f>INDEX(CarrierDriverTBL!$AI:$AI,MATCH(Table1[DriverID],CarrierDriverTBL!$A:$A,0))</f>
        <v>DSK2842P160210</v>
      </c>
      <c r="BJ422" s="556">
        <f>INDEX(CarrierDriverTBL!$AJ:$AJ,MATCH(Table1[[#This Row],[DriverID]],CarrierDriverTBL!$A:$A,0))</f>
        <v>42778</v>
      </c>
      <c r="BK422" s="554">
        <f t="shared" si="171"/>
        <v>276</v>
      </c>
      <c r="BL422" s="558">
        <v>600</v>
      </c>
      <c r="BM422" s="554">
        <v>311.5</v>
      </c>
      <c r="BN422" s="558">
        <f t="shared" si="188"/>
        <v>1.926163723916533</v>
      </c>
      <c r="BO422" s="241">
        <v>558</v>
      </c>
      <c r="BP422" s="558">
        <f t="shared" si="189"/>
        <v>1.7913322632423756</v>
      </c>
      <c r="BQ422" s="558">
        <v>2.6</v>
      </c>
      <c r="BR422" s="559">
        <f t="shared" si="190"/>
        <v>0.1166666666666667</v>
      </c>
      <c r="BS422" s="558">
        <f t="shared" si="172"/>
        <v>1.6746655965757089</v>
      </c>
      <c r="BT422" s="558">
        <f t="shared" si="173"/>
        <v>36.341666666666676</v>
      </c>
      <c r="BU422" s="236" t="str">
        <f t="shared" si="174"/>
        <v>XPOLogistics</v>
      </c>
      <c r="BV422" s="554"/>
      <c r="BW422" s="236" t="str">
        <f>Table1[[#This Row],[BrokerAddress]]</f>
        <v xml:space="preserve">303 E Wacker Dr. </v>
      </c>
      <c r="BX422" s="236" t="str">
        <f t="shared" si="175"/>
        <v>Chicago</v>
      </c>
      <c r="BY422" s="269" t="str">
        <f t="shared" si="176"/>
        <v>IL</v>
      </c>
      <c r="BZ422" s="236">
        <f t="shared" si="177"/>
        <v>60601</v>
      </c>
      <c r="CA422" s="236" t="str">
        <f t="shared" si="178"/>
        <v>US</v>
      </c>
      <c r="CB422" s="15" t="s">
        <v>131</v>
      </c>
      <c r="CC422" s="62"/>
      <c r="CD422" s="15" t="s">
        <v>132</v>
      </c>
      <c r="CE422" s="64">
        <v>0</v>
      </c>
      <c r="CF422" s="4">
        <v>0</v>
      </c>
      <c r="CG422" s="132">
        <f t="shared" si="179"/>
        <v>0</v>
      </c>
      <c r="CH422" s="4" t="s">
        <v>132</v>
      </c>
      <c r="CI422" s="5">
        <v>0</v>
      </c>
      <c r="CJ422" s="4">
        <v>0</v>
      </c>
      <c r="CK422" s="132">
        <f t="shared" si="180"/>
        <v>0</v>
      </c>
      <c r="CL422" s="4" t="s">
        <v>132</v>
      </c>
      <c r="CM422" s="5">
        <v>0</v>
      </c>
      <c r="CN422" s="4">
        <v>0</v>
      </c>
      <c r="CO422" s="132">
        <f t="shared" si="181"/>
        <v>0</v>
      </c>
      <c r="CP422" s="4" t="s">
        <v>132</v>
      </c>
      <c r="CQ422" s="5">
        <v>0</v>
      </c>
      <c r="CR422" s="4">
        <v>0</v>
      </c>
      <c r="CS422" s="132">
        <f t="shared" si="182"/>
        <v>0</v>
      </c>
      <c r="CT422" s="132">
        <f t="shared" si="183"/>
        <v>0</v>
      </c>
      <c r="CU422" s="238">
        <f t="shared" si="184"/>
        <v>600</v>
      </c>
      <c r="CV422" s="239">
        <f t="shared" si="167"/>
        <v>0</v>
      </c>
      <c r="CW422" s="240">
        <f t="shared" si="168"/>
        <v>558</v>
      </c>
      <c r="CX422" s="79">
        <f>IF(ISBLANK(E422),"AddQuickPay",IF(E422=2,CU422*0.98,IF(E422=2.4,CU422*0.976,IF(E422=3,CU422*0.97,IF(E422=5,CU422*0.95,IF(E422=1.5,CU422*0.985,IF(E422=2.5,CU422*0.975,IF(E422=1.3,CU422*0.987,IF(E422=1,CU422*0.99,IF(E422=4,CU422*0.96,CU422*1))))))))))-Table1[[#This Row],[ComCheck+QuickPayFee]]</f>
        <v>582</v>
      </c>
      <c r="CY422" s="237">
        <f t="shared" si="185"/>
        <v>42</v>
      </c>
      <c r="CZ422" s="237">
        <f t="shared" si="186"/>
        <v>18</v>
      </c>
      <c r="DA422" s="263">
        <f>Table1[[#This Row],[OriginalDispatch]]-Table1[[#This Row],[QuickPayCharge]]</f>
        <v>24</v>
      </c>
      <c r="DB422" s="5">
        <v>0</v>
      </c>
      <c r="DC422" s="237" t="s">
        <v>133</v>
      </c>
      <c r="DD422" s="549">
        <f t="shared" si="187"/>
        <v>42503</v>
      </c>
      <c r="DE422" s="554">
        <f>MONTH(Table1[[#This Row],[Weekending]])</f>
        <v>5</v>
      </c>
      <c r="DF422" s="554">
        <f>YEAR(Table1[[#This Row],[Weekending]])</f>
        <v>2016</v>
      </c>
      <c r="DG422" s="235"/>
    </row>
    <row r="423" spans="1:111">
      <c r="A423" s="548" t="str">
        <f t="shared" si="169"/>
        <v>29wnwn93</v>
      </c>
      <c r="B423" s="549">
        <v>42502</v>
      </c>
      <c r="C423" s="550">
        <v>690329</v>
      </c>
      <c r="D423" s="548" t="s">
        <v>2775</v>
      </c>
      <c r="E423" s="550">
        <v>3</v>
      </c>
      <c r="F423" s="551" t="str">
        <f>INDEX(BrokerTBL!$B:$B,MATCH(D423,BrokerTBL!$A:$A,0))</f>
        <v>25 Northpointe Parkway, Suite 200</v>
      </c>
      <c r="G423" s="550" t="str">
        <f>INDEX(BrokerTBL!$C:$C,MATCH(D423,BrokerTBL!$A:$A,0))</f>
        <v>Amherst</v>
      </c>
      <c r="H423" s="235" t="str">
        <f>INDEX(BrokerTBL!$D:$D,MATCH(D423,BrokerTBL!$A:$A,0))</f>
        <v>NY</v>
      </c>
      <c r="I423" s="235" t="str">
        <f>INDEX(BrokerTBL!$E:$E,MATCH(D423,BrokerTBL!$A:$A,0))</f>
        <v>US</v>
      </c>
      <c r="J423" s="235">
        <f>INDEX(BrokerTBL!$F:$F,MATCH(D423,BrokerTBL!$A:$A,0))</f>
        <v>14228</v>
      </c>
      <c r="K423" s="548" t="s">
        <v>2776</v>
      </c>
      <c r="L423" s="552" t="s">
        <v>1205</v>
      </c>
      <c r="M423" s="549">
        <v>42502</v>
      </c>
      <c r="N423" s="550" t="s">
        <v>2777</v>
      </c>
      <c r="O423" s="550" t="s">
        <v>2778</v>
      </c>
      <c r="P423" s="548" t="s">
        <v>2779</v>
      </c>
      <c r="Q423" s="548" t="s">
        <v>2206</v>
      </c>
      <c r="R423" s="548">
        <v>93611</v>
      </c>
      <c r="S423" s="548" t="s">
        <v>2207</v>
      </c>
      <c r="T423" s="548" t="s">
        <v>2780</v>
      </c>
      <c r="U423" s="548" t="s">
        <v>120</v>
      </c>
      <c r="V423" s="548">
        <v>53</v>
      </c>
      <c r="W423" s="548" t="s">
        <v>2781</v>
      </c>
      <c r="X423" s="553">
        <v>35000</v>
      </c>
      <c r="Y423" s="550" t="s">
        <v>123</v>
      </c>
      <c r="Z423" s="548" t="s">
        <v>123</v>
      </c>
      <c r="AA423" s="548" t="s">
        <v>123</v>
      </c>
      <c r="AB423" s="548" t="s">
        <v>123</v>
      </c>
      <c r="AC423" s="548" t="s">
        <v>2782</v>
      </c>
      <c r="AD423" s="552" t="s">
        <v>1205</v>
      </c>
      <c r="AE423" s="549">
        <v>42503</v>
      </c>
      <c r="AF423" s="549" t="s">
        <v>2688</v>
      </c>
      <c r="AG423" s="548" t="s">
        <v>2783</v>
      </c>
      <c r="AH423" s="548" t="s">
        <v>738</v>
      </c>
      <c r="AI423" s="548" t="s">
        <v>2233</v>
      </c>
      <c r="AJ423" s="548">
        <v>89512</v>
      </c>
      <c r="AK423" s="548" t="s">
        <v>2207</v>
      </c>
      <c r="AL423" s="548" t="s">
        <v>2784</v>
      </c>
      <c r="AM423" s="554" t="str">
        <f>INDEX(CarrierDriverTBL!$B:$B,MATCH(Table1[[#This Row],[DriverID]],CarrierDriverTBL!$A:$A,0))</f>
        <v>UBTrucking</v>
      </c>
      <c r="AN423" s="10" t="s">
        <v>2234</v>
      </c>
      <c r="AO423" s="555" t="str">
        <f>INDEX(CarrierDriverTBL!$C:$C,MATCH(Table1[[#This Row],[DriverID]],CarrierDriverTBL!$A:$A,0))</f>
        <v>Arturo</v>
      </c>
      <c r="AP423" s="555" t="str">
        <f>INDEX(CarrierDriverTBL!$D:$D,MATCH(Table1[[#This Row],[DriverID]],CarrierDriverTBL!$A:$A,0))</f>
        <v>Carrillo</v>
      </c>
      <c r="AQ423" s="555" t="str">
        <f>INDEX(CarrierDriverTBL!$X:$X,MATCH(Table1[[#This Row],[DriverID]],CarrierDriverTBL!$A:$A,0))</f>
        <v>C7056793</v>
      </c>
      <c r="AR423" s="556">
        <f>INDEX(CarrierDriverTBL!$Y:$Y,MATCH(Table1[[#This Row],[DriverID]],CarrierDriverTBL!$A:$A,0))</f>
        <v>43410</v>
      </c>
      <c r="AS423" s="554" t="str">
        <f t="shared" si="170"/>
        <v>GOOD</v>
      </c>
      <c r="AT423" s="556">
        <f>INDEX(CarrierDriverTBL!$E:$E,MATCH(Table1[[#This Row],[DriverID]],CarrierDriverTBL!$A:$A,0))</f>
        <v>24782</v>
      </c>
      <c r="AU423" s="557">
        <f ca="1">INDEX(CarrierDriverTBL!$F:$F,MATCH(Table1[[#This Row],[DriverID]],CarrierDriverTBL!$A:$A,0))</f>
        <v>48.750684931506846</v>
      </c>
      <c r="AV423" s="554" t="str">
        <f>INDEX(CarrierDriverTBL!$K:$K,MATCH(Table1[[#This Row],[DriverID]],CarrierDriverTBL!$A:$A,0))</f>
        <v>209-276-9785</v>
      </c>
      <c r="AW423" s="554" t="str">
        <f>INDEX(CarrierDriverTBL!$M:$M,MATCH(Table1[[#This Row],[DriverID]],CarrierDriverTBL!$A:$A,0))</f>
        <v>1685 Winthrop Ln</v>
      </c>
      <c r="AX423" s="554" t="str">
        <f>INDEX(CarrierDriverTBL!$N:$N,MATCH(Table1[[#This Row],[DriverID]],CarrierDriverTBL!$A:$A,0))</f>
        <v>Ceres</v>
      </c>
      <c r="AY423" s="554" t="str">
        <f>INDEX(CarrierDriverTBL!$O:$O,MATCH(Table1[[#This Row],[DriverID]],CarrierDriverTBL!$A:$A,0))</f>
        <v>CA</v>
      </c>
      <c r="AZ423" s="554">
        <f>INDEX(CarrierDriverTBL!$P:$P,MATCH(Table1[[#This Row],[DriverID]],CarrierDriverTBL!$A:$A,0))</f>
        <v>95307</v>
      </c>
      <c r="BA423" s="554" t="str">
        <f>INDEX(CarrierDriverTBL!$Q:$Q,MATCH(Table1[[#This Row],[DriverID]],CarrierDriverTBL!$A:$A,0))</f>
        <v>US</v>
      </c>
      <c r="BB423" s="554" t="str">
        <f>INDEX(CarrierDriverTBL!$R:$R,MATCH(Table1[[#This Row],[DriverID]],CarrierDriverTBL!$A:$A,0))</f>
        <v>arturocarr777@gmail.com</v>
      </c>
      <c r="BC423" s="556">
        <f>INDEX(CarrierDriverTBL!$AB:$AB,MATCH(Table1[[#This Row],[DriverID]],CarrierDriverTBL!$A:$A,0))</f>
        <v>42418</v>
      </c>
      <c r="BD423" s="555" t="str">
        <f ca="1">INDEX(CarrierDriverTBL!$AD:$AD,MATCH(LoadMaster!$AN:$AN,CarrierDriverTBL!$A:$A,0))</f>
        <v>MISSING</v>
      </c>
      <c r="BE423" s="555">
        <f>INDEX(CarrierDriverTBL!$AE:$AE,MATCH(Table1[DriverID],CarrierDriverTBL!$A:$A,0))</f>
        <v>913971</v>
      </c>
      <c r="BF423" s="554">
        <f>INDEX(CarrierDriverTBL!$AF:$AF,MATCH(Table1[DriverID],CarrierDriverTBL!$A:$A,0))</f>
        <v>2627544</v>
      </c>
      <c r="BG423" s="236">
        <f>INDEX(CarrierDriverTBL!$AG:$AG,MATCH(Table1[DriverID],CarrierDriverTBL!$A:$A,0))</f>
        <v>466133</v>
      </c>
      <c r="BH423" s="554" t="str">
        <f>INDEX(CarrierDriverTBL!$AH:$AH,MATCH(Table1[DriverID],CarrierDriverTBL!$A:$A,0))</f>
        <v>GM Lawrence Ins</v>
      </c>
      <c r="BI423" s="554" t="str">
        <f>INDEX(CarrierDriverTBL!$AI:$AI,MATCH(Table1[DriverID],CarrierDriverTBL!$A:$A,0))</f>
        <v>DSK2842P160210</v>
      </c>
      <c r="BJ423" s="556">
        <f>INDEX(CarrierDriverTBL!$AJ:$AJ,MATCH(Table1[[#This Row],[DriverID]],CarrierDriverTBL!$A:$A,0))</f>
        <v>42778</v>
      </c>
      <c r="BK423" s="554">
        <f t="shared" si="171"/>
        <v>276</v>
      </c>
      <c r="BL423" s="558">
        <v>725</v>
      </c>
      <c r="BM423" s="554">
        <v>306.39999999999998</v>
      </c>
      <c r="BN423" s="558">
        <f t="shared" si="188"/>
        <v>2.3661879895561357</v>
      </c>
      <c r="BO423" s="241">
        <v>674.25</v>
      </c>
      <c r="BP423" s="558">
        <f t="shared" si="189"/>
        <v>2.2005548302872064</v>
      </c>
      <c r="BQ423" s="558">
        <v>2.6</v>
      </c>
      <c r="BR423" s="559">
        <f t="shared" si="190"/>
        <v>0.1166666666666667</v>
      </c>
      <c r="BS423" s="558">
        <f t="shared" si="172"/>
        <v>2.0838881636205397</v>
      </c>
      <c r="BT423" s="558">
        <f t="shared" si="173"/>
        <v>35.74666666666667</v>
      </c>
      <c r="BU423" s="236" t="str">
        <f t="shared" si="174"/>
        <v>Fetch Logistics, Inc.</v>
      </c>
      <c r="BV423" s="554"/>
      <c r="BW423" s="236" t="str">
        <f>Table1[[#This Row],[BrokerAddress]]</f>
        <v>25 Northpointe Parkway, Suite 200</v>
      </c>
      <c r="BX423" s="236" t="str">
        <f t="shared" si="175"/>
        <v>Amherst</v>
      </c>
      <c r="BY423" s="269" t="str">
        <f t="shared" si="176"/>
        <v>NY</v>
      </c>
      <c r="BZ423" s="236">
        <f t="shared" si="177"/>
        <v>14228</v>
      </c>
      <c r="CA423" s="236" t="str">
        <f t="shared" si="178"/>
        <v>US</v>
      </c>
      <c r="CB423" s="15" t="s">
        <v>131</v>
      </c>
      <c r="CC423" s="62"/>
      <c r="CD423" s="15" t="s">
        <v>132</v>
      </c>
      <c r="CE423" s="64">
        <v>0</v>
      </c>
      <c r="CF423" s="4">
        <v>0</v>
      </c>
      <c r="CG423" s="132">
        <f t="shared" si="179"/>
        <v>0</v>
      </c>
      <c r="CH423" s="4" t="s">
        <v>132</v>
      </c>
      <c r="CI423" s="5">
        <v>0</v>
      </c>
      <c r="CJ423" s="4">
        <v>0</v>
      </c>
      <c r="CK423" s="132">
        <f t="shared" si="180"/>
        <v>0</v>
      </c>
      <c r="CL423" s="4" t="s">
        <v>132</v>
      </c>
      <c r="CM423" s="5">
        <v>0</v>
      </c>
      <c r="CN423" s="4">
        <v>0</v>
      </c>
      <c r="CO423" s="132">
        <f t="shared" si="181"/>
        <v>0</v>
      </c>
      <c r="CP423" s="4" t="s">
        <v>132</v>
      </c>
      <c r="CQ423" s="5">
        <v>0</v>
      </c>
      <c r="CR423" s="4">
        <v>0</v>
      </c>
      <c r="CS423" s="132">
        <f t="shared" si="182"/>
        <v>0</v>
      </c>
      <c r="CT423" s="132">
        <f t="shared" si="183"/>
        <v>0</v>
      </c>
      <c r="CU423" s="238">
        <f t="shared" si="184"/>
        <v>725</v>
      </c>
      <c r="CV423" s="239">
        <f t="shared" si="167"/>
        <v>0</v>
      </c>
      <c r="CW423" s="240">
        <f t="shared" si="168"/>
        <v>674.25</v>
      </c>
      <c r="CX423" s="79">
        <f>IF(ISBLANK(E423),"AddQuickPay",IF(E423=2,CU423*0.98,IF(E423=2.4,CU423*0.976,IF(E423=3,CU423*0.97,IF(E423=5,CU423*0.95,IF(E423=1.5,CU423*0.985,IF(E423=2.5,CU423*0.975,IF(E423=1.3,CU423*0.987,IF(E423=1,CU423*0.99,IF(E423=4,CU423*0.96,CU423*1))))))))))-Table1[[#This Row],[ComCheck+QuickPayFee]]</f>
        <v>703.25</v>
      </c>
      <c r="CY423" s="237">
        <f t="shared" si="185"/>
        <v>50.75</v>
      </c>
      <c r="CZ423" s="237">
        <f t="shared" si="186"/>
        <v>21.75</v>
      </c>
      <c r="DA423" s="263">
        <f>Table1[[#This Row],[OriginalDispatch]]-Table1[[#This Row],[QuickPayCharge]]</f>
        <v>29</v>
      </c>
      <c r="DB423" s="5">
        <v>0</v>
      </c>
      <c r="DC423" s="237" t="s">
        <v>133</v>
      </c>
      <c r="DD423" s="549">
        <f t="shared" si="187"/>
        <v>42503</v>
      </c>
      <c r="DE423" s="554">
        <f>MONTH(Table1[[#This Row],[Weekending]])</f>
        <v>5</v>
      </c>
      <c r="DF423" s="554">
        <f>YEAR(Table1[[#This Row],[Weekending]])</f>
        <v>2016</v>
      </c>
      <c r="DG423" s="235"/>
    </row>
    <row r="424" spans="1:111">
      <c r="A424" s="548" t="str">
        <f t="shared" si="169"/>
        <v>82wnwn49</v>
      </c>
      <c r="B424" s="549">
        <v>42506</v>
      </c>
      <c r="C424" s="550">
        <v>42282</v>
      </c>
      <c r="D424" s="548" t="s">
        <v>2785</v>
      </c>
      <c r="E424" s="550">
        <v>0</v>
      </c>
      <c r="F424" s="551" t="str">
        <f>INDEX(BrokerTBL!$B:$B,MATCH(D424,BrokerTBL!$A:$A,0))</f>
        <v>21001 San Ramon Valley Blvd A4313</v>
      </c>
      <c r="G424" s="550" t="str">
        <f>INDEX(BrokerTBL!$C:$C,MATCH(D424,BrokerTBL!$A:$A,0))</f>
        <v>San Ramon</v>
      </c>
      <c r="H424" s="235" t="str">
        <f>INDEX(BrokerTBL!$D:$D,MATCH(D424,BrokerTBL!$A:$A,0))</f>
        <v>CA</v>
      </c>
      <c r="I424" s="235" t="str">
        <f>INDEX(BrokerTBL!$E:$E,MATCH(D424,BrokerTBL!$A:$A,0))</f>
        <v>US</v>
      </c>
      <c r="J424" s="235">
        <f>INDEX(BrokerTBL!$F:$F,MATCH(D424,BrokerTBL!$A:$A,0))</f>
        <v>94583</v>
      </c>
      <c r="K424" s="548" t="s">
        <v>2786</v>
      </c>
      <c r="L424" s="552" t="s">
        <v>1205</v>
      </c>
      <c r="M424" s="549">
        <v>42502</v>
      </c>
      <c r="N424" s="550" t="s">
        <v>2787</v>
      </c>
      <c r="O424" s="550" t="s">
        <v>2788</v>
      </c>
      <c r="P424" s="548" t="s">
        <v>689</v>
      </c>
      <c r="Q424" s="548" t="s">
        <v>2206</v>
      </c>
      <c r="R424" s="548">
        <v>95605</v>
      </c>
      <c r="S424" s="548" t="s">
        <v>2207</v>
      </c>
      <c r="T424" s="548" t="s">
        <v>2789</v>
      </c>
      <c r="U424" s="548" t="s">
        <v>120</v>
      </c>
      <c r="V424" s="548">
        <v>53</v>
      </c>
      <c r="W424" s="548" t="s">
        <v>2790</v>
      </c>
      <c r="X424" s="553">
        <v>1500</v>
      </c>
      <c r="Y424" s="550" t="s">
        <v>2791</v>
      </c>
      <c r="Z424" s="548">
        <v>1</v>
      </c>
      <c r="AA424" s="548" t="s">
        <v>123</v>
      </c>
      <c r="AB424" s="548" t="s">
        <v>123</v>
      </c>
      <c r="AC424" s="548" t="s">
        <v>2792</v>
      </c>
      <c r="AD424" s="552" t="s">
        <v>1205</v>
      </c>
      <c r="AE424" s="549">
        <v>42503</v>
      </c>
      <c r="AF424" s="549" t="s">
        <v>2787</v>
      </c>
      <c r="AG424" s="548" t="s">
        <v>2793</v>
      </c>
      <c r="AH424" s="548" t="s">
        <v>138</v>
      </c>
      <c r="AI424" s="548" t="s">
        <v>2206</v>
      </c>
      <c r="AJ424" s="548">
        <v>93230</v>
      </c>
      <c r="AK424" s="548" t="s">
        <v>2207</v>
      </c>
      <c r="AL424" s="548" t="s">
        <v>123</v>
      </c>
      <c r="AM424" s="554" t="str">
        <f>INDEX(CarrierDriverTBL!$B:$B,MATCH(Table1[[#This Row],[DriverID]],CarrierDriverTBL!$A:$A,0))</f>
        <v>UBTrucking</v>
      </c>
      <c r="AN424" s="10" t="s">
        <v>192</v>
      </c>
      <c r="AO424" s="555" t="str">
        <f>INDEX(CarrierDriverTBL!$C:$C,MATCH(Table1[[#This Row],[DriverID]],CarrierDriverTBL!$A:$A,0))</f>
        <v>Albel</v>
      </c>
      <c r="AP424" s="555" t="str">
        <f>INDEX(CarrierDriverTBL!$D:$D,MATCH(Table1[[#This Row],[DriverID]],CarrierDriverTBL!$A:$A,0))</f>
        <v>Chahil</v>
      </c>
      <c r="AQ424" s="555" t="str">
        <f>INDEX(CarrierDriverTBL!$X:$X,MATCH(Table1[[#This Row],[DriverID]],CarrierDriverTBL!$A:$A,0))</f>
        <v>A8390649</v>
      </c>
      <c r="AR424" s="556">
        <f>INDEX(CarrierDriverTBL!$Y:$Y,MATCH(Table1[[#This Row],[DriverID]],CarrierDriverTBL!$A:$A,0))</f>
        <v>42402</v>
      </c>
      <c r="AS424" s="554" t="str">
        <f t="shared" si="170"/>
        <v>EXPIRED</v>
      </c>
      <c r="AT424" s="556">
        <f>INDEX(CarrierDriverTBL!$E:$E,MATCH(Table1[[#This Row],[DriverID]],CarrierDriverTBL!$A:$A,0))</f>
        <v>22314</v>
      </c>
      <c r="AU424" s="557">
        <f ca="1">INDEX(CarrierDriverTBL!$F:$F,MATCH(Table1[[#This Row],[DriverID]],CarrierDriverTBL!$A:$A,0))</f>
        <v>55.512328767123286</v>
      </c>
      <c r="AV424" s="554" t="str">
        <f>INDEX(CarrierDriverTBL!$K:$K,MATCH(Table1[[#This Row],[DriverID]],CarrierDriverTBL!$A:$A,0))</f>
        <v>510-773-9450</v>
      </c>
      <c r="AW424" s="554" t="str">
        <f>INDEX(CarrierDriverTBL!$M:$M,MATCH(Table1[[#This Row],[DriverID]],CarrierDriverTBL!$A:$A,0))</f>
        <v>3124 Cynthia CT</v>
      </c>
      <c r="AX424" s="554" t="str">
        <f>INDEX(CarrierDriverTBL!$N:$N,MATCH(Table1[[#This Row],[DriverID]],CarrierDriverTBL!$A:$A,0))</f>
        <v>Tracy</v>
      </c>
      <c r="AY424" s="554" t="str">
        <f>INDEX(CarrierDriverTBL!$O:$O,MATCH(Table1[[#This Row],[DriverID]],CarrierDriverTBL!$A:$A,0))</f>
        <v>CA</v>
      </c>
      <c r="AZ424" s="554">
        <f>INDEX(CarrierDriverTBL!$P:$P,MATCH(Table1[[#This Row],[DriverID]],CarrierDriverTBL!$A:$A,0))</f>
        <v>95377</v>
      </c>
      <c r="BA424" s="554" t="str">
        <f>INDEX(CarrierDriverTBL!$Q:$Q,MATCH(Table1[[#This Row],[DriverID]],CarrierDriverTBL!$A:$A,0))</f>
        <v>US</v>
      </c>
      <c r="BB424" s="554" t="str">
        <f>INDEX(CarrierDriverTBL!$R:$R,MATCH(Table1[[#This Row],[DriverID]],CarrierDriverTBL!$A:$A,0))</f>
        <v>ubgollc@gmail.com</v>
      </c>
      <c r="BC424" s="556">
        <f>INDEX(CarrierDriverTBL!$AB:$AB,MATCH(Table1[[#This Row],[DriverID]],CarrierDriverTBL!$A:$A,0))</f>
        <v>42167</v>
      </c>
      <c r="BD424" s="555" t="str">
        <f ca="1">INDEX(CarrierDriverTBL!$AD:$AD,MATCH(LoadMaster!$AN:$AN,CarrierDriverTBL!$A:$A,0))</f>
        <v>MISSING</v>
      </c>
      <c r="BE424" s="555">
        <f>INDEX(CarrierDriverTBL!$AE:$AE,MATCH(Table1[DriverID],CarrierDriverTBL!$A:$A,0))</f>
        <v>913971</v>
      </c>
      <c r="BF424" s="554">
        <f>INDEX(CarrierDriverTBL!$AF:$AF,MATCH(Table1[DriverID],CarrierDriverTBL!$A:$A,0))</f>
        <v>2627544</v>
      </c>
      <c r="BG424" s="236">
        <f>INDEX(CarrierDriverTBL!$AG:$AG,MATCH(Table1[DriverID],CarrierDriverTBL!$A:$A,0))</f>
        <v>466133</v>
      </c>
      <c r="BH424" s="554" t="str">
        <f>INDEX(CarrierDriverTBL!$AH:$AH,MATCH(Table1[DriverID],CarrierDriverTBL!$A:$A,0))</f>
        <v>GM Lawrence Ins</v>
      </c>
      <c r="BI424" s="554" t="str">
        <f>INDEX(CarrierDriverTBL!$AI:$AI,MATCH(Table1[DriverID],CarrierDriverTBL!$A:$A,0))</f>
        <v>DSK2842P160210</v>
      </c>
      <c r="BJ424" s="556">
        <f>INDEX(CarrierDriverTBL!$AJ:$AJ,MATCH(Table1[[#This Row],[DriverID]],CarrierDriverTBL!$A:$A,0))</f>
        <v>42778</v>
      </c>
      <c r="BK424" s="554">
        <f t="shared" si="171"/>
        <v>276</v>
      </c>
      <c r="BL424" s="558">
        <v>500</v>
      </c>
      <c r="BM424" s="554">
        <v>201.5</v>
      </c>
      <c r="BN424" s="558">
        <f t="shared" si="188"/>
        <v>2.4813895781637716</v>
      </c>
      <c r="BO424" s="241">
        <f>0.93*500</f>
        <v>465</v>
      </c>
      <c r="BP424" s="558">
        <f t="shared" si="189"/>
        <v>2.3076923076923075</v>
      </c>
      <c r="BQ424" s="558">
        <v>2.6</v>
      </c>
      <c r="BR424" s="559">
        <f t="shared" si="190"/>
        <v>0.1166666666666667</v>
      </c>
      <c r="BS424" s="558">
        <f t="shared" si="172"/>
        <v>2.1910256410256408</v>
      </c>
      <c r="BT424" s="558">
        <f t="shared" si="173"/>
        <v>23.50833333333334</v>
      </c>
      <c r="BU424" s="236" t="str">
        <f t="shared" si="174"/>
        <v>CTS</v>
      </c>
      <c r="BV424" s="554"/>
      <c r="BW424" s="236" t="str">
        <f>Table1[[#This Row],[BrokerAddress]]</f>
        <v>21001 San Ramon Valley Blvd A4313</v>
      </c>
      <c r="BX424" s="236" t="str">
        <f t="shared" si="175"/>
        <v>San Ramon</v>
      </c>
      <c r="BY424" s="269" t="str">
        <f t="shared" si="176"/>
        <v>CA</v>
      </c>
      <c r="BZ424" s="236">
        <f t="shared" si="177"/>
        <v>94583</v>
      </c>
      <c r="CA424" s="236" t="str">
        <f t="shared" si="178"/>
        <v>US</v>
      </c>
      <c r="CB424" s="15" t="s">
        <v>131</v>
      </c>
      <c r="CC424" s="62"/>
      <c r="CD424" s="15" t="s">
        <v>132</v>
      </c>
      <c r="CE424" s="64">
        <v>0</v>
      </c>
      <c r="CF424" s="4">
        <v>0</v>
      </c>
      <c r="CG424" s="132">
        <f t="shared" si="179"/>
        <v>0</v>
      </c>
      <c r="CH424" s="4" t="s">
        <v>132</v>
      </c>
      <c r="CI424" s="5">
        <v>0</v>
      </c>
      <c r="CJ424" s="4">
        <v>0</v>
      </c>
      <c r="CK424" s="132">
        <f t="shared" si="180"/>
        <v>0</v>
      </c>
      <c r="CL424" s="4" t="s">
        <v>132</v>
      </c>
      <c r="CM424" s="5">
        <v>0</v>
      </c>
      <c r="CN424" s="4">
        <v>0</v>
      </c>
      <c r="CO424" s="132">
        <f t="shared" si="181"/>
        <v>0</v>
      </c>
      <c r="CP424" s="4" t="s">
        <v>132</v>
      </c>
      <c r="CQ424" s="5">
        <v>0</v>
      </c>
      <c r="CR424" s="4">
        <v>0</v>
      </c>
      <c r="CS424" s="132">
        <f t="shared" si="182"/>
        <v>0</v>
      </c>
      <c r="CT424" s="132">
        <f t="shared" si="183"/>
        <v>0</v>
      </c>
      <c r="CU424" s="238">
        <f t="shared" si="184"/>
        <v>500</v>
      </c>
      <c r="CV424" s="239">
        <f t="shared" si="167"/>
        <v>0</v>
      </c>
      <c r="CW424" s="240">
        <f t="shared" si="168"/>
        <v>465</v>
      </c>
      <c r="CX424" s="79">
        <f>IF(ISBLANK(E424),"AddQuickPay",IF(E424=2,CU424*0.98,IF(E424=2.4,CU424*0.976,IF(E424=3,CU424*0.97,IF(E424=5,CU424*0.95,IF(E424=1.5,CU424*0.985,IF(E424=2.5,CU424*0.975,IF(E424=1.3,CU424*0.987,IF(E424=1,CU424*0.99,IF(E424=4,CU424*0.96,CU424*1))))))))))-Table1[[#This Row],[ComCheck+QuickPayFee]]</f>
        <v>500</v>
      </c>
      <c r="CY424" s="237">
        <f t="shared" si="185"/>
        <v>35</v>
      </c>
      <c r="CZ424" s="237">
        <f t="shared" si="186"/>
        <v>0</v>
      </c>
      <c r="DA424" s="263">
        <f>Table1[[#This Row],[OriginalDispatch]]-Table1[[#This Row],[QuickPayCharge]]</f>
        <v>35</v>
      </c>
      <c r="DB424" s="5">
        <v>0</v>
      </c>
      <c r="DC424" s="237" t="s">
        <v>133</v>
      </c>
      <c r="DD424" s="549">
        <f t="shared" si="187"/>
        <v>42503</v>
      </c>
      <c r="DE424" s="554">
        <f>MONTH(Table1[[#This Row],[Weekending]])</f>
        <v>5</v>
      </c>
      <c r="DF424" s="554">
        <f>YEAR(Table1[[#This Row],[Weekending]])</f>
        <v>2016</v>
      </c>
      <c r="DG424" s="235"/>
    </row>
    <row r="425" spans="1:111">
      <c r="A425" s="548" t="str">
        <f t="shared" si="169"/>
        <v>55111193</v>
      </c>
      <c r="B425" s="549">
        <v>42506</v>
      </c>
      <c r="C425" s="550">
        <v>2013255</v>
      </c>
      <c r="D425" s="548" t="s">
        <v>2405</v>
      </c>
      <c r="E425" s="550">
        <v>3</v>
      </c>
      <c r="F425" s="551" t="str">
        <f>INDEX(BrokerTBL!$B:$B,MATCH(D425,BrokerTBL!$A:$A,0))</f>
        <v xml:space="preserve">303 E Wacker Dr. </v>
      </c>
      <c r="G425" s="550" t="str">
        <f>INDEX(BrokerTBL!$C:$C,MATCH(D425,BrokerTBL!$A:$A,0))</f>
        <v>Chicago</v>
      </c>
      <c r="H425" s="235" t="str">
        <f>INDEX(BrokerTBL!$D:$D,MATCH(D425,BrokerTBL!$A:$A,0))</f>
        <v>IL</v>
      </c>
      <c r="I425" s="235" t="str">
        <f>INDEX(BrokerTBL!$E:$E,MATCH(D425,BrokerTBL!$A:$A,0))</f>
        <v>US</v>
      </c>
      <c r="J425" s="235">
        <f>INDEX(BrokerTBL!$F:$F,MATCH(D425,BrokerTBL!$A:$A,0))</f>
        <v>60601</v>
      </c>
      <c r="K425" s="548" t="s">
        <v>2406</v>
      </c>
      <c r="L425" s="552">
        <v>300811</v>
      </c>
      <c r="M425" s="549">
        <v>42503</v>
      </c>
      <c r="N425" s="550" t="s">
        <v>2060</v>
      </c>
      <c r="O425" s="550" t="s">
        <v>2407</v>
      </c>
      <c r="P425" s="548" t="s">
        <v>2408</v>
      </c>
      <c r="Q425" s="548" t="s">
        <v>2233</v>
      </c>
      <c r="R425" s="548">
        <v>89706</v>
      </c>
      <c r="S425" s="548" t="s">
        <v>2207</v>
      </c>
      <c r="T425" s="548" t="s">
        <v>123</v>
      </c>
      <c r="U425" s="548" t="s">
        <v>120</v>
      </c>
      <c r="V425" s="548">
        <v>53</v>
      </c>
      <c r="W425" s="548" t="s">
        <v>2409</v>
      </c>
      <c r="X425" s="553">
        <v>45000</v>
      </c>
      <c r="Y425" s="550" t="s">
        <v>2410</v>
      </c>
      <c r="Z425" s="548">
        <v>50</v>
      </c>
      <c r="AA425" s="548" t="s">
        <v>123</v>
      </c>
      <c r="AB425" s="548" t="s">
        <v>123</v>
      </c>
      <c r="AC425" s="548" t="s">
        <v>2411</v>
      </c>
      <c r="AD425" s="552">
        <v>300811</v>
      </c>
      <c r="AE425" s="549">
        <v>42506</v>
      </c>
      <c r="AF425" s="549" t="s">
        <v>1316</v>
      </c>
      <c r="AG425" s="548" t="s">
        <v>2412</v>
      </c>
      <c r="AH425" s="548" t="s">
        <v>2168</v>
      </c>
      <c r="AI425" s="548" t="s">
        <v>2206</v>
      </c>
      <c r="AJ425" s="548">
        <v>93235</v>
      </c>
      <c r="AK425" s="548" t="s">
        <v>2207</v>
      </c>
      <c r="AL425" s="548" t="s">
        <v>123</v>
      </c>
      <c r="AM425" s="554" t="str">
        <f>INDEX(CarrierDriverTBL!$B:$B,MATCH(Table1[[#This Row],[DriverID]],CarrierDriverTBL!$A:$A,0))</f>
        <v>UBTrucking</v>
      </c>
      <c r="AN425" s="10" t="s">
        <v>2234</v>
      </c>
      <c r="AO425" s="555" t="str">
        <f>INDEX(CarrierDriverTBL!$C:$C,MATCH(Table1[[#This Row],[DriverID]],CarrierDriverTBL!$A:$A,0))</f>
        <v>Arturo</v>
      </c>
      <c r="AP425" s="555" t="str">
        <f>INDEX(CarrierDriverTBL!$D:$D,MATCH(Table1[[#This Row],[DriverID]],CarrierDriverTBL!$A:$A,0))</f>
        <v>Carrillo</v>
      </c>
      <c r="AQ425" s="555" t="str">
        <f>INDEX(CarrierDriverTBL!$X:$X,MATCH(Table1[[#This Row],[DriverID]],CarrierDriverTBL!$A:$A,0))</f>
        <v>C7056793</v>
      </c>
      <c r="AR425" s="556">
        <f>INDEX(CarrierDriverTBL!$Y:$Y,MATCH(Table1[[#This Row],[DriverID]],CarrierDriverTBL!$A:$A,0))</f>
        <v>43410</v>
      </c>
      <c r="AS425" s="554" t="str">
        <f t="shared" si="170"/>
        <v>GOOD</v>
      </c>
      <c r="AT425" s="556">
        <f>INDEX(CarrierDriverTBL!$E:$E,MATCH(Table1[[#This Row],[DriverID]],CarrierDriverTBL!$A:$A,0))</f>
        <v>24782</v>
      </c>
      <c r="AU425" s="557">
        <f ca="1">INDEX(CarrierDriverTBL!$F:$F,MATCH(Table1[[#This Row],[DriverID]],CarrierDriverTBL!$A:$A,0))</f>
        <v>48.750684931506846</v>
      </c>
      <c r="AV425" s="554" t="str">
        <f>INDEX(CarrierDriverTBL!$K:$K,MATCH(Table1[[#This Row],[DriverID]],CarrierDriverTBL!$A:$A,0))</f>
        <v>209-276-9785</v>
      </c>
      <c r="AW425" s="554" t="str">
        <f>INDEX(CarrierDriverTBL!$M:$M,MATCH(Table1[[#This Row],[DriverID]],CarrierDriverTBL!$A:$A,0))</f>
        <v>1685 Winthrop Ln</v>
      </c>
      <c r="AX425" s="554" t="str">
        <f>INDEX(CarrierDriverTBL!$N:$N,MATCH(Table1[[#This Row],[DriverID]],CarrierDriverTBL!$A:$A,0))</f>
        <v>Ceres</v>
      </c>
      <c r="AY425" s="554" t="str">
        <f>INDEX(CarrierDriverTBL!$O:$O,MATCH(Table1[[#This Row],[DriverID]],CarrierDriverTBL!$A:$A,0))</f>
        <v>CA</v>
      </c>
      <c r="AZ425" s="554">
        <f>INDEX(CarrierDriverTBL!$P:$P,MATCH(Table1[[#This Row],[DriverID]],CarrierDriverTBL!$A:$A,0))</f>
        <v>95307</v>
      </c>
      <c r="BA425" s="554" t="str">
        <f>INDEX(CarrierDriverTBL!$Q:$Q,MATCH(Table1[[#This Row],[DriverID]],CarrierDriverTBL!$A:$A,0))</f>
        <v>US</v>
      </c>
      <c r="BB425" s="554" t="str">
        <f>INDEX(CarrierDriverTBL!$R:$R,MATCH(Table1[[#This Row],[DriverID]],CarrierDriverTBL!$A:$A,0))</f>
        <v>arturocarr777@gmail.com</v>
      </c>
      <c r="BC425" s="556">
        <f>INDEX(CarrierDriverTBL!$AB:$AB,MATCH(Table1[[#This Row],[DriverID]],CarrierDriverTBL!$A:$A,0))</f>
        <v>42418</v>
      </c>
      <c r="BD425" s="555" t="str">
        <f ca="1">INDEX(CarrierDriverTBL!$AD:$AD,MATCH(LoadMaster!$AN:$AN,CarrierDriverTBL!$A:$A,0))</f>
        <v>MISSING</v>
      </c>
      <c r="BE425" s="555">
        <f>INDEX(CarrierDriverTBL!$AE:$AE,MATCH(Table1[DriverID],CarrierDriverTBL!$A:$A,0))</f>
        <v>913971</v>
      </c>
      <c r="BF425" s="554">
        <f>INDEX(CarrierDriverTBL!$AF:$AF,MATCH(Table1[DriverID],CarrierDriverTBL!$A:$A,0))</f>
        <v>2627544</v>
      </c>
      <c r="BG425" s="236">
        <f>INDEX(CarrierDriverTBL!$AG:$AG,MATCH(Table1[DriverID],CarrierDriverTBL!$A:$A,0))</f>
        <v>466133</v>
      </c>
      <c r="BH425" s="554" t="str">
        <f>INDEX(CarrierDriverTBL!$AH:$AH,MATCH(Table1[DriverID],CarrierDriverTBL!$A:$A,0))</f>
        <v>GM Lawrence Ins</v>
      </c>
      <c r="BI425" s="554" t="str">
        <f>INDEX(CarrierDriverTBL!$AI:$AI,MATCH(Table1[DriverID],CarrierDriverTBL!$A:$A,0))</f>
        <v>DSK2842P160210</v>
      </c>
      <c r="BJ425" s="556">
        <f>INDEX(CarrierDriverTBL!$AJ:$AJ,MATCH(Table1[[#This Row],[DriverID]],CarrierDriverTBL!$A:$A,0))</f>
        <v>42778</v>
      </c>
      <c r="BK425" s="554">
        <f t="shared" si="171"/>
        <v>275</v>
      </c>
      <c r="BL425" s="558">
        <v>600</v>
      </c>
      <c r="BM425" s="554">
        <v>311.5</v>
      </c>
      <c r="BN425" s="558">
        <f t="shared" si="188"/>
        <v>1.926163723916533</v>
      </c>
      <c r="BO425" s="241">
        <f>0.93*600</f>
        <v>558</v>
      </c>
      <c r="BP425" s="558">
        <f t="shared" si="189"/>
        <v>1.7913322632423756</v>
      </c>
      <c r="BQ425" s="558">
        <v>2.6</v>
      </c>
      <c r="BR425" s="559">
        <f t="shared" si="190"/>
        <v>0.1166666666666667</v>
      </c>
      <c r="BS425" s="558">
        <f t="shared" si="172"/>
        <v>1.6746655965757089</v>
      </c>
      <c r="BT425" s="558">
        <f t="shared" si="173"/>
        <v>36.341666666666676</v>
      </c>
      <c r="BU425" s="236" t="str">
        <f t="shared" si="174"/>
        <v>XPOLogistics</v>
      </c>
      <c r="BV425" s="554"/>
      <c r="BW425" s="236" t="str">
        <f>Table1[[#This Row],[BrokerAddress]]</f>
        <v xml:space="preserve">303 E Wacker Dr. </v>
      </c>
      <c r="BX425" s="236" t="str">
        <f t="shared" si="175"/>
        <v>Chicago</v>
      </c>
      <c r="BY425" s="269" t="str">
        <f t="shared" si="176"/>
        <v>IL</v>
      </c>
      <c r="BZ425" s="236">
        <f t="shared" si="177"/>
        <v>60601</v>
      </c>
      <c r="CA425" s="236" t="str">
        <f t="shared" si="178"/>
        <v>US</v>
      </c>
      <c r="CB425" s="15" t="s">
        <v>131</v>
      </c>
      <c r="CC425" s="62"/>
      <c r="CD425" s="15" t="s">
        <v>132</v>
      </c>
      <c r="CE425" s="64">
        <v>0</v>
      </c>
      <c r="CF425" s="4">
        <v>0</v>
      </c>
      <c r="CG425" s="132">
        <f t="shared" si="179"/>
        <v>0</v>
      </c>
      <c r="CH425" s="4" t="s">
        <v>132</v>
      </c>
      <c r="CI425" s="5">
        <v>0</v>
      </c>
      <c r="CJ425" s="4">
        <v>0</v>
      </c>
      <c r="CK425" s="132">
        <f t="shared" si="180"/>
        <v>0</v>
      </c>
      <c r="CL425" s="4" t="s">
        <v>132</v>
      </c>
      <c r="CM425" s="5">
        <v>0</v>
      </c>
      <c r="CN425" s="4">
        <v>0</v>
      </c>
      <c r="CO425" s="132">
        <f t="shared" si="181"/>
        <v>0</v>
      </c>
      <c r="CP425" s="4" t="s">
        <v>132</v>
      </c>
      <c r="CQ425" s="5">
        <v>0</v>
      </c>
      <c r="CR425" s="4">
        <v>0</v>
      </c>
      <c r="CS425" s="132">
        <f t="shared" si="182"/>
        <v>0</v>
      </c>
      <c r="CT425" s="132">
        <f t="shared" si="183"/>
        <v>0</v>
      </c>
      <c r="CU425" s="238">
        <f t="shared" si="184"/>
        <v>600</v>
      </c>
      <c r="CV425" s="239">
        <f t="shared" si="167"/>
        <v>0</v>
      </c>
      <c r="CW425" s="240">
        <f t="shared" si="168"/>
        <v>558</v>
      </c>
      <c r="CX425" s="79">
        <f>IF(ISBLANK(E425),"AddQuickPay",IF(E425=2,CU425*0.98,IF(E425=2.4,CU425*0.976,IF(E425=3,CU425*0.97,IF(E425=5,CU425*0.95,IF(E425=1.5,CU425*0.985,IF(E425=2.5,CU425*0.975,IF(E425=1.3,CU425*0.987,IF(E425=1,CU425*0.99,IF(E425=4,CU425*0.96,CU425*1))))))))))-Table1[[#This Row],[ComCheck+QuickPayFee]]</f>
        <v>582</v>
      </c>
      <c r="CY425" s="237">
        <f t="shared" si="185"/>
        <v>42</v>
      </c>
      <c r="CZ425" s="237">
        <f t="shared" si="186"/>
        <v>18</v>
      </c>
      <c r="DA425" s="263">
        <f>Table1[[#This Row],[OriginalDispatch]]-Table1[[#This Row],[QuickPayCharge]]</f>
        <v>24</v>
      </c>
      <c r="DB425" s="5">
        <v>0</v>
      </c>
      <c r="DC425" s="237" t="s">
        <v>133</v>
      </c>
      <c r="DD425" s="549">
        <f t="shared" si="187"/>
        <v>42503</v>
      </c>
      <c r="DE425" s="554">
        <f>MONTH(Table1[[#This Row],[Weekending]])</f>
        <v>5</v>
      </c>
      <c r="DF425" s="554">
        <f>YEAR(Table1[[#This Row],[Weekending]])</f>
        <v>2016</v>
      </c>
      <c r="DG425" s="235"/>
    </row>
    <row r="426" spans="1:111">
      <c r="A426" s="548" t="str">
        <f t="shared" si="169"/>
        <v>6 353519</v>
      </c>
      <c r="B426" s="549">
        <v>42506</v>
      </c>
      <c r="C426" s="550" t="s">
        <v>2794</v>
      </c>
      <c r="D426" s="548" t="s">
        <v>2795</v>
      </c>
      <c r="E426" s="550">
        <v>0</v>
      </c>
      <c r="F426" s="551" t="str">
        <f>INDEX(BrokerTBL!$B:$B,MATCH(D426,BrokerTBL!$A:$A,0))</f>
        <v>3091 Governors Lake Drive Suite 350</v>
      </c>
      <c r="G426" s="550" t="str">
        <f>INDEX(BrokerTBL!$C:$C,MATCH(D426,BrokerTBL!$A:$A,0))</f>
        <v>Norcross</v>
      </c>
      <c r="H426" s="235" t="str">
        <f>INDEX(BrokerTBL!$D:$D,MATCH(D426,BrokerTBL!$A:$A,0))</f>
        <v>GA</v>
      </c>
      <c r="I426" s="235" t="str">
        <f>INDEX(BrokerTBL!$E:$E,MATCH(D426,BrokerTBL!$A:$A,0))</f>
        <v>US</v>
      </c>
      <c r="J426" s="235">
        <f>INDEX(BrokerTBL!$F:$F,MATCH(D426,BrokerTBL!$A:$A,0))</f>
        <v>30071</v>
      </c>
      <c r="K426" s="548" t="s">
        <v>2796</v>
      </c>
      <c r="L426" s="552" t="s">
        <v>2797</v>
      </c>
      <c r="M426" s="549">
        <v>42503</v>
      </c>
      <c r="N426" s="560">
        <v>0.29166666666666669</v>
      </c>
      <c r="O426" s="550" t="s">
        <v>2798</v>
      </c>
      <c r="P426" s="548" t="s">
        <v>253</v>
      </c>
      <c r="Q426" s="548" t="s">
        <v>2206</v>
      </c>
      <c r="R426" s="548">
        <v>93638</v>
      </c>
      <c r="S426" s="548" t="s">
        <v>2207</v>
      </c>
      <c r="T426" s="548" t="s">
        <v>123</v>
      </c>
      <c r="U426" s="548" t="s">
        <v>120</v>
      </c>
      <c r="V426" s="548">
        <v>53</v>
      </c>
      <c r="W426" s="548" t="s">
        <v>1205</v>
      </c>
      <c r="X426" s="553" t="s">
        <v>2427</v>
      </c>
      <c r="Y426" s="550" t="s">
        <v>123</v>
      </c>
      <c r="Z426" s="548" t="s">
        <v>123</v>
      </c>
      <c r="AA426" s="548" t="s">
        <v>123</v>
      </c>
      <c r="AB426" s="548" t="s">
        <v>123</v>
      </c>
      <c r="AC426" s="548" t="s">
        <v>2799</v>
      </c>
      <c r="AD426" s="552" t="s">
        <v>2797</v>
      </c>
      <c r="AE426" s="549">
        <v>42506</v>
      </c>
      <c r="AF426" s="560">
        <v>0.14583333333333334</v>
      </c>
      <c r="AG426" s="548" t="s">
        <v>442</v>
      </c>
      <c r="AH426" s="548" t="s">
        <v>443</v>
      </c>
      <c r="AI426" s="548" t="s">
        <v>2206</v>
      </c>
      <c r="AJ426" s="548">
        <v>95765</v>
      </c>
      <c r="AK426" s="548" t="s">
        <v>2207</v>
      </c>
      <c r="AL426" s="548" t="s">
        <v>123</v>
      </c>
      <c r="AM426" s="554" t="str">
        <f>INDEX(CarrierDriverTBL!$B:$B,MATCH(Table1[[#This Row],[DriverID]],CarrierDriverTBL!$A:$A,0))</f>
        <v>UBTrucking</v>
      </c>
      <c r="AN426" s="10" t="s">
        <v>1409</v>
      </c>
      <c r="AO426" s="555" t="str">
        <f>INDEX(CarrierDriverTBL!$C:$C,MATCH(Table1[[#This Row],[DriverID]],CarrierDriverTBL!$A:$A,0))</f>
        <v>Miguel Jaime</v>
      </c>
      <c r="AP426" s="555" t="str">
        <f>INDEX(CarrierDriverTBL!$D:$D,MATCH(Table1[[#This Row],[DriverID]],CarrierDriverTBL!$A:$A,0))</f>
        <v>Martin Del Campo Velarca</v>
      </c>
      <c r="AQ426" s="555" t="str">
        <f>INDEX(CarrierDriverTBL!$X:$X,MATCH(Table1[[#This Row],[DriverID]],CarrierDriverTBL!$A:$A,0))</f>
        <v>D5179619</v>
      </c>
      <c r="AR426" s="556">
        <f>INDEX(CarrierDriverTBL!$Y:$Y,MATCH(Table1[[#This Row],[DriverID]],CarrierDriverTBL!$A:$A,0))</f>
        <v>43843</v>
      </c>
      <c r="AS426" s="554" t="str">
        <f t="shared" si="170"/>
        <v>GOOD</v>
      </c>
      <c r="AT426" s="556">
        <f>INDEX(CarrierDriverTBL!$E:$E,MATCH(Table1[[#This Row],[DriverID]],CarrierDriverTBL!$A:$A,0))</f>
        <v>21198</v>
      </c>
      <c r="AU426" s="557">
        <f ca="1">INDEX(CarrierDriverTBL!$F:$F,MATCH(Table1[[#This Row],[DriverID]],CarrierDriverTBL!$A:$A,0))</f>
        <v>58.56986301369863</v>
      </c>
      <c r="AV426" s="554" t="str">
        <f>INDEX(CarrierDriverTBL!$K:$K,MATCH(Table1[[#This Row],[DriverID]],CarrierDriverTBL!$A:$A,0))</f>
        <v>209-322-5231</v>
      </c>
      <c r="AW426" s="554" t="str">
        <f>INDEX(CarrierDriverTBL!$M:$M,MATCH(Table1[[#This Row],[DriverID]],CarrierDriverTBL!$A:$A,0))</f>
        <v>572 Predersen RD</v>
      </c>
      <c r="AX426" s="554" t="str">
        <f>INDEX(CarrierDriverTBL!$N:$N,MATCH(Table1[[#This Row],[DriverID]],CarrierDriverTBL!$A:$A,0))</f>
        <v>Oakdale</v>
      </c>
      <c r="AY426" s="554" t="str">
        <f>INDEX(CarrierDriverTBL!$O:$O,MATCH(Table1[[#This Row],[DriverID]],CarrierDriverTBL!$A:$A,0))</f>
        <v>CA</v>
      </c>
      <c r="AZ426" s="554">
        <f>INDEX(CarrierDriverTBL!$P:$P,MATCH(Table1[[#This Row],[DriverID]],CarrierDriverTBL!$A:$A,0))</f>
        <v>95361</v>
      </c>
      <c r="BA426" s="554" t="str">
        <f>INDEX(CarrierDriverTBL!$Q:$Q,MATCH(Table1[[#This Row],[DriverID]],CarrierDriverTBL!$A:$A,0))</f>
        <v>US</v>
      </c>
      <c r="BB426" s="554" t="str">
        <f>INDEX(CarrierDriverTBL!$R:$R,MATCH(Table1[[#This Row],[DriverID]],CarrierDriverTBL!$A:$A,0))</f>
        <v>Miguelmartin52@yahoo.com</v>
      </c>
      <c r="BC426" s="556">
        <f>INDEX(CarrierDriverTBL!$AB:$AB,MATCH(Table1[[#This Row],[DriverID]],CarrierDriverTBL!$A:$A,0))</f>
        <v>42334</v>
      </c>
      <c r="BD426" s="555" t="str">
        <f ca="1">INDEX(CarrierDriverTBL!$AD:$AD,MATCH(LoadMaster!$AN:$AN,CarrierDriverTBL!$A:$A,0))</f>
        <v>MISSING</v>
      </c>
      <c r="BE426" s="555">
        <f>INDEX(CarrierDriverTBL!$AE:$AE,MATCH(Table1[DriverID],CarrierDriverTBL!$A:$A,0))</f>
        <v>913971</v>
      </c>
      <c r="BF426" s="554">
        <f>INDEX(CarrierDriverTBL!$AF:$AF,MATCH(Table1[DriverID],CarrierDriverTBL!$A:$A,0))</f>
        <v>2627544</v>
      </c>
      <c r="BG426" s="236">
        <f>INDEX(CarrierDriverTBL!$AG:$AG,MATCH(Table1[DriverID],CarrierDriverTBL!$A:$A,0))</f>
        <v>466133</v>
      </c>
      <c r="BH426" s="554" t="str">
        <f>INDEX(CarrierDriverTBL!$AH:$AH,MATCH(Table1[DriverID],CarrierDriverTBL!$A:$A,0))</f>
        <v>GM Lawrence Ins</v>
      </c>
      <c r="BI426" s="554" t="str">
        <f>INDEX(CarrierDriverTBL!$AI:$AI,MATCH(Table1[DriverID],CarrierDriverTBL!$A:$A,0))</f>
        <v>DSK2842P160210</v>
      </c>
      <c r="BJ426" s="556">
        <f>INDEX(CarrierDriverTBL!$AJ:$AJ,MATCH(Table1[[#This Row],[DriverID]],CarrierDriverTBL!$A:$A,0))</f>
        <v>42778</v>
      </c>
      <c r="BK426" s="554">
        <f t="shared" si="171"/>
        <v>275</v>
      </c>
      <c r="BL426" s="558">
        <v>425</v>
      </c>
      <c r="BM426" s="554">
        <v>174.02</v>
      </c>
      <c r="BN426" s="558">
        <f t="shared" si="188"/>
        <v>2.4422480174692565</v>
      </c>
      <c r="BO426" s="241">
        <f>0.93*425</f>
        <v>395.25</v>
      </c>
      <c r="BP426" s="558">
        <f t="shared" si="189"/>
        <v>2.2712906562464084</v>
      </c>
      <c r="BQ426" s="558">
        <v>2.6</v>
      </c>
      <c r="BR426" s="559">
        <f t="shared" si="190"/>
        <v>0.1166666666666667</v>
      </c>
      <c r="BS426" s="558">
        <f t="shared" si="172"/>
        <v>2.1546239895797417</v>
      </c>
      <c r="BT426" s="558">
        <f t="shared" si="173"/>
        <v>20.30233333333334</v>
      </c>
      <c r="BU426" s="236" t="str">
        <f t="shared" si="174"/>
        <v>Veritiv</v>
      </c>
      <c r="BV426" s="554"/>
      <c r="BW426" s="236" t="str">
        <f>Table1[[#This Row],[BrokerAddress]]</f>
        <v>3091 Governors Lake Drive Suite 350</v>
      </c>
      <c r="BX426" s="236" t="str">
        <f t="shared" si="175"/>
        <v>Norcross</v>
      </c>
      <c r="BY426" s="269" t="str">
        <f t="shared" si="176"/>
        <v>GA</v>
      </c>
      <c r="BZ426" s="236">
        <f t="shared" si="177"/>
        <v>30071</v>
      </c>
      <c r="CA426" s="236" t="str">
        <f t="shared" si="178"/>
        <v>US</v>
      </c>
      <c r="CB426" s="15" t="s">
        <v>131</v>
      </c>
      <c r="CC426" s="62"/>
      <c r="CD426" s="15" t="s">
        <v>132</v>
      </c>
      <c r="CE426" s="64">
        <v>0</v>
      </c>
      <c r="CF426" s="4">
        <v>0</v>
      </c>
      <c r="CG426" s="132">
        <f t="shared" si="179"/>
        <v>0</v>
      </c>
      <c r="CH426" s="4" t="s">
        <v>132</v>
      </c>
      <c r="CI426" s="5">
        <v>0</v>
      </c>
      <c r="CJ426" s="4">
        <v>0</v>
      </c>
      <c r="CK426" s="132">
        <f t="shared" si="180"/>
        <v>0</v>
      </c>
      <c r="CL426" s="4" t="s">
        <v>132</v>
      </c>
      <c r="CM426" s="5">
        <v>0</v>
      </c>
      <c r="CN426" s="4">
        <v>0</v>
      </c>
      <c r="CO426" s="132">
        <f t="shared" si="181"/>
        <v>0</v>
      </c>
      <c r="CP426" s="4" t="s">
        <v>132</v>
      </c>
      <c r="CQ426" s="5">
        <v>0</v>
      </c>
      <c r="CR426" s="4">
        <v>0</v>
      </c>
      <c r="CS426" s="132">
        <f t="shared" si="182"/>
        <v>0</v>
      </c>
      <c r="CT426" s="132">
        <f t="shared" si="183"/>
        <v>0</v>
      </c>
      <c r="CU426" s="238">
        <f t="shared" si="184"/>
        <v>425</v>
      </c>
      <c r="CV426" s="239">
        <f t="shared" si="167"/>
        <v>0</v>
      </c>
      <c r="CW426" s="240">
        <f t="shared" si="168"/>
        <v>395.25</v>
      </c>
      <c r="CX426" s="79">
        <f>IF(ISBLANK(E426),"AddQuickPay",IF(E426=2,CU426*0.98,IF(E426=2.4,CU426*0.976,IF(E426=3,CU426*0.97,IF(E426=5,CU426*0.95,IF(E426=1.5,CU426*0.985,IF(E426=2.5,CU426*0.975,IF(E426=1.3,CU426*0.987,IF(E426=1,CU426*0.99,IF(E426=4,CU426*0.96,CU426*1))))))))))-Table1[[#This Row],[ComCheck+QuickPayFee]]</f>
        <v>425</v>
      </c>
      <c r="CY426" s="237">
        <f t="shared" si="185"/>
        <v>29.75</v>
      </c>
      <c r="CZ426" s="237">
        <f t="shared" si="186"/>
        <v>0</v>
      </c>
      <c r="DA426" s="263">
        <f>Table1[[#This Row],[OriginalDispatch]]-Table1[[#This Row],[QuickPayCharge]]</f>
        <v>29.75</v>
      </c>
      <c r="DB426" s="5">
        <v>0</v>
      </c>
      <c r="DC426" s="237" t="s">
        <v>133</v>
      </c>
      <c r="DD426" s="549">
        <f t="shared" si="187"/>
        <v>42503</v>
      </c>
      <c r="DE426" s="554">
        <f>MONTH(Table1[[#This Row],[Weekending]])</f>
        <v>5</v>
      </c>
      <c r="DF426" s="554">
        <f>YEAR(Table1[[#This Row],[Weekending]])</f>
        <v>2016</v>
      </c>
      <c r="DG426" s="235"/>
    </row>
    <row r="427" spans="1:111">
      <c r="A427" s="548" t="str">
        <f t="shared" si="169"/>
        <v>88wnwn49</v>
      </c>
      <c r="B427" s="549">
        <v>42506</v>
      </c>
      <c r="C427" s="91">
        <v>156088</v>
      </c>
      <c r="D427" s="548" t="s">
        <v>2800</v>
      </c>
      <c r="E427" s="550">
        <v>3</v>
      </c>
      <c r="F427" s="551" t="str">
        <f>INDEX(BrokerTBL!$B:$B,MATCH(D427,BrokerTBL!$A:$A,0))</f>
        <v>PO BOX 729</v>
      </c>
      <c r="G427" s="550" t="str">
        <f>INDEX(BrokerTBL!$C:$C,MATCH(D427,BrokerTBL!$A:$A,0))</f>
        <v xml:space="preserve">White </v>
      </c>
      <c r="H427" s="235" t="str">
        <f>INDEX(BrokerTBL!$D:$D,MATCH(D427,BrokerTBL!$A:$A,0))</f>
        <v>GA</v>
      </c>
      <c r="I427" s="235" t="str">
        <f>INDEX(BrokerTBL!$E:$E,MATCH(D427,BrokerTBL!$A:$A,0))</f>
        <v>US</v>
      </c>
      <c r="J427" s="235">
        <f>INDEX(BrokerTBL!$F:$F,MATCH(D427,BrokerTBL!$A:$A,0))</f>
        <v>30184</v>
      </c>
      <c r="K427" s="548" t="s">
        <v>2737</v>
      </c>
      <c r="L427" s="552" t="s">
        <v>1205</v>
      </c>
      <c r="M427" s="549">
        <v>42503</v>
      </c>
      <c r="N427" s="550" t="s">
        <v>2801</v>
      </c>
      <c r="O427" s="550" t="s">
        <v>2739</v>
      </c>
      <c r="P427" s="548" t="s">
        <v>138</v>
      </c>
      <c r="Q427" s="548" t="s">
        <v>2206</v>
      </c>
      <c r="R427" s="548">
        <v>93230</v>
      </c>
      <c r="S427" s="548" t="s">
        <v>2207</v>
      </c>
      <c r="T427" s="548" t="s">
        <v>123</v>
      </c>
      <c r="U427" s="548" t="s">
        <v>120</v>
      </c>
      <c r="V427" s="548">
        <v>53</v>
      </c>
      <c r="W427" s="548" t="s">
        <v>2802</v>
      </c>
      <c r="X427" s="553">
        <v>5000</v>
      </c>
      <c r="Y427" s="550" t="s">
        <v>123</v>
      </c>
      <c r="Z427" s="548" t="s">
        <v>123</v>
      </c>
      <c r="AA427" s="548" t="s">
        <v>123</v>
      </c>
      <c r="AB427" s="548" t="s">
        <v>123</v>
      </c>
      <c r="AC427" s="548" t="s">
        <v>2803</v>
      </c>
      <c r="AD427" s="552" t="s">
        <v>1205</v>
      </c>
      <c r="AE427" s="549">
        <v>42506</v>
      </c>
      <c r="AF427" s="549" t="s">
        <v>2804</v>
      </c>
      <c r="AG427" s="548" t="s">
        <v>2805</v>
      </c>
      <c r="AH427" s="548" t="s">
        <v>2806</v>
      </c>
      <c r="AI427" s="548" t="s">
        <v>2206</v>
      </c>
      <c r="AJ427" s="548" t="s">
        <v>2807</v>
      </c>
      <c r="AK427" s="548" t="s">
        <v>2207</v>
      </c>
      <c r="AL427" s="548" t="s">
        <v>123</v>
      </c>
      <c r="AM427" s="554" t="str">
        <f>INDEX(CarrierDriverTBL!$B:$B,MATCH(Table1[[#This Row],[DriverID]],CarrierDriverTBL!$A:$A,0))</f>
        <v>UBTrucking</v>
      </c>
      <c r="AN427" s="10" t="s">
        <v>192</v>
      </c>
      <c r="AO427" s="555" t="str">
        <f>INDEX(CarrierDriverTBL!$C:$C,MATCH(Table1[[#This Row],[DriverID]],CarrierDriverTBL!$A:$A,0))</f>
        <v>Albel</v>
      </c>
      <c r="AP427" s="555" t="str">
        <f>INDEX(CarrierDriverTBL!$D:$D,MATCH(Table1[[#This Row],[DriverID]],CarrierDriverTBL!$A:$A,0))</f>
        <v>Chahil</v>
      </c>
      <c r="AQ427" s="555" t="str">
        <f>INDEX(CarrierDriverTBL!$X:$X,MATCH(Table1[[#This Row],[DriverID]],CarrierDriverTBL!$A:$A,0))</f>
        <v>A8390649</v>
      </c>
      <c r="AR427" s="556">
        <f>INDEX(CarrierDriverTBL!$Y:$Y,MATCH(Table1[[#This Row],[DriverID]],CarrierDriverTBL!$A:$A,0))</f>
        <v>42402</v>
      </c>
      <c r="AS427" s="554" t="str">
        <f t="shared" si="170"/>
        <v>EXPIRED</v>
      </c>
      <c r="AT427" s="556">
        <f>INDEX(CarrierDriverTBL!$E:$E,MATCH(Table1[[#This Row],[DriverID]],CarrierDriverTBL!$A:$A,0))</f>
        <v>22314</v>
      </c>
      <c r="AU427" s="557">
        <f ca="1">INDEX(CarrierDriverTBL!$F:$F,MATCH(Table1[[#This Row],[DriverID]],CarrierDriverTBL!$A:$A,0))</f>
        <v>55.512328767123286</v>
      </c>
      <c r="AV427" s="554" t="str">
        <f>INDEX(CarrierDriverTBL!$K:$K,MATCH(Table1[[#This Row],[DriverID]],CarrierDriverTBL!$A:$A,0))</f>
        <v>510-773-9450</v>
      </c>
      <c r="AW427" s="554" t="str">
        <f>INDEX(CarrierDriverTBL!$M:$M,MATCH(Table1[[#This Row],[DriverID]],CarrierDriverTBL!$A:$A,0))</f>
        <v>3124 Cynthia CT</v>
      </c>
      <c r="AX427" s="554" t="str">
        <f>INDEX(CarrierDriverTBL!$N:$N,MATCH(Table1[[#This Row],[DriverID]],CarrierDriverTBL!$A:$A,0))</f>
        <v>Tracy</v>
      </c>
      <c r="AY427" s="554" t="str">
        <f>INDEX(CarrierDriverTBL!$O:$O,MATCH(Table1[[#This Row],[DriverID]],CarrierDriverTBL!$A:$A,0))</f>
        <v>CA</v>
      </c>
      <c r="AZ427" s="554">
        <f>INDEX(CarrierDriverTBL!$P:$P,MATCH(Table1[[#This Row],[DriverID]],CarrierDriverTBL!$A:$A,0))</f>
        <v>95377</v>
      </c>
      <c r="BA427" s="554" t="str">
        <f>INDEX(CarrierDriverTBL!$Q:$Q,MATCH(Table1[[#This Row],[DriverID]],CarrierDriverTBL!$A:$A,0))</f>
        <v>US</v>
      </c>
      <c r="BB427" s="554" t="str">
        <f>INDEX(CarrierDriverTBL!$R:$R,MATCH(Table1[[#This Row],[DriverID]],CarrierDriverTBL!$A:$A,0))</f>
        <v>ubgollc@gmail.com</v>
      </c>
      <c r="BC427" s="556">
        <f>INDEX(CarrierDriverTBL!$AB:$AB,MATCH(Table1[[#This Row],[DriverID]],CarrierDriverTBL!$A:$A,0))</f>
        <v>42167</v>
      </c>
      <c r="BD427" s="555" t="str">
        <f ca="1">INDEX(CarrierDriverTBL!$AD:$AD,MATCH(LoadMaster!$AN:$AN,CarrierDriverTBL!$A:$A,0))</f>
        <v>MISSING</v>
      </c>
      <c r="BE427" s="555">
        <f>INDEX(CarrierDriverTBL!$AE:$AE,MATCH(Table1[DriverID],CarrierDriverTBL!$A:$A,0))</f>
        <v>913971</v>
      </c>
      <c r="BF427" s="554">
        <f>INDEX(CarrierDriverTBL!$AF:$AF,MATCH(Table1[DriverID],CarrierDriverTBL!$A:$A,0))</f>
        <v>2627544</v>
      </c>
      <c r="BG427" s="236">
        <f>INDEX(CarrierDriverTBL!$AG:$AG,MATCH(Table1[DriverID],CarrierDriverTBL!$A:$A,0))</f>
        <v>466133</v>
      </c>
      <c r="BH427" s="554" t="str">
        <f>INDEX(CarrierDriverTBL!$AH:$AH,MATCH(Table1[DriverID],CarrierDriverTBL!$A:$A,0))</f>
        <v>GM Lawrence Ins</v>
      </c>
      <c r="BI427" s="554" t="str">
        <f>INDEX(CarrierDriverTBL!$AI:$AI,MATCH(Table1[DriverID],CarrierDriverTBL!$A:$A,0))</f>
        <v>DSK2842P160210</v>
      </c>
      <c r="BJ427" s="556">
        <f>INDEX(CarrierDriverTBL!$AJ:$AJ,MATCH(Table1[[#This Row],[DriverID]],CarrierDriverTBL!$A:$A,0))</f>
        <v>42778</v>
      </c>
      <c r="BK427" s="554">
        <f t="shared" si="171"/>
        <v>275</v>
      </c>
      <c r="BL427" s="558">
        <v>800</v>
      </c>
      <c r="BM427" s="554">
        <v>325</v>
      </c>
      <c r="BN427" s="558">
        <f t="shared" si="188"/>
        <v>2.4615384615384617</v>
      </c>
      <c r="BO427" s="241">
        <f>0.93*800</f>
        <v>744</v>
      </c>
      <c r="BP427" s="558">
        <f t="shared" si="189"/>
        <v>2.2892307692307692</v>
      </c>
      <c r="BQ427" s="558">
        <v>2.6</v>
      </c>
      <c r="BR427" s="559">
        <f t="shared" si="190"/>
        <v>0.1166666666666667</v>
      </c>
      <c r="BS427" s="558">
        <f t="shared" si="172"/>
        <v>2.1725641025641025</v>
      </c>
      <c r="BT427" s="558">
        <f t="shared" si="173"/>
        <v>37.916666666666679</v>
      </c>
      <c r="BU427" s="236" t="str">
        <f t="shared" si="174"/>
        <v>KTI Logistics, LLC</v>
      </c>
      <c r="BV427" s="554"/>
      <c r="BW427" s="236" t="str">
        <f>Table1[[#This Row],[BrokerAddress]]</f>
        <v>PO BOX 729</v>
      </c>
      <c r="BX427" s="236" t="str">
        <f t="shared" si="175"/>
        <v xml:space="preserve">White </v>
      </c>
      <c r="BY427" s="269" t="str">
        <f t="shared" si="176"/>
        <v>GA</v>
      </c>
      <c r="BZ427" s="236">
        <f t="shared" si="177"/>
        <v>30184</v>
      </c>
      <c r="CA427" s="236" t="str">
        <f t="shared" si="178"/>
        <v>US</v>
      </c>
      <c r="CB427" s="15" t="s">
        <v>131</v>
      </c>
      <c r="CC427" s="62"/>
      <c r="CD427" s="15" t="s">
        <v>132</v>
      </c>
      <c r="CE427" s="64">
        <v>0</v>
      </c>
      <c r="CF427" s="4">
        <v>0</v>
      </c>
      <c r="CG427" s="132">
        <f t="shared" si="179"/>
        <v>0</v>
      </c>
      <c r="CH427" s="4" t="s">
        <v>132</v>
      </c>
      <c r="CI427" s="5">
        <v>0</v>
      </c>
      <c r="CJ427" s="4">
        <v>0</v>
      </c>
      <c r="CK427" s="132">
        <f t="shared" si="180"/>
        <v>0</v>
      </c>
      <c r="CL427" s="4" t="s">
        <v>132</v>
      </c>
      <c r="CM427" s="5">
        <v>0</v>
      </c>
      <c r="CN427" s="4">
        <v>0</v>
      </c>
      <c r="CO427" s="132">
        <f t="shared" si="181"/>
        <v>0</v>
      </c>
      <c r="CP427" s="4" t="s">
        <v>132</v>
      </c>
      <c r="CQ427" s="5">
        <v>0</v>
      </c>
      <c r="CR427" s="4">
        <v>0</v>
      </c>
      <c r="CS427" s="132">
        <f t="shared" si="182"/>
        <v>0</v>
      </c>
      <c r="CT427" s="132">
        <f t="shared" si="183"/>
        <v>0</v>
      </c>
      <c r="CU427" s="238">
        <f t="shared" si="184"/>
        <v>800</v>
      </c>
      <c r="CV427" s="239">
        <f t="shared" si="167"/>
        <v>0</v>
      </c>
      <c r="CW427" s="240">
        <f t="shared" si="168"/>
        <v>744</v>
      </c>
      <c r="CX427" s="79">
        <f>IF(ISBLANK(E427),"AddQuickPay",IF(E427=2,CU427*0.98,IF(E427=2.4,CU427*0.976,IF(E427=3,CU427*0.97,IF(E427=5,CU427*0.95,IF(E427=1.5,CU427*0.985,IF(E427=2.5,CU427*0.975,IF(E427=1.3,CU427*0.987,IF(E427=1,CU427*0.99,IF(E427=4,CU427*0.96,CU427*1))))))))))-Table1[[#This Row],[ComCheck+QuickPayFee]]</f>
        <v>776</v>
      </c>
      <c r="CY427" s="237">
        <f t="shared" si="185"/>
        <v>56</v>
      </c>
      <c r="CZ427" s="237">
        <f t="shared" si="186"/>
        <v>24</v>
      </c>
      <c r="DA427" s="263">
        <f>Table1[[#This Row],[OriginalDispatch]]-Table1[[#This Row],[QuickPayCharge]]</f>
        <v>32</v>
      </c>
      <c r="DB427" s="5">
        <v>0</v>
      </c>
      <c r="DC427" s="237" t="s">
        <v>133</v>
      </c>
      <c r="DD427" s="549">
        <f t="shared" si="187"/>
        <v>42503</v>
      </c>
      <c r="DE427" s="554">
        <f>MONTH(Table1[[#This Row],[Weekending]])</f>
        <v>5</v>
      </c>
      <c r="DF427" s="554">
        <f>YEAR(Table1[[#This Row],[Weekending]])</f>
        <v>2016</v>
      </c>
      <c r="DG427" s="235"/>
    </row>
    <row r="428" spans="1:111">
      <c r="A428" s="548" t="str">
        <f t="shared" si="169"/>
        <v>18wnwn49</v>
      </c>
      <c r="B428" s="549">
        <v>42506</v>
      </c>
      <c r="C428" s="550">
        <v>42318</v>
      </c>
      <c r="D428" s="548" t="s">
        <v>2785</v>
      </c>
      <c r="E428" s="550">
        <v>0</v>
      </c>
      <c r="F428" s="551" t="str">
        <f>INDEX(BrokerTBL!$B:$B,MATCH(D428,BrokerTBL!$A:$A,0))</f>
        <v>21001 San Ramon Valley Blvd A4313</v>
      </c>
      <c r="G428" s="550" t="str">
        <f>INDEX(BrokerTBL!$C:$C,MATCH(D428,BrokerTBL!$A:$A,0))</f>
        <v>San Ramon</v>
      </c>
      <c r="H428" s="235" t="str">
        <f>INDEX(BrokerTBL!$D:$D,MATCH(D428,BrokerTBL!$A:$A,0))</f>
        <v>CA</v>
      </c>
      <c r="I428" s="235" t="str">
        <f>INDEX(BrokerTBL!$E:$E,MATCH(D428,BrokerTBL!$A:$A,0))</f>
        <v>US</v>
      </c>
      <c r="J428" s="235">
        <f>INDEX(BrokerTBL!$F:$F,MATCH(D428,BrokerTBL!$A:$A,0))</f>
        <v>94583</v>
      </c>
      <c r="K428" s="548" t="s">
        <v>2792</v>
      </c>
      <c r="L428" s="552" t="s">
        <v>1205</v>
      </c>
      <c r="M428" s="549">
        <v>42503</v>
      </c>
      <c r="N428" s="550" t="s">
        <v>2808</v>
      </c>
      <c r="O428" s="550" t="s">
        <v>2793</v>
      </c>
      <c r="P428" s="548" t="s">
        <v>138</v>
      </c>
      <c r="Q428" s="548" t="s">
        <v>2206</v>
      </c>
      <c r="R428" s="548">
        <v>93230</v>
      </c>
      <c r="S428" s="548" t="s">
        <v>2207</v>
      </c>
      <c r="T428" s="548" t="s">
        <v>123</v>
      </c>
      <c r="U428" s="548" t="s">
        <v>120</v>
      </c>
      <c r="V428" s="548">
        <v>53</v>
      </c>
      <c r="W428" s="548" t="s">
        <v>2790</v>
      </c>
      <c r="X428" s="553">
        <v>15000</v>
      </c>
      <c r="Y428" s="550" t="s">
        <v>2791</v>
      </c>
      <c r="Z428" s="548">
        <v>1</v>
      </c>
      <c r="AA428" s="548" t="s">
        <v>123</v>
      </c>
      <c r="AB428" s="548" t="s">
        <v>123</v>
      </c>
      <c r="AC428" s="548" t="s">
        <v>2809</v>
      </c>
      <c r="AD428" s="552" t="s">
        <v>1205</v>
      </c>
      <c r="AE428" s="549">
        <v>42503</v>
      </c>
      <c r="AF428" s="560">
        <v>0.16666666666666666</v>
      </c>
      <c r="AG428" s="548" t="s">
        <v>2810</v>
      </c>
      <c r="AH428" s="548" t="s">
        <v>689</v>
      </c>
      <c r="AI428" s="548" t="s">
        <v>2206</v>
      </c>
      <c r="AJ428" s="548">
        <v>95605</v>
      </c>
      <c r="AK428" s="548" t="s">
        <v>2207</v>
      </c>
      <c r="AL428" s="548" t="s">
        <v>2811</v>
      </c>
      <c r="AM428" s="554" t="str">
        <f>INDEX(CarrierDriverTBL!$B:$B,MATCH(Table1[[#This Row],[DriverID]],CarrierDriverTBL!$A:$A,0))</f>
        <v>UBTrucking</v>
      </c>
      <c r="AN428" s="10" t="s">
        <v>192</v>
      </c>
      <c r="AO428" s="555" t="str">
        <f>INDEX(CarrierDriverTBL!$C:$C,MATCH(Table1[[#This Row],[DriverID]],CarrierDriverTBL!$A:$A,0))</f>
        <v>Albel</v>
      </c>
      <c r="AP428" s="555" t="str">
        <f>INDEX(CarrierDriverTBL!$D:$D,MATCH(Table1[[#This Row],[DriverID]],CarrierDriverTBL!$A:$A,0))</f>
        <v>Chahil</v>
      </c>
      <c r="AQ428" s="555" t="str">
        <f>INDEX(CarrierDriverTBL!$X:$X,MATCH(Table1[[#This Row],[DriverID]],CarrierDriverTBL!$A:$A,0))</f>
        <v>A8390649</v>
      </c>
      <c r="AR428" s="556">
        <f>INDEX(CarrierDriverTBL!$Y:$Y,MATCH(Table1[[#This Row],[DriverID]],CarrierDriverTBL!$A:$A,0))</f>
        <v>42402</v>
      </c>
      <c r="AS428" s="554" t="str">
        <f t="shared" si="170"/>
        <v>EXPIRED</v>
      </c>
      <c r="AT428" s="556">
        <f>INDEX(CarrierDriverTBL!$E:$E,MATCH(Table1[[#This Row],[DriverID]],CarrierDriverTBL!$A:$A,0))</f>
        <v>22314</v>
      </c>
      <c r="AU428" s="557">
        <f ca="1">INDEX(CarrierDriverTBL!$F:$F,MATCH(Table1[[#This Row],[DriverID]],CarrierDriverTBL!$A:$A,0))</f>
        <v>55.512328767123286</v>
      </c>
      <c r="AV428" s="554" t="str">
        <f>INDEX(CarrierDriverTBL!$K:$K,MATCH(Table1[[#This Row],[DriverID]],CarrierDriverTBL!$A:$A,0))</f>
        <v>510-773-9450</v>
      </c>
      <c r="AW428" s="554" t="str">
        <f>INDEX(CarrierDriverTBL!$M:$M,MATCH(Table1[[#This Row],[DriverID]],CarrierDriverTBL!$A:$A,0))</f>
        <v>3124 Cynthia CT</v>
      </c>
      <c r="AX428" s="554" t="str">
        <f>INDEX(CarrierDriverTBL!$N:$N,MATCH(Table1[[#This Row],[DriverID]],CarrierDriverTBL!$A:$A,0))</f>
        <v>Tracy</v>
      </c>
      <c r="AY428" s="554" t="str">
        <f>INDEX(CarrierDriverTBL!$O:$O,MATCH(Table1[[#This Row],[DriverID]],CarrierDriverTBL!$A:$A,0))</f>
        <v>CA</v>
      </c>
      <c r="AZ428" s="554">
        <f>INDEX(CarrierDriverTBL!$P:$P,MATCH(Table1[[#This Row],[DriverID]],CarrierDriverTBL!$A:$A,0))</f>
        <v>95377</v>
      </c>
      <c r="BA428" s="554" t="str">
        <f>INDEX(CarrierDriverTBL!$Q:$Q,MATCH(Table1[[#This Row],[DriverID]],CarrierDriverTBL!$A:$A,0))</f>
        <v>US</v>
      </c>
      <c r="BB428" s="554" t="str">
        <f>INDEX(CarrierDriverTBL!$R:$R,MATCH(Table1[[#This Row],[DriverID]],CarrierDriverTBL!$A:$A,0))</f>
        <v>ubgollc@gmail.com</v>
      </c>
      <c r="BC428" s="556">
        <f>INDEX(CarrierDriverTBL!$AB:$AB,MATCH(Table1[[#This Row],[DriverID]],CarrierDriverTBL!$A:$A,0))</f>
        <v>42167</v>
      </c>
      <c r="BD428" s="555" t="str">
        <f ca="1">INDEX(CarrierDriverTBL!$AD:$AD,MATCH(LoadMaster!$AN:$AN,CarrierDriverTBL!$A:$A,0))</f>
        <v>MISSING</v>
      </c>
      <c r="BE428" s="555">
        <f>INDEX(CarrierDriverTBL!$AE:$AE,MATCH(Table1[DriverID],CarrierDriverTBL!$A:$A,0))</f>
        <v>913971</v>
      </c>
      <c r="BF428" s="554">
        <f>INDEX(CarrierDriverTBL!$AF:$AF,MATCH(Table1[DriverID],CarrierDriverTBL!$A:$A,0))</f>
        <v>2627544</v>
      </c>
      <c r="BG428" s="236">
        <f>INDEX(CarrierDriverTBL!$AG:$AG,MATCH(Table1[DriverID],CarrierDriverTBL!$A:$A,0))</f>
        <v>466133</v>
      </c>
      <c r="BH428" s="554" t="str">
        <f>INDEX(CarrierDriverTBL!$AH:$AH,MATCH(Table1[DriverID],CarrierDriverTBL!$A:$A,0))</f>
        <v>GM Lawrence Ins</v>
      </c>
      <c r="BI428" s="554" t="str">
        <f>INDEX(CarrierDriverTBL!$AI:$AI,MATCH(Table1[DriverID],CarrierDriverTBL!$A:$A,0))</f>
        <v>DSK2842P160210</v>
      </c>
      <c r="BJ428" s="556">
        <f>INDEX(CarrierDriverTBL!$AJ:$AJ,MATCH(Table1[[#This Row],[DriverID]],CarrierDriverTBL!$A:$A,0))</f>
        <v>42778</v>
      </c>
      <c r="BK428" s="554">
        <f t="shared" si="171"/>
        <v>275</v>
      </c>
      <c r="BL428" s="558">
        <v>400</v>
      </c>
      <c r="BM428" s="554">
        <v>201.5</v>
      </c>
      <c r="BN428" s="558">
        <f t="shared" si="188"/>
        <v>1.9851116625310175</v>
      </c>
      <c r="BO428" s="241">
        <f>0.93*400</f>
        <v>372</v>
      </c>
      <c r="BP428" s="558">
        <f t="shared" si="189"/>
        <v>1.8461538461538463</v>
      </c>
      <c r="BQ428" s="558">
        <v>2.6</v>
      </c>
      <c r="BR428" s="559">
        <f t="shared" si="190"/>
        <v>0.1166666666666667</v>
      </c>
      <c r="BS428" s="558">
        <f t="shared" si="172"/>
        <v>1.7294871794871796</v>
      </c>
      <c r="BT428" s="558">
        <f t="shared" si="173"/>
        <v>23.50833333333334</v>
      </c>
      <c r="BU428" s="236" t="str">
        <f t="shared" si="174"/>
        <v>CTS</v>
      </c>
      <c r="BV428" s="554"/>
      <c r="BW428" s="236" t="str">
        <f>Table1[[#This Row],[BrokerAddress]]</f>
        <v>21001 San Ramon Valley Blvd A4313</v>
      </c>
      <c r="BX428" s="236" t="str">
        <f t="shared" si="175"/>
        <v>San Ramon</v>
      </c>
      <c r="BY428" s="269" t="str">
        <f t="shared" si="176"/>
        <v>CA</v>
      </c>
      <c r="BZ428" s="236">
        <f t="shared" si="177"/>
        <v>94583</v>
      </c>
      <c r="CA428" s="236" t="str">
        <f t="shared" si="178"/>
        <v>US</v>
      </c>
      <c r="CB428" s="15" t="s">
        <v>131</v>
      </c>
      <c r="CC428" s="62"/>
      <c r="CD428" s="15" t="s">
        <v>132</v>
      </c>
      <c r="CE428" s="64">
        <v>0</v>
      </c>
      <c r="CF428" s="4">
        <v>0</v>
      </c>
      <c r="CG428" s="132">
        <f t="shared" si="179"/>
        <v>0</v>
      </c>
      <c r="CH428" s="4" t="s">
        <v>132</v>
      </c>
      <c r="CI428" s="5">
        <v>0</v>
      </c>
      <c r="CJ428" s="4">
        <v>0</v>
      </c>
      <c r="CK428" s="132">
        <f t="shared" si="180"/>
        <v>0</v>
      </c>
      <c r="CL428" s="4" t="s">
        <v>132</v>
      </c>
      <c r="CM428" s="5">
        <v>0</v>
      </c>
      <c r="CN428" s="4">
        <v>0</v>
      </c>
      <c r="CO428" s="132">
        <f t="shared" si="181"/>
        <v>0</v>
      </c>
      <c r="CP428" s="4" t="s">
        <v>132</v>
      </c>
      <c r="CQ428" s="5">
        <v>0</v>
      </c>
      <c r="CR428" s="4">
        <v>0</v>
      </c>
      <c r="CS428" s="132">
        <f t="shared" si="182"/>
        <v>0</v>
      </c>
      <c r="CT428" s="132">
        <f t="shared" si="183"/>
        <v>0</v>
      </c>
      <c r="CU428" s="238">
        <f t="shared" si="184"/>
        <v>400</v>
      </c>
      <c r="CV428" s="239">
        <f t="shared" si="167"/>
        <v>0</v>
      </c>
      <c r="CW428" s="240">
        <f t="shared" si="168"/>
        <v>372</v>
      </c>
      <c r="CX428" s="79">
        <f>IF(ISBLANK(E428),"AddQuickPay",IF(E428=2,CU428*0.98,IF(E428=2.4,CU428*0.976,IF(E428=3,CU428*0.97,IF(E428=5,CU428*0.95,IF(E428=1.5,CU428*0.985,IF(E428=2.5,CU428*0.975,IF(E428=1.3,CU428*0.987,IF(E428=1,CU428*0.99,IF(E428=4,CU428*0.96,CU428*1))))))))))-Table1[[#This Row],[ComCheck+QuickPayFee]]</f>
        <v>400</v>
      </c>
      <c r="CY428" s="237">
        <f t="shared" si="185"/>
        <v>28</v>
      </c>
      <c r="CZ428" s="237">
        <f t="shared" si="186"/>
        <v>0</v>
      </c>
      <c r="DA428" s="263">
        <f>Table1[[#This Row],[OriginalDispatch]]-Table1[[#This Row],[QuickPayCharge]]</f>
        <v>28</v>
      </c>
      <c r="DB428" s="5">
        <v>0</v>
      </c>
      <c r="DC428" s="237" t="s">
        <v>133</v>
      </c>
      <c r="DD428" s="549">
        <f t="shared" si="187"/>
        <v>42503</v>
      </c>
      <c r="DE428" s="554">
        <f>MONTH(Table1[[#This Row],[Weekending]])</f>
        <v>5</v>
      </c>
      <c r="DF428" s="554">
        <f>YEAR(Table1[[#This Row],[Weekending]])</f>
        <v>2016</v>
      </c>
      <c r="DG428" s="235"/>
    </row>
    <row r="429" spans="1:111">
      <c r="A429" s="548" t="str">
        <f t="shared" si="169"/>
        <v>03wnwn19</v>
      </c>
      <c r="B429" s="549">
        <v>42506</v>
      </c>
      <c r="C429" s="550">
        <v>51203</v>
      </c>
      <c r="D429" s="548" t="s">
        <v>1824</v>
      </c>
      <c r="E429" s="550">
        <v>3</v>
      </c>
      <c r="F429" s="551" t="str">
        <f>INDEX(BrokerTBL!$B:$B,MATCH(D429,BrokerTBL!$A:$A,0))</f>
        <v>2109 W Bullard Ave # 101</v>
      </c>
      <c r="G429" s="550" t="str">
        <f>INDEX(BrokerTBL!$C:$C,MATCH(D429,BrokerTBL!$A:$A,0))</f>
        <v>Fresno</v>
      </c>
      <c r="H429" s="235" t="str">
        <f>INDEX(BrokerTBL!$D:$D,MATCH(D429,BrokerTBL!$A:$A,0))</f>
        <v>Ca</v>
      </c>
      <c r="I429" s="235" t="str">
        <f>INDEX(BrokerTBL!$E:$E,MATCH(D429,BrokerTBL!$A:$A,0))</f>
        <v>US</v>
      </c>
      <c r="J429" s="235">
        <f>INDEX(BrokerTBL!$F:$F,MATCH(D429,BrokerTBL!$A:$A,0))</f>
        <v>93711</v>
      </c>
      <c r="K429" s="548" t="s">
        <v>2261</v>
      </c>
      <c r="L429" s="552" t="s">
        <v>1205</v>
      </c>
      <c r="M429" s="549">
        <v>42506</v>
      </c>
      <c r="N429" s="550" t="s">
        <v>1484</v>
      </c>
      <c r="O429" s="550" t="s">
        <v>2262</v>
      </c>
      <c r="P429" s="548" t="s">
        <v>2263</v>
      </c>
      <c r="Q429" s="548" t="s">
        <v>2206</v>
      </c>
      <c r="R429" s="548">
        <v>95742</v>
      </c>
      <c r="S429" s="548" t="s">
        <v>2207</v>
      </c>
      <c r="T429" s="548" t="s">
        <v>123</v>
      </c>
      <c r="U429" s="548" t="s">
        <v>120</v>
      </c>
      <c r="V429" s="548">
        <v>53</v>
      </c>
      <c r="W429" s="548" t="s">
        <v>2812</v>
      </c>
      <c r="X429" s="553">
        <v>40000</v>
      </c>
      <c r="Y429" s="550" t="s">
        <v>123</v>
      </c>
      <c r="Z429" s="548" t="s">
        <v>123</v>
      </c>
      <c r="AA429" s="548" t="s">
        <v>123</v>
      </c>
      <c r="AB429" s="548" t="s">
        <v>123</v>
      </c>
      <c r="AC429" s="548" t="s">
        <v>2813</v>
      </c>
      <c r="AD429" s="552" t="s">
        <v>1205</v>
      </c>
      <c r="AE429" s="549">
        <v>42507</v>
      </c>
      <c r="AF429" s="560">
        <v>0.375</v>
      </c>
      <c r="AG429" s="548" t="s">
        <v>2814</v>
      </c>
      <c r="AH429" s="548" t="s">
        <v>2466</v>
      </c>
      <c r="AI429" s="548" t="s">
        <v>2233</v>
      </c>
      <c r="AJ429" s="548">
        <v>89501</v>
      </c>
      <c r="AK429" s="548" t="s">
        <v>2207</v>
      </c>
      <c r="AL429" s="548" t="s">
        <v>123</v>
      </c>
      <c r="AM429" s="554" t="str">
        <f>INDEX(CarrierDriverTBL!$B:$B,MATCH(Table1[[#This Row],[DriverID]],CarrierDriverTBL!$A:$A,0))</f>
        <v>UBTrucking</v>
      </c>
      <c r="AN429" s="10" t="s">
        <v>1409</v>
      </c>
      <c r="AO429" s="555" t="str">
        <f>INDEX(CarrierDriverTBL!$C:$C,MATCH(Table1[[#This Row],[DriverID]],CarrierDriverTBL!$A:$A,0))</f>
        <v>Miguel Jaime</v>
      </c>
      <c r="AP429" s="555" t="str">
        <f>INDEX(CarrierDriverTBL!$D:$D,MATCH(Table1[[#This Row],[DriverID]],CarrierDriverTBL!$A:$A,0))</f>
        <v>Martin Del Campo Velarca</v>
      </c>
      <c r="AQ429" s="555" t="str">
        <f>INDEX(CarrierDriverTBL!$X:$X,MATCH(Table1[[#This Row],[DriverID]],CarrierDriverTBL!$A:$A,0))</f>
        <v>D5179619</v>
      </c>
      <c r="AR429" s="556">
        <f>INDEX(CarrierDriverTBL!$Y:$Y,MATCH(Table1[[#This Row],[DriverID]],CarrierDriverTBL!$A:$A,0))</f>
        <v>43843</v>
      </c>
      <c r="AS429" s="554" t="str">
        <f t="shared" si="170"/>
        <v>GOOD</v>
      </c>
      <c r="AT429" s="556">
        <f>INDEX(CarrierDriverTBL!$E:$E,MATCH(Table1[[#This Row],[DriverID]],CarrierDriverTBL!$A:$A,0))</f>
        <v>21198</v>
      </c>
      <c r="AU429" s="557">
        <f ca="1">INDEX(CarrierDriverTBL!$F:$F,MATCH(Table1[[#This Row],[DriverID]],CarrierDriverTBL!$A:$A,0))</f>
        <v>58.56986301369863</v>
      </c>
      <c r="AV429" s="554" t="str">
        <f>INDEX(CarrierDriverTBL!$K:$K,MATCH(Table1[[#This Row],[DriverID]],CarrierDriverTBL!$A:$A,0))</f>
        <v>209-322-5231</v>
      </c>
      <c r="AW429" s="554" t="str">
        <f>INDEX(CarrierDriverTBL!$M:$M,MATCH(Table1[[#This Row],[DriverID]],CarrierDriverTBL!$A:$A,0))</f>
        <v>572 Predersen RD</v>
      </c>
      <c r="AX429" s="554" t="str">
        <f>INDEX(CarrierDriverTBL!$N:$N,MATCH(Table1[[#This Row],[DriverID]],CarrierDriverTBL!$A:$A,0))</f>
        <v>Oakdale</v>
      </c>
      <c r="AY429" s="554" t="str">
        <f>INDEX(CarrierDriverTBL!$O:$O,MATCH(Table1[[#This Row],[DriverID]],CarrierDriverTBL!$A:$A,0))</f>
        <v>CA</v>
      </c>
      <c r="AZ429" s="554">
        <f>INDEX(CarrierDriverTBL!$P:$P,MATCH(Table1[[#This Row],[DriverID]],CarrierDriverTBL!$A:$A,0))</f>
        <v>95361</v>
      </c>
      <c r="BA429" s="554" t="str">
        <f>INDEX(CarrierDriverTBL!$Q:$Q,MATCH(Table1[[#This Row],[DriverID]],CarrierDriverTBL!$A:$A,0))</f>
        <v>US</v>
      </c>
      <c r="BB429" s="554" t="str">
        <f>INDEX(CarrierDriverTBL!$R:$R,MATCH(Table1[[#This Row],[DriverID]],CarrierDriverTBL!$A:$A,0))</f>
        <v>Miguelmartin52@yahoo.com</v>
      </c>
      <c r="BC429" s="556">
        <f>INDEX(CarrierDriverTBL!$AB:$AB,MATCH(Table1[[#This Row],[DriverID]],CarrierDriverTBL!$A:$A,0))</f>
        <v>42334</v>
      </c>
      <c r="BD429" s="555" t="str">
        <f ca="1">INDEX(CarrierDriverTBL!$AD:$AD,MATCH(LoadMaster!$AN:$AN,CarrierDriverTBL!$A:$A,0))</f>
        <v>MISSING</v>
      </c>
      <c r="BE429" s="555">
        <f>INDEX(CarrierDriverTBL!$AE:$AE,MATCH(Table1[DriverID],CarrierDriverTBL!$A:$A,0))</f>
        <v>913971</v>
      </c>
      <c r="BF429" s="554">
        <f>INDEX(CarrierDriverTBL!$AF:$AF,MATCH(Table1[DriverID],CarrierDriverTBL!$A:$A,0))</f>
        <v>2627544</v>
      </c>
      <c r="BG429" s="236">
        <f>INDEX(CarrierDriverTBL!$AG:$AG,MATCH(Table1[DriverID],CarrierDriverTBL!$A:$A,0))</f>
        <v>466133</v>
      </c>
      <c r="BH429" s="554" t="str">
        <f>INDEX(CarrierDriverTBL!$AH:$AH,MATCH(Table1[DriverID],CarrierDriverTBL!$A:$A,0))</f>
        <v>GM Lawrence Ins</v>
      </c>
      <c r="BI429" s="554" t="str">
        <f>INDEX(CarrierDriverTBL!$AI:$AI,MATCH(Table1[DriverID],CarrierDriverTBL!$A:$A,0))</f>
        <v>DSK2842P160210</v>
      </c>
      <c r="BJ429" s="556">
        <f>INDEX(CarrierDriverTBL!$AJ:$AJ,MATCH(Table1[[#This Row],[DriverID]],CarrierDriverTBL!$A:$A,0))</f>
        <v>42778</v>
      </c>
      <c r="BK429" s="554">
        <f t="shared" si="171"/>
        <v>272</v>
      </c>
      <c r="BL429" s="558">
        <v>450</v>
      </c>
      <c r="BM429" s="554">
        <v>125</v>
      </c>
      <c r="BN429" s="558">
        <f t="shared" si="188"/>
        <v>3.6</v>
      </c>
      <c r="BO429" s="241">
        <f>0.93*450</f>
        <v>418.5</v>
      </c>
      <c r="BP429" s="558">
        <f t="shared" si="189"/>
        <v>3.3479999999999999</v>
      </c>
      <c r="BQ429" s="558">
        <v>2.6</v>
      </c>
      <c r="BR429" s="559">
        <f t="shared" si="190"/>
        <v>0.1166666666666667</v>
      </c>
      <c r="BS429" s="558">
        <f t="shared" si="172"/>
        <v>3.2313333333333332</v>
      </c>
      <c r="BT429" s="558">
        <f t="shared" si="173"/>
        <v>14.583333333333337</v>
      </c>
      <c r="BU429" s="236" t="str">
        <f t="shared" si="174"/>
        <v>Cargobarn Inc.</v>
      </c>
      <c r="BV429" s="554"/>
      <c r="BW429" s="236" t="str">
        <f>Table1[[#This Row],[BrokerAddress]]</f>
        <v>2109 W Bullard Ave # 101</v>
      </c>
      <c r="BX429" s="236" t="str">
        <f t="shared" si="175"/>
        <v>Fresno</v>
      </c>
      <c r="BY429" s="269" t="str">
        <f t="shared" si="176"/>
        <v>Ca</v>
      </c>
      <c r="BZ429" s="236">
        <f t="shared" si="177"/>
        <v>93711</v>
      </c>
      <c r="CA429" s="236" t="str">
        <f t="shared" si="178"/>
        <v>US</v>
      </c>
      <c r="CB429" s="15" t="s">
        <v>131</v>
      </c>
      <c r="CC429" s="62"/>
      <c r="CD429" s="15" t="s">
        <v>132</v>
      </c>
      <c r="CE429" s="64">
        <v>0</v>
      </c>
      <c r="CF429" s="4">
        <v>0</v>
      </c>
      <c r="CG429" s="132">
        <f t="shared" si="179"/>
        <v>0</v>
      </c>
      <c r="CH429" s="4" t="s">
        <v>132</v>
      </c>
      <c r="CI429" s="5">
        <v>0</v>
      </c>
      <c r="CJ429" s="4">
        <v>0</v>
      </c>
      <c r="CK429" s="132">
        <f t="shared" si="180"/>
        <v>0</v>
      </c>
      <c r="CL429" s="4" t="s">
        <v>132</v>
      </c>
      <c r="CM429" s="5">
        <v>0</v>
      </c>
      <c r="CN429" s="4">
        <v>0</v>
      </c>
      <c r="CO429" s="132">
        <f t="shared" si="181"/>
        <v>0</v>
      </c>
      <c r="CP429" s="4" t="s">
        <v>132</v>
      </c>
      <c r="CQ429" s="5">
        <v>0</v>
      </c>
      <c r="CR429" s="4">
        <v>0</v>
      </c>
      <c r="CS429" s="132">
        <f t="shared" si="182"/>
        <v>0</v>
      </c>
      <c r="CT429" s="132">
        <f t="shared" si="183"/>
        <v>0</v>
      </c>
      <c r="CU429" s="238">
        <f t="shared" si="184"/>
        <v>450</v>
      </c>
      <c r="CV429" s="239">
        <f t="shared" si="167"/>
        <v>0</v>
      </c>
      <c r="CW429" s="240">
        <f t="shared" si="168"/>
        <v>418.5</v>
      </c>
      <c r="CX429" s="79">
        <f>IF(ISBLANK(E429),"AddQuickPay",IF(E429=2,CU429*0.98,IF(E429=2.4,CU429*0.976,IF(E429=3,CU429*0.97,IF(E429=5,CU429*0.95,IF(E429=1.5,CU429*0.985,IF(E429=2.5,CU429*0.975,IF(E429=1.3,CU429*0.987,IF(E429=1,CU429*0.99,IF(E429=4,CU429*0.96,CU429*1))))))))))-Table1[[#This Row],[ComCheck+QuickPayFee]]</f>
        <v>436.5</v>
      </c>
      <c r="CY429" s="237">
        <f t="shared" si="185"/>
        <v>31.5</v>
      </c>
      <c r="CZ429" s="237">
        <f t="shared" si="186"/>
        <v>13.5</v>
      </c>
      <c r="DA429" s="263">
        <f>Table1[[#This Row],[OriginalDispatch]]-Table1[[#This Row],[QuickPayCharge]]</f>
        <v>18</v>
      </c>
      <c r="DB429" s="5">
        <v>0</v>
      </c>
      <c r="DC429" s="237" t="s">
        <v>133</v>
      </c>
      <c r="DD429" s="549">
        <f t="shared" si="187"/>
        <v>42510</v>
      </c>
      <c r="DE429" s="554">
        <f>MONTH(Table1[[#This Row],[Weekending]])</f>
        <v>5</v>
      </c>
      <c r="DF429" s="554">
        <f>YEAR(Table1[[#This Row],[Weekending]])</f>
        <v>2016</v>
      </c>
      <c r="DG429" s="235"/>
    </row>
    <row r="430" spans="1:111">
      <c r="A430" s="548" t="str">
        <f t="shared" si="169"/>
        <v>61860793</v>
      </c>
      <c r="B430" s="549">
        <v>42506</v>
      </c>
      <c r="C430" s="550">
        <v>388461</v>
      </c>
      <c r="D430" s="548" t="s">
        <v>2815</v>
      </c>
      <c r="E430" s="550">
        <v>3</v>
      </c>
      <c r="F430" s="551" t="str">
        <f>INDEX(BrokerTBL!$B:$B,MATCH(D430,BrokerTBL!$A:$A,0))</f>
        <v>555 Waters Edge Suite 225</v>
      </c>
      <c r="G430" s="550" t="str">
        <f>INDEX(BrokerTBL!$C:$C,MATCH(D430,BrokerTBL!$A:$A,0))</f>
        <v>Lombard</v>
      </c>
      <c r="H430" s="235" t="str">
        <f>INDEX(BrokerTBL!$D:$D,MATCH(D430,BrokerTBL!$A:$A,0))</f>
        <v>IL</v>
      </c>
      <c r="I430" s="235" t="str">
        <f>INDEX(BrokerTBL!$E:$E,MATCH(D430,BrokerTBL!$A:$A,0))</f>
        <v>US</v>
      </c>
      <c r="J430" s="235">
        <f>INDEX(BrokerTBL!$F:$F,MATCH(D430,BrokerTBL!$A:$A,0))</f>
        <v>60148</v>
      </c>
      <c r="K430" s="548" t="s">
        <v>2816</v>
      </c>
      <c r="L430" s="552">
        <v>651586</v>
      </c>
      <c r="M430" s="549">
        <v>42506</v>
      </c>
      <c r="N430" s="560">
        <v>0.45833333333333331</v>
      </c>
      <c r="O430" s="550" t="s">
        <v>2817</v>
      </c>
      <c r="P430" s="548" t="s">
        <v>214</v>
      </c>
      <c r="Q430" s="548" t="s">
        <v>2206</v>
      </c>
      <c r="R430" s="548">
        <v>93725</v>
      </c>
      <c r="S430" s="548" t="s">
        <v>2207</v>
      </c>
      <c r="T430" s="548" t="s">
        <v>2818</v>
      </c>
      <c r="U430" s="548" t="s">
        <v>120</v>
      </c>
      <c r="V430" s="548">
        <v>53</v>
      </c>
      <c r="W430" s="548" t="s">
        <v>2819</v>
      </c>
      <c r="X430" s="553">
        <v>41724</v>
      </c>
      <c r="Y430" s="550" t="s">
        <v>2820</v>
      </c>
      <c r="Z430" s="548" t="s">
        <v>123</v>
      </c>
      <c r="AA430" s="548" t="s">
        <v>123</v>
      </c>
      <c r="AB430" s="548" t="s">
        <v>123</v>
      </c>
      <c r="AC430" s="548" t="s">
        <v>2821</v>
      </c>
      <c r="AD430" s="552">
        <v>623507</v>
      </c>
      <c r="AE430" s="549">
        <v>42507</v>
      </c>
      <c r="AF430" s="560">
        <v>0.375</v>
      </c>
      <c r="AG430" s="548" t="s">
        <v>2822</v>
      </c>
      <c r="AH430" s="548" t="s">
        <v>2466</v>
      </c>
      <c r="AI430" s="548" t="s">
        <v>2233</v>
      </c>
      <c r="AJ430" s="548">
        <v>89511</v>
      </c>
      <c r="AK430" s="548" t="s">
        <v>2207</v>
      </c>
      <c r="AL430" s="548" t="s">
        <v>2823</v>
      </c>
      <c r="AM430" s="554" t="str">
        <f>INDEX(CarrierDriverTBL!$B:$B,MATCH(Table1[[#This Row],[DriverID]],CarrierDriverTBL!$A:$A,0))</f>
        <v>UBTrucking</v>
      </c>
      <c r="AN430" s="10" t="s">
        <v>2234</v>
      </c>
      <c r="AO430" s="555" t="str">
        <f>INDEX(CarrierDriverTBL!$C:$C,MATCH(Table1[[#This Row],[DriverID]],CarrierDriverTBL!$A:$A,0))</f>
        <v>Arturo</v>
      </c>
      <c r="AP430" s="555" t="str">
        <f>INDEX(CarrierDriverTBL!$D:$D,MATCH(Table1[[#This Row],[DriverID]],CarrierDriverTBL!$A:$A,0))</f>
        <v>Carrillo</v>
      </c>
      <c r="AQ430" s="555" t="str">
        <f>INDEX(CarrierDriverTBL!$X:$X,MATCH(Table1[[#This Row],[DriverID]],CarrierDriverTBL!$A:$A,0))</f>
        <v>C7056793</v>
      </c>
      <c r="AR430" s="556">
        <f>INDEX(CarrierDriverTBL!$Y:$Y,MATCH(Table1[[#This Row],[DriverID]],CarrierDriverTBL!$A:$A,0))</f>
        <v>43410</v>
      </c>
      <c r="AS430" s="554" t="str">
        <f t="shared" si="170"/>
        <v>GOOD</v>
      </c>
      <c r="AT430" s="556">
        <f>INDEX(CarrierDriverTBL!$E:$E,MATCH(Table1[[#This Row],[DriverID]],CarrierDriverTBL!$A:$A,0))</f>
        <v>24782</v>
      </c>
      <c r="AU430" s="557">
        <f ca="1">INDEX(CarrierDriverTBL!$F:$F,MATCH(Table1[[#This Row],[DriverID]],CarrierDriverTBL!$A:$A,0))</f>
        <v>48.750684931506846</v>
      </c>
      <c r="AV430" s="554" t="str">
        <f>INDEX(CarrierDriverTBL!$K:$K,MATCH(Table1[[#This Row],[DriverID]],CarrierDriverTBL!$A:$A,0))</f>
        <v>209-276-9785</v>
      </c>
      <c r="AW430" s="554" t="str">
        <f>INDEX(CarrierDriverTBL!$M:$M,MATCH(Table1[[#This Row],[DriverID]],CarrierDriverTBL!$A:$A,0))</f>
        <v>1685 Winthrop Ln</v>
      </c>
      <c r="AX430" s="554" t="str">
        <f>INDEX(CarrierDriverTBL!$N:$N,MATCH(Table1[[#This Row],[DriverID]],CarrierDriverTBL!$A:$A,0))</f>
        <v>Ceres</v>
      </c>
      <c r="AY430" s="554" t="str">
        <f>INDEX(CarrierDriverTBL!$O:$O,MATCH(Table1[[#This Row],[DriverID]],CarrierDriverTBL!$A:$A,0))</f>
        <v>CA</v>
      </c>
      <c r="AZ430" s="554">
        <f>INDEX(CarrierDriverTBL!$P:$P,MATCH(Table1[[#This Row],[DriverID]],CarrierDriverTBL!$A:$A,0))</f>
        <v>95307</v>
      </c>
      <c r="BA430" s="554" t="str">
        <f>INDEX(CarrierDriverTBL!$Q:$Q,MATCH(Table1[[#This Row],[DriverID]],CarrierDriverTBL!$A:$A,0))</f>
        <v>US</v>
      </c>
      <c r="BB430" s="554" t="str">
        <f>INDEX(CarrierDriverTBL!$R:$R,MATCH(Table1[[#This Row],[DriverID]],CarrierDriverTBL!$A:$A,0))</f>
        <v>arturocarr777@gmail.com</v>
      </c>
      <c r="BC430" s="556">
        <f>INDEX(CarrierDriverTBL!$AB:$AB,MATCH(Table1[[#This Row],[DriverID]],CarrierDriverTBL!$A:$A,0))</f>
        <v>42418</v>
      </c>
      <c r="BD430" s="555" t="str">
        <f ca="1">INDEX(CarrierDriverTBL!$AD:$AD,MATCH(LoadMaster!$AN:$AN,CarrierDriverTBL!$A:$A,0))</f>
        <v>MISSING</v>
      </c>
      <c r="BE430" s="555">
        <f>INDEX(CarrierDriverTBL!$AE:$AE,MATCH(Table1[DriverID],CarrierDriverTBL!$A:$A,0))</f>
        <v>913971</v>
      </c>
      <c r="BF430" s="554">
        <f>INDEX(CarrierDriverTBL!$AF:$AF,MATCH(Table1[DriverID],CarrierDriverTBL!$A:$A,0))</f>
        <v>2627544</v>
      </c>
      <c r="BG430" s="236">
        <f>INDEX(CarrierDriverTBL!$AG:$AG,MATCH(Table1[DriverID],CarrierDriverTBL!$A:$A,0))</f>
        <v>466133</v>
      </c>
      <c r="BH430" s="554" t="str">
        <f>INDEX(CarrierDriverTBL!$AH:$AH,MATCH(Table1[DriverID],CarrierDriverTBL!$A:$A,0))</f>
        <v>GM Lawrence Ins</v>
      </c>
      <c r="BI430" s="554" t="str">
        <f>INDEX(CarrierDriverTBL!$AI:$AI,MATCH(Table1[DriverID],CarrierDriverTBL!$A:$A,0))</f>
        <v>DSK2842P160210</v>
      </c>
      <c r="BJ430" s="556">
        <f>INDEX(CarrierDriverTBL!$AJ:$AJ,MATCH(Table1[[#This Row],[DriverID]],CarrierDriverTBL!$A:$A,0))</f>
        <v>42778</v>
      </c>
      <c r="BK430" s="554">
        <f t="shared" si="171"/>
        <v>272</v>
      </c>
      <c r="BL430" s="558">
        <v>650</v>
      </c>
      <c r="BM430" s="554">
        <v>300.10000000000002</v>
      </c>
      <c r="BN430" s="558">
        <f t="shared" si="188"/>
        <v>2.1659446851049649</v>
      </c>
      <c r="BO430" s="241">
        <f>0.93*650</f>
        <v>604.5</v>
      </c>
      <c r="BP430" s="558">
        <f t="shared" si="189"/>
        <v>2.0143285571476173</v>
      </c>
      <c r="BQ430" s="558">
        <v>2.6</v>
      </c>
      <c r="BR430" s="559">
        <f t="shared" si="190"/>
        <v>0.1166666666666667</v>
      </c>
      <c r="BS430" s="558">
        <f t="shared" si="172"/>
        <v>1.8976618904809506</v>
      </c>
      <c r="BT430" s="558">
        <f t="shared" si="173"/>
        <v>35.011666666666677</v>
      </c>
      <c r="BU430" s="236" t="str">
        <f t="shared" si="174"/>
        <v>Circle 8 Logistics</v>
      </c>
      <c r="BV430" s="554"/>
      <c r="BW430" s="236" t="str">
        <f>Table1[[#This Row],[BrokerAddress]]</f>
        <v>555 Waters Edge Suite 225</v>
      </c>
      <c r="BX430" s="236" t="str">
        <f t="shared" si="175"/>
        <v>Lombard</v>
      </c>
      <c r="BY430" s="269" t="str">
        <f t="shared" si="176"/>
        <v>IL</v>
      </c>
      <c r="BZ430" s="236">
        <f t="shared" si="177"/>
        <v>60148</v>
      </c>
      <c r="CA430" s="236" t="str">
        <f t="shared" si="178"/>
        <v>US</v>
      </c>
      <c r="CB430" s="15" t="s">
        <v>131</v>
      </c>
      <c r="CC430" s="62"/>
      <c r="CD430" s="15" t="s">
        <v>132</v>
      </c>
      <c r="CE430" s="64">
        <v>0</v>
      </c>
      <c r="CF430" s="4">
        <v>0</v>
      </c>
      <c r="CG430" s="132">
        <f t="shared" si="179"/>
        <v>0</v>
      </c>
      <c r="CH430" s="4" t="s">
        <v>132</v>
      </c>
      <c r="CI430" s="5">
        <v>0</v>
      </c>
      <c r="CJ430" s="4">
        <v>0</v>
      </c>
      <c r="CK430" s="132">
        <f t="shared" si="180"/>
        <v>0</v>
      </c>
      <c r="CL430" s="4" t="s">
        <v>132</v>
      </c>
      <c r="CM430" s="5">
        <v>0</v>
      </c>
      <c r="CN430" s="4">
        <v>0</v>
      </c>
      <c r="CO430" s="132">
        <f t="shared" si="181"/>
        <v>0</v>
      </c>
      <c r="CP430" s="4" t="s">
        <v>132</v>
      </c>
      <c r="CQ430" s="5">
        <v>0</v>
      </c>
      <c r="CR430" s="4">
        <v>0</v>
      </c>
      <c r="CS430" s="132">
        <f t="shared" si="182"/>
        <v>0</v>
      </c>
      <c r="CT430" s="132">
        <f t="shared" si="183"/>
        <v>0</v>
      </c>
      <c r="CU430" s="238">
        <f t="shared" si="184"/>
        <v>650</v>
      </c>
      <c r="CV430" s="239">
        <f t="shared" si="167"/>
        <v>0</v>
      </c>
      <c r="CW430" s="240">
        <f t="shared" si="168"/>
        <v>604.5</v>
      </c>
      <c r="CX430" s="79">
        <f>IF(ISBLANK(E430),"AddQuickPay",IF(E430=2,CU430*0.98,IF(E430=2.4,CU430*0.976,IF(E430=3,CU430*0.97,IF(E430=5,CU430*0.95,IF(E430=1.5,CU430*0.985,IF(E430=2.5,CU430*0.975,IF(E430=1.3,CU430*0.987,IF(E430=1,CU430*0.99,IF(E430=4,CU430*0.96,CU430*1))))))))))-Table1[[#This Row],[ComCheck+QuickPayFee]]</f>
        <v>630.5</v>
      </c>
      <c r="CY430" s="237">
        <f t="shared" si="185"/>
        <v>45.5</v>
      </c>
      <c r="CZ430" s="237">
        <f t="shared" si="186"/>
        <v>19.5</v>
      </c>
      <c r="DA430" s="263">
        <f>Table1[[#This Row],[OriginalDispatch]]-Table1[[#This Row],[QuickPayCharge]]</f>
        <v>26</v>
      </c>
      <c r="DB430" s="5">
        <v>0</v>
      </c>
      <c r="DC430" s="237" t="s">
        <v>133</v>
      </c>
      <c r="DD430" s="549">
        <f t="shared" si="187"/>
        <v>42510</v>
      </c>
      <c r="DE430" s="554">
        <f>MONTH(Table1[[#This Row],[Weekending]])</f>
        <v>5</v>
      </c>
      <c r="DF430" s="554">
        <f>YEAR(Table1[[#This Row],[Weekending]])</f>
        <v>2016</v>
      </c>
      <c r="DG430" s="235"/>
    </row>
    <row r="431" spans="1:111">
      <c r="A431" s="548" t="str">
        <f t="shared" si="169"/>
        <v>6 717149</v>
      </c>
      <c r="B431" s="549">
        <v>42506</v>
      </c>
      <c r="C431" s="550" t="s">
        <v>2824</v>
      </c>
      <c r="D431" s="548" t="s">
        <v>2825</v>
      </c>
      <c r="E431" s="550">
        <v>2</v>
      </c>
      <c r="F431" s="551" t="str">
        <f>INDEX(BrokerTBL!$B:$B,MATCH(D431,BrokerTBL!$A:$A,0))</f>
        <v>P.O. Box 2545 3101 South Packerland Drive</v>
      </c>
      <c r="G431" s="550" t="str">
        <f>INDEX(BrokerTBL!$C:$C,MATCH(D431,BrokerTBL!$A:$A,0))</f>
        <v>Green Bay</v>
      </c>
      <c r="H431" s="235" t="str">
        <f>INDEX(BrokerTBL!$D:$D,MATCH(D431,BrokerTBL!$A:$A,0))</f>
        <v>Wisconsin</v>
      </c>
      <c r="I431" s="235" t="str">
        <f>INDEX(BrokerTBL!$E:$E,MATCH(D431,BrokerTBL!$A:$A,0))</f>
        <v>US</v>
      </c>
      <c r="J431" s="235" t="str">
        <f>INDEX(BrokerTBL!$F:$F,MATCH(D431,BrokerTBL!$A:$A,0))</f>
        <v>54306-2545</v>
      </c>
      <c r="K431" s="548" t="s">
        <v>2826</v>
      </c>
      <c r="L431" s="552">
        <v>913971</v>
      </c>
      <c r="M431" s="549">
        <v>42506</v>
      </c>
      <c r="N431" s="550" t="s">
        <v>1055</v>
      </c>
      <c r="O431" s="550" t="s">
        <v>2827</v>
      </c>
      <c r="P431" s="548" t="s">
        <v>2828</v>
      </c>
      <c r="Q431" s="548" t="s">
        <v>2206</v>
      </c>
      <c r="R431" s="548" t="s">
        <v>2829</v>
      </c>
      <c r="S431" s="548" t="s">
        <v>2207</v>
      </c>
      <c r="T431" s="548" t="s">
        <v>123</v>
      </c>
      <c r="U431" s="548" t="s">
        <v>120</v>
      </c>
      <c r="V431" s="548">
        <v>53</v>
      </c>
      <c r="W431" s="548" t="s">
        <v>2830</v>
      </c>
      <c r="X431" s="553">
        <v>15981</v>
      </c>
      <c r="Y431" s="550" t="s">
        <v>2220</v>
      </c>
      <c r="Z431" s="548">
        <v>16</v>
      </c>
      <c r="AA431" s="548" t="s">
        <v>123</v>
      </c>
      <c r="AB431" s="548" t="s">
        <v>123</v>
      </c>
      <c r="AC431" s="416" t="s">
        <v>2831</v>
      </c>
      <c r="AD431" s="552">
        <v>913971</v>
      </c>
      <c r="AE431" s="549">
        <v>42507</v>
      </c>
      <c r="AF431" s="104" t="s">
        <v>218</v>
      </c>
      <c r="AG431" s="416" t="s">
        <v>2832</v>
      </c>
      <c r="AH431" s="548" t="s">
        <v>2833</v>
      </c>
      <c r="AI431" s="548" t="s">
        <v>2233</v>
      </c>
      <c r="AJ431" s="548" t="s">
        <v>2834</v>
      </c>
      <c r="AK431" s="548" t="s">
        <v>2207</v>
      </c>
      <c r="AL431" s="548" t="s">
        <v>2835</v>
      </c>
      <c r="AM431" s="554" t="str">
        <f>INDEX(CarrierDriverTBL!$B:$B,MATCH(Table1[[#This Row],[DriverID]],CarrierDriverTBL!$A:$A,0))</f>
        <v>UBTrucking</v>
      </c>
      <c r="AN431" s="10" t="s">
        <v>192</v>
      </c>
      <c r="AO431" s="555" t="str">
        <f>INDEX(CarrierDriverTBL!$C:$C,MATCH(Table1[[#This Row],[DriverID]],CarrierDriverTBL!$A:$A,0))</f>
        <v>Albel</v>
      </c>
      <c r="AP431" s="555" t="str">
        <f>INDEX(CarrierDriverTBL!$D:$D,MATCH(Table1[[#This Row],[DriverID]],CarrierDriverTBL!$A:$A,0))</f>
        <v>Chahil</v>
      </c>
      <c r="AQ431" s="555" t="str">
        <f>INDEX(CarrierDriverTBL!$X:$X,MATCH(Table1[[#This Row],[DriverID]],CarrierDriverTBL!$A:$A,0))</f>
        <v>A8390649</v>
      </c>
      <c r="AR431" s="556">
        <f>INDEX(CarrierDriverTBL!$Y:$Y,MATCH(Table1[[#This Row],[DriverID]],CarrierDriverTBL!$A:$A,0))</f>
        <v>42402</v>
      </c>
      <c r="AS431" s="554" t="str">
        <f t="shared" si="170"/>
        <v>EXPIRED</v>
      </c>
      <c r="AT431" s="556">
        <f>INDEX(CarrierDriverTBL!$E:$E,MATCH(Table1[[#This Row],[DriverID]],CarrierDriverTBL!$A:$A,0))</f>
        <v>22314</v>
      </c>
      <c r="AU431" s="557">
        <f ca="1">INDEX(CarrierDriverTBL!$F:$F,MATCH(Table1[[#This Row],[DriverID]],CarrierDriverTBL!$A:$A,0))</f>
        <v>55.512328767123286</v>
      </c>
      <c r="AV431" s="554" t="str">
        <f>INDEX(CarrierDriverTBL!$K:$K,MATCH(Table1[[#This Row],[DriverID]],CarrierDriverTBL!$A:$A,0))</f>
        <v>510-773-9450</v>
      </c>
      <c r="AW431" s="554" t="str">
        <f>INDEX(CarrierDriverTBL!$M:$M,MATCH(Table1[[#This Row],[DriverID]],CarrierDriverTBL!$A:$A,0))</f>
        <v>3124 Cynthia CT</v>
      </c>
      <c r="AX431" s="554" t="str">
        <f>INDEX(CarrierDriverTBL!$N:$N,MATCH(Table1[[#This Row],[DriverID]],CarrierDriverTBL!$A:$A,0))</f>
        <v>Tracy</v>
      </c>
      <c r="AY431" s="554" t="str">
        <f>INDEX(CarrierDriverTBL!$O:$O,MATCH(Table1[[#This Row],[DriverID]],CarrierDriverTBL!$A:$A,0))</f>
        <v>CA</v>
      </c>
      <c r="AZ431" s="554">
        <f>INDEX(CarrierDriverTBL!$P:$P,MATCH(Table1[[#This Row],[DriverID]],CarrierDriverTBL!$A:$A,0))</f>
        <v>95377</v>
      </c>
      <c r="BA431" s="554" t="str">
        <f>INDEX(CarrierDriverTBL!$Q:$Q,MATCH(Table1[[#This Row],[DriverID]],CarrierDriverTBL!$A:$A,0))</f>
        <v>US</v>
      </c>
      <c r="BB431" s="554" t="str">
        <f>INDEX(CarrierDriverTBL!$R:$R,MATCH(Table1[[#This Row],[DriverID]],CarrierDriverTBL!$A:$A,0))</f>
        <v>ubgollc@gmail.com</v>
      </c>
      <c r="BC431" s="556">
        <f>INDEX(CarrierDriverTBL!$AB:$AB,MATCH(Table1[[#This Row],[DriverID]],CarrierDriverTBL!$A:$A,0))</f>
        <v>42167</v>
      </c>
      <c r="BD431" s="555" t="str">
        <f ca="1">INDEX(CarrierDriverTBL!$AD:$AD,MATCH(LoadMaster!$AN:$AN,CarrierDriverTBL!$A:$A,0))</f>
        <v>MISSING</v>
      </c>
      <c r="BE431" s="555">
        <f>INDEX(CarrierDriverTBL!$AE:$AE,MATCH(Table1[DriverID],CarrierDriverTBL!$A:$A,0))</f>
        <v>913971</v>
      </c>
      <c r="BF431" s="554">
        <f>INDEX(CarrierDriverTBL!$AF:$AF,MATCH(Table1[DriverID],CarrierDriverTBL!$A:$A,0))</f>
        <v>2627544</v>
      </c>
      <c r="BG431" s="236">
        <f>INDEX(CarrierDriverTBL!$AG:$AG,MATCH(Table1[DriverID],CarrierDriverTBL!$A:$A,0))</f>
        <v>466133</v>
      </c>
      <c r="BH431" s="554" t="str">
        <f>INDEX(CarrierDriverTBL!$AH:$AH,MATCH(Table1[DriverID],CarrierDriverTBL!$A:$A,0))</f>
        <v>GM Lawrence Ins</v>
      </c>
      <c r="BI431" s="554" t="str">
        <f>INDEX(CarrierDriverTBL!$AI:$AI,MATCH(Table1[DriverID],CarrierDriverTBL!$A:$A,0))</f>
        <v>DSK2842P160210</v>
      </c>
      <c r="BJ431" s="556">
        <f>INDEX(CarrierDriverTBL!$AJ:$AJ,MATCH(Table1[[#This Row],[DriverID]],CarrierDriverTBL!$A:$A,0))</f>
        <v>42778</v>
      </c>
      <c r="BK431" s="554">
        <f t="shared" si="171"/>
        <v>272</v>
      </c>
      <c r="BL431" s="558">
        <v>600</v>
      </c>
      <c r="BM431" s="554">
        <v>249</v>
      </c>
      <c r="BN431" s="558">
        <f t="shared" si="188"/>
        <v>2.4096385542168677</v>
      </c>
      <c r="BO431" s="241">
        <f>1*600</f>
        <v>600</v>
      </c>
      <c r="BP431" s="558">
        <f t="shared" si="189"/>
        <v>2.4096385542168677</v>
      </c>
      <c r="BQ431" s="558">
        <v>2.6</v>
      </c>
      <c r="BR431" s="559">
        <f t="shared" si="190"/>
        <v>0.1166666666666667</v>
      </c>
      <c r="BS431" s="558">
        <f t="shared" si="172"/>
        <v>2.292971887550201</v>
      </c>
      <c r="BT431" s="558">
        <f t="shared" si="173"/>
        <v>29.050000000000008</v>
      </c>
      <c r="BU431" s="236" t="str">
        <f t="shared" si="174"/>
        <v>Schenider</v>
      </c>
      <c r="BV431" s="554"/>
      <c r="BW431" s="236" t="str">
        <f>Table1[[#This Row],[BrokerAddress]]</f>
        <v>P.O. Box 2545 3101 South Packerland Drive</v>
      </c>
      <c r="BX431" s="236" t="str">
        <f t="shared" si="175"/>
        <v>Green Bay</v>
      </c>
      <c r="BY431" s="269" t="str">
        <f t="shared" si="176"/>
        <v>Wisconsin</v>
      </c>
      <c r="BZ431" s="236" t="str">
        <f t="shared" si="177"/>
        <v>54306-2545</v>
      </c>
      <c r="CA431" s="236" t="str">
        <f t="shared" si="178"/>
        <v>US</v>
      </c>
      <c r="CB431" s="15" t="s">
        <v>131</v>
      </c>
      <c r="CC431" s="62"/>
      <c r="CD431" s="15" t="s">
        <v>132</v>
      </c>
      <c r="CE431" s="64">
        <v>0</v>
      </c>
      <c r="CF431" s="4">
        <v>0</v>
      </c>
      <c r="CG431" s="132">
        <f t="shared" si="179"/>
        <v>0</v>
      </c>
      <c r="CH431" s="4" t="s">
        <v>132</v>
      </c>
      <c r="CI431" s="5">
        <v>0</v>
      </c>
      <c r="CJ431" s="4">
        <v>0</v>
      </c>
      <c r="CK431" s="132">
        <f t="shared" si="180"/>
        <v>0</v>
      </c>
      <c r="CL431" s="4" t="s">
        <v>132</v>
      </c>
      <c r="CM431" s="5">
        <v>0</v>
      </c>
      <c r="CN431" s="4">
        <v>0</v>
      </c>
      <c r="CO431" s="132">
        <f t="shared" si="181"/>
        <v>0</v>
      </c>
      <c r="CP431" s="4" t="s">
        <v>132</v>
      </c>
      <c r="CQ431" s="5">
        <v>0</v>
      </c>
      <c r="CR431" s="4">
        <v>0</v>
      </c>
      <c r="CS431" s="132">
        <f t="shared" si="182"/>
        <v>0</v>
      </c>
      <c r="CT431" s="132">
        <f t="shared" si="183"/>
        <v>0</v>
      </c>
      <c r="CU431" s="238">
        <f t="shared" si="184"/>
        <v>600</v>
      </c>
      <c r="CV431" s="239">
        <f t="shared" si="167"/>
        <v>0</v>
      </c>
      <c r="CW431" s="240">
        <f t="shared" si="168"/>
        <v>600</v>
      </c>
      <c r="CX431" s="79">
        <f>IF(ISBLANK(E431),"AddQuickPay",IF(E431=2,CU431*0.98,IF(E431=2.4,CU431*0.976,IF(E431=3,CU431*0.97,IF(E431=5,CU431*0.95,IF(E431=1.5,CU431*0.985,IF(E431=2.5,CU431*0.975,IF(E431=1.3,CU431*0.987,IF(E431=1,CU431*0.99,IF(E431=4,CU431*0.96,CU431*1))))))))))-Table1[[#This Row],[ComCheck+QuickPayFee]]</f>
        <v>588</v>
      </c>
      <c r="CY431" s="237">
        <f t="shared" si="185"/>
        <v>0</v>
      </c>
      <c r="CZ431" s="237">
        <f t="shared" si="186"/>
        <v>12</v>
      </c>
      <c r="DA431" s="263">
        <f>Table1[[#This Row],[OriginalDispatch]]-Table1[[#This Row],[QuickPayCharge]]</f>
        <v>-12</v>
      </c>
      <c r="DB431" s="5">
        <v>0</v>
      </c>
      <c r="DC431" s="237" t="s">
        <v>133</v>
      </c>
      <c r="DD431" s="549">
        <f t="shared" si="187"/>
        <v>42510</v>
      </c>
      <c r="DE431" s="554">
        <f>MONTH(Table1[[#This Row],[Weekending]])</f>
        <v>5</v>
      </c>
      <c r="DF431" s="554">
        <f>YEAR(Table1[[#This Row],[Weekending]])</f>
        <v>2016</v>
      </c>
      <c r="DG431" s="235"/>
    </row>
    <row r="432" spans="1:111">
      <c r="A432" s="548" t="str">
        <f t="shared" si="169"/>
        <v>56151519</v>
      </c>
      <c r="B432" s="549">
        <v>42508</v>
      </c>
      <c r="C432" s="550">
        <v>2016056</v>
      </c>
      <c r="D432" s="548" t="s">
        <v>2405</v>
      </c>
      <c r="E432" s="550">
        <v>3</v>
      </c>
      <c r="F432" s="551" t="str">
        <f>INDEX(BrokerTBL!$B:$B,MATCH(D432,BrokerTBL!$A:$A,0))</f>
        <v xml:space="preserve">303 E Wacker Dr. </v>
      </c>
      <c r="G432" s="550" t="str">
        <f>INDEX(BrokerTBL!$C:$C,MATCH(D432,BrokerTBL!$A:$A,0))</f>
        <v>Chicago</v>
      </c>
      <c r="H432" s="235" t="str">
        <f>INDEX(BrokerTBL!$D:$D,MATCH(D432,BrokerTBL!$A:$A,0))</f>
        <v>IL</v>
      </c>
      <c r="I432" s="235" t="str">
        <f>INDEX(BrokerTBL!$E:$E,MATCH(D432,BrokerTBL!$A:$A,0))</f>
        <v>US</v>
      </c>
      <c r="J432" s="235">
        <f>INDEX(BrokerTBL!$F:$F,MATCH(D432,BrokerTBL!$A:$A,0))</f>
        <v>60601</v>
      </c>
      <c r="K432" s="548" t="s">
        <v>2406</v>
      </c>
      <c r="L432" s="552">
        <v>300815</v>
      </c>
      <c r="M432" s="549">
        <v>42506</v>
      </c>
      <c r="N432" s="560" t="s">
        <v>2836</v>
      </c>
      <c r="O432" s="550" t="s">
        <v>2407</v>
      </c>
      <c r="P432" s="548" t="s">
        <v>2408</v>
      </c>
      <c r="Q432" s="548" t="s">
        <v>2233</v>
      </c>
      <c r="R432" s="548">
        <v>89706</v>
      </c>
      <c r="S432" s="548" t="s">
        <v>2207</v>
      </c>
      <c r="T432" s="548" t="s">
        <v>123</v>
      </c>
      <c r="U432" s="548" t="s">
        <v>120</v>
      </c>
      <c r="V432" s="548">
        <v>53</v>
      </c>
      <c r="W432" s="548" t="s">
        <v>2409</v>
      </c>
      <c r="X432" s="553">
        <v>45000</v>
      </c>
      <c r="Y432" s="550" t="s">
        <v>2410</v>
      </c>
      <c r="Z432" s="548">
        <v>50</v>
      </c>
      <c r="AA432" s="548" t="s">
        <v>123</v>
      </c>
      <c r="AB432" s="548" t="s">
        <v>123</v>
      </c>
      <c r="AC432" s="548" t="s">
        <v>2411</v>
      </c>
      <c r="AD432" s="552">
        <v>300815</v>
      </c>
      <c r="AE432" s="549">
        <v>42507</v>
      </c>
      <c r="AF432" s="549" t="s">
        <v>1316</v>
      </c>
      <c r="AG432" s="548" t="s">
        <v>2412</v>
      </c>
      <c r="AH432" s="548" t="s">
        <v>2168</v>
      </c>
      <c r="AI432" s="548" t="s">
        <v>2206</v>
      </c>
      <c r="AJ432" s="548">
        <v>93235</v>
      </c>
      <c r="AK432" s="548" t="s">
        <v>2207</v>
      </c>
      <c r="AL432" s="548" t="s">
        <v>123</v>
      </c>
      <c r="AM432" s="554" t="str">
        <f>INDEX(CarrierDriverTBL!$B:$B,MATCH(Table1[[#This Row],[DriverID]],CarrierDriverTBL!$A:$A,0))</f>
        <v>UBTrucking</v>
      </c>
      <c r="AN432" s="10" t="s">
        <v>1409</v>
      </c>
      <c r="AO432" s="555" t="str">
        <f>INDEX(CarrierDriverTBL!$C:$C,MATCH(Table1[[#This Row],[DriverID]],CarrierDriverTBL!$A:$A,0))</f>
        <v>Miguel Jaime</v>
      </c>
      <c r="AP432" s="555" t="str">
        <f>INDEX(CarrierDriverTBL!$D:$D,MATCH(Table1[[#This Row],[DriverID]],CarrierDriverTBL!$A:$A,0))</f>
        <v>Martin Del Campo Velarca</v>
      </c>
      <c r="AQ432" s="555" t="str">
        <f>INDEX(CarrierDriverTBL!$X:$X,MATCH(Table1[[#This Row],[DriverID]],CarrierDriverTBL!$A:$A,0))</f>
        <v>D5179619</v>
      </c>
      <c r="AR432" s="556">
        <f>INDEX(CarrierDriverTBL!$Y:$Y,MATCH(Table1[[#This Row],[DriverID]],CarrierDriverTBL!$A:$A,0))</f>
        <v>43843</v>
      </c>
      <c r="AS432" s="554" t="str">
        <f t="shared" si="170"/>
        <v>GOOD</v>
      </c>
      <c r="AT432" s="556">
        <f>INDEX(CarrierDriverTBL!$E:$E,MATCH(Table1[[#This Row],[DriverID]],CarrierDriverTBL!$A:$A,0))</f>
        <v>21198</v>
      </c>
      <c r="AU432" s="557">
        <f ca="1">INDEX(CarrierDriverTBL!$F:$F,MATCH(Table1[[#This Row],[DriverID]],CarrierDriverTBL!$A:$A,0))</f>
        <v>58.56986301369863</v>
      </c>
      <c r="AV432" s="554" t="str">
        <f>INDEX(CarrierDriverTBL!$K:$K,MATCH(Table1[[#This Row],[DriverID]],CarrierDriverTBL!$A:$A,0))</f>
        <v>209-322-5231</v>
      </c>
      <c r="AW432" s="554" t="str">
        <f>INDEX(CarrierDriverTBL!$M:$M,MATCH(Table1[[#This Row],[DriverID]],CarrierDriverTBL!$A:$A,0))</f>
        <v>572 Predersen RD</v>
      </c>
      <c r="AX432" s="554" t="str">
        <f>INDEX(CarrierDriverTBL!$N:$N,MATCH(Table1[[#This Row],[DriverID]],CarrierDriverTBL!$A:$A,0))</f>
        <v>Oakdale</v>
      </c>
      <c r="AY432" s="554" t="str">
        <f>INDEX(CarrierDriverTBL!$O:$O,MATCH(Table1[[#This Row],[DriverID]],CarrierDriverTBL!$A:$A,0))</f>
        <v>CA</v>
      </c>
      <c r="AZ432" s="554">
        <f>INDEX(CarrierDriverTBL!$P:$P,MATCH(Table1[[#This Row],[DriverID]],CarrierDriverTBL!$A:$A,0))</f>
        <v>95361</v>
      </c>
      <c r="BA432" s="554" t="str">
        <f>INDEX(CarrierDriverTBL!$Q:$Q,MATCH(Table1[[#This Row],[DriverID]],CarrierDriverTBL!$A:$A,0))</f>
        <v>US</v>
      </c>
      <c r="BB432" s="554" t="str">
        <f>INDEX(CarrierDriverTBL!$R:$R,MATCH(Table1[[#This Row],[DriverID]],CarrierDriverTBL!$A:$A,0))</f>
        <v>Miguelmartin52@yahoo.com</v>
      </c>
      <c r="BC432" s="556">
        <f>INDEX(CarrierDriverTBL!$AB:$AB,MATCH(Table1[[#This Row],[DriverID]],CarrierDriverTBL!$A:$A,0))</f>
        <v>42334</v>
      </c>
      <c r="BD432" s="555" t="str">
        <f ca="1">INDEX(CarrierDriverTBL!$AD:$AD,MATCH(LoadMaster!$AN:$AN,CarrierDriverTBL!$A:$A,0))</f>
        <v>MISSING</v>
      </c>
      <c r="BE432" s="555">
        <f>INDEX(CarrierDriverTBL!$AE:$AE,MATCH(Table1[DriverID],CarrierDriverTBL!$A:$A,0))</f>
        <v>913971</v>
      </c>
      <c r="BF432" s="554">
        <f>INDEX(CarrierDriverTBL!$AF:$AF,MATCH(Table1[DriverID],CarrierDriverTBL!$A:$A,0))</f>
        <v>2627544</v>
      </c>
      <c r="BG432" s="236">
        <f>INDEX(CarrierDriverTBL!$AG:$AG,MATCH(Table1[DriverID],CarrierDriverTBL!$A:$A,0))</f>
        <v>466133</v>
      </c>
      <c r="BH432" s="554" t="str">
        <f>INDEX(CarrierDriverTBL!$AH:$AH,MATCH(Table1[DriverID],CarrierDriverTBL!$A:$A,0))</f>
        <v>GM Lawrence Ins</v>
      </c>
      <c r="BI432" s="554" t="str">
        <f>INDEX(CarrierDriverTBL!$AI:$AI,MATCH(Table1[DriverID],CarrierDriverTBL!$A:$A,0))</f>
        <v>DSK2842P160210</v>
      </c>
      <c r="BJ432" s="556">
        <f>INDEX(CarrierDriverTBL!$AJ:$AJ,MATCH(Table1[[#This Row],[DriverID]],CarrierDriverTBL!$A:$A,0))</f>
        <v>42778</v>
      </c>
      <c r="BK432" s="554">
        <f t="shared" si="171"/>
        <v>272</v>
      </c>
      <c r="BL432" s="558">
        <v>600</v>
      </c>
      <c r="BM432" s="554">
        <v>311.5</v>
      </c>
      <c r="BN432" s="558">
        <f t="shared" si="188"/>
        <v>1.926163723916533</v>
      </c>
      <c r="BO432" s="241">
        <f>0.93*600</f>
        <v>558</v>
      </c>
      <c r="BP432" s="558">
        <f t="shared" si="189"/>
        <v>1.7913322632423756</v>
      </c>
      <c r="BQ432" s="558">
        <v>2.6</v>
      </c>
      <c r="BR432" s="559">
        <f t="shared" si="190"/>
        <v>0.1166666666666667</v>
      </c>
      <c r="BS432" s="558">
        <f t="shared" si="172"/>
        <v>1.6746655965757089</v>
      </c>
      <c r="BT432" s="558">
        <f t="shared" si="173"/>
        <v>36.341666666666676</v>
      </c>
      <c r="BU432" s="236" t="str">
        <f t="shared" si="174"/>
        <v>XPOLogistics</v>
      </c>
      <c r="BV432" s="554"/>
      <c r="BW432" s="236" t="str">
        <f>Table1[[#This Row],[BrokerAddress]]</f>
        <v xml:space="preserve">303 E Wacker Dr. </v>
      </c>
      <c r="BX432" s="236" t="str">
        <f t="shared" si="175"/>
        <v>Chicago</v>
      </c>
      <c r="BY432" s="269" t="str">
        <f t="shared" si="176"/>
        <v>IL</v>
      </c>
      <c r="BZ432" s="236">
        <f t="shared" si="177"/>
        <v>60601</v>
      </c>
      <c r="CA432" s="236" t="str">
        <f t="shared" si="178"/>
        <v>US</v>
      </c>
      <c r="CB432" s="15" t="s">
        <v>131</v>
      </c>
      <c r="CC432" s="62"/>
      <c r="CD432" s="15" t="s">
        <v>132</v>
      </c>
      <c r="CE432" s="64">
        <v>0</v>
      </c>
      <c r="CF432" s="4">
        <v>0</v>
      </c>
      <c r="CG432" s="132">
        <f t="shared" si="179"/>
        <v>0</v>
      </c>
      <c r="CH432" s="4" t="s">
        <v>132</v>
      </c>
      <c r="CI432" s="5">
        <v>0</v>
      </c>
      <c r="CJ432" s="4">
        <v>0</v>
      </c>
      <c r="CK432" s="132">
        <f t="shared" si="180"/>
        <v>0</v>
      </c>
      <c r="CL432" s="4" t="s">
        <v>132</v>
      </c>
      <c r="CM432" s="5">
        <v>0</v>
      </c>
      <c r="CN432" s="4">
        <v>0</v>
      </c>
      <c r="CO432" s="132">
        <f t="shared" si="181"/>
        <v>0</v>
      </c>
      <c r="CP432" s="4" t="s">
        <v>132</v>
      </c>
      <c r="CQ432" s="5">
        <v>0</v>
      </c>
      <c r="CR432" s="4">
        <v>0</v>
      </c>
      <c r="CS432" s="132">
        <f t="shared" si="182"/>
        <v>0</v>
      </c>
      <c r="CT432" s="132">
        <f t="shared" si="183"/>
        <v>0</v>
      </c>
      <c r="CU432" s="238">
        <f t="shared" si="184"/>
        <v>600</v>
      </c>
      <c r="CV432" s="239">
        <f t="shared" si="167"/>
        <v>0</v>
      </c>
      <c r="CW432" s="240">
        <f t="shared" si="168"/>
        <v>558</v>
      </c>
      <c r="CX432" s="79">
        <f>IF(ISBLANK(E432),"AddQuickPay",IF(E432=2,CU432*0.98,IF(E432=2.4,CU432*0.976,IF(E432=3,CU432*0.97,IF(E432=5,CU432*0.95,IF(E432=1.5,CU432*0.985,IF(E432=2.5,CU432*0.975,IF(E432=1.3,CU432*0.987,IF(E432=1,CU432*0.99,IF(E432=4,CU432*0.96,CU432*1))))))))))-Table1[[#This Row],[ComCheck+QuickPayFee]]</f>
        <v>582</v>
      </c>
      <c r="CY432" s="237">
        <f t="shared" si="185"/>
        <v>42</v>
      </c>
      <c r="CZ432" s="237">
        <f t="shared" si="186"/>
        <v>18</v>
      </c>
      <c r="DA432" s="263">
        <f>Table1[[#This Row],[OriginalDispatch]]-Table1[[#This Row],[QuickPayCharge]]</f>
        <v>24</v>
      </c>
      <c r="DB432" s="5">
        <v>0</v>
      </c>
      <c r="DC432" s="237" t="s">
        <v>133</v>
      </c>
      <c r="DD432" s="549">
        <f t="shared" si="187"/>
        <v>42510</v>
      </c>
      <c r="DE432" s="554">
        <f>MONTH(Table1[[#This Row],[Weekending]])</f>
        <v>5</v>
      </c>
      <c r="DF432" s="554">
        <f>YEAR(Table1[[#This Row],[Weekending]])</f>
        <v>2016</v>
      </c>
      <c r="DG432" s="235"/>
    </row>
    <row r="433" spans="1:111">
      <c r="A433" s="548" t="str">
        <f t="shared" si="169"/>
        <v>22191993</v>
      </c>
      <c r="B433" s="549">
        <v>42508</v>
      </c>
      <c r="C433" s="550">
        <v>2018722</v>
      </c>
      <c r="D433" s="548" t="s">
        <v>2405</v>
      </c>
      <c r="E433" s="550">
        <v>3</v>
      </c>
      <c r="F433" s="551" t="str">
        <f>INDEX(BrokerTBL!$B:$B,MATCH(D433,BrokerTBL!$A:$A,0))</f>
        <v xml:space="preserve">303 E Wacker Dr. </v>
      </c>
      <c r="G433" s="550" t="str">
        <f>INDEX(BrokerTBL!$C:$C,MATCH(D433,BrokerTBL!$A:$A,0))</f>
        <v>Chicago</v>
      </c>
      <c r="H433" s="235" t="str">
        <f>INDEX(BrokerTBL!$D:$D,MATCH(D433,BrokerTBL!$A:$A,0))</f>
        <v>IL</v>
      </c>
      <c r="I433" s="235" t="str">
        <f>INDEX(BrokerTBL!$E:$E,MATCH(D433,BrokerTBL!$A:$A,0))</f>
        <v>US</v>
      </c>
      <c r="J433" s="235">
        <f>INDEX(BrokerTBL!$F:$F,MATCH(D433,BrokerTBL!$A:$A,0))</f>
        <v>60601</v>
      </c>
      <c r="K433" s="548" t="s">
        <v>2406</v>
      </c>
      <c r="L433" s="552">
        <v>300819</v>
      </c>
      <c r="M433" s="549">
        <v>42507</v>
      </c>
      <c r="N433" s="550" t="s">
        <v>1055</v>
      </c>
      <c r="O433" s="550" t="s">
        <v>2407</v>
      </c>
      <c r="P433" s="548" t="s">
        <v>2408</v>
      </c>
      <c r="Q433" s="548" t="s">
        <v>2233</v>
      </c>
      <c r="R433" s="548">
        <v>89706</v>
      </c>
      <c r="S433" s="548" t="s">
        <v>2207</v>
      </c>
      <c r="T433" s="548" t="s">
        <v>123</v>
      </c>
      <c r="U433" s="548" t="s">
        <v>120</v>
      </c>
      <c r="V433" s="548">
        <v>53</v>
      </c>
      <c r="W433" s="548" t="s">
        <v>2409</v>
      </c>
      <c r="X433" s="553">
        <v>45000</v>
      </c>
      <c r="Y433" s="550" t="s">
        <v>2410</v>
      </c>
      <c r="Z433" s="548">
        <v>50</v>
      </c>
      <c r="AA433" s="548" t="s">
        <v>123</v>
      </c>
      <c r="AB433" s="548" t="s">
        <v>123</v>
      </c>
      <c r="AC433" s="548" t="s">
        <v>2411</v>
      </c>
      <c r="AD433" s="552">
        <v>300819</v>
      </c>
      <c r="AE433" s="549">
        <v>42508</v>
      </c>
      <c r="AF433" s="549" t="s">
        <v>1316</v>
      </c>
      <c r="AG433" s="548" t="s">
        <v>2412</v>
      </c>
      <c r="AH433" s="548" t="s">
        <v>2168</v>
      </c>
      <c r="AI433" s="548" t="s">
        <v>2206</v>
      </c>
      <c r="AJ433" s="548">
        <v>93235</v>
      </c>
      <c r="AK433" s="548" t="s">
        <v>2207</v>
      </c>
      <c r="AL433" s="548" t="s">
        <v>123</v>
      </c>
      <c r="AM433" s="554" t="str">
        <f>INDEX(CarrierDriverTBL!$B:$B,MATCH(Table1[[#This Row],[DriverID]],CarrierDriverTBL!$A:$A,0))</f>
        <v>UBTrucking</v>
      </c>
      <c r="AN433" s="10" t="s">
        <v>2234</v>
      </c>
      <c r="AO433" s="555" t="str">
        <f>INDEX(CarrierDriverTBL!$C:$C,MATCH(Table1[[#This Row],[DriverID]],CarrierDriverTBL!$A:$A,0))</f>
        <v>Arturo</v>
      </c>
      <c r="AP433" s="555" t="str">
        <f>INDEX(CarrierDriverTBL!$D:$D,MATCH(Table1[[#This Row],[DriverID]],CarrierDriverTBL!$A:$A,0))</f>
        <v>Carrillo</v>
      </c>
      <c r="AQ433" s="555" t="str">
        <f>INDEX(CarrierDriverTBL!$X:$X,MATCH(Table1[[#This Row],[DriverID]],CarrierDriverTBL!$A:$A,0))</f>
        <v>C7056793</v>
      </c>
      <c r="AR433" s="556">
        <f>INDEX(CarrierDriverTBL!$Y:$Y,MATCH(Table1[[#This Row],[DriverID]],CarrierDriverTBL!$A:$A,0))</f>
        <v>43410</v>
      </c>
      <c r="AS433" s="554" t="str">
        <f t="shared" si="170"/>
        <v>GOOD</v>
      </c>
      <c r="AT433" s="556">
        <f>INDEX(CarrierDriverTBL!$E:$E,MATCH(Table1[[#This Row],[DriverID]],CarrierDriverTBL!$A:$A,0))</f>
        <v>24782</v>
      </c>
      <c r="AU433" s="557">
        <f ca="1">INDEX(CarrierDriverTBL!$F:$F,MATCH(Table1[[#This Row],[DriverID]],CarrierDriverTBL!$A:$A,0))</f>
        <v>48.750684931506846</v>
      </c>
      <c r="AV433" s="554" t="str">
        <f>INDEX(CarrierDriverTBL!$K:$K,MATCH(Table1[[#This Row],[DriverID]],CarrierDriverTBL!$A:$A,0))</f>
        <v>209-276-9785</v>
      </c>
      <c r="AW433" s="554" t="str">
        <f>INDEX(CarrierDriverTBL!$M:$M,MATCH(Table1[[#This Row],[DriverID]],CarrierDriverTBL!$A:$A,0))</f>
        <v>1685 Winthrop Ln</v>
      </c>
      <c r="AX433" s="554" t="str">
        <f>INDEX(CarrierDriverTBL!$N:$N,MATCH(Table1[[#This Row],[DriverID]],CarrierDriverTBL!$A:$A,0))</f>
        <v>Ceres</v>
      </c>
      <c r="AY433" s="554" t="str">
        <f>INDEX(CarrierDriverTBL!$O:$O,MATCH(Table1[[#This Row],[DriverID]],CarrierDriverTBL!$A:$A,0))</f>
        <v>CA</v>
      </c>
      <c r="AZ433" s="554">
        <f>INDEX(CarrierDriverTBL!$P:$P,MATCH(Table1[[#This Row],[DriverID]],CarrierDriverTBL!$A:$A,0))</f>
        <v>95307</v>
      </c>
      <c r="BA433" s="554" t="str">
        <f>INDEX(CarrierDriverTBL!$Q:$Q,MATCH(Table1[[#This Row],[DriverID]],CarrierDriverTBL!$A:$A,0))</f>
        <v>US</v>
      </c>
      <c r="BB433" s="554" t="str">
        <f>INDEX(CarrierDriverTBL!$R:$R,MATCH(Table1[[#This Row],[DriverID]],CarrierDriverTBL!$A:$A,0))</f>
        <v>arturocarr777@gmail.com</v>
      </c>
      <c r="BC433" s="556">
        <f>INDEX(CarrierDriverTBL!$AB:$AB,MATCH(Table1[[#This Row],[DriverID]],CarrierDriverTBL!$A:$A,0))</f>
        <v>42418</v>
      </c>
      <c r="BD433" s="555" t="str">
        <f ca="1">INDEX(CarrierDriverTBL!$AD:$AD,MATCH(LoadMaster!$AN:$AN,CarrierDriverTBL!$A:$A,0))</f>
        <v>MISSING</v>
      </c>
      <c r="BE433" s="555">
        <f>INDEX(CarrierDriverTBL!$AE:$AE,MATCH(Table1[DriverID],CarrierDriverTBL!$A:$A,0))</f>
        <v>913971</v>
      </c>
      <c r="BF433" s="554">
        <f>INDEX(CarrierDriverTBL!$AF:$AF,MATCH(Table1[DriverID],CarrierDriverTBL!$A:$A,0))</f>
        <v>2627544</v>
      </c>
      <c r="BG433" s="236">
        <f>INDEX(CarrierDriverTBL!$AG:$AG,MATCH(Table1[DriverID],CarrierDriverTBL!$A:$A,0))</f>
        <v>466133</v>
      </c>
      <c r="BH433" s="554" t="str">
        <f>INDEX(CarrierDriverTBL!$AH:$AH,MATCH(Table1[DriverID],CarrierDriverTBL!$A:$A,0))</f>
        <v>GM Lawrence Ins</v>
      </c>
      <c r="BI433" s="554" t="str">
        <f>INDEX(CarrierDriverTBL!$AI:$AI,MATCH(Table1[DriverID],CarrierDriverTBL!$A:$A,0))</f>
        <v>DSK2842P160210</v>
      </c>
      <c r="BJ433" s="556">
        <f>INDEX(CarrierDriverTBL!$AJ:$AJ,MATCH(Table1[[#This Row],[DriverID]],CarrierDriverTBL!$A:$A,0))</f>
        <v>42778</v>
      </c>
      <c r="BK433" s="554">
        <f t="shared" si="171"/>
        <v>271</v>
      </c>
      <c r="BL433" s="558">
        <v>600</v>
      </c>
      <c r="BM433" s="554">
        <v>311.5</v>
      </c>
      <c r="BN433" s="558">
        <f t="shared" si="188"/>
        <v>1.926163723916533</v>
      </c>
      <c r="BO433" s="241">
        <f>0.93*600</f>
        <v>558</v>
      </c>
      <c r="BP433" s="558">
        <f t="shared" si="189"/>
        <v>1.7913322632423756</v>
      </c>
      <c r="BQ433" s="558">
        <v>2.6</v>
      </c>
      <c r="BR433" s="559">
        <f t="shared" si="190"/>
        <v>0.1166666666666667</v>
      </c>
      <c r="BS433" s="558">
        <f t="shared" si="172"/>
        <v>1.6746655965757089</v>
      </c>
      <c r="BT433" s="558">
        <f t="shared" si="173"/>
        <v>36.341666666666676</v>
      </c>
      <c r="BU433" s="236" t="str">
        <f t="shared" si="174"/>
        <v>XPOLogistics</v>
      </c>
      <c r="BV433" s="554"/>
      <c r="BW433" s="236" t="str">
        <f>Table1[[#This Row],[BrokerAddress]]</f>
        <v xml:space="preserve">303 E Wacker Dr. </v>
      </c>
      <c r="BX433" s="236" t="str">
        <f t="shared" si="175"/>
        <v>Chicago</v>
      </c>
      <c r="BY433" s="269" t="str">
        <f t="shared" si="176"/>
        <v>IL</v>
      </c>
      <c r="BZ433" s="236">
        <f t="shared" si="177"/>
        <v>60601</v>
      </c>
      <c r="CA433" s="236" t="str">
        <f t="shared" si="178"/>
        <v>US</v>
      </c>
      <c r="CB433" s="15" t="s">
        <v>131</v>
      </c>
      <c r="CC433" s="62"/>
      <c r="CD433" s="15" t="s">
        <v>132</v>
      </c>
      <c r="CE433" s="64">
        <v>0</v>
      </c>
      <c r="CF433" s="4">
        <v>0</v>
      </c>
      <c r="CG433" s="132">
        <f t="shared" si="179"/>
        <v>0</v>
      </c>
      <c r="CH433" s="4" t="s">
        <v>132</v>
      </c>
      <c r="CI433" s="5">
        <v>0</v>
      </c>
      <c r="CJ433" s="4">
        <v>0</v>
      </c>
      <c r="CK433" s="132">
        <f t="shared" si="180"/>
        <v>0</v>
      </c>
      <c r="CL433" s="4" t="s">
        <v>132</v>
      </c>
      <c r="CM433" s="5">
        <v>0</v>
      </c>
      <c r="CN433" s="4">
        <v>0</v>
      </c>
      <c r="CO433" s="132">
        <f t="shared" si="181"/>
        <v>0</v>
      </c>
      <c r="CP433" s="4" t="s">
        <v>132</v>
      </c>
      <c r="CQ433" s="5">
        <v>0</v>
      </c>
      <c r="CR433" s="4">
        <v>0</v>
      </c>
      <c r="CS433" s="132">
        <f t="shared" si="182"/>
        <v>0</v>
      </c>
      <c r="CT433" s="132">
        <f t="shared" si="183"/>
        <v>0</v>
      </c>
      <c r="CU433" s="238">
        <f t="shared" si="184"/>
        <v>600</v>
      </c>
      <c r="CV433" s="239">
        <f t="shared" si="167"/>
        <v>0</v>
      </c>
      <c r="CW433" s="240">
        <f t="shared" si="168"/>
        <v>558</v>
      </c>
      <c r="CX433" s="79">
        <f>IF(ISBLANK(E433),"AddQuickPay",IF(E433=2,CU433*0.98,IF(E433=2.4,CU433*0.976,IF(E433=3,CU433*0.97,IF(E433=5,CU433*0.95,IF(E433=1.5,CU433*0.985,IF(E433=2.5,CU433*0.975,IF(E433=1.3,CU433*0.987,IF(E433=1,CU433*0.99,IF(E433=4,CU433*0.96,CU433*1))))))))))-Table1[[#This Row],[ComCheck+QuickPayFee]]</f>
        <v>582</v>
      </c>
      <c r="CY433" s="237">
        <f t="shared" si="185"/>
        <v>42</v>
      </c>
      <c r="CZ433" s="237">
        <f t="shared" si="186"/>
        <v>18</v>
      </c>
      <c r="DA433" s="263">
        <f>Table1[[#This Row],[OriginalDispatch]]-Table1[[#This Row],[QuickPayCharge]]</f>
        <v>24</v>
      </c>
      <c r="DB433" s="5">
        <v>0</v>
      </c>
      <c r="DC433" s="237" t="s">
        <v>133</v>
      </c>
      <c r="DD433" s="549">
        <f t="shared" si="187"/>
        <v>42510</v>
      </c>
      <c r="DE433" s="554">
        <f>MONTH(Table1[[#This Row],[Weekending]])</f>
        <v>5</v>
      </c>
      <c r="DF433" s="554">
        <f>YEAR(Table1[[#This Row],[Weekending]])</f>
        <v>2016</v>
      </c>
      <c r="DG433" s="235"/>
    </row>
    <row r="434" spans="1:111">
      <c r="A434" s="548" t="str">
        <f t="shared" si="169"/>
        <v>15wnwn93</v>
      </c>
      <c r="B434" s="549">
        <v>42508</v>
      </c>
      <c r="C434" s="550">
        <v>74192215</v>
      </c>
      <c r="D434" s="548" t="s">
        <v>2837</v>
      </c>
      <c r="E434" s="550">
        <v>3</v>
      </c>
      <c r="F434" s="551" t="str">
        <f>INDEX(BrokerTBL!$B:$B,MATCH(D434,BrokerTBL!$A:$A,0))</f>
        <v>901 West Carondelet Drive</v>
      </c>
      <c r="G434" s="550" t="str">
        <f>INDEX(BrokerTBL!$C:$C,MATCH(D434,BrokerTBL!$A:$A,0))</f>
        <v>Kansas City</v>
      </c>
      <c r="H434" s="235" t="str">
        <f>INDEX(BrokerTBL!$D:$D,MATCH(D434,BrokerTBL!$A:$A,0))</f>
        <v>MO</v>
      </c>
      <c r="I434" s="235" t="str">
        <f>INDEX(BrokerTBL!$E:$E,MATCH(D434,BrokerTBL!$A:$A,0))</f>
        <v>US</v>
      </c>
      <c r="J434" s="235">
        <f>INDEX(BrokerTBL!$F:$F,MATCH(D434,BrokerTBL!$A:$A,0))</f>
        <v>64114</v>
      </c>
      <c r="K434" s="283" t="s">
        <v>2838</v>
      </c>
      <c r="L434" s="81" t="s">
        <v>1205</v>
      </c>
      <c r="M434" s="549">
        <v>42507</v>
      </c>
      <c r="N434" s="15" t="s">
        <v>2777</v>
      </c>
      <c r="O434" s="284" t="s">
        <v>2839</v>
      </c>
      <c r="P434" s="284" t="s">
        <v>2840</v>
      </c>
      <c r="Q434" s="416" t="s">
        <v>2206</v>
      </c>
      <c r="R434" s="548">
        <v>93212</v>
      </c>
      <c r="S434" s="416" t="s">
        <v>2207</v>
      </c>
      <c r="T434" s="548" t="s">
        <v>2841</v>
      </c>
      <c r="U434" s="548" t="s">
        <v>120</v>
      </c>
      <c r="V434" s="548">
        <v>53</v>
      </c>
      <c r="W434" s="548" t="s">
        <v>2842</v>
      </c>
      <c r="X434" s="285">
        <v>10000</v>
      </c>
      <c r="Y434" s="550" t="s">
        <v>2220</v>
      </c>
      <c r="Z434" s="548" t="s">
        <v>123</v>
      </c>
      <c r="AA434" s="548">
        <v>4</v>
      </c>
      <c r="AB434" s="548" t="s">
        <v>123</v>
      </c>
      <c r="AC434" s="286" t="s">
        <v>2843</v>
      </c>
      <c r="AD434" s="81" t="s">
        <v>1205</v>
      </c>
      <c r="AE434" s="549">
        <v>42508</v>
      </c>
      <c r="AF434" s="104" t="s">
        <v>2844</v>
      </c>
      <c r="AG434" s="284" t="s">
        <v>2845</v>
      </c>
      <c r="AH434" s="416" t="s">
        <v>470</v>
      </c>
      <c r="AI434" s="416" t="s">
        <v>2206</v>
      </c>
      <c r="AJ434" s="548">
        <v>93908</v>
      </c>
      <c r="AK434" s="416" t="s">
        <v>2207</v>
      </c>
      <c r="AL434" s="416" t="s">
        <v>2846</v>
      </c>
      <c r="AM434" s="554" t="str">
        <f>INDEX(CarrierDriverTBL!$B:$B,MATCH(Table1[[#This Row],[DriverID]],CarrierDriverTBL!$A:$A,0))</f>
        <v>UBTrucking</v>
      </c>
      <c r="AN434" s="10" t="s">
        <v>2234</v>
      </c>
      <c r="AO434" s="555" t="str">
        <f>INDEX(CarrierDriverTBL!$C:$C,MATCH(Table1[[#This Row],[DriverID]],CarrierDriverTBL!$A:$A,0))</f>
        <v>Arturo</v>
      </c>
      <c r="AP434" s="555" t="str">
        <f>INDEX(CarrierDriverTBL!$D:$D,MATCH(Table1[[#This Row],[DriverID]],CarrierDriverTBL!$A:$A,0))</f>
        <v>Carrillo</v>
      </c>
      <c r="AQ434" s="555" t="str">
        <f>INDEX(CarrierDriverTBL!$X:$X,MATCH(Table1[[#This Row],[DriverID]],CarrierDriverTBL!$A:$A,0))</f>
        <v>C7056793</v>
      </c>
      <c r="AR434" s="556">
        <f>INDEX(CarrierDriverTBL!$Y:$Y,MATCH(Table1[[#This Row],[DriverID]],CarrierDriverTBL!$A:$A,0))</f>
        <v>43410</v>
      </c>
      <c r="AS434" s="554" t="str">
        <f t="shared" si="170"/>
        <v>GOOD</v>
      </c>
      <c r="AT434" s="556">
        <f>INDEX(CarrierDriverTBL!$E:$E,MATCH(Table1[[#This Row],[DriverID]],CarrierDriverTBL!$A:$A,0))</f>
        <v>24782</v>
      </c>
      <c r="AU434" s="557">
        <f ca="1">INDEX(CarrierDriverTBL!$F:$F,MATCH(Table1[[#This Row],[DriverID]],CarrierDriverTBL!$A:$A,0))</f>
        <v>48.750684931506846</v>
      </c>
      <c r="AV434" s="554" t="str">
        <f>INDEX(CarrierDriverTBL!$K:$K,MATCH(Table1[[#This Row],[DriverID]],CarrierDriverTBL!$A:$A,0))</f>
        <v>209-276-9785</v>
      </c>
      <c r="AW434" s="554" t="str">
        <f>INDEX(CarrierDriverTBL!$M:$M,MATCH(Table1[[#This Row],[DriverID]],CarrierDriverTBL!$A:$A,0))</f>
        <v>1685 Winthrop Ln</v>
      </c>
      <c r="AX434" s="554" t="str">
        <f>INDEX(CarrierDriverTBL!$N:$N,MATCH(Table1[[#This Row],[DriverID]],CarrierDriverTBL!$A:$A,0))</f>
        <v>Ceres</v>
      </c>
      <c r="AY434" s="554" t="str">
        <f>INDEX(CarrierDriverTBL!$O:$O,MATCH(Table1[[#This Row],[DriverID]],CarrierDriverTBL!$A:$A,0))</f>
        <v>CA</v>
      </c>
      <c r="AZ434" s="554">
        <f>INDEX(CarrierDriverTBL!$P:$P,MATCH(Table1[[#This Row],[DriverID]],CarrierDriverTBL!$A:$A,0))</f>
        <v>95307</v>
      </c>
      <c r="BA434" s="554" t="str">
        <f>INDEX(CarrierDriverTBL!$Q:$Q,MATCH(Table1[[#This Row],[DriverID]],CarrierDriverTBL!$A:$A,0))</f>
        <v>US</v>
      </c>
      <c r="BB434" s="554" t="str">
        <f>INDEX(CarrierDriverTBL!$R:$R,MATCH(Table1[[#This Row],[DriverID]],CarrierDriverTBL!$A:$A,0))</f>
        <v>arturocarr777@gmail.com</v>
      </c>
      <c r="BC434" s="556">
        <f>INDEX(CarrierDriverTBL!$AB:$AB,MATCH(Table1[[#This Row],[DriverID]],CarrierDriverTBL!$A:$A,0))</f>
        <v>42418</v>
      </c>
      <c r="BD434" s="555" t="str">
        <f ca="1">INDEX(CarrierDriverTBL!$AD:$AD,MATCH(LoadMaster!$AN:$AN,CarrierDriverTBL!$A:$A,0))</f>
        <v>MISSING</v>
      </c>
      <c r="BE434" s="555">
        <f>INDEX(CarrierDriverTBL!$AE:$AE,MATCH(Table1[DriverID],CarrierDriverTBL!$A:$A,0))</f>
        <v>913971</v>
      </c>
      <c r="BF434" s="554">
        <f>INDEX(CarrierDriverTBL!$AF:$AF,MATCH(Table1[DriverID],CarrierDriverTBL!$A:$A,0))</f>
        <v>2627544</v>
      </c>
      <c r="BG434" s="236">
        <f>INDEX(CarrierDriverTBL!$AG:$AG,MATCH(Table1[DriverID],CarrierDriverTBL!$A:$A,0))</f>
        <v>466133</v>
      </c>
      <c r="BH434" s="554" t="str">
        <f>INDEX(CarrierDriverTBL!$AH:$AH,MATCH(Table1[DriverID],CarrierDriverTBL!$A:$A,0))</f>
        <v>GM Lawrence Ins</v>
      </c>
      <c r="BI434" s="554" t="str">
        <f>INDEX(CarrierDriverTBL!$AI:$AI,MATCH(Table1[DriverID],CarrierDriverTBL!$A:$A,0))</f>
        <v>DSK2842P160210</v>
      </c>
      <c r="BJ434" s="556">
        <f>INDEX(CarrierDriverTBL!$AJ:$AJ,MATCH(Table1[[#This Row],[DriverID]],CarrierDriverTBL!$A:$A,0))</f>
        <v>42778</v>
      </c>
      <c r="BK434" s="554">
        <f t="shared" si="171"/>
        <v>271</v>
      </c>
      <c r="BL434" s="558">
        <v>525</v>
      </c>
      <c r="BM434" s="554">
        <v>189</v>
      </c>
      <c r="BN434" s="558">
        <f t="shared" si="188"/>
        <v>2.7777777777777777</v>
      </c>
      <c r="BO434" s="241">
        <f>0.93*Table1[[#This Row],[ChargeBroker]]</f>
        <v>488.25</v>
      </c>
      <c r="BP434" s="558">
        <f t="shared" si="189"/>
        <v>2.5833333333333335</v>
      </c>
      <c r="BQ434" s="558">
        <v>2.6</v>
      </c>
      <c r="BR434" s="559">
        <f t="shared" si="190"/>
        <v>0.1166666666666667</v>
      </c>
      <c r="BS434" s="558">
        <f t="shared" si="172"/>
        <v>2.4666666666666668</v>
      </c>
      <c r="BT434" s="558">
        <f t="shared" si="173"/>
        <v>22.050000000000004</v>
      </c>
      <c r="BU434" s="236" t="str">
        <f t="shared" si="174"/>
        <v>Freightquote</v>
      </c>
      <c r="BV434" s="554"/>
      <c r="BW434" s="236" t="str">
        <f>Table1[[#This Row],[BrokerAddress]]</f>
        <v>901 West Carondelet Drive</v>
      </c>
      <c r="BX434" s="236" t="str">
        <f t="shared" si="175"/>
        <v>Kansas City</v>
      </c>
      <c r="BY434" s="269" t="str">
        <f t="shared" si="176"/>
        <v>MO</v>
      </c>
      <c r="BZ434" s="236">
        <f t="shared" si="177"/>
        <v>64114</v>
      </c>
      <c r="CA434" s="236" t="str">
        <f t="shared" si="178"/>
        <v>US</v>
      </c>
      <c r="CB434" s="15" t="s">
        <v>131</v>
      </c>
      <c r="CC434" s="62"/>
      <c r="CD434" s="15" t="s">
        <v>132</v>
      </c>
      <c r="CE434" s="64">
        <v>0</v>
      </c>
      <c r="CF434" s="4">
        <v>0</v>
      </c>
      <c r="CG434" s="132">
        <f t="shared" si="179"/>
        <v>0</v>
      </c>
      <c r="CH434" s="4" t="s">
        <v>132</v>
      </c>
      <c r="CI434" s="5">
        <v>0</v>
      </c>
      <c r="CJ434" s="4">
        <v>0</v>
      </c>
      <c r="CK434" s="132">
        <f t="shared" si="180"/>
        <v>0</v>
      </c>
      <c r="CL434" s="4" t="s">
        <v>132</v>
      </c>
      <c r="CM434" s="5">
        <v>0</v>
      </c>
      <c r="CN434" s="4">
        <v>0</v>
      </c>
      <c r="CO434" s="132">
        <f t="shared" si="181"/>
        <v>0</v>
      </c>
      <c r="CP434" s="4" t="s">
        <v>132</v>
      </c>
      <c r="CQ434" s="5">
        <v>0</v>
      </c>
      <c r="CR434" s="4">
        <v>0</v>
      </c>
      <c r="CS434" s="132">
        <f t="shared" si="182"/>
        <v>0</v>
      </c>
      <c r="CT434" s="132">
        <f t="shared" si="183"/>
        <v>0</v>
      </c>
      <c r="CU434" s="238">
        <f t="shared" si="184"/>
        <v>525</v>
      </c>
      <c r="CV434" s="239">
        <f t="shared" si="167"/>
        <v>0</v>
      </c>
      <c r="CW434" s="240">
        <f t="shared" si="168"/>
        <v>488.25</v>
      </c>
      <c r="CX434" s="79">
        <f>IF(ISBLANK(E434),"AddQuickPay",IF(E434=2,CU434*0.98,IF(E434=2.4,CU434*0.976,IF(E434=3,CU434*0.97,IF(E434=5,CU434*0.95,IF(E434=1.5,CU434*0.985,IF(E434=2.5,CU434*0.975,IF(E434=1.3,CU434*0.987,IF(E434=1,CU434*0.99,IF(E434=4,CU434*0.96,CU434*1))))))))))-Table1[[#This Row],[ComCheck+QuickPayFee]]</f>
        <v>509.25</v>
      </c>
      <c r="CY434" s="237">
        <f t="shared" si="185"/>
        <v>36.75</v>
      </c>
      <c r="CZ434" s="237">
        <f t="shared" si="186"/>
        <v>15.75</v>
      </c>
      <c r="DA434" s="263">
        <f>Table1[[#This Row],[OriginalDispatch]]-Table1[[#This Row],[QuickPayCharge]]</f>
        <v>21</v>
      </c>
      <c r="DB434" s="5">
        <v>0</v>
      </c>
      <c r="DC434" s="237" t="s">
        <v>133</v>
      </c>
      <c r="DD434" s="549">
        <f t="shared" si="187"/>
        <v>42510</v>
      </c>
      <c r="DE434" s="554">
        <f>MONTH(Table1[[#This Row],[Weekending]])</f>
        <v>5</v>
      </c>
      <c r="DF434" s="554">
        <f>YEAR(Table1[[#This Row],[Weekending]])</f>
        <v>2016</v>
      </c>
      <c r="DG434" s="235"/>
    </row>
    <row r="435" spans="1:111">
      <c r="A435" s="548" t="str">
        <f t="shared" si="169"/>
        <v>69353593</v>
      </c>
      <c r="B435" s="549">
        <v>42508</v>
      </c>
      <c r="C435" s="550" t="s">
        <v>2847</v>
      </c>
      <c r="D435" s="548" t="s">
        <v>2825</v>
      </c>
      <c r="E435" s="550">
        <v>2</v>
      </c>
      <c r="F435" s="551" t="str">
        <f>INDEX(BrokerTBL!$B:$B,MATCH(D435,BrokerTBL!$A:$A,0))</f>
        <v>P.O. Box 2545 3101 South Packerland Drive</v>
      </c>
      <c r="G435" s="550" t="str">
        <f>INDEX(BrokerTBL!$C:$C,MATCH(D435,BrokerTBL!$A:$A,0))</f>
        <v>Green Bay</v>
      </c>
      <c r="H435" s="235" t="str">
        <f>INDEX(BrokerTBL!$D:$D,MATCH(D435,BrokerTBL!$A:$A,0))</f>
        <v>Wisconsin</v>
      </c>
      <c r="I435" s="235" t="str">
        <f>INDEX(BrokerTBL!$E:$E,MATCH(D435,BrokerTBL!$A:$A,0))</f>
        <v>US</v>
      </c>
      <c r="J435" s="235" t="str">
        <f>INDEX(BrokerTBL!$F:$F,MATCH(D435,BrokerTBL!$A:$A,0))</f>
        <v>54306-2545</v>
      </c>
      <c r="K435" s="548" t="s">
        <v>2848</v>
      </c>
      <c r="L435" s="552">
        <v>256335</v>
      </c>
      <c r="M435" s="549">
        <v>42508</v>
      </c>
      <c r="N435" s="550" t="s">
        <v>2849</v>
      </c>
      <c r="O435" s="550" t="s">
        <v>2850</v>
      </c>
      <c r="P435" s="548" t="s">
        <v>2851</v>
      </c>
      <c r="Q435" s="548" t="s">
        <v>2206</v>
      </c>
      <c r="R435" s="548">
        <v>95381</v>
      </c>
      <c r="S435" s="548" t="s">
        <v>2207</v>
      </c>
      <c r="T435" s="548" t="s">
        <v>2852</v>
      </c>
      <c r="U435" s="548" t="s">
        <v>120</v>
      </c>
      <c r="V435" s="548">
        <v>53</v>
      </c>
      <c r="W435" s="548" t="s">
        <v>1205</v>
      </c>
      <c r="X435" s="553">
        <v>24068</v>
      </c>
      <c r="Y435" s="550" t="s">
        <v>123</v>
      </c>
      <c r="Z435" s="548" t="s">
        <v>123</v>
      </c>
      <c r="AA435" s="548" t="s">
        <v>123</v>
      </c>
      <c r="AB435" s="548" t="s">
        <v>123</v>
      </c>
      <c r="AC435" s="548" t="s">
        <v>2853</v>
      </c>
      <c r="AD435" s="552">
        <v>256335</v>
      </c>
      <c r="AE435" s="549">
        <v>42509</v>
      </c>
      <c r="AF435" s="549" t="s">
        <v>422</v>
      </c>
      <c r="AG435" s="548" t="s">
        <v>2854</v>
      </c>
      <c r="AH435" s="548" t="s">
        <v>2451</v>
      </c>
      <c r="AI435" s="548" t="s">
        <v>2233</v>
      </c>
      <c r="AJ435" s="548">
        <v>89431</v>
      </c>
      <c r="AK435" s="548" t="s">
        <v>2207</v>
      </c>
      <c r="AL435" s="548" t="s">
        <v>123</v>
      </c>
      <c r="AM435" s="554" t="str">
        <f>INDEX(CarrierDriverTBL!$B:$B,MATCH(Table1[[#This Row],[DriverID]],CarrierDriverTBL!$A:$A,0))</f>
        <v>UBTrucking</v>
      </c>
      <c r="AN435" s="10" t="s">
        <v>2234</v>
      </c>
      <c r="AO435" s="555" t="str">
        <f>INDEX(CarrierDriverTBL!$C:$C,MATCH(Table1[[#This Row],[DriverID]],CarrierDriverTBL!$A:$A,0))</f>
        <v>Arturo</v>
      </c>
      <c r="AP435" s="555" t="str">
        <f>INDEX(CarrierDriverTBL!$D:$D,MATCH(Table1[[#This Row],[DriverID]],CarrierDriverTBL!$A:$A,0))</f>
        <v>Carrillo</v>
      </c>
      <c r="AQ435" s="555" t="str">
        <f>INDEX(CarrierDriverTBL!$X:$X,MATCH(Table1[[#This Row],[DriverID]],CarrierDriverTBL!$A:$A,0))</f>
        <v>C7056793</v>
      </c>
      <c r="AR435" s="556">
        <f>INDEX(CarrierDriverTBL!$Y:$Y,MATCH(Table1[[#This Row],[DriverID]],CarrierDriverTBL!$A:$A,0))</f>
        <v>43410</v>
      </c>
      <c r="AS435" s="554" t="str">
        <f t="shared" si="170"/>
        <v>GOOD</v>
      </c>
      <c r="AT435" s="556">
        <f>INDEX(CarrierDriverTBL!$E:$E,MATCH(Table1[[#This Row],[DriverID]],CarrierDriverTBL!$A:$A,0))</f>
        <v>24782</v>
      </c>
      <c r="AU435" s="557">
        <f ca="1">INDEX(CarrierDriverTBL!$F:$F,MATCH(Table1[[#This Row],[DriverID]],CarrierDriverTBL!$A:$A,0))</f>
        <v>48.750684931506846</v>
      </c>
      <c r="AV435" s="554" t="str">
        <f>INDEX(CarrierDriverTBL!$K:$K,MATCH(Table1[[#This Row],[DriverID]],CarrierDriverTBL!$A:$A,0))</f>
        <v>209-276-9785</v>
      </c>
      <c r="AW435" s="554" t="str">
        <f>INDEX(CarrierDriverTBL!$M:$M,MATCH(Table1[[#This Row],[DriverID]],CarrierDriverTBL!$A:$A,0))</f>
        <v>1685 Winthrop Ln</v>
      </c>
      <c r="AX435" s="554" t="str">
        <f>INDEX(CarrierDriverTBL!$N:$N,MATCH(Table1[[#This Row],[DriverID]],CarrierDriverTBL!$A:$A,0))</f>
        <v>Ceres</v>
      </c>
      <c r="AY435" s="554" t="str">
        <f>INDEX(CarrierDriverTBL!$O:$O,MATCH(Table1[[#This Row],[DriverID]],CarrierDriverTBL!$A:$A,0))</f>
        <v>CA</v>
      </c>
      <c r="AZ435" s="554">
        <f>INDEX(CarrierDriverTBL!$P:$P,MATCH(Table1[[#This Row],[DriverID]],CarrierDriverTBL!$A:$A,0))</f>
        <v>95307</v>
      </c>
      <c r="BA435" s="554" t="str">
        <f>INDEX(CarrierDriverTBL!$Q:$Q,MATCH(Table1[[#This Row],[DriverID]],CarrierDriverTBL!$A:$A,0))</f>
        <v>US</v>
      </c>
      <c r="BB435" s="554" t="str">
        <f>INDEX(CarrierDriverTBL!$R:$R,MATCH(Table1[[#This Row],[DriverID]],CarrierDriverTBL!$A:$A,0))</f>
        <v>arturocarr777@gmail.com</v>
      </c>
      <c r="BC435" s="556">
        <f>INDEX(CarrierDriverTBL!$AB:$AB,MATCH(Table1[[#This Row],[DriverID]],CarrierDriverTBL!$A:$A,0))</f>
        <v>42418</v>
      </c>
      <c r="BD435" s="555" t="str">
        <f ca="1">INDEX(CarrierDriverTBL!$AD:$AD,MATCH(LoadMaster!$AN:$AN,CarrierDriverTBL!$A:$A,0))</f>
        <v>MISSING</v>
      </c>
      <c r="BE435" s="555">
        <f>INDEX(CarrierDriverTBL!$AE:$AE,MATCH(Table1[DriverID],CarrierDriverTBL!$A:$A,0))</f>
        <v>913971</v>
      </c>
      <c r="BF435" s="554">
        <f>INDEX(CarrierDriverTBL!$AF:$AF,MATCH(Table1[DriverID],CarrierDriverTBL!$A:$A,0))</f>
        <v>2627544</v>
      </c>
      <c r="BG435" s="236">
        <f>INDEX(CarrierDriverTBL!$AG:$AG,MATCH(Table1[DriverID],CarrierDriverTBL!$A:$A,0))</f>
        <v>466133</v>
      </c>
      <c r="BH435" s="554" t="str">
        <f>INDEX(CarrierDriverTBL!$AH:$AH,MATCH(Table1[DriverID],CarrierDriverTBL!$A:$A,0))</f>
        <v>GM Lawrence Ins</v>
      </c>
      <c r="BI435" s="554" t="str">
        <f>INDEX(CarrierDriverTBL!$AI:$AI,MATCH(Table1[DriverID],CarrierDriverTBL!$A:$A,0))</f>
        <v>DSK2842P160210</v>
      </c>
      <c r="BJ435" s="556">
        <f>INDEX(CarrierDriverTBL!$AJ:$AJ,MATCH(Table1[[#This Row],[DriverID]],CarrierDriverTBL!$A:$A,0))</f>
        <v>42778</v>
      </c>
      <c r="BK435" s="554">
        <f t="shared" si="171"/>
        <v>270</v>
      </c>
      <c r="BL435" s="558">
        <v>600</v>
      </c>
      <c r="BM435" s="554">
        <v>220</v>
      </c>
      <c r="BN435" s="558">
        <f t="shared" si="188"/>
        <v>2.7272727272727271</v>
      </c>
      <c r="BO435" s="241">
        <f>0.93*600</f>
        <v>558</v>
      </c>
      <c r="BP435" s="558">
        <f t="shared" si="189"/>
        <v>2.5363636363636362</v>
      </c>
      <c r="BQ435" s="558">
        <v>2.6</v>
      </c>
      <c r="BR435" s="559">
        <f t="shared" si="190"/>
        <v>0.1166666666666667</v>
      </c>
      <c r="BS435" s="558">
        <f t="shared" si="172"/>
        <v>2.4196969696969695</v>
      </c>
      <c r="BT435" s="558">
        <f t="shared" si="173"/>
        <v>25.666666666666671</v>
      </c>
      <c r="BU435" s="236" t="str">
        <f t="shared" si="174"/>
        <v>Schenider</v>
      </c>
      <c r="BV435" s="554"/>
      <c r="BW435" s="236" t="str">
        <f>Table1[[#This Row],[BrokerAddress]]</f>
        <v>P.O. Box 2545 3101 South Packerland Drive</v>
      </c>
      <c r="BX435" s="236" t="str">
        <f t="shared" si="175"/>
        <v>Green Bay</v>
      </c>
      <c r="BY435" s="269" t="str">
        <f t="shared" si="176"/>
        <v>Wisconsin</v>
      </c>
      <c r="BZ435" s="236" t="str">
        <f t="shared" si="177"/>
        <v>54306-2545</v>
      </c>
      <c r="CA435" s="236" t="str">
        <f t="shared" si="178"/>
        <v>US</v>
      </c>
      <c r="CB435" s="15" t="s">
        <v>131</v>
      </c>
      <c r="CC435" s="62"/>
      <c r="CD435" s="15" t="s">
        <v>132</v>
      </c>
      <c r="CE435" s="64">
        <v>0</v>
      </c>
      <c r="CF435" s="4">
        <v>0</v>
      </c>
      <c r="CG435" s="132">
        <f t="shared" si="179"/>
        <v>0</v>
      </c>
      <c r="CH435" s="4" t="s">
        <v>132</v>
      </c>
      <c r="CI435" s="5">
        <v>0</v>
      </c>
      <c r="CJ435" s="4">
        <v>0</v>
      </c>
      <c r="CK435" s="132">
        <f t="shared" si="180"/>
        <v>0</v>
      </c>
      <c r="CL435" s="4" t="s">
        <v>132</v>
      </c>
      <c r="CM435" s="5">
        <v>0</v>
      </c>
      <c r="CN435" s="4">
        <v>0</v>
      </c>
      <c r="CO435" s="132">
        <f t="shared" si="181"/>
        <v>0</v>
      </c>
      <c r="CP435" s="4" t="s">
        <v>132</v>
      </c>
      <c r="CQ435" s="5">
        <v>0</v>
      </c>
      <c r="CR435" s="4">
        <v>0</v>
      </c>
      <c r="CS435" s="132">
        <f t="shared" si="182"/>
        <v>0</v>
      </c>
      <c r="CT435" s="132">
        <f t="shared" si="183"/>
        <v>0</v>
      </c>
      <c r="CU435" s="238">
        <f t="shared" si="184"/>
        <v>600</v>
      </c>
      <c r="CV435" s="239">
        <f t="shared" si="167"/>
        <v>0</v>
      </c>
      <c r="CW435" s="240">
        <f t="shared" si="168"/>
        <v>558</v>
      </c>
      <c r="CX435" s="79">
        <f>IF(ISBLANK(E435),"AddQuickPay",IF(E435=2,CU435*0.98,IF(E435=2.4,CU435*0.976,IF(E435=3,CU435*0.97,IF(E435=5,CU435*0.95,IF(E435=1.5,CU435*0.985,IF(E435=2.5,CU435*0.975,IF(E435=1.3,CU435*0.987,IF(E435=1,CU435*0.99,IF(E435=4,CU435*0.96,CU435*1))))))))))-Table1[[#This Row],[ComCheck+QuickPayFee]]</f>
        <v>588</v>
      </c>
      <c r="CY435" s="237">
        <f t="shared" si="185"/>
        <v>42</v>
      </c>
      <c r="CZ435" s="237">
        <f t="shared" si="186"/>
        <v>12</v>
      </c>
      <c r="DA435" s="263">
        <f>Table1[[#This Row],[OriginalDispatch]]-Table1[[#This Row],[QuickPayCharge]]</f>
        <v>30</v>
      </c>
      <c r="DB435" s="5">
        <v>0</v>
      </c>
      <c r="DC435" s="237" t="s">
        <v>133</v>
      </c>
      <c r="DD435" s="549">
        <f t="shared" si="187"/>
        <v>42510</v>
      </c>
      <c r="DE435" s="554">
        <f>MONTH(Table1[[#This Row],[Weekending]])</f>
        <v>5</v>
      </c>
      <c r="DF435" s="554">
        <f>YEAR(Table1[[#This Row],[Weekending]])</f>
        <v>2016</v>
      </c>
      <c r="DG435" s="235"/>
    </row>
    <row r="436" spans="1:111">
      <c r="A436" s="548" t="str">
        <f t="shared" si="169"/>
        <v>81030419</v>
      </c>
      <c r="B436" s="549">
        <v>42508</v>
      </c>
      <c r="C436" s="550">
        <v>24502281</v>
      </c>
      <c r="D436" s="548" t="s">
        <v>2703</v>
      </c>
      <c r="E436" s="550">
        <v>0</v>
      </c>
      <c r="F436" s="551" t="str">
        <f>INDEX(BrokerTBL!$B:$B,MATCH(D436,BrokerTBL!$A:$A,0))</f>
        <v>600 W. Chicago Ave., Ste. 725</v>
      </c>
      <c r="G436" s="550" t="str">
        <f>INDEX(BrokerTBL!$C:$C,MATCH(D436,BrokerTBL!$A:$A,0))</f>
        <v>Chicago</v>
      </c>
      <c r="H436" s="235" t="str">
        <f>INDEX(BrokerTBL!$D:$D,MATCH(D436,BrokerTBL!$A:$A,0))</f>
        <v>IL</v>
      </c>
      <c r="I436" s="235" t="str">
        <f>INDEX(BrokerTBL!$E:$E,MATCH(D436,BrokerTBL!$A:$A,0))</f>
        <v>US</v>
      </c>
      <c r="J436" s="235">
        <f>INDEX(BrokerTBL!$F:$F,MATCH(D436,BrokerTBL!$A:$A,0))</f>
        <v>60654</v>
      </c>
      <c r="K436" s="548" t="s">
        <v>2855</v>
      </c>
      <c r="L436" s="552">
        <v>493903</v>
      </c>
      <c r="M436" s="549">
        <v>42508</v>
      </c>
      <c r="N436" s="550" t="s">
        <v>2856</v>
      </c>
      <c r="O436" s="550" t="s">
        <v>2857</v>
      </c>
      <c r="P436" s="548" t="s">
        <v>2858</v>
      </c>
      <c r="Q436" s="548" t="s">
        <v>2206</v>
      </c>
      <c r="R436" s="548">
        <v>93549</v>
      </c>
      <c r="S436" s="548" t="s">
        <v>2207</v>
      </c>
      <c r="T436" s="548">
        <v>7607642542</v>
      </c>
      <c r="U436" s="548" t="s">
        <v>120</v>
      </c>
      <c r="V436" s="548">
        <v>53</v>
      </c>
      <c r="W436" s="548" t="s">
        <v>620</v>
      </c>
      <c r="X436" s="553">
        <v>44100</v>
      </c>
      <c r="Y436" s="550" t="s">
        <v>2410</v>
      </c>
      <c r="Z436" s="548">
        <v>1560</v>
      </c>
      <c r="AA436" s="548">
        <v>20</v>
      </c>
      <c r="AB436" s="548" t="s">
        <v>123</v>
      </c>
      <c r="AC436" s="548" t="s">
        <v>2859</v>
      </c>
      <c r="AD436" s="552">
        <v>12016130004</v>
      </c>
      <c r="AE436" s="549">
        <v>42509</v>
      </c>
      <c r="AF436" s="549" t="s">
        <v>2860</v>
      </c>
      <c r="AG436" s="548" t="s">
        <v>2861</v>
      </c>
      <c r="AH436" s="548" t="s">
        <v>2451</v>
      </c>
      <c r="AI436" s="548" t="s">
        <v>2233</v>
      </c>
      <c r="AJ436" s="548">
        <v>89431</v>
      </c>
      <c r="AK436" s="548" t="s">
        <v>2207</v>
      </c>
      <c r="AL436" s="548" t="s">
        <v>2862</v>
      </c>
      <c r="AM436" s="554" t="str">
        <f>INDEX(CarrierDriverTBL!$B:$B,MATCH(Table1[[#This Row],[DriverID]],CarrierDriverTBL!$A:$A,0))</f>
        <v>UBTrucking</v>
      </c>
      <c r="AN436" s="10" t="s">
        <v>1409</v>
      </c>
      <c r="AO436" s="555" t="str">
        <f>INDEX(CarrierDriverTBL!$C:$C,MATCH(Table1[[#This Row],[DriverID]],CarrierDriverTBL!$A:$A,0))</f>
        <v>Miguel Jaime</v>
      </c>
      <c r="AP436" s="555" t="str">
        <f>INDEX(CarrierDriverTBL!$D:$D,MATCH(Table1[[#This Row],[DriverID]],CarrierDriverTBL!$A:$A,0))</f>
        <v>Martin Del Campo Velarca</v>
      </c>
      <c r="AQ436" s="555" t="str">
        <f>INDEX(CarrierDriverTBL!$X:$X,MATCH(Table1[[#This Row],[DriverID]],CarrierDriverTBL!$A:$A,0))</f>
        <v>D5179619</v>
      </c>
      <c r="AR436" s="556">
        <f>INDEX(CarrierDriverTBL!$Y:$Y,MATCH(Table1[[#This Row],[DriverID]],CarrierDriverTBL!$A:$A,0))</f>
        <v>43843</v>
      </c>
      <c r="AS436" s="554" t="str">
        <f t="shared" si="170"/>
        <v>GOOD</v>
      </c>
      <c r="AT436" s="556">
        <f>INDEX(CarrierDriverTBL!$E:$E,MATCH(Table1[[#This Row],[DriverID]],CarrierDriverTBL!$A:$A,0))</f>
        <v>21198</v>
      </c>
      <c r="AU436" s="557">
        <f ca="1">INDEX(CarrierDriverTBL!$F:$F,MATCH(Table1[[#This Row],[DriverID]],CarrierDriverTBL!$A:$A,0))</f>
        <v>58.56986301369863</v>
      </c>
      <c r="AV436" s="554" t="str">
        <f>INDEX(CarrierDriverTBL!$K:$K,MATCH(Table1[[#This Row],[DriverID]],CarrierDriverTBL!$A:$A,0))</f>
        <v>209-322-5231</v>
      </c>
      <c r="AW436" s="554" t="str">
        <f>INDEX(CarrierDriverTBL!$M:$M,MATCH(Table1[[#This Row],[DriverID]],CarrierDriverTBL!$A:$A,0))</f>
        <v>572 Predersen RD</v>
      </c>
      <c r="AX436" s="554" t="str">
        <f>INDEX(CarrierDriverTBL!$N:$N,MATCH(Table1[[#This Row],[DriverID]],CarrierDriverTBL!$A:$A,0))</f>
        <v>Oakdale</v>
      </c>
      <c r="AY436" s="554" t="str">
        <f>INDEX(CarrierDriverTBL!$O:$O,MATCH(Table1[[#This Row],[DriverID]],CarrierDriverTBL!$A:$A,0))</f>
        <v>CA</v>
      </c>
      <c r="AZ436" s="554">
        <f>INDEX(CarrierDriverTBL!$P:$P,MATCH(Table1[[#This Row],[DriverID]],CarrierDriverTBL!$A:$A,0))</f>
        <v>95361</v>
      </c>
      <c r="BA436" s="554" t="str">
        <f>INDEX(CarrierDriverTBL!$Q:$Q,MATCH(Table1[[#This Row],[DriverID]],CarrierDriverTBL!$A:$A,0))</f>
        <v>US</v>
      </c>
      <c r="BB436" s="554" t="str">
        <f>INDEX(CarrierDriverTBL!$R:$R,MATCH(Table1[[#This Row],[DriverID]],CarrierDriverTBL!$A:$A,0))</f>
        <v>Miguelmartin52@yahoo.com</v>
      </c>
      <c r="BC436" s="556">
        <f>INDEX(CarrierDriverTBL!$AB:$AB,MATCH(Table1[[#This Row],[DriverID]],CarrierDriverTBL!$A:$A,0))</f>
        <v>42334</v>
      </c>
      <c r="BD436" s="555" t="str">
        <f ca="1">INDEX(CarrierDriverTBL!$AD:$AD,MATCH(LoadMaster!$AN:$AN,CarrierDriverTBL!$A:$A,0))</f>
        <v>MISSING</v>
      </c>
      <c r="BE436" s="555">
        <f>INDEX(CarrierDriverTBL!$AE:$AE,MATCH(Table1[DriverID],CarrierDriverTBL!$A:$A,0))</f>
        <v>913971</v>
      </c>
      <c r="BF436" s="554">
        <f>INDEX(CarrierDriverTBL!$AF:$AF,MATCH(Table1[DriverID],CarrierDriverTBL!$A:$A,0))</f>
        <v>2627544</v>
      </c>
      <c r="BG436" s="236">
        <f>INDEX(CarrierDriverTBL!$AG:$AG,MATCH(Table1[DriverID],CarrierDriverTBL!$A:$A,0))</f>
        <v>466133</v>
      </c>
      <c r="BH436" s="554" t="str">
        <f>INDEX(CarrierDriverTBL!$AH:$AH,MATCH(Table1[DriverID],CarrierDriverTBL!$A:$A,0))</f>
        <v>GM Lawrence Ins</v>
      </c>
      <c r="BI436" s="554" t="str">
        <f>INDEX(CarrierDriverTBL!$AI:$AI,MATCH(Table1[DriverID],CarrierDriverTBL!$A:$A,0))</f>
        <v>DSK2842P160210</v>
      </c>
      <c r="BJ436" s="556">
        <f>INDEX(CarrierDriverTBL!$AJ:$AJ,MATCH(Table1[[#This Row],[DriverID]],CarrierDriverTBL!$A:$A,0))</f>
        <v>42778</v>
      </c>
      <c r="BK436" s="554">
        <f t="shared" si="171"/>
        <v>270</v>
      </c>
      <c r="BL436" s="558">
        <v>1000</v>
      </c>
      <c r="BM436" s="554">
        <v>286.3</v>
      </c>
      <c r="BN436" s="558">
        <f t="shared" si="188"/>
        <v>3.4928396786587492</v>
      </c>
      <c r="BO436" s="241">
        <f>0.93*Table1[[#This Row],[ChargeBroker]]</f>
        <v>930</v>
      </c>
      <c r="BP436" s="558">
        <f t="shared" si="189"/>
        <v>3.2483409011526372</v>
      </c>
      <c r="BQ436" s="558">
        <v>2.6</v>
      </c>
      <c r="BR436" s="559">
        <f t="shared" si="190"/>
        <v>0.1166666666666667</v>
      </c>
      <c r="BS436" s="558">
        <f t="shared" si="172"/>
        <v>3.1316742344859705</v>
      </c>
      <c r="BT436" s="558">
        <f t="shared" si="173"/>
        <v>33.401666666666678</v>
      </c>
      <c r="BU436" s="236" t="str">
        <f t="shared" si="174"/>
        <v>Echo Global Logistics Inc.</v>
      </c>
      <c r="BV436" s="554"/>
      <c r="BW436" s="236" t="str">
        <f>Table1[[#This Row],[BrokerAddress]]</f>
        <v>600 W. Chicago Ave., Ste. 725</v>
      </c>
      <c r="BX436" s="236" t="str">
        <f t="shared" si="175"/>
        <v>Chicago</v>
      </c>
      <c r="BY436" s="269" t="str">
        <f t="shared" si="176"/>
        <v>IL</v>
      </c>
      <c r="BZ436" s="236">
        <f t="shared" si="177"/>
        <v>60654</v>
      </c>
      <c r="CA436" s="236" t="str">
        <f t="shared" si="178"/>
        <v>US</v>
      </c>
      <c r="CB436" s="15" t="s">
        <v>131</v>
      </c>
      <c r="CC436" s="62"/>
      <c r="CD436" s="15" t="s">
        <v>132</v>
      </c>
      <c r="CE436" s="64">
        <v>0</v>
      </c>
      <c r="CF436" s="4">
        <v>0</v>
      </c>
      <c r="CG436" s="132">
        <f t="shared" si="179"/>
        <v>0</v>
      </c>
      <c r="CH436" s="4" t="s">
        <v>132</v>
      </c>
      <c r="CI436" s="5">
        <v>0</v>
      </c>
      <c r="CJ436" s="4">
        <v>0</v>
      </c>
      <c r="CK436" s="132">
        <f t="shared" si="180"/>
        <v>0</v>
      </c>
      <c r="CL436" s="4" t="s">
        <v>132</v>
      </c>
      <c r="CM436" s="5">
        <v>0</v>
      </c>
      <c r="CN436" s="4">
        <v>0</v>
      </c>
      <c r="CO436" s="132">
        <f t="shared" si="181"/>
        <v>0</v>
      </c>
      <c r="CP436" s="4" t="s">
        <v>132</v>
      </c>
      <c r="CQ436" s="5">
        <v>0</v>
      </c>
      <c r="CR436" s="4">
        <v>0</v>
      </c>
      <c r="CS436" s="132">
        <f t="shared" si="182"/>
        <v>0</v>
      </c>
      <c r="CT436" s="132">
        <f t="shared" si="183"/>
        <v>0</v>
      </c>
      <c r="CU436" s="238">
        <f t="shared" si="184"/>
        <v>1000</v>
      </c>
      <c r="CV436" s="239">
        <f t="shared" si="167"/>
        <v>0</v>
      </c>
      <c r="CW436" s="240">
        <f t="shared" si="168"/>
        <v>930</v>
      </c>
      <c r="CX436" s="79">
        <f>IF(ISBLANK(E436),"AddQuickPay",IF(E436=2,CU436*0.98,IF(E436=2.4,CU436*0.976,IF(E436=3,CU436*0.97,IF(E436=5,CU436*0.95,IF(E436=1.5,CU436*0.985,IF(E436=2.5,CU436*0.975,IF(E436=1.3,CU436*0.987,IF(E436=1,CU436*0.99,IF(E436=4,CU436*0.96,CU436*1))))))))))-Table1[[#This Row],[ComCheck+QuickPayFee]]</f>
        <v>1000</v>
      </c>
      <c r="CY436" s="237">
        <f t="shared" si="185"/>
        <v>70</v>
      </c>
      <c r="CZ436" s="237">
        <f t="shared" si="186"/>
        <v>0</v>
      </c>
      <c r="DA436" s="263">
        <f>Table1[[#This Row],[OriginalDispatch]]-Table1[[#This Row],[QuickPayCharge]]</f>
        <v>70</v>
      </c>
      <c r="DB436" s="5">
        <v>0</v>
      </c>
      <c r="DC436" s="237" t="s">
        <v>133</v>
      </c>
      <c r="DD436" s="549">
        <f t="shared" si="187"/>
        <v>42510</v>
      </c>
      <c r="DE436" s="554">
        <f>MONTH(Table1[[#This Row],[Weekending]])</f>
        <v>5</v>
      </c>
      <c r="DF436" s="554">
        <f>YEAR(Table1[[#This Row],[Weekending]])</f>
        <v>2016</v>
      </c>
      <c r="DG436" s="235"/>
    </row>
    <row r="437" spans="1:111">
      <c r="A437" s="548" t="str">
        <f t="shared" si="169"/>
        <v>79wnwn49</v>
      </c>
      <c r="B437" s="549">
        <v>42508</v>
      </c>
      <c r="C437" s="550">
        <v>616479</v>
      </c>
      <c r="D437" s="548" t="s">
        <v>2426</v>
      </c>
      <c r="E437" s="550">
        <v>0</v>
      </c>
      <c r="F437" s="551" t="str">
        <f>INDEX(BrokerTBL!$B:$B,MATCH(D437,BrokerTBL!$A:$A,0))</f>
        <v>365 Northridge Road Suite 100</v>
      </c>
      <c r="G437" s="550" t="str">
        <f>INDEX(BrokerTBL!$C:$C,MATCH(D437,BrokerTBL!$A:$A,0))</f>
        <v>Atlanta</v>
      </c>
      <c r="H437" s="235" t="str">
        <f>INDEX(BrokerTBL!$D:$D,MATCH(D437,BrokerTBL!$A:$A,0))</f>
        <v>GA</v>
      </c>
      <c r="I437" s="235" t="str">
        <f>INDEX(BrokerTBL!$E:$E,MATCH(D437,BrokerTBL!$A:$A,0))</f>
        <v>US</v>
      </c>
      <c r="J437" s="235">
        <f>INDEX(BrokerTBL!$F:$F,MATCH(D437,BrokerTBL!$A:$A,0))</f>
        <v>30350</v>
      </c>
      <c r="K437" s="548" t="s">
        <v>2427</v>
      </c>
      <c r="L437" s="552" t="s">
        <v>1205</v>
      </c>
      <c r="M437" s="549">
        <v>42509</v>
      </c>
      <c r="N437" s="550" t="s">
        <v>1571</v>
      </c>
      <c r="O437" s="550" t="s">
        <v>2863</v>
      </c>
      <c r="P437" s="548" t="s">
        <v>2864</v>
      </c>
      <c r="Q437" s="548" t="s">
        <v>2206</v>
      </c>
      <c r="R437" s="548">
        <v>95330</v>
      </c>
      <c r="S437" s="548" t="s">
        <v>2207</v>
      </c>
      <c r="T437" s="548" t="s">
        <v>2865</v>
      </c>
      <c r="U437" s="548" t="s">
        <v>120</v>
      </c>
      <c r="V437" s="548">
        <v>53</v>
      </c>
      <c r="W437" s="548" t="s">
        <v>2866</v>
      </c>
      <c r="X437" s="553">
        <v>40000</v>
      </c>
      <c r="Y437" s="550" t="s">
        <v>2220</v>
      </c>
      <c r="Z437" s="548" t="s">
        <v>123</v>
      </c>
      <c r="AA437" s="548">
        <v>22</v>
      </c>
      <c r="AB437" s="548" t="s">
        <v>123</v>
      </c>
      <c r="AC437" s="548" t="s">
        <v>2433</v>
      </c>
      <c r="AD437" s="552" t="s">
        <v>1205</v>
      </c>
      <c r="AE437" s="549">
        <v>42509</v>
      </c>
      <c r="AF437" s="560">
        <v>0.5</v>
      </c>
      <c r="AG437" s="548" t="s">
        <v>2867</v>
      </c>
      <c r="AH437" s="548" t="s">
        <v>2868</v>
      </c>
      <c r="AI437" s="548" t="s">
        <v>2206</v>
      </c>
      <c r="AJ437" s="548">
        <v>95492</v>
      </c>
      <c r="AK437" s="548" t="s">
        <v>2207</v>
      </c>
      <c r="AL437" s="548" t="s">
        <v>2865</v>
      </c>
      <c r="AM437" s="554" t="str">
        <f>INDEX(CarrierDriverTBL!$B:$B,MATCH(Table1[[#This Row],[DriverID]],CarrierDriverTBL!$A:$A,0))</f>
        <v>UBTrucking</v>
      </c>
      <c r="AN437" s="10" t="s">
        <v>192</v>
      </c>
      <c r="AO437" s="555" t="str">
        <f>INDEX(CarrierDriverTBL!$C:$C,MATCH(Table1[[#This Row],[DriverID]],CarrierDriverTBL!$A:$A,0))</f>
        <v>Albel</v>
      </c>
      <c r="AP437" s="555" t="str">
        <f>INDEX(CarrierDriverTBL!$D:$D,MATCH(Table1[[#This Row],[DriverID]],CarrierDriverTBL!$A:$A,0))</f>
        <v>Chahil</v>
      </c>
      <c r="AQ437" s="555" t="str">
        <f>INDEX(CarrierDriverTBL!$X:$X,MATCH(Table1[[#This Row],[DriverID]],CarrierDriverTBL!$A:$A,0))</f>
        <v>A8390649</v>
      </c>
      <c r="AR437" s="556">
        <f>INDEX(CarrierDriverTBL!$Y:$Y,MATCH(Table1[[#This Row],[DriverID]],CarrierDriverTBL!$A:$A,0))</f>
        <v>42402</v>
      </c>
      <c r="AS437" s="554" t="str">
        <f t="shared" si="170"/>
        <v>EXPIRED</v>
      </c>
      <c r="AT437" s="556">
        <f>INDEX(CarrierDriverTBL!$E:$E,MATCH(Table1[[#This Row],[DriverID]],CarrierDriverTBL!$A:$A,0))</f>
        <v>22314</v>
      </c>
      <c r="AU437" s="557">
        <f ca="1">INDEX(CarrierDriverTBL!$F:$F,MATCH(Table1[[#This Row],[DriverID]],CarrierDriverTBL!$A:$A,0))</f>
        <v>55.512328767123286</v>
      </c>
      <c r="AV437" s="554" t="str">
        <f>INDEX(CarrierDriverTBL!$K:$K,MATCH(Table1[[#This Row],[DriverID]],CarrierDriverTBL!$A:$A,0))</f>
        <v>510-773-9450</v>
      </c>
      <c r="AW437" s="554" t="str">
        <f>INDEX(CarrierDriverTBL!$M:$M,MATCH(Table1[[#This Row],[DriverID]],CarrierDriverTBL!$A:$A,0))</f>
        <v>3124 Cynthia CT</v>
      </c>
      <c r="AX437" s="554" t="str">
        <f>INDEX(CarrierDriverTBL!$N:$N,MATCH(Table1[[#This Row],[DriverID]],CarrierDriverTBL!$A:$A,0))</f>
        <v>Tracy</v>
      </c>
      <c r="AY437" s="554" t="str">
        <f>INDEX(CarrierDriverTBL!$O:$O,MATCH(Table1[[#This Row],[DriverID]],CarrierDriverTBL!$A:$A,0))</f>
        <v>CA</v>
      </c>
      <c r="AZ437" s="554">
        <f>INDEX(CarrierDriverTBL!$P:$P,MATCH(Table1[[#This Row],[DriverID]],CarrierDriverTBL!$A:$A,0))</f>
        <v>95377</v>
      </c>
      <c r="BA437" s="554" t="str">
        <f>INDEX(CarrierDriverTBL!$Q:$Q,MATCH(Table1[[#This Row],[DriverID]],CarrierDriverTBL!$A:$A,0))</f>
        <v>US</v>
      </c>
      <c r="BB437" s="554" t="str">
        <f>INDEX(CarrierDriverTBL!$R:$R,MATCH(Table1[[#This Row],[DriverID]],CarrierDriverTBL!$A:$A,0))</f>
        <v>ubgollc@gmail.com</v>
      </c>
      <c r="BC437" s="556">
        <f>INDEX(CarrierDriverTBL!$AB:$AB,MATCH(Table1[[#This Row],[DriverID]],CarrierDriverTBL!$A:$A,0))</f>
        <v>42167</v>
      </c>
      <c r="BD437" s="555" t="str">
        <f ca="1">INDEX(CarrierDriverTBL!$AD:$AD,MATCH(LoadMaster!$AN:$AN,CarrierDriverTBL!$A:$A,0))</f>
        <v>MISSING</v>
      </c>
      <c r="BE437" s="555">
        <f>INDEX(CarrierDriverTBL!$AE:$AE,MATCH(Table1[DriverID],CarrierDriverTBL!$A:$A,0))</f>
        <v>913971</v>
      </c>
      <c r="BF437" s="554">
        <f>INDEX(CarrierDriverTBL!$AF:$AF,MATCH(Table1[DriverID],CarrierDriverTBL!$A:$A,0))</f>
        <v>2627544</v>
      </c>
      <c r="BG437" s="236">
        <f>INDEX(CarrierDriverTBL!$AG:$AG,MATCH(Table1[DriverID],CarrierDriverTBL!$A:$A,0))</f>
        <v>466133</v>
      </c>
      <c r="BH437" s="554" t="str">
        <f>INDEX(CarrierDriverTBL!$AH:$AH,MATCH(Table1[DriverID],CarrierDriverTBL!$A:$A,0))</f>
        <v>GM Lawrence Ins</v>
      </c>
      <c r="BI437" s="554" t="str">
        <f>INDEX(CarrierDriverTBL!$AI:$AI,MATCH(Table1[DriverID],CarrierDriverTBL!$A:$A,0))</f>
        <v>DSK2842P160210</v>
      </c>
      <c r="BJ437" s="556">
        <f>INDEX(CarrierDriverTBL!$AJ:$AJ,MATCH(Table1[[#This Row],[DriverID]],CarrierDriverTBL!$A:$A,0))</f>
        <v>42778</v>
      </c>
      <c r="BK437" s="554">
        <f t="shared" si="171"/>
        <v>269</v>
      </c>
      <c r="BL437" s="558">
        <v>400</v>
      </c>
      <c r="BM437" s="554">
        <v>129.9</v>
      </c>
      <c r="BN437" s="558">
        <f t="shared" si="188"/>
        <v>3.0792917628945342</v>
      </c>
      <c r="BO437" s="241">
        <f>0.93*Table1[[#This Row],[ChargeBroker]]</f>
        <v>372</v>
      </c>
      <c r="BP437" s="558">
        <f t="shared" si="189"/>
        <v>2.8637413394919169</v>
      </c>
      <c r="BQ437" s="558">
        <v>2.6</v>
      </c>
      <c r="BR437" s="559">
        <f t="shared" si="190"/>
        <v>0.1166666666666667</v>
      </c>
      <c r="BS437" s="558">
        <f t="shared" si="172"/>
        <v>2.7470746728252502</v>
      </c>
      <c r="BT437" s="558">
        <f t="shared" si="173"/>
        <v>15.155000000000005</v>
      </c>
      <c r="BU437" s="236" t="str">
        <f t="shared" si="174"/>
        <v>Nolan Tranportation Group Inc.</v>
      </c>
      <c r="BV437" s="554"/>
      <c r="BW437" s="236" t="str">
        <f>Table1[[#This Row],[BrokerAddress]]</f>
        <v>365 Northridge Road Suite 100</v>
      </c>
      <c r="BX437" s="236" t="str">
        <f t="shared" si="175"/>
        <v>Atlanta</v>
      </c>
      <c r="BY437" s="269" t="str">
        <f t="shared" si="176"/>
        <v>GA</v>
      </c>
      <c r="BZ437" s="236">
        <f t="shared" si="177"/>
        <v>30350</v>
      </c>
      <c r="CA437" s="236" t="str">
        <f t="shared" si="178"/>
        <v>US</v>
      </c>
      <c r="CB437" s="15" t="s">
        <v>131</v>
      </c>
      <c r="CC437" s="62"/>
      <c r="CD437" s="15" t="s">
        <v>132</v>
      </c>
      <c r="CE437" s="64">
        <v>0</v>
      </c>
      <c r="CF437" s="4">
        <v>0</v>
      </c>
      <c r="CG437" s="132">
        <f t="shared" si="179"/>
        <v>0</v>
      </c>
      <c r="CH437" s="4" t="s">
        <v>132</v>
      </c>
      <c r="CI437" s="5">
        <v>0</v>
      </c>
      <c r="CJ437" s="4">
        <v>0</v>
      </c>
      <c r="CK437" s="132">
        <f t="shared" si="180"/>
        <v>0</v>
      </c>
      <c r="CL437" s="4" t="s">
        <v>132</v>
      </c>
      <c r="CM437" s="5">
        <v>0</v>
      </c>
      <c r="CN437" s="4">
        <v>0</v>
      </c>
      <c r="CO437" s="132">
        <f t="shared" si="181"/>
        <v>0</v>
      </c>
      <c r="CP437" s="4" t="s">
        <v>132</v>
      </c>
      <c r="CQ437" s="5">
        <v>0</v>
      </c>
      <c r="CR437" s="4">
        <v>0</v>
      </c>
      <c r="CS437" s="132">
        <f t="shared" si="182"/>
        <v>0</v>
      </c>
      <c r="CT437" s="132">
        <f t="shared" si="183"/>
        <v>0</v>
      </c>
      <c r="CU437" s="238">
        <f t="shared" si="184"/>
        <v>400</v>
      </c>
      <c r="CV437" s="239">
        <f t="shared" si="167"/>
        <v>0</v>
      </c>
      <c r="CW437" s="240">
        <f t="shared" si="168"/>
        <v>372</v>
      </c>
      <c r="CX437" s="79">
        <f>IF(ISBLANK(E437),"AddQuickPay",IF(E437=2,CU437*0.98,IF(E437=2.4,CU437*0.976,IF(E437=3,CU437*0.97,IF(E437=5,CU437*0.95,IF(E437=1.5,CU437*0.985,IF(E437=2.5,CU437*0.975,IF(E437=1.3,CU437*0.987,IF(E437=1,CU437*0.99,IF(E437=4,CU437*0.96,CU437*1))))))))))-Table1[[#This Row],[ComCheck+QuickPayFee]]</f>
        <v>400</v>
      </c>
      <c r="CY437" s="237">
        <f t="shared" si="185"/>
        <v>28</v>
      </c>
      <c r="CZ437" s="237">
        <f t="shared" si="186"/>
        <v>0</v>
      </c>
      <c r="DA437" s="263">
        <f>Table1[[#This Row],[OriginalDispatch]]-Table1[[#This Row],[QuickPayCharge]]</f>
        <v>28</v>
      </c>
      <c r="DB437" s="5">
        <v>0</v>
      </c>
      <c r="DC437" s="237" t="s">
        <v>133</v>
      </c>
      <c r="DD437" s="549">
        <f t="shared" si="187"/>
        <v>42510</v>
      </c>
      <c r="DE437" s="554">
        <f>MONTH(Table1[[#This Row],[Weekending]])</f>
        <v>5</v>
      </c>
      <c r="DF437" s="554">
        <f>YEAR(Table1[[#This Row],[Weekending]])</f>
        <v>2016</v>
      </c>
      <c r="DG437" s="235"/>
    </row>
    <row r="438" spans="1:111">
      <c r="A438" s="548" t="str">
        <f t="shared" si="169"/>
        <v>06101093</v>
      </c>
      <c r="B438" s="549">
        <v>42510</v>
      </c>
      <c r="C438" s="550">
        <v>2018806</v>
      </c>
      <c r="D438" s="548" t="s">
        <v>2405</v>
      </c>
      <c r="E438" s="550">
        <v>3</v>
      </c>
      <c r="F438" s="551" t="str">
        <f>INDEX(BrokerTBL!$B:$B,MATCH(D438,BrokerTBL!$A:$A,0))</f>
        <v xml:space="preserve">303 E Wacker Dr. </v>
      </c>
      <c r="G438" s="550" t="str">
        <f>INDEX(BrokerTBL!$C:$C,MATCH(D438,BrokerTBL!$A:$A,0))</f>
        <v>Chicago</v>
      </c>
      <c r="H438" s="235" t="str">
        <f>INDEX(BrokerTBL!$D:$D,MATCH(D438,BrokerTBL!$A:$A,0))</f>
        <v>IL</v>
      </c>
      <c r="I438" s="235" t="str">
        <f>INDEX(BrokerTBL!$E:$E,MATCH(D438,BrokerTBL!$A:$A,0))</f>
        <v>US</v>
      </c>
      <c r="J438" s="235">
        <f>INDEX(BrokerTBL!$F:$F,MATCH(D438,BrokerTBL!$A:$A,0))</f>
        <v>60601</v>
      </c>
      <c r="K438" s="548" t="s">
        <v>2406</v>
      </c>
      <c r="L438" s="552">
        <v>301510</v>
      </c>
      <c r="M438" s="549">
        <v>42509</v>
      </c>
      <c r="N438" s="550" t="s">
        <v>1055</v>
      </c>
      <c r="O438" s="550" t="s">
        <v>2407</v>
      </c>
      <c r="P438" s="548" t="s">
        <v>2408</v>
      </c>
      <c r="Q438" s="548" t="s">
        <v>2233</v>
      </c>
      <c r="R438" s="548">
        <v>89706</v>
      </c>
      <c r="S438" s="548" t="s">
        <v>2207</v>
      </c>
      <c r="T438" s="548" t="s">
        <v>123</v>
      </c>
      <c r="U438" s="548" t="s">
        <v>120</v>
      </c>
      <c r="V438" s="548">
        <v>53</v>
      </c>
      <c r="W438" s="548" t="s">
        <v>2409</v>
      </c>
      <c r="X438" s="553">
        <v>45000</v>
      </c>
      <c r="Y438" s="550" t="s">
        <v>2410</v>
      </c>
      <c r="Z438" s="548">
        <v>50</v>
      </c>
      <c r="AA438" s="548" t="s">
        <v>123</v>
      </c>
      <c r="AB438" s="548" t="s">
        <v>123</v>
      </c>
      <c r="AC438" s="548" t="s">
        <v>2411</v>
      </c>
      <c r="AD438" s="552">
        <v>301510</v>
      </c>
      <c r="AE438" s="549">
        <v>42510</v>
      </c>
      <c r="AF438" s="549" t="s">
        <v>1316</v>
      </c>
      <c r="AG438" s="548" t="s">
        <v>2412</v>
      </c>
      <c r="AH438" s="548" t="s">
        <v>2168</v>
      </c>
      <c r="AI438" s="548" t="s">
        <v>2206</v>
      </c>
      <c r="AJ438" s="548">
        <v>93235</v>
      </c>
      <c r="AK438" s="548" t="s">
        <v>2207</v>
      </c>
      <c r="AL438" s="548" t="s">
        <v>123</v>
      </c>
      <c r="AM438" s="554" t="str">
        <f>INDEX(CarrierDriverTBL!$B:$B,MATCH(Table1[[#This Row],[DriverID]],CarrierDriverTBL!$A:$A,0))</f>
        <v>UBTrucking</v>
      </c>
      <c r="AN438" s="10" t="s">
        <v>2234</v>
      </c>
      <c r="AO438" s="555" t="str">
        <f>INDEX(CarrierDriverTBL!$C:$C,MATCH(Table1[[#This Row],[DriverID]],CarrierDriverTBL!$A:$A,0))</f>
        <v>Arturo</v>
      </c>
      <c r="AP438" s="555" t="str">
        <f>INDEX(CarrierDriverTBL!$D:$D,MATCH(Table1[[#This Row],[DriverID]],CarrierDriverTBL!$A:$A,0))</f>
        <v>Carrillo</v>
      </c>
      <c r="AQ438" s="555" t="str">
        <f>INDEX(CarrierDriverTBL!$X:$X,MATCH(Table1[[#This Row],[DriverID]],CarrierDriverTBL!$A:$A,0))</f>
        <v>C7056793</v>
      </c>
      <c r="AR438" s="556">
        <f>INDEX(CarrierDriverTBL!$Y:$Y,MATCH(Table1[[#This Row],[DriverID]],CarrierDriverTBL!$A:$A,0))</f>
        <v>43410</v>
      </c>
      <c r="AS438" s="554" t="str">
        <f t="shared" si="170"/>
        <v>GOOD</v>
      </c>
      <c r="AT438" s="556">
        <f>INDEX(CarrierDriverTBL!$E:$E,MATCH(Table1[[#This Row],[DriverID]],CarrierDriverTBL!$A:$A,0))</f>
        <v>24782</v>
      </c>
      <c r="AU438" s="557">
        <f ca="1">INDEX(CarrierDriverTBL!$F:$F,MATCH(Table1[[#This Row],[DriverID]],CarrierDriverTBL!$A:$A,0))</f>
        <v>48.750684931506846</v>
      </c>
      <c r="AV438" s="554" t="str">
        <f>INDEX(CarrierDriverTBL!$K:$K,MATCH(Table1[[#This Row],[DriverID]],CarrierDriverTBL!$A:$A,0))</f>
        <v>209-276-9785</v>
      </c>
      <c r="AW438" s="554" t="str">
        <f>INDEX(CarrierDriverTBL!$M:$M,MATCH(Table1[[#This Row],[DriverID]],CarrierDriverTBL!$A:$A,0))</f>
        <v>1685 Winthrop Ln</v>
      </c>
      <c r="AX438" s="554" t="str">
        <f>INDEX(CarrierDriverTBL!$N:$N,MATCH(Table1[[#This Row],[DriverID]],CarrierDriverTBL!$A:$A,0))</f>
        <v>Ceres</v>
      </c>
      <c r="AY438" s="554" t="str">
        <f>INDEX(CarrierDriverTBL!$O:$O,MATCH(Table1[[#This Row],[DriverID]],CarrierDriverTBL!$A:$A,0))</f>
        <v>CA</v>
      </c>
      <c r="AZ438" s="554">
        <f>INDEX(CarrierDriverTBL!$P:$P,MATCH(Table1[[#This Row],[DriverID]],CarrierDriverTBL!$A:$A,0))</f>
        <v>95307</v>
      </c>
      <c r="BA438" s="554" t="str">
        <f>INDEX(CarrierDriverTBL!$Q:$Q,MATCH(Table1[[#This Row],[DriverID]],CarrierDriverTBL!$A:$A,0))</f>
        <v>US</v>
      </c>
      <c r="BB438" s="554" t="str">
        <f>INDEX(CarrierDriverTBL!$R:$R,MATCH(Table1[[#This Row],[DriverID]],CarrierDriverTBL!$A:$A,0))</f>
        <v>arturocarr777@gmail.com</v>
      </c>
      <c r="BC438" s="556">
        <f>INDEX(CarrierDriverTBL!$AB:$AB,MATCH(Table1[[#This Row],[DriverID]],CarrierDriverTBL!$A:$A,0))</f>
        <v>42418</v>
      </c>
      <c r="BD438" s="555" t="str">
        <f ca="1">INDEX(CarrierDriverTBL!$AD:$AD,MATCH(LoadMaster!$AN:$AN,CarrierDriverTBL!$A:$A,0))</f>
        <v>MISSING</v>
      </c>
      <c r="BE438" s="555">
        <f>INDEX(CarrierDriverTBL!$AE:$AE,MATCH(Table1[DriverID],CarrierDriverTBL!$A:$A,0))</f>
        <v>913971</v>
      </c>
      <c r="BF438" s="554">
        <f>INDEX(CarrierDriverTBL!$AF:$AF,MATCH(Table1[DriverID],CarrierDriverTBL!$A:$A,0))</f>
        <v>2627544</v>
      </c>
      <c r="BG438" s="236">
        <f>INDEX(CarrierDriverTBL!$AG:$AG,MATCH(Table1[DriverID],CarrierDriverTBL!$A:$A,0))</f>
        <v>466133</v>
      </c>
      <c r="BH438" s="554" t="str">
        <f>INDEX(CarrierDriverTBL!$AH:$AH,MATCH(Table1[DriverID],CarrierDriverTBL!$A:$A,0))</f>
        <v>GM Lawrence Ins</v>
      </c>
      <c r="BI438" s="554" t="str">
        <f>INDEX(CarrierDriverTBL!$AI:$AI,MATCH(Table1[DriverID],CarrierDriverTBL!$A:$A,0))</f>
        <v>DSK2842P160210</v>
      </c>
      <c r="BJ438" s="556">
        <f>INDEX(CarrierDriverTBL!$AJ:$AJ,MATCH(Table1[[#This Row],[DriverID]],CarrierDriverTBL!$A:$A,0))</f>
        <v>42778</v>
      </c>
      <c r="BK438" s="554">
        <f t="shared" si="171"/>
        <v>269</v>
      </c>
      <c r="BL438" s="558">
        <v>600</v>
      </c>
      <c r="BM438" s="554">
        <v>311.5</v>
      </c>
      <c r="BN438" s="558">
        <f t="shared" si="188"/>
        <v>1.926163723916533</v>
      </c>
      <c r="BO438" s="241">
        <f>0.93*Table1[[#This Row],[ChargeBroker]]</f>
        <v>558</v>
      </c>
      <c r="BP438" s="558">
        <f t="shared" si="189"/>
        <v>1.7913322632423756</v>
      </c>
      <c r="BQ438" s="558">
        <v>2.6</v>
      </c>
      <c r="BR438" s="559">
        <f t="shared" si="190"/>
        <v>0.1166666666666667</v>
      </c>
      <c r="BS438" s="558">
        <f t="shared" si="172"/>
        <v>1.6746655965757089</v>
      </c>
      <c r="BT438" s="558">
        <f t="shared" si="173"/>
        <v>36.341666666666676</v>
      </c>
      <c r="BU438" s="236" t="str">
        <f t="shared" si="174"/>
        <v>XPOLogistics</v>
      </c>
      <c r="BV438" s="554"/>
      <c r="BW438" s="236" t="str">
        <f>Table1[[#This Row],[BrokerAddress]]</f>
        <v xml:space="preserve">303 E Wacker Dr. </v>
      </c>
      <c r="BX438" s="236" t="str">
        <f t="shared" si="175"/>
        <v>Chicago</v>
      </c>
      <c r="BY438" s="269" t="str">
        <f t="shared" si="176"/>
        <v>IL</v>
      </c>
      <c r="BZ438" s="236">
        <f t="shared" si="177"/>
        <v>60601</v>
      </c>
      <c r="CA438" s="236" t="str">
        <f t="shared" si="178"/>
        <v>US</v>
      </c>
      <c r="CB438" s="15" t="s">
        <v>131</v>
      </c>
      <c r="CC438" s="62"/>
      <c r="CD438" s="15" t="s">
        <v>132</v>
      </c>
      <c r="CE438" s="64">
        <v>0</v>
      </c>
      <c r="CF438" s="4">
        <v>0</v>
      </c>
      <c r="CG438" s="132">
        <f t="shared" si="179"/>
        <v>0</v>
      </c>
      <c r="CH438" s="4" t="s">
        <v>132</v>
      </c>
      <c r="CI438" s="5">
        <v>0</v>
      </c>
      <c r="CJ438" s="4">
        <v>0</v>
      </c>
      <c r="CK438" s="132">
        <f t="shared" si="180"/>
        <v>0</v>
      </c>
      <c r="CL438" s="4" t="s">
        <v>132</v>
      </c>
      <c r="CM438" s="5">
        <v>0</v>
      </c>
      <c r="CN438" s="4">
        <v>0</v>
      </c>
      <c r="CO438" s="132">
        <f t="shared" si="181"/>
        <v>0</v>
      </c>
      <c r="CP438" s="4" t="s">
        <v>132</v>
      </c>
      <c r="CQ438" s="5">
        <v>0</v>
      </c>
      <c r="CR438" s="4">
        <v>0</v>
      </c>
      <c r="CS438" s="132">
        <f t="shared" si="182"/>
        <v>0</v>
      </c>
      <c r="CT438" s="132">
        <f t="shared" si="183"/>
        <v>0</v>
      </c>
      <c r="CU438" s="238">
        <f t="shared" si="184"/>
        <v>600</v>
      </c>
      <c r="CV438" s="239">
        <f t="shared" si="167"/>
        <v>0</v>
      </c>
      <c r="CW438" s="240">
        <f t="shared" si="168"/>
        <v>558</v>
      </c>
      <c r="CX438" s="79">
        <f>IF(ISBLANK(E438),"AddQuickPay",IF(E438=2,CU438*0.98,IF(E438=2.4,CU438*0.976,IF(E438=3,CU438*0.97,IF(E438=5,CU438*0.95,IF(E438=1.5,CU438*0.985,IF(E438=2.5,CU438*0.975,IF(E438=1.3,CU438*0.987,IF(E438=1,CU438*0.99,IF(E438=4,CU438*0.96,CU438*1))))))))))-Table1[[#This Row],[ComCheck+QuickPayFee]]</f>
        <v>582</v>
      </c>
      <c r="CY438" s="237">
        <f t="shared" si="185"/>
        <v>42</v>
      </c>
      <c r="CZ438" s="237">
        <f t="shared" si="186"/>
        <v>18</v>
      </c>
      <c r="DA438" s="263">
        <f>Table1[[#This Row],[OriginalDispatch]]-Table1[[#This Row],[QuickPayCharge]]</f>
        <v>24</v>
      </c>
      <c r="DB438" s="5">
        <v>0</v>
      </c>
      <c r="DC438" s="237" t="s">
        <v>133</v>
      </c>
      <c r="DD438" s="549">
        <f t="shared" si="187"/>
        <v>42510</v>
      </c>
      <c r="DE438" s="554">
        <f>MONTH(Table1[[#This Row],[Weekending]])</f>
        <v>5</v>
      </c>
      <c r="DF438" s="554">
        <f>YEAR(Table1[[#This Row],[Weekending]])</f>
        <v>2016</v>
      </c>
      <c r="DG438" s="235"/>
    </row>
    <row r="439" spans="1:111">
      <c r="A439" s="548" t="str">
        <f t="shared" si="169"/>
        <v>36wnwn19</v>
      </c>
      <c r="B439" s="549">
        <v>42510</v>
      </c>
      <c r="C439" s="550">
        <v>51436</v>
      </c>
      <c r="D439" s="548" t="s">
        <v>1824</v>
      </c>
      <c r="E439" s="550">
        <v>3</v>
      </c>
      <c r="F439" s="551" t="str">
        <f>INDEX(BrokerTBL!$B:$B,MATCH(D439,BrokerTBL!$A:$A,0))</f>
        <v>2109 W Bullard Ave # 101</v>
      </c>
      <c r="G439" s="550" t="str">
        <f>INDEX(BrokerTBL!$C:$C,MATCH(D439,BrokerTBL!$A:$A,0))</f>
        <v>Fresno</v>
      </c>
      <c r="H439" s="235" t="str">
        <f>INDEX(BrokerTBL!$D:$D,MATCH(D439,BrokerTBL!$A:$A,0))</f>
        <v>Ca</v>
      </c>
      <c r="I439" s="235" t="str">
        <f>INDEX(BrokerTBL!$E:$E,MATCH(D439,BrokerTBL!$A:$A,0))</f>
        <v>US</v>
      </c>
      <c r="J439" s="235">
        <f>INDEX(BrokerTBL!$F:$F,MATCH(D439,BrokerTBL!$A:$A,0))</f>
        <v>93711</v>
      </c>
      <c r="K439" s="548" t="s">
        <v>2869</v>
      </c>
      <c r="L439" s="552" t="s">
        <v>1205</v>
      </c>
      <c r="M439" s="549">
        <v>42509</v>
      </c>
      <c r="N439" s="550" t="s">
        <v>2870</v>
      </c>
      <c r="O439" s="550" t="s">
        <v>2871</v>
      </c>
      <c r="P439" s="548" t="s">
        <v>2629</v>
      </c>
      <c r="Q439" s="548" t="s">
        <v>2233</v>
      </c>
      <c r="R439" s="548">
        <v>89706</v>
      </c>
      <c r="S439" s="548" t="s">
        <v>2207</v>
      </c>
      <c r="T439" s="548" t="s">
        <v>123</v>
      </c>
      <c r="U439" s="548" t="s">
        <v>120</v>
      </c>
      <c r="V439" s="548">
        <v>53</v>
      </c>
      <c r="W439" s="548" t="s">
        <v>2872</v>
      </c>
      <c r="X439" s="553">
        <v>15000</v>
      </c>
      <c r="Y439" s="550" t="s">
        <v>123</v>
      </c>
      <c r="Z439" s="548" t="s">
        <v>123</v>
      </c>
      <c r="AA439" s="548" t="s">
        <v>123</v>
      </c>
      <c r="AB439" s="548" t="s">
        <v>123</v>
      </c>
      <c r="AC439" s="548" t="s">
        <v>2873</v>
      </c>
      <c r="AD439" s="552" t="s">
        <v>1205</v>
      </c>
      <c r="AE439" s="549">
        <v>42510</v>
      </c>
      <c r="AF439" s="549" t="s">
        <v>2874</v>
      </c>
      <c r="AG439" s="548" t="s">
        <v>2875</v>
      </c>
      <c r="AH439" s="548" t="s">
        <v>2876</v>
      </c>
      <c r="AI439" s="548" t="s">
        <v>2206</v>
      </c>
      <c r="AJ439" s="548" t="s">
        <v>2877</v>
      </c>
      <c r="AK439" s="548" t="s">
        <v>2207</v>
      </c>
      <c r="AL439" s="548" t="s">
        <v>123</v>
      </c>
      <c r="AM439" s="554" t="str">
        <f>INDEX(CarrierDriverTBL!$B:$B,MATCH(Table1[[#This Row],[DriverID]],CarrierDriverTBL!$A:$A,0))</f>
        <v>UBTrucking</v>
      </c>
      <c r="AN439" s="10" t="s">
        <v>1409</v>
      </c>
      <c r="AO439" s="555" t="str">
        <f>INDEX(CarrierDriverTBL!$C:$C,MATCH(Table1[[#This Row],[DriverID]],CarrierDriverTBL!$A:$A,0))</f>
        <v>Miguel Jaime</v>
      </c>
      <c r="AP439" s="555" t="str">
        <f>INDEX(CarrierDriverTBL!$D:$D,MATCH(Table1[[#This Row],[DriverID]],CarrierDriverTBL!$A:$A,0))</f>
        <v>Martin Del Campo Velarca</v>
      </c>
      <c r="AQ439" s="555" t="str">
        <f>INDEX(CarrierDriverTBL!$X:$X,MATCH(Table1[[#This Row],[DriverID]],CarrierDriverTBL!$A:$A,0))</f>
        <v>D5179619</v>
      </c>
      <c r="AR439" s="556">
        <f>INDEX(CarrierDriverTBL!$Y:$Y,MATCH(Table1[[#This Row],[DriverID]],CarrierDriverTBL!$A:$A,0))</f>
        <v>43843</v>
      </c>
      <c r="AS439" s="554" t="str">
        <f t="shared" si="170"/>
        <v>GOOD</v>
      </c>
      <c r="AT439" s="556">
        <f>INDEX(CarrierDriverTBL!$E:$E,MATCH(Table1[[#This Row],[DriverID]],CarrierDriverTBL!$A:$A,0))</f>
        <v>21198</v>
      </c>
      <c r="AU439" s="557">
        <f ca="1">INDEX(CarrierDriverTBL!$F:$F,MATCH(Table1[[#This Row],[DriverID]],CarrierDriverTBL!$A:$A,0))</f>
        <v>58.56986301369863</v>
      </c>
      <c r="AV439" s="554" t="str">
        <f>INDEX(CarrierDriverTBL!$K:$K,MATCH(Table1[[#This Row],[DriverID]],CarrierDriverTBL!$A:$A,0))</f>
        <v>209-322-5231</v>
      </c>
      <c r="AW439" s="554" t="str">
        <f>INDEX(CarrierDriverTBL!$M:$M,MATCH(Table1[[#This Row],[DriverID]],CarrierDriverTBL!$A:$A,0))</f>
        <v>572 Predersen RD</v>
      </c>
      <c r="AX439" s="554" t="str">
        <f>INDEX(CarrierDriverTBL!$N:$N,MATCH(Table1[[#This Row],[DriverID]],CarrierDriverTBL!$A:$A,0))</f>
        <v>Oakdale</v>
      </c>
      <c r="AY439" s="554" t="str">
        <f>INDEX(CarrierDriverTBL!$O:$O,MATCH(Table1[[#This Row],[DriverID]],CarrierDriverTBL!$A:$A,0))</f>
        <v>CA</v>
      </c>
      <c r="AZ439" s="554">
        <f>INDEX(CarrierDriverTBL!$P:$P,MATCH(Table1[[#This Row],[DriverID]],CarrierDriverTBL!$A:$A,0))</f>
        <v>95361</v>
      </c>
      <c r="BA439" s="554" t="str">
        <f>INDEX(CarrierDriverTBL!$Q:$Q,MATCH(Table1[[#This Row],[DriverID]],CarrierDriverTBL!$A:$A,0))</f>
        <v>US</v>
      </c>
      <c r="BB439" s="554" t="str">
        <f>INDEX(CarrierDriverTBL!$R:$R,MATCH(Table1[[#This Row],[DriverID]],CarrierDriverTBL!$A:$A,0))</f>
        <v>Miguelmartin52@yahoo.com</v>
      </c>
      <c r="BC439" s="556">
        <f>INDEX(CarrierDriverTBL!$AB:$AB,MATCH(Table1[[#This Row],[DriverID]],CarrierDriverTBL!$A:$A,0))</f>
        <v>42334</v>
      </c>
      <c r="BD439" s="555" t="str">
        <f ca="1">INDEX(CarrierDriverTBL!$AD:$AD,MATCH(LoadMaster!$AN:$AN,CarrierDriverTBL!$A:$A,0))</f>
        <v>MISSING</v>
      </c>
      <c r="BE439" s="555">
        <f>INDEX(CarrierDriverTBL!$AE:$AE,MATCH(Table1[DriverID],CarrierDriverTBL!$A:$A,0))</f>
        <v>913971</v>
      </c>
      <c r="BF439" s="554">
        <f>INDEX(CarrierDriverTBL!$AF:$AF,MATCH(Table1[DriverID],CarrierDriverTBL!$A:$A,0))</f>
        <v>2627544</v>
      </c>
      <c r="BG439" s="236">
        <f>INDEX(CarrierDriverTBL!$AG:$AG,MATCH(Table1[DriverID],CarrierDriverTBL!$A:$A,0))</f>
        <v>466133</v>
      </c>
      <c r="BH439" s="554" t="str">
        <f>INDEX(CarrierDriverTBL!$AH:$AH,MATCH(Table1[DriverID],CarrierDriverTBL!$A:$A,0))</f>
        <v>GM Lawrence Ins</v>
      </c>
      <c r="BI439" s="554" t="str">
        <f>INDEX(CarrierDriverTBL!$AI:$AI,MATCH(Table1[DriverID],CarrierDriverTBL!$A:$A,0))</f>
        <v>DSK2842P160210</v>
      </c>
      <c r="BJ439" s="556">
        <f>INDEX(CarrierDriverTBL!$AJ:$AJ,MATCH(Table1[[#This Row],[DriverID]],CarrierDriverTBL!$A:$A,0))</f>
        <v>42778</v>
      </c>
      <c r="BK439" s="554">
        <f t="shared" si="171"/>
        <v>269</v>
      </c>
      <c r="BL439" s="558">
        <v>900</v>
      </c>
      <c r="BM439" s="554">
        <v>459</v>
      </c>
      <c r="BN439" s="558">
        <f t="shared" si="188"/>
        <v>1.9607843137254901</v>
      </c>
      <c r="BO439" s="241">
        <f>0.93*Table1[[#This Row],[ChargeBroker]]</f>
        <v>837</v>
      </c>
      <c r="BP439" s="558">
        <f t="shared" si="189"/>
        <v>1.8235294117647058</v>
      </c>
      <c r="BQ439" s="558">
        <v>2.6</v>
      </c>
      <c r="BR439" s="559">
        <f t="shared" si="190"/>
        <v>0.1166666666666667</v>
      </c>
      <c r="BS439" s="558">
        <f t="shared" si="172"/>
        <v>1.7068627450980391</v>
      </c>
      <c r="BT439" s="558">
        <f t="shared" si="173"/>
        <v>53.550000000000011</v>
      </c>
      <c r="BU439" s="236" t="str">
        <f t="shared" si="174"/>
        <v>Cargobarn Inc.</v>
      </c>
      <c r="BV439" s="554"/>
      <c r="BW439" s="236" t="str">
        <f>Table1[[#This Row],[BrokerAddress]]</f>
        <v>2109 W Bullard Ave # 101</v>
      </c>
      <c r="BX439" s="236" t="str">
        <f t="shared" si="175"/>
        <v>Fresno</v>
      </c>
      <c r="BY439" s="269" t="str">
        <f t="shared" si="176"/>
        <v>Ca</v>
      </c>
      <c r="BZ439" s="236">
        <f t="shared" si="177"/>
        <v>93711</v>
      </c>
      <c r="CA439" s="236" t="str">
        <f t="shared" si="178"/>
        <v>US</v>
      </c>
      <c r="CB439" s="15" t="s">
        <v>131</v>
      </c>
      <c r="CC439" s="62"/>
      <c r="CD439" s="15" t="s">
        <v>132</v>
      </c>
      <c r="CE439" s="64">
        <v>0</v>
      </c>
      <c r="CF439" s="4">
        <v>0</v>
      </c>
      <c r="CG439" s="132">
        <f t="shared" si="179"/>
        <v>0</v>
      </c>
      <c r="CH439" s="4" t="s">
        <v>132</v>
      </c>
      <c r="CI439" s="5">
        <v>0</v>
      </c>
      <c r="CJ439" s="4">
        <v>0</v>
      </c>
      <c r="CK439" s="132">
        <f t="shared" si="180"/>
        <v>0</v>
      </c>
      <c r="CL439" s="4" t="s">
        <v>132</v>
      </c>
      <c r="CM439" s="5">
        <v>0</v>
      </c>
      <c r="CN439" s="4">
        <v>0</v>
      </c>
      <c r="CO439" s="132">
        <f t="shared" si="181"/>
        <v>0</v>
      </c>
      <c r="CP439" s="4" t="s">
        <v>132</v>
      </c>
      <c r="CQ439" s="5">
        <v>0</v>
      </c>
      <c r="CR439" s="4">
        <v>0</v>
      </c>
      <c r="CS439" s="132">
        <f t="shared" si="182"/>
        <v>0</v>
      </c>
      <c r="CT439" s="132">
        <f t="shared" si="183"/>
        <v>0</v>
      </c>
      <c r="CU439" s="238">
        <f t="shared" si="184"/>
        <v>900</v>
      </c>
      <c r="CV439" s="239">
        <f t="shared" si="167"/>
        <v>0</v>
      </c>
      <c r="CW439" s="240">
        <f t="shared" si="168"/>
        <v>837</v>
      </c>
      <c r="CX439" s="79">
        <f>IF(ISBLANK(E439),"AddQuickPay",IF(E439=2,CU439*0.98,IF(E439=2.4,CU439*0.976,IF(E439=3,CU439*0.97,IF(E439=5,CU439*0.95,IF(E439=1.5,CU439*0.985,IF(E439=2.5,CU439*0.975,IF(E439=1.3,CU439*0.987,IF(E439=1,CU439*0.99,IF(E439=4,CU439*0.96,CU439*1))))))))))-Table1[[#This Row],[ComCheck+QuickPayFee]]</f>
        <v>873</v>
      </c>
      <c r="CY439" s="237">
        <f t="shared" si="185"/>
        <v>63</v>
      </c>
      <c r="CZ439" s="237">
        <f t="shared" si="186"/>
        <v>27</v>
      </c>
      <c r="DA439" s="263">
        <f>Table1[[#This Row],[OriginalDispatch]]-Table1[[#This Row],[QuickPayCharge]]</f>
        <v>36</v>
      </c>
      <c r="DB439" s="5">
        <v>0</v>
      </c>
      <c r="DC439" s="237" t="s">
        <v>133</v>
      </c>
      <c r="DD439" s="549">
        <f t="shared" si="187"/>
        <v>42510</v>
      </c>
      <c r="DE439" s="554">
        <f>MONTH(Table1[[#This Row],[Weekending]])</f>
        <v>5</v>
      </c>
      <c r="DF439" s="554">
        <f>YEAR(Table1[[#This Row],[Weekending]])</f>
        <v>2016</v>
      </c>
      <c r="DG439" s="235"/>
    </row>
    <row r="440" spans="1:111">
      <c r="A440" s="416" t="str">
        <f t="shared" si="169"/>
        <v>57wnng49</v>
      </c>
      <c r="B440" s="104">
        <v>42514</v>
      </c>
      <c r="C440" s="15">
        <v>627457</v>
      </c>
      <c r="D440" s="548" t="s">
        <v>2426</v>
      </c>
      <c r="E440" s="15">
        <v>0</v>
      </c>
      <c r="F440" s="144" t="str">
        <f>INDEX(BrokerTBL!$B:$B,MATCH(D440,BrokerTBL!$A:$A,0))</f>
        <v>365 Northridge Road Suite 100</v>
      </c>
      <c r="G440" s="15" t="str">
        <f>INDEX(BrokerTBL!$C:$C,MATCH(D440,BrokerTBL!$A:$A,0))</f>
        <v>Atlanta</v>
      </c>
      <c r="H440" s="4" t="str">
        <f>INDEX(BrokerTBL!$D:$D,MATCH(D440,BrokerTBL!$A:$A,0))</f>
        <v>GA</v>
      </c>
      <c r="I440" s="4" t="str">
        <f>INDEX(BrokerTBL!$E:$E,MATCH(D440,BrokerTBL!$A:$A,0))</f>
        <v>US</v>
      </c>
      <c r="J440" s="4">
        <f>INDEX(BrokerTBL!$F:$F,MATCH(D440,BrokerTBL!$A:$A,0))</f>
        <v>30350</v>
      </c>
      <c r="K440" s="416" t="s">
        <v>2878</v>
      </c>
      <c r="L440" s="81" t="s">
        <v>1205</v>
      </c>
      <c r="M440" s="104">
        <v>42509</v>
      </c>
      <c r="N440" s="15" t="s">
        <v>2879</v>
      </c>
      <c r="P440" s="416" t="s">
        <v>2880</v>
      </c>
      <c r="Q440" s="416" t="s">
        <v>2206</v>
      </c>
      <c r="R440" s="416">
        <v>94080</v>
      </c>
      <c r="S440" s="416" t="s">
        <v>2207</v>
      </c>
      <c r="T440" s="416" t="s">
        <v>123</v>
      </c>
      <c r="U440" s="416" t="s">
        <v>120</v>
      </c>
      <c r="V440" s="416">
        <v>53</v>
      </c>
      <c r="W440" s="416" t="s">
        <v>123</v>
      </c>
      <c r="X440" s="225" t="s">
        <v>123</v>
      </c>
      <c r="Y440" s="15" t="s">
        <v>123</v>
      </c>
      <c r="Z440" s="416" t="s">
        <v>123</v>
      </c>
      <c r="AA440" s="416" t="s">
        <v>123</v>
      </c>
      <c r="AB440" s="416" t="s">
        <v>123</v>
      </c>
      <c r="AC440" s="416" t="s">
        <v>2881</v>
      </c>
      <c r="AD440" s="81" t="s">
        <v>1309</v>
      </c>
      <c r="AE440" s="104">
        <v>42510</v>
      </c>
      <c r="AF440" s="104" t="s">
        <v>2879</v>
      </c>
      <c r="AG440" s="416" t="s">
        <v>2882</v>
      </c>
      <c r="AH440" s="416" t="s">
        <v>2451</v>
      </c>
      <c r="AI440" s="416" t="s">
        <v>2233</v>
      </c>
      <c r="AJ440" s="416">
        <v>89441</v>
      </c>
      <c r="AK440" s="416" t="s">
        <v>2207</v>
      </c>
      <c r="AL440" s="416" t="s">
        <v>123</v>
      </c>
      <c r="AM440" s="171" t="str">
        <f>INDEX(CarrierDriverTBL!$B:$B,MATCH(Table1[[#This Row],[DriverID]],CarrierDriverTBL!$A:$A,0))</f>
        <v>UBTrucking</v>
      </c>
      <c r="AN440" s="10" t="s">
        <v>192</v>
      </c>
      <c r="AO440" s="2" t="str">
        <f>INDEX(CarrierDriverTBL!$C:$C,MATCH(Table1[[#This Row],[DriverID]],CarrierDriverTBL!$A:$A,0))</f>
        <v>Albel</v>
      </c>
      <c r="AP440" s="2" t="str">
        <f>INDEX(CarrierDriverTBL!$D:$D,MATCH(Table1[[#This Row],[DriverID]],CarrierDriverTBL!$A:$A,0))</f>
        <v>Chahil</v>
      </c>
      <c r="AQ440" s="2" t="str">
        <f>INDEX(CarrierDriverTBL!$X:$X,MATCH(Table1[[#This Row],[DriverID]],CarrierDriverTBL!$A:$A,0))</f>
        <v>A8390649</v>
      </c>
      <c r="AR440" s="172">
        <f>INDEX(CarrierDriverTBL!$Y:$Y,MATCH(Table1[[#This Row],[DriverID]],CarrierDriverTBL!$A:$A,0))</f>
        <v>42402</v>
      </c>
      <c r="AS440" s="171" t="str">
        <f t="shared" si="170"/>
        <v>EXPIRED</v>
      </c>
      <c r="AT440" s="172">
        <f>INDEX(CarrierDriverTBL!$E:$E,MATCH(Table1[[#This Row],[DriverID]],CarrierDriverTBL!$A:$A,0))</f>
        <v>22314</v>
      </c>
      <c r="AU440" s="277">
        <f ca="1">INDEX(CarrierDriverTBL!$F:$F,MATCH(Table1[[#This Row],[DriverID]],CarrierDriverTBL!$A:$A,0))</f>
        <v>55.512328767123286</v>
      </c>
      <c r="AV440" s="171" t="str">
        <f>INDEX(CarrierDriverTBL!$K:$K,MATCH(Table1[[#This Row],[DriverID]],CarrierDriverTBL!$A:$A,0))</f>
        <v>510-773-9450</v>
      </c>
      <c r="AW440" s="171" t="str">
        <f>INDEX(CarrierDriverTBL!$M:$M,MATCH(Table1[[#This Row],[DriverID]],CarrierDriverTBL!$A:$A,0))</f>
        <v>3124 Cynthia CT</v>
      </c>
      <c r="AX440" s="171" t="str">
        <f>INDEX(CarrierDriverTBL!$N:$N,MATCH(Table1[[#This Row],[DriverID]],CarrierDriverTBL!$A:$A,0))</f>
        <v>Tracy</v>
      </c>
      <c r="AY440" s="171" t="str">
        <f>INDEX(CarrierDriverTBL!$O:$O,MATCH(Table1[[#This Row],[DriverID]],CarrierDriverTBL!$A:$A,0))</f>
        <v>CA</v>
      </c>
      <c r="AZ440" s="171">
        <f>INDEX(CarrierDriverTBL!$P:$P,MATCH(Table1[[#This Row],[DriverID]],CarrierDriverTBL!$A:$A,0))</f>
        <v>95377</v>
      </c>
      <c r="BA440" s="171" t="str">
        <f>INDEX(CarrierDriverTBL!$Q:$Q,MATCH(Table1[[#This Row],[DriverID]],CarrierDriverTBL!$A:$A,0))</f>
        <v>US</v>
      </c>
      <c r="BB440" s="171" t="str">
        <f>INDEX(CarrierDriverTBL!$R:$R,MATCH(Table1[[#This Row],[DriverID]],CarrierDriverTBL!$A:$A,0))</f>
        <v>ubgollc@gmail.com</v>
      </c>
      <c r="BC440" s="172">
        <f>INDEX(CarrierDriverTBL!$AB:$AB,MATCH(Table1[[#This Row],[DriverID]],CarrierDriverTBL!$A:$A,0))</f>
        <v>42167</v>
      </c>
      <c r="BD440" s="2" t="str">
        <f ca="1">INDEX(CarrierDriverTBL!$AD:$AD,MATCH(LoadMaster!$AN:$AN,CarrierDriverTBL!$A:$A,0))</f>
        <v>MISSING</v>
      </c>
      <c r="BE440" s="2">
        <f>INDEX(CarrierDriverTBL!$AE:$AE,MATCH(Table1[DriverID],CarrierDriverTBL!$A:$A,0))</f>
        <v>913971</v>
      </c>
      <c r="BF440" s="171">
        <f>INDEX(CarrierDriverTBL!$AF:$AF,MATCH(Table1[DriverID],CarrierDriverTBL!$A:$A,0))</f>
        <v>2627544</v>
      </c>
      <c r="BG440" s="10">
        <f>INDEX(CarrierDriverTBL!$AG:$AG,MATCH(Table1[DriverID],CarrierDriverTBL!$A:$A,0))</f>
        <v>466133</v>
      </c>
      <c r="BH440" s="171" t="str">
        <f>INDEX(CarrierDriverTBL!$AH:$AH,MATCH(Table1[DriverID],CarrierDriverTBL!$A:$A,0))</f>
        <v>GM Lawrence Ins</v>
      </c>
      <c r="BI440" s="171" t="str">
        <f>INDEX(CarrierDriverTBL!$AI:$AI,MATCH(Table1[DriverID],CarrierDriverTBL!$A:$A,0))</f>
        <v>DSK2842P160210</v>
      </c>
      <c r="BJ440" s="172">
        <f>INDEX(CarrierDriverTBL!$AJ:$AJ,MATCH(Table1[[#This Row],[DriverID]],CarrierDriverTBL!$A:$A,0))</f>
        <v>42778</v>
      </c>
      <c r="BK440" s="171">
        <f t="shared" si="171"/>
        <v>269</v>
      </c>
      <c r="BL440" s="133">
        <v>700</v>
      </c>
      <c r="BM440" s="171">
        <v>330</v>
      </c>
      <c r="BN440" s="133">
        <f t="shared" si="188"/>
        <v>2.1212121212121211</v>
      </c>
      <c r="BO440" s="241">
        <f>0.93*Table1[[#This Row],[ChargeBroker]]</f>
        <v>651</v>
      </c>
      <c r="BP440" s="133">
        <f t="shared" si="189"/>
        <v>1.9727272727272727</v>
      </c>
      <c r="BQ440" s="558">
        <v>2.6</v>
      </c>
      <c r="BR440" s="215">
        <f t="shared" si="190"/>
        <v>0.1166666666666667</v>
      </c>
      <c r="BS440" s="133">
        <f t="shared" si="172"/>
        <v>1.856060606060606</v>
      </c>
      <c r="BT440" s="133">
        <f t="shared" si="173"/>
        <v>38.500000000000007</v>
      </c>
      <c r="BU440" s="10" t="str">
        <f t="shared" si="174"/>
        <v>Nolan Tranportation Group Inc.</v>
      </c>
      <c r="BV440" s="171"/>
      <c r="BW440" s="10" t="str">
        <f>Table1[[#This Row],[BrokerAddress]]</f>
        <v>365 Northridge Road Suite 100</v>
      </c>
      <c r="BX440" s="10" t="str">
        <f t="shared" si="175"/>
        <v>Atlanta</v>
      </c>
      <c r="BY440" s="278" t="str">
        <f t="shared" si="176"/>
        <v>GA</v>
      </c>
      <c r="BZ440" s="10">
        <f t="shared" si="177"/>
        <v>30350</v>
      </c>
      <c r="CA440" s="10" t="str">
        <f t="shared" si="178"/>
        <v>US</v>
      </c>
      <c r="CB440" s="15" t="s">
        <v>131</v>
      </c>
      <c r="CC440" s="62"/>
      <c r="CD440" s="15" t="s">
        <v>132</v>
      </c>
      <c r="CE440" s="64">
        <v>0</v>
      </c>
      <c r="CF440" s="4">
        <v>0</v>
      </c>
      <c r="CG440" s="132">
        <f t="shared" si="179"/>
        <v>0</v>
      </c>
      <c r="CH440" s="4" t="s">
        <v>132</v>
      </c>
      <c r="CI440" s="5">
        <v>0</v>
      </c>
      <c r="CJ440" s="4">
        <v>0</v>
      </c>
      <c r="CK440" s="132">
        <f t="shared" si="180"/>
        <v>0</v>
      </c>
      <c r="CL440" s="4" t="s">
        <v>132</v>
      </c>
      <c r="CM440" s="5">
        <v>0</v>
      </c>
      <c r="CN440" s="4">
        <v>0</v>
      </c>
      <c r="CO440" s="132">
        <f t="shared" si="181"/>
        <v>0</v>
      </c>
      <c r="CP440" s="4" t="s">
        <v>132</v>
      </c>
      <c r="CQ440" s="5">
        <v>0</v>
      </c>
      <c r="CR440" s="4">
        <v>0</v>
      </c>
      <c r="CS440" s="132">
        <f t="shared" si="182"/>
        <v>0</v>
      </c>
      <c r="CT440" s="132">
        <f t="shared" si="183"/>
        <v>0</v>
      </c>
      <c r="CU440" s="168">
        <f t="shared" si="184"/>
        <v>700</v>
      </c>
      <c r="CV440" s="177">
        <f t="shared" si="167"/>
        <v>0</v>
      </c>
      <c r="CW440" s="82">
        <f t="shared" si="168"/>
        <v>651</v>
      </c>
      <c r="CX440" s="79">
        <f>IF(ISBLANK(E440),"AddQuickPay",IF(E440=2,CU440*0.98,IF(E440=2.4,CU440*0.976,IF(E440=3,CU440*0.97,IF(E440=5,CU440*0.95,IF(E440=1.5,CU440*0.985,IF(E440=2.5,CU440*0.975,IF(E440=1.3,CU440*0.987,IF(E440=1,CU440*0.99,IF(E440=4,CU440*0.96,CU440*1))))))))))-Table1[[#This Row],[ComCheck+QuickPayFee]]</f>
        <v>700</v>
      </c>
      <c r="CY440" s="5">
        <f t="shared" si="185"/>
        <v>49</v>
      </c>
      <c r="CZ440" s="5">
        <f t="shared" si="186"/>
        <v>0</v>
      </c>
      <c r="DA440" s="258">
        <f>Table1[[#This Row],[OriginalDispatch]]-Table1[[#This Row],[QuickPayCharge]]</f>
        <v>49</v>
      </c>
      <c r="DB440" s="5">
        <v>0</v>
      </c>
      <c r="DC440" s="5" t="s">
        <v>133</v>
      </c>
      <c r="DD440" s="104">
        <f t="shared" si="187"/>
        <v>42510</v>
      </c>
      <c r="DE440" s="171">
        <f>MONTH(Table1[[#This Row],[Weekending]])</f>
        <v>5</v>
      </c>
      <c r="DF440" s="171">
        <f>YEAR(Table1[[#This Row],[Weekending]])</f>
        <v>2016</v>
      </c>
      <c r="DG440" s="4"/>
    </row>
    <row r="441" spans="1:111">
      <c r="A441" s="548" t="str">
        <f t="shared" si="169"/>
        <v>01898949</v>
      </c>
      <c r="B441" s="549">
        <v>42522</v>
      </c>
      <c r="C441" s="550">
        <v>2018801</v>
      </c>
      <c r="D441" s="548" t="s">
        <v>2405</v>
      </c>
      <c r="E441" s="550">
        <v>3</v>
      </c>
      <c r="F441" s="551" t="str">
        <f>INDEX(BrokerTBL!$B:$B,MATCH(D441,BrokerTBL!$A:$A,0))</f>
        <v xml:space="preserve">303 E Wacker Dr. </v>
      </c>
      <c r="G441" s="550" t="str">
        <f>INDEX(BrokerTBL!$C:$C,MATCH(D441,BrokerTBL!$A:$A,0))</f>
        <v>Chicago</v>
      </c>
      <c r="H441" s="235" t="str">
        <f>INDEX(BrokerTBL!$D:$D,MATCH(D441,BrokerTBL!$A:$A,0))</f>
        <v>IL</v>
      </c>
      <c r="I441" s="235" t="str">
        <f>INDEX(BrokerTBL!$E:$E,MATCH(D441,BrokerTBL!$A:$A,0))</f>
        <v>US</v>
      </c>
      <c r="J441" s="235">
        <f>INDEX(BrokerTBL!$F:$F,MATCH(D441,BrokerTBL!$A:$A,0))</f>
        <v>60601</v>
      </c>
      <c r="K441" s="548" t="s">
        <v>2406</v>
      </c>
      <c r="L441" s="552">
        <v>30089</v>
      </c>
      <c r="M441" s="549">
        <v>42509</v>
      </c>
      <c r="N441" s="550" t="s">
        <v>1055</v>
      </c>
      <c r="O441" s="550" t="s">
        <v>2407</v>
      </c>
      <c r="P441" s="548" t="s">
        <v>2408</v>
      </c>
      <c r="Q441" s="548" t="s">
        <v>2233</v>
      </c>
      <c r="R441" s="548">
        <v>89706</v>
      </c>
      <c r="S441" s="548" t="s">
        <v>2207</v>
      </c>
      <c r="T441" s="548" t="s">
        <v>123</v>
      </c>
      <c r="U441" s="548" t="s">
        <v>120</v>
      </c>
      <c r="V441" s="548">
        <v>53</v>
      </c>
      <c r="W441" s="548" t="s">
        <v>2409</v>
      </c>
      <c r="X441" s="553">
        <v>45000</v>
      </c>
      <c r="Y441" s="550" t="s">
        <v>2410</v>
      </c>
      <c r="Z441" s="548">
        <v>50</v>
      </c>
      <c r="AA441" s="548" t="s">
        <v>123</v>
      </c>
      <c r="AB441" s="548" t="s">
        <v>123</v>
      </c>
      <c r="AC441" s="548" t="s">
        <v>2411</v>
      </c>
      <c r="AD441" s="552">
        <v>30089</v>
      </c>
      <c r="AE441" s="549">
        <v>42510</v>
      </c>
      <c r="AF441" s="549" t="s">
        <v>1316</v>
      </c>
      <c r="AG441" s="548" t="s">
        <v>2412</v>
      </c>
      <c r="AH441" s="548" t="s">
        <v>2168</v>
      </c>
      <c r="AI441" s="548" t="s">
        <v>2206</v>
      </c>
      <c r="AJ441" s="548">
        <v>93235</v>
      </c>
      <c r="AK441" s="548" t="s">
        <v>2207</v>
      </c>
      <c r="AL441" s="548" t="s">
        <v>123</v>
      </c>
      <c r="AM441" s="554" t="str">
        <f>INDEX(CarrierDriverTBL!$B:$B,MATCH(Table1[[#This Row],[DriverID]],CarrierDriverTBL!$A:$A,0))</f>
        <v>UBTrucking</v>
      </c>
      <c r="AN441" s="10" t="s">
        <v>192</v>
      </c>
      <c r="AO441" s="555" t="str">
        <f>INDEX(CarrierDriverTBL!$C:$C,MATCH(Table1[[#This Row],[DriverID]],CarrierDriverTBL!$A:$A,0))</f>
        <v>Albel</v>
      </c>
      <c r="AP441" s="555" t="str">
        <f>INDEX(CarrierDriverTBL!$D:$D,MATCH(Table1[[#This Row],[DriverID]],CarrierDriverTBL!$A:$A,0))</f>
        <v>Chahil</v>
      </c>
      <c r="AQ441" s="555" t="str">
        <f>INDEX(CarrierDriverTBL!$X:$X,MATCH(Table1[[#This Row],[DriverID]],CarrierDriverTBL!$A:$A,0))</f>
        <v>A8390649</v>
      </c>
      <c r="AR441" s="556">
        <f>INDEX(CarrierDriverTBL!$Y:$Y,MATCH(Table1[[#This Row],[DriverID]],CarrierDriverTBL!$A:$A,0))</f>
        <v>42402</v>
      </c>
      <c r="AS441" s="554" t="str">
        <f t="shared" si="170"/>
        <v>EXPIRED</v>
      </c>
      <c r="AT441" s="556">
        <f>INDEX(CarrierDriverTBL!$E:$E,MATCH(Table1[[#This Row],[DriverID]],CarrierDriverTBL!$A:$A,0))</f>
        <v>22314</v>
      </c>
      <c r="AU441" s="557">
        <f ca="1">INDEX(CarrierDriverTBL!$F:$F,MATCH(Table1[[#This Row],[DriverID]],CarrierDriverTBL!$A:$A,0))</f>
        <v>55.512328767123286</v>
      </c>
      <c r="AV441" s="554" t="str">
        <f>INDEX(CarrierDriverTBL!$K:$K,MATCH(Table1[[#This Row],[DriverID]],CarrierDriverTBL!$A:$A,0))</f>
        <v>510-773-9450</v>
      </c>
      <c r="AW441" s="554" t="str">
        <f>INDEX(CarrierDriverTBL!$M:$M,MATCH(Table1[[#This Row],[DriverID]],CarrierDriverTBL!$A:$A,0))</f>
        <v>3124 Cynthia CT</v>
      </c>
      <c r="AX441" s="554" t="str">
        <f>INDEX(CarrierDriverTBL!$N:$N,MATCH(Table1[[#This Row],[DriverID]],CarrierDriverTBL!$A:$A,0))</f>
        <v>Tracy</v>
      </c>
      <c r="AY441" s="554" t="str">
        <f>INDEX(CarrierDriverTBL!$O:$O,MATCH(Table1[[#This Row],[DriverID]],CarrierDriverTBL!$A:$A,0))</f>
        <v>CA</v>
      </c>
      <c r="AZ441" s="554">
        <f>INDEX(CarrierDriverTBL!$P:$P,MATCH(Table1[[#This Row],[DriverID]],CarrierDriverTBL!$A:$A,0))</f>
        <v>95377</v>
      </c>
      <c r="BA441" s="554" t="str">
        <f>INDEX(CarrierDriverTBL!$Q:$Q,MATCH(Table1[[#This Row],[DriverID]],CarrierDriverTBL!$A:$A,0))</f>
        <v>US</v>
      </c>
      <c r="BB441" s="554" t="str">
        <f>INDEX(CarrierDriverTBL!$R:$R,MATCH(Table1[[#This Row],[DriverID]],CarrierDriverTBL!$A:$A,0))</f>
        <v>ubgollc@gmail.com</v>
      </c>
      <c r="BC441" s="556">
        <f>INDEX(CarrierDriverTBL!$AB:$AB,MATCH(Table1[[#This Row],[DriverID]],CarrierDriverTBL!$A:$A,0))</f>
        <v>42167</v>
      </c>
      <c r="BD441" s="555" t="str">
        <f ca="1">INDEX(CarrierDriverTBL!$AD:$AD,MATCH(LoadMaster!$AN:$AN,CarrierDriverTBL!$A:$A,0))</f>
        <v>MISSING</v>
      </c>
      <c r="BE441" s="555">
        <f>INDEX(CarrierDriverTBL!$AE:$AE,MATCH(Table1[DriverID],CarrierDriverTBL!$A:$A,0))</f>
        <v>913971</v>
      </c>
      <c r="BF441" s="554">
        <f>INDEX(CarrierDriverTBL!$AF:$AF,MATCH(Table1[DriverID],CarrierDriverTBL!$A:$A,0))</f>
        <v>2627544</v>
      </c>
      <c r="BG441" s="236">
        <f>INDEX(CarrierDriverTBL!$AG:$AG,MATCH(Table1[DriverID],CarrierDriverTBL!$A:$A,0))</f>
        <v>466133</v>
      </c>
      <c r="BH441" s="554" t="str">
        <f>INDEX(CarrierDriverTBL!$AH:$AH,MATCH(Table1[DriverID],CarrierDriverTBL!$A:$A,0))</f>
        <v>GM Lawrence Ins</v>
      </c>
      <c r="BI441" s="554" t="str">
        <f>INDEX(CarrierDriverTBL!$AI:$AI,MATCH(Table1[DriverID],CarrierDriverTBL!$A:$A,0))</f>
        <v>DSK2842P160210</v>
      </c>
      <c r="BJ441" s="556">
        <f>INDEX(CarrierDriverTBL!$AJ:$AJ,MATCH(Table1[[#This Row],[DriverID]],CarrierDriverTBL!$A:$A,0))</f>
        <v>42778</v>
      </c>
      <c r="BK441" s="554">
        <f t="shared" si="171"/>
        <v>269</v>
      </c>
      <c r="BL441" s="558">
        <v>675</v>
      </c>
      <c r="BM441" s="554">
        <v>311.5</v>
      </c>
      <c r="BN441" s="558">
        <f t="shared" si="188"/>
        <v>2.1669341894060996</v>
      </c>
      <c r="BO441" s="241">
        <f>0.93*Table1[[#This Row],[ChargeBroker]]</f>
        <v>627.75</v>
      </c>
      <c r="BP441" s="558">
        <f t="shared" si="189"/>
        <v>2.0152487961476724</v>
      </c>
      <c r="BQ441" s="558">
        <v>2.6</v>
      </c>
      <c r="BR441" s="559">
        <f t="shared" si="190"/>
        <v>0.1166666666666667</v>
      </c>
      <c r="BS441" s="558">
        <f t="shared" si="172"/>
        <v>1.8985821294810057</v>
      </c>
      <c r="BT441" s="558">
        <f t="shared" si="173"/>
        <v>36.341666666666676</v>
      </c>
      <c r="BU441" s="236" t="str">
        <f t="shared" si="174"/>
        <v>XPOLogistics</v>
      </c>
      <c r="BV441" s="554"/>
      <c r="BW441" s="236" t="str">
        <f>Table1[[#This Row],[BrokerAddress]]</f>
        <v xml:space="preserve">303 E Wacker Dr. </v>
      </c>
      <c r="BX441" s="236" t="str">
        <f t="shared" si="175"/>
        <v>Chicago</v>
      </c>
      <c r="BY441" s="269" t="str">
        <f t="shared" si="176"/>
        <v>IL</v>
      </c>
      <c r="BZ441" s="236">
        <f t="shared" si="177"/>
        <v>60601</v>
      </c>
      <c r="CA441" s="236" t="str">
        <f t="shared" si="178"/>
        <v>US</v>
      </c>
      <c r="CB441" s="15" t="s">
        <v>131</v>
      </c>
      <c r="CC441" s="62"/>
      <c r="CD441" s="15" t="s">
        <v>2883</v>
      </c>
      <c r="CE441" s="64">
        <v>75</v>
      </c>
      <c r="CF441" s="4">
        <v>1</v>
      </c>
      <c r="CG441" s="132">
        <f t="shared" si="179"/>
        <v>75</v>
      </c>
      <c r="CH441" s="4" t="s">
        <v>132</v>
      </c>
      <c r="CI441" s="5">
        <v>0</v>
      </c>
      <c r="CJ441" s="4">
        <v>0</v>
      </c>
      <c r="CK441" s="132">
        <f t="shared" si="180"/>
        <v>0</v>
      </c>
      <c r="CL441" s="4" t="s">
        <v>132</v>
      </c>
      <c r="CM441" s="5">
        <v>0</v>
      </c>
      <c r="CN441" s="4">
        <v>0</v>
      </c>
      <c r="CO441" s="132">
        <f t="shared" si="181"/>
        <v>0</v>
      </c>
      <c r="CP441" s="4" t="s">
        <v>132</v>
      </c>
      <c r="CQ441" s="5">
        <v>0</v>
      </c>
      <c r="CR441" s="4">
        <v>0</v>
      </c>
      <c r="CS441" s="132">
        <f t="shared" si="182"/>
        <v>0</v>
      </c>
      <c r="CT441" s="132">
        <f t="shared" si="183"/>
        <v>75</v>
      </c>
      <c r="CU441" s="238">
        <f t="shared" si="184"/>
        <v>750</v>
      </c>
      <c r="CV441" s="239">
        <f t="shared" si="167"/>
        <v>75</v>
      </c>
      <c r="CW441" s="240">
        <f t="shared" si="168"/>
        <v>702.75</v>
      </c>
      <c r="CX441" s="79">
        <f>IF(ISBLANK(E441),"AddQuickPay",IF(E441=2,CU441*0.98,IF(E441=2.4,CU441*0.976,IF(E441=3,CU441*0.97,IF(E441=5,CU441*0.95,IF(E441=1.5,CU441*0.985,IF(E441=2.5,CU441*0.975,IF(E441=1.3,CU441*0.987,IF(E441=1,CU441*0.99,IF(E441=4,CU441*0.96,CU441*1))))))))))-Table1[[#This Row],[ComCheck+QuickPayFee]]</f>
        <v>727.5</v>
      </c>
      <c r="CY441" s="237">
        <f t="shared" si="185"/>
        <v>47.25</v>
      </c>
      <c r="CZ441" s="237">
        <f t="shared" si="186"/>
        <v>22.5</v>
      </c>
      <c r="DA441" s="263">
        <f>Table1[[#This Row],[OriginalDispatch]]-Table1[[#This Row],[QuickPayCharge]]</f>
        <v>24.75</v>
      </c>
      <c r="DB441" s="5">
        <v>0</v>
      </c>
      <c r="DC441" s="237" t="s">
        <v>133</v>
      </c>
      <c r="DD441" s="549">
        <f t="shared" si="187"/>
        <v>42510</v>
      </c>
      <c r="DE441" s="554">
        <f>MONTH(Table1[[#This Row],[Weekending]])</f>
        <v>5</v>
      </c>
      <c r="DF441" s="554">
        <f>YEAR(Table1[[#This Row],[Weekending]])</f>
        <v>2016</v>
      </c>
      <c r="DG441" s="235"/>
    </row>
    <row r="442" spans="1:111">
      <c r="A442" s="548" t="str">
        <f t="shared" si="169"/>
        <v>30267593</v>
      </c>
      <c r="B442" s="549">
        <v>42510</v>
      </c>
      <c r="C442" s="550">
        <v>7430830</v>
      </c>
      <c r="D442" s="548" t="s">
        <v>445</v>
      </c>
      <c r="E442" s="550">
        <v>3</v>
      </c>
      <c r="F442" s="551" t="str">
        <f>INDEX(BrokerTBL!$B:$B,MATCH(D442,BrokerTBL!$A:$A,0))</f>
        <v>960 Northpoint Parkway Suite 150</v>
      </c>
      <c r="G442" s="550" t="str">
        <f>INDEX(BrokerTBL!$C:$C,MATCH(D442,BrokerTBL!$A:$A,0))</f>
        <v>Alpharetta</v>
      </c>
      <c r="H442" s="235" t="str">
        <f>INDEX(BrokerTBL!$D:$D,MATCH(D442,BrokerTBL!$A:$A,0))</f>
        <v>Ga</v>
      </c>
      <c r="I442" s="235" t="str">
        <f>INDEX(BrokerTBL!$E:$E,MATCH(D442,BrokerTBL!$A:$A,0))</f>
        <v>US</v>
      </c>
      <c r="J442" s="235">
        <f>INDEX(BrokerTBL!$F:$F,MATCH(D442,BrokerTBL!$A:$A,0))</f>
        <v>30005</v>
      </c>
      <c r="K442" s="548" t="s">
        <v>2884</v>
      </c>
      <c r="L442" s="552">
        <v>229926</v>
      </c>
      <c r="M442" s="549">
        <v>42510</v>
      </c>
      <c r="N442" s="560" t="s">
        <v>2885</v>
      </c>
      <c r="O442" s="550" t="s">
        <v>2886</v>
      </c>
      <c r="P442" s="548" t="s">
        <v>2887</v>
      </c>
      <c r="Q442" s="548" t="s">
        <v>2206</v>
      </c>
      <c r="R442" s="548">
        <v>93610</v>
      </c>
      <c r="S442" s="548" t="s">
        <v>2207</v>
      </c>
      <c r="T442" s="548" t="s">
        <v>123</v>
      </c>
      <c r="U442" s="548" t="s">
        <v>120</v>
      </c>
      <c r="V442" s="548">
        <v>53</v>
      </c>
      <c r="W442" s="548" t="s">
        <v>2740</v>
      </c>
      <c r="X442" s="553">
        <v>1800</v>
      </c>
      <c r="Y442" s="550" t="s">
        <v>2741</v>
      </c>
      <c r="Z442" s="548">
        <v>2574</v>
      </c>
      <c r="AA442" s="548" t="s">
        <v>123</v>
      </c>
      <c r="AB442" s="548" t="s">
        <v>123</v>
      </c>
      <c r="AC442" s="548" t="s">
        <v>2742</v>
      </c>
      <c r="AD442" s="552" t="s">
        <v>2888</v>
      </c>
      <c r="AE442" s="549">
        <v>42513</v>
      </c>
      <c r="AF442" s="560">
        <v>0.33333333333333331</v>
      </c>
      <c r="AG442" s="548" t="s">
        <v>2743</v>
      </c>
      <c r="AH442" s="548" t="s">
        <v>401</v>
      </c>
      <c r="AI442" s="548" t="s">
        <v>2206</v>
      </c>
      <c r="AJ442" s="548">
        <v>96003</v>
      </c>
      <c r="AK442" s="548" t="s">
        <v>2207</v>
      </c>
      <c r="AL442" s="548" t="s">
        <v>123</v>
      </c>
      <c r="AM442" s="554" t="str">
        <f>INDEX(CarrierDriverTBL!$B:$B,MATCH(Table1[[#This Row],[DriverID]],CarrierDriverTBL!$A:$A,0))</f>
        <v>UBTrucking</v>
      </c>
      <c r="AN442" s="10" t="s">
        <v>2234</v>
      </c>
      <c r="AO442" s="555" t="str">
        <f>INDEX(CarrierDriverTBL!$C:$C,MATCH(Table1[[#This Row],[DriverID]],CarrierDriverTBL!$A:$A,0))</f>
        <v>Arturo</v>
      </c>
      <c r="AP442" s="555" t="str">
        <f>INDEX(CarrierDriverTBL!$D:$D,MATCH(Table1[[#This Row],[DriverID]],CarrierDriverTBL!$A:$A,0))</f>
        <v>Carrillo</v>
      </c>
      <c r="AQ442" s="555" t="str">
        <f>INDEX(CarrierDriverTBL!$X:$X,MATCH(Table1[[#This Row],[DriverID]],CarrierDriverTBL!$A:$A,0))</f>
        <v>C7056793</v>
      </c>
      <c r="AR442" s="556">
        <f>INDEX(CarrierDriverTBL!$Y:$Y,MATCH(Table1[[#This Row],[DriverID]],CarrierDriverTBL!$A:$A,0))</f>
        <v>43410</v>
      </c>
      <c r="AS442" s="554" t="str">
        <f t="shared" si="170"/>
        <v>GOOD</v>
      </c>
      <c r="AT442" s="556">
        <f>INDEX(CarrierDriverTBL!$E:$E,MATCH(Table1[[#This Row],[DriverID]],CarrierDriverTBL!$A:$A,0))</f>
        <v>24782</v>
      </c>
      <c r="AU442" s="557">
        <f ca="1">INDEX(CarrierDriverTBL!$F:$F,MATCH(Table1[[#This Row],[DriverID]],CarrierDriverTBL!$A:$A,0))</f>
        <v>48.750684931506846</v>
      </c>
      <c r="AV442" s="554" t="str">
        <f>INDEX(CarrierDriverTBL!$K:$K,MATCH(Table1[[#This Row],[DriverID]],CarrierDriverTBL!$A:$A,0))</f>
        <v>209-276-9785</v>
      </c>
      <c r="AW442" s="554" t="str">
        <f>INDEX(CarrierDriverTBL!$M:$M,MATCH(Table1[[#This Row],[DriverID]],CarrierDriverTBL!$A:$A,0))</f>
        <v>1685 Winthrop Ln</v>
      </c>
      <c r="AX442" s="554" t="str">
        <f>INDEX(CarrierDriverTBL!$N:$N,MATCH(Table1[[#This Row],[DriverID]],CarrierDriverTBL!$A:$A,0))</f>
        <v>Ceres</v>
      </c>
      <c r="AY442" s="554" t="str">
        <f>INDEX(CarrierDriverTBL!$O:$O,MATCH(Table1[[#This Row],[DriverID]],CarrierDriverTBL!$A:$A,0))</f>
        <v>CA</v>
      </c>
      <c r="AZ442" s="554">
        <f>INDEX(CarrierDriverTBL!$P:$P,MATCH(Table1[[#This Row],[DriverID]],CarrierDriverTBL!$A:$A,0))</f>
        <v>95307</v>
      </c>
      <c r="BA442" s="554" t="str">
        <f>INDEX(CarrierDriverTBL!$Q:$Q,MATCH(Table1[[#This Row],[DriverID]],CarrierDriverTBL!$A:$A,0))</f>
        <v>US</v>
      </c>
      <c r="BB442" s="554" t="str">
        <f>INDEX(CarrierDriverTBL!$R:$R,MATCH(Table1[[#This Row],[DriverID]],CarrierDriverTBL!$A:$A,0))</f>
        <v>arturocarr777@gmail.com</v>
      </c>
      <c r="BC442" s="556">
        <f>INDEX(CarrierDriverTBL!$AB:$AB,MATCH(Table1[[#This Row],[DriverID]],CarrierDriverTBL!$A:$A,0))</f>
        <v>42418</v>
      </c>
      <c r="BD442" s="555" t="str">
        <f ca="1">INDEX(CarrierDriverTBL!$AD:$AD,MATCH(LoadMaster!$AN:$AN,CarrierDriverTBL!$A:$A,0))</f>
        <v>MISSING</v>
      </c>
      <c r="BE442" s="555">
        <f>INDEX(CarrierDriverTBL!$AE:$AE,MATCH(Table1[DriverID],CarrierDriverTBL!$A:$A,0))</f>
        <v>913971</v>
      </c>
      <c r="BF442" s="554">
        <f>INDEX(CarrierDriverTBL!$AF:$AF,MATCH(Table1[DriverID],CarrierDriverTBL!$A:$A,0))</f>
        <v>2627544</v>
      </c>
      <c r="BG442" s="236">
        <f>INDEX(CarrierDriverTBL!$AG:$AG,MATCH(Table1[DriverID],CarrierDriverTBL!$A:$A,0))</f>
        <v>466133</v>
      </c>
      <c r="BH442" s="554" t="str">
        <f>INDEX(CarrierDriverTBL!$AH:$AH,MATCH(Table1[DriverID],CarrierDriverTBL!$A:$A,0))</f>
        <v>GM Lawrence Ins</v>
      </c>
      <c r="BI442" s="554" t="str">
        <f>INDEX(CarrierDriverTBL!$AI:$AI,MATCH(Table1[DriverID],CarrierDriverTBL!$A:$A,0))</f>
        <v>DSK2842P160210</v>
      </c>
      <c r="BJ442" s="556">
        <f>INDEX(CarrierDriverTBL!$AJ:$AJ,MATCH(Table1[[#This Row],[DriverID]],CarrierDriverTBL!$A:$A,0))</f>
        <v>42778</v>
      </c>
      <c r="BK442" s="554">
        <f t="shared" si="171"/>
        <v>268</v>
      </c>
      <c r="BL442" s="558">
        <v>775</v>
      </c>
      <c r="BM442" s="554">
        <v>293.39999999999998</v>
      </c>
      <c r="BN442" s="558">
        <f t="shared" si="188"/>
        <v>2.641445126107703</v>
      </c>
      <c r="BO442" s="241">
        <f>0.93*Table1[[#This Row],[ChargeBroker]]</f>
        <v>720.75</v>
      </c>
      <c r="BP442" s="558">
        <f t="shared" si="189"/>
        <v>2.4565439672801639</v>
      </c>
      <c r="BQ442" s="558">
        <v>2.6</v>
      </c>
      <c r="BR442" s="559">
        <f t="shared" si="190"/>
        <v>0.1166666666666667</v>
      </c>
      <c r="BS442" s="558">
        <f t="shared" si="172"/>
        <v>2.3398773006134972</v>
      </c>
      <c r="BT442" s="558">
        <f t="shared" si="173"/>
        <v>34.230000000000004</v>
      </c>
      <c r="BU442" s="236" t="str">
        <f t="shared" si="174"/>
        <v>Coyote</v>
      </c>
      <c r="BV442" s="554"/>
      <c r="BW442" s="236" t="str">
        <f>Table1[[#This Row],[BrokerAddress]]</f>
        <v>960 Northpoint Parkway Suite 150</v>
      </c>
      <c r="BX442" s="236" t="str">
        <f t="shared" si="175"/>
        <v>Alpharetta</v>
      </c>
      <c r="BY442" s="269" t="str">
        <f t="shared" si="176"/>
        <v>Ga</v>
      </c>
      <c r="BZ442" s="236">
        <f t="shared" si="177"/>
        <v>30005</v>
      </c>
      <c r="CA442" s="236" t="str">
        <f t="shared" si="178"/>
        <v>US</v>
      </c>
      <c r="CB442" s="15" t="s">
        <v>131</v>
      </c>
      <c r="CC442" s="62"/>
      <c r="CD442" s="15" t="s">
        <v>132</v>
      </c>
      <c r="CE442" s="64">
        <v>0</v>
      </c>
      <c r="CF442" s="4">
        <v>0</v>
      </c>
      <c r="CG442" s="132">
        <f t="shared" si="179"/>
        <v>0</v>
      </c>
      <c r="CH442" s="4" t="s">
        <v>132</v>
      </c>
      <c r="CI442" s="5">
        <v>0</v>
      </c>
      <c r="CJ442" s="4">
        <v>0</v>
      </c>
      <c r="CK442" s="132">
        <f t="shared" si="180"/>
        <v>0</v>
      </c>
      <c r="CL442" s="4" t="s">
        <v>132</v>
      </c>
      <c r="CM442" s="5">
        <v>0</v>
      </c>
      <c r="CN442" s="4">
        <v>0</v>
      </c>
      <c r="CO442" s="132">
        <f t="shared" si="181"/>
        <v>0</v>
      </c>
      <c r="CP442" s="4" t="s">
        <v>132</v>
      </c>
      <c r="CQ442" s="5">
        <v>0</v>
      </c>
      <c r="CR442" s="4">
        <v>0</v>
      </c>
      <c r="CS442" s="132">
        <f t="shared" si="182"/>
        <v>0</v>
      </c>
      <c r="CT442" s="132">
        <f t="shared" si="183"/>
        <v>0</v>
      </c>
      <c r="CU442" s="238">
        <f t="shared" si="184"/>
        <v>775</v>
      </c>
      <c r="CV442" s="239">
        <f t="shared" si="167"/>
        <v>0</v>
      </c>
      <c r="CW442" s="240">
        <f t="shared" si="168"/>
        <v>720.75</v>
      </c>
      <c r="CX442" s="79">
        <f>IF(ISBLANK(E442),"AddQuickPay",IF(E442=2,CU442*0.98,IF(E442=2.4,CU442*0.976,IF(E442=3,CU442*0.97,IF(E442=5,CU442*0.95,IF(E442=1.5,CU442*0.985,IF(E442=2.5,CU442*0.975,IF(E442=1.3,CU442*0.987,IF(E442=1,CU442*0.99,IF(E442=4,CU442*0.96,CU442*1))))))))))-Table1[[#This Row],[ComCheck+QuickPayFee]]</f>
        <v>751.75</v>
      </c>
      <c r="CY442" s="237">
        <f t="shared" si="185"/>
        <v>54.25</v>
      </c>
      <c r="CZ442" s="237">
        <f t="shared" si="186"/>
        <v>23.25</v>
      </c>
      <c r="DA442" s="263">
        <f>Table1[[#This Row],[OriginalDispatch]]-Table1[[#This Row],[QuickPayCharge]]</f>
        <v>31</v>
      </c>
      <c r="DB442" s="5">
        <v>0</v>
      </c>
      <c r="DC442" s="237" t="s">
        <v>133</v>
      </c>
      <c r="DD442" s="549">
        <f t="shared" si="187"/>
        <v>42510</v>
      </c>
      <c r="DE442" s="554">
        <f>MONTH(Table1[[#This Row],[Weekending]])</f>
        <v>5</v>
      </c>
      <c r="DF442" s="554">
        <f>YEAR(Table1[[#This Row],[Weekending]])</f>
        <v>2016</v>
      </c>
      <c r="DG442" s="235"/>
    </row>
    <row r="443" spans="1:111">
      <c r="A443" s="548" t="str">
        <f t="shared" si="169"/>
        <v>96010119</v>
      </c>
      <c r="B443" s="549">
        <v>42510</v>
      </c>
      <c r="C443" s="550">
        <v>201572596</v>
      </c>
      <c r="D443" s="548" t="s">
        <v>111</v>
      </c>
      <c r="E443" s="550">
        <v>2</v>
      </c>
      <c r="F443" s="551" t="str">
        <f>INDEX(BrokerTBL!$B:$B,MATCH(D443,BrokerTBL!$A:$A,0))</f>
        <v>P.O. Box 3474</v>
      </c>
      <c r="G443" s="550" t="str">
        <f>INDEX(BrokerTBL!$C:$C,MATCH(D443,BrokerTBL!$A:$A,0))</f>
        <v>Chicago</v>
      </c>
      <c r="H443" s="235" t="str">
        <f>INDEX(BrokerTBL!$D:$D,MATCH(D443,BrokerTBL!$A:$A,0))</f>
        <v>Il</v>
      </c>
      <c r="I443" s="235" t="str">
        <f>INDEX(BrokerTBL!$E:$E,MATCH(D443,BrokerTBL!$A:$A,0))</f>
        <v>US</v>
      </c>
      <c r="J443" s="235">
        <f>INDEX(BrokerTBL!$F:$F,MATCH(D443,BrokerTBL!$A:$A,0))</f>
        <v>60654</v>
      </c>
      <c r="K443" s="548" t="s">
        <v>2889</v>
      </c>
      <c r="L443" s="552">
        <v>104260160520001</v>
      </c>
      <c r="M443" s="549">
        <v>42510</v>
      </c>
      <c r="N443" s="550" t="s">
        <v>2890</v>
      </c>
      <c r="O443" s="550" t="s">
        <v>1141</v>
      </c>
      <c r="P443" s="548" t="s">
        <v>2891</v>
      </c>
      <c r="Q443" s="548" t="s">
        <v>2206</v>
      </c>
      <c r="R443" s="548" t="s">
        <v>2892</v>
      </c>
      <c r="S443" s="548" t="s">
        <v>2207</v>
      </c>
      <c r="T443" s="548" t="s">
        <v>2893</v>
      </c>
      <c r="U443" s="548" t="s">
        <v>120</v>
      </c>
      <c r="V443" s="548">
        <v>53</v>
      </c>
      <c r="W443" s="548" t="s">
        <v>601</v>
      </c>
      <c r="X443" s="553">
        <v>25111</v>
      </c>
      <c r="Y443" s="550" t="s">
        <v>2220</v>
      </c>
      <c r="Z443" s="548" t="s">
        <v>123</v>
      </c>
      <c r="AA443" s="548">
        <v>48</v>
      </c>
      <c r="AB443" s="548" t="s">
        <v>123</v>
      </c>
      <c r="AC443" s="548" t="s">
        <v>2894</v>
      </c>
      <c r="AD443" s="552">
        <v>104260160520001</v>
      </c>
      <c r="AE443" s="549">
        <v>42513</v>
      </c>
      <c r="AF443" s="549" t="s">
        <v>2895</v>
      </c>
      <c r="AG443" s="548" t="s">
        <v>2896</v>
      </c>
      <c r="AH443" s="548" t="s">
        <v>2897</v>
      </c>
      <c r="AI443" s="548" t="s">
        <v>2206</v>
      </c>
      <c r="AJ443" s="548" t="s">
        <v>2898</v>
      </c>
      <c r="AK443" s="548" t="s">
        <v>2207</v>
      </c>
      <c r="AL443" s="548" t="s">
        <v>2899</v>
      </c>
      <c r="AM443" s="554" t="str">
        <f>INDEX(CarrierDriverTBL!$B:$B,MATCH(Table1[[#This Row],[DriverID]],CarrierDriverTBL!$A:$A,0))</f>
        <v>UBTrucking</v>
      </c>
      <c r="AN443" s="10" t="s">
        <v>1409</v>
      </c>
      <c r="AO443" s="555" t="str">
        <f>INDEX(CarrierDriverTBL!$C:$C,MATCH(Table1[[#This Row],[DriverID]],CarrierDriverTBL!$A:$A,0))</f>
        <v>Miguel Jaime</v>
      </c>
      <c r="AP443" s="555" t="str">
        <f>INDEX(CarrierDriverTBL!$D:$D,MATCH(Table1[[#This Row],[DriverID]],CarrierDriverTBL!$A:$A,0))</f>
        <v>Martin Del Campo Velarca</v>
      </c>
      <c r="AQ443" s="555" t="str">
        <f>INDEX(CarrierDriverTBL!$X:$X,MATCH(Table1[[#This Row],[DriverID]],CarrierDriverTBL!$A:$A,0))</f>
        <v>D5179619</v>
      </c>
      <c r="AR443" s="556">
        <f>INDEX(CarrierDriverTBL!$Y:$Y,MATCH(Table1[[#This Row],[DriverID]],CarrierDriverTBL!$A:$A,0))</f>
        <v>43843</v>
      </c>
      <c r="AS443" s="554" t="str">
        <f t="shared" si="170"/>
        <v>GOOD</v>
      </c>
      <c r="AT443" s="556">
        <f>INDEX(CarrierDriverTBL!$E:$E,MATCH(Table1[[#This Row],[DriverID]],CarrierDriverTBL!$A:$A,0))</f>
        <v>21198</v>
      </c>
      <c r="AU443" s="557">
        <f ca="1">INDEX(CarrierDriverTBL!$F:$F,MATCH(Table1[[#This Row],[DriverID]],CarrierDriverTBL!$A:$A,0))</f>
        <v>58.56986301369863</v>
      </c>
      <c r="AV443" s="554" t="str">
        <f>INDEX(CarrierDriverTBL!$K:$K,MATCH(Table1[[#This Row],[DriverID]],CarrierDriverTBL!$A:$A,0))</f>
        <v>209-322-5231</v>
      </c>
      <c r="AW443" s="554" t="str">
        <f>INDEX(CarrierDriverTBL!$M:$M,MATCH(Table1[[#This Row],[DriverID]],CarrierDriverTBL!$A:$A,0))</f>
        <v>572 Predersen RD</v>
      </c>
      <c r="AX443" s="554" t="str">
        <f>INDEX(CarrierDriverTBL!$N:$N,MATCH(Table1[[#This Row],[DriverID]],CarrierDriverTBL!$A:$A,0))</f>
        <v>Oakdale</v>
      </c>
      <c r="AY443" s="554" t="str">
        <f>INDEX(CarrierDriverTBL!$O:$O,MATCH(Table1[[#This Row],[DriverID]],CarrierDriverTBL!$A:$A,0))</f>
        <v>CA</v>
      </c>
      <c r="AZ443" s="554">
        <f>INDEX(CarrierDriverTBL!$P:$P,MATCH(Table1[[#This Row],[DriverID]],CarrierDriverTBL!$A:$A,0))</f>
        <v>95361</v>
      </c>
      <c r="BA443" s="554" t="str">
        <f>INDEX(CarrierDriverTBL!$Q:$Q,MATCH(Table1[[#This Row],[DriverID]],CarrierDriverTBL!$A:$A,0))</f>
        <v>US</v>
      </c>
      <c r="BB443" s="554" t="str">
        <f>INDEX(CarrierDriverTBL!$R:$R,MATCH(Table1[[#This Row],[DriverID]],CarrierDriverTBL!$A:$A,0))</f>
        <v>Miguelmartin52@yahoo.com</v>
      </c>
      <c r="BC443" s="556">
        <f>INDEX(CarrierDriverTBL!$AB:$AB,MATCH(Table1[[#This Row],[DriverID]],CarrierDriverTBL!$A:$A,0))</f>
        <v>42334</v>
      </c>
      <c r="BD443" s="555" t="str">
        <f ca="1">INDEX(CarrierDriverTBL!$AD:$AD,MATCH(LoadMaster!$AN:$AN,CarrierDriverTBL!$A:$A,0))</f>
        <v>MISSING</v>
      </c>
      <c r="BE443" s="555">
        <f>INDEX(CarrierDriverTBL!$AE:$AE,MATCH(Table1[DriverID],CarrierDriverTBL!$A:$A,0))</f>
        <v>913971</v>
      </c>
      <c r="BF443" s="554">
        <f>INDEX(CarrierDriverTBL!$AF:$AF,MATCH(Table1[DriverID],CarrierDriverTBL!$A:$A,0))</f>
        <v>2627544</v>
      </c>
      <c r="BG443" s="236">
        <f>INDEX(CarrierDriverTBL!$AG:$AG,MATCH(Table1[DriverID],CarrierDriverTBL!$A:$A,0))</f>
        <v>466133</v>
      </c>
      <c r="BH443" s="554" t="str">
        <f>INDEX(CarrierDriverTBL!$AH:$AH,MATCH(Table1[DriverID],CarrierDriverTBL!$A:$A,0))</f>
        <v>GM Lawrence Ins</v>
      </c>
      <c r="BI443" s="554" t="str">
        <f>INDEX(CarrierDriverTBL!$AI:$AI,MATCH(Table1[DriverID],CarrierDriverTBL!$A:$A,0))</f>
        <v>DSK2842P160210</v>
      </c>
      <c r="BJ443" s="556">
        <f>INDEX(CarrierDriverTBL!$AJ:$AJ,MATCH(Table1[[#This Row],[DriverID]],CarrierDriverTBL!$A:$A,0))</f>
        <v>42778</v>
      </c>
      <c r="BK443" s="554">
        <f t="shared" si="171"/>
        <v>268</v>
      </c>
      <c r="BL443" s="558">
        <v>950</v>
      </c>
      <c r="BM443" s="554">
        <v>370.9</v>
      </c>
      <c r="BN443" s="558">
        <f t="shared" si="188"/>
        <v>2.5613372876786196</v>
      </c>
      <c r="BO443" s="241">
        <f>0.93*Table1[[#This Row],[ChargeBroker]]</f>
        <v>883.5</v>
      </c>
      <c r="BP443" s="558">
        <f t="shared" si="189"/>
        <v>2.3820436775411165</v>
      </c>
      <c r="BQ443" s="558">
        <v>2.6</v>
      </c>
      <c r="BR443" s="559">
        <f t="shared" si="190"/>
        <v>0.1166666666666667</v>
      </c>
      <c r="BS443" s="558">
        <f t="shared" si="172"/>
        <v>2.2653770108744498</v>
      </c>
      <c r="BT443" s="558">
        <f t="shared" si="173"/>
        <v>43.271666666666675</v>
      </c>
      <c r="BU443" s="236" t="str">
        <f t="shared" si="174"/>
        <v>Ch Robinson</v>
      </c>
      <c r="BV443" s="554"/>
      <c r="BW443" s="236" t="str">
        <f>Table1[[#This Row],[BrokerAddress]]</f>
        <v>P.O. Box 3474</v>
      </c>
      <c r="BX443" s="236" t="str">
        <f t="shared" si="175"/>
        <v>Chicago</v>
      </c>
      <c r="BY443" s="269" t="str">
        <f t="shared" si="176"/>
        <v>Il</v>
      </c>
      <c r="BZ443" s="236">
        <f t="shared" si="177"/>
        <v>60654</v>
      </c>
      <c r="CA443" s="236" t="str">
        <f t="shared" si="178"/>
        <v>US</v>
      </c>
      <c r="CB443" s="15" t="s">
        <v>131</v>
      </c>
      <c r="CC443" s="62"/>
      <c r="CD443" s="15" t="s">
        <v>132</v>
      </c>
      <c r="CE443" s="64">
        <v>0</v>
      </c>
      <c r="CF443" s="4">
        <v>0</v>
      </c>
      <c r="CG443" s="132">
        <f t="shared" si="179"/>
        <v>0</v>
      </c>
      <c r="CH443" s="4" t="s">
        <v>132</v>
      </c>
      <c r="CI443" s="5">
        <v>0</v>
      </c>
      <c r="CJ443" s="4">
        <v>0</v>
      </c>
      <c r="CK443" s="132">
        <f t="shared" si="180"/>
        <v>0</v>
      </c>
      <c r="CL443" s="4" t="s">
        <v>132</v>
      </c>
      <c r="CM443" s="5">
        <v>0</v>
      </c>
      <c r="CN443" s="4">
        <v>0</v>
      </c>
      <c r="CO443" s="132">
        <f t="shared" si="181"/>
        <v>0</v>
      </c>
      <c r="CP443" s="4" t="s">
        <v>132</v>
      </c>
      <c r="CQ443" s="5">
        <v>0</v>
      </c>
      <c r="CR443" s="4">
        <v>0</v>
      </c>
      <c r="CS443" s="132">
        <f t="shared" si="182"/>
        <v>0</v>
      </c>
      <c r="CT443" s="132">
        <f t="shared" si="183"/>
        <v>0</v>
      </c>
      <c r="CU443" s="238">
        <f t="shared" si="184"/>
        <v>950</v>
      </c>
      <c r="CV443" s="239">
        <f t="shared" si="167"/>
        <v>0</v>
      </c>
      <c r="CW443" s="240">
        <f t="shared" si="168"/>
        <v>883.5</v>
      </c>
      <c r="CX443" s="79">
        <f>IF(ISBLANK(E443),"AddQuickPay",IF(E443=2,CU443*0.98,IF(E443=2.4,CU443*0.976,IF(E443=3,CU443*0.97,IF(E443=5,CU443*0.95,IF(E443=1.5,CU443*0.985,IF(E443=2.5,CU443*0.975,IF(E443=1.3,CU443*0.987,IF(E443=1,CU443*0.99,IF(E443=4,CU443*0.96,CU443*1))))))))))-Table1[[#This Row],[ComCheck+QuickPayFee]]</f>
        <v>931</v>
      </c>
      <c r="CY443" s="237">
        <f t="shared" si="185"/>
        <v>66.5</v>
      </c>
      <c r="CZ443" s="237">
        <f t="shared" si="186"/>
        <v>19</v>
      </c>
      <c r="DA443" s="263">
        <f>Table1[[#This Row],[OriginalDispatch]]-Table1[[#This Row],[QuickPayCharge]]</f>
        <v>47.5</v>
      </c>
      <c r="DB443" s="5">
        <v>0</v>
      </c>
      <c r="DC443" s="237" t="s">
        <v>133</v>
      </c>
      <c r="DD443" s="549">
        <f t="shared" si="187"/>
        <v>42510</v>
      </c>
      <c r="DE443" s="554">
        <f>MONTH(Table1[[#This Row],[Weekending]])</f>
        <v>5</v>
      </c>
      <c r="DF443" s="554">
        <f>YEAR(Table1[[#This Row],[Weekending]])</f>
        <v>2016</v>
      </c>
      <c r="DG443" s="235"/>
    </row>
    <row r="444" spans="1:111">
      <c r="A444" s="548" t="str">
        <f t="shared" si="169"/>
        <v>57111193</v>
      </c>
      <c r="B444" s="549">
        <v>42514</v>
      </c>
      <c r="C444" s="550">
        <v>7407657</v>
      </c>
      <c r="D444" s="548" t="s">
        <v>445</v>
      </c>
      <c r="E444" s="550">
        <v>3</v>
      </c>
      <c r="F444" s="551" t="str">
        <f>INDEX(BrokerTBL!$B:$B,MATCH(D444,BrokerTBL!$A:$A,0))</f>
        <v>960 Northpoint Parkway Suite 150</v>
      </c>
      <c r="G444" s="550" t="str">
        <f>INDEX(BrokerTBL!$C:$C,MATCH(D444,BrokerTBL!$A:$A,0))</f>
        <v>Alpharetta</v>
      </c>
      <c r="H444" s="235" t="str">
        <f>INDEX(BrokerTBL!$D:$D,MATCH(D444,BrokerTBL!$A:$A,0))</f>
        <v>Ga</v>
      </c>
      <c r="I444" s="235" t="str">
        <f>INDEX(BrokerTBL!$E:$E,MATCH(D444,BrokerTBL!$A:$A,0))</f>
        <v>US</v>
      </c>
      <c r="J444" s="235">
        <f>INDEX(BrokerTBL!$F:$F,MATCH(D444,BrokerTBL!$A:$A,0))</f>
        <v>30005</v>
      </c>
      <c r="K444" s="548" t="s">
        <v>2752</v>
      </c>
      <c r="L444" s="552" t="s">
        <v>2900</v>
      </c>
      <c r="M444" s="549">
        <v>42513</v>
      </c>
      <c r="N444" s="550" t="s">
        <v>1723</v>
      </c>
      <c r="O444" s="550" t="s">
        <v>535</v>
      </c>
      <c r="P444" s="548" t="s">
        <v>536</v>
      </c>
      <c r="Q444" s="548" t="s">
        <v>2206</v>
      </c>
      <c r="R444" s="548">
        <v>95963</v>
      </c>
      <c r="S444" s="548" t="s">
        <v>2207</v>
      </c>
      <c r="T444" s="548" t="s">
        <v>123</v>
      </c>
      <c r="U444" s="548" t="s">
        <v>120</v>
      </c>
      <c r="V444" s="548">
        <v>53</v>
      </c>
      <c r="W444" s="548" t="s">
        <v>2754</v>
      </c>
      <c r="X444" s="553">
        <v>41750</v>
      </c>
      <c r="Y444" s="550" t="s">
        <v>2220</v>
      </c>
      <c r="Z444" s="548" t="s">
        <v>123</v>
      </c>
      <c r="AA444" s="548">
        <v>17</v>
      </c>
      <c r="AB444" s="548" t="s">
        <v>123</v>
      </c>
      <c r="AC444" s="548" t="s">
        <v>2755</v>
      </c>
      <c r="AD444" s="552" t="s">
        <v>2900</v>
      </c>
      <c r="AE444" s="549">
        <v>42513</v>
      </c>
      <c r="AF444" s="560">
        <v>0.66666666666666663</v>
      </c>
      <c r="AG444" s="548" t="s">
        <v>2756</v>
      </c>
      <c r="AH444" s="548" t="s">
        <v>2684</v>
      </c>
      <c r="AI444" s="548" t="s">
        <v>2206</v>
      </c>
      <c r="AJ444" s="548">
        <v>95240</v>
      </c>
      <c r="AK444" s="548" t="s">
        <v>2207</v>
      </c>
      <c r="AL444" s="548" t="s">
        <v>123</v>
      </c>
      <c r="AM444" s="554" t="str">
        <f>INDEX(CarrierDriverTBL!$B:$B,MATCH(Table1[[#This Row],[DriverID]],CarrierDriverTBL!$A:$A,0))</f>
        <v>UBTrucking</v>
      </c>
      <c r="AN444" s="10" t="s">
        <v>2234</v>
      </c>
      <c r="AO444" s="555" t="str">
        <f>INDEX(CarrierDriverTBL!$C:$C,MATCH(Table1[[#This Row],[DriverID]],CarrierDriverTBL!$A:$A,0))</f>
        <v>Arturo</v>
      </c>
      <c r="AP444" s="555" t="str">
        <f>INDEX(CarrierDriverTBL!$D:$D,MATCH(Table1[[#This Row],[DriverID]],CarrierDriverTBL!$A:$A,0))</f>
        <v>Carrillo</v>
      </c>
      <c r="AQ444" s="555" t="str">
        <f>INDEX(CarrierDriverTBL!$X:$X,MATCH(Table1[[#This Row],[DriverID]],CarrierDriverTBL!$A:$A,0))</f>
        <v>C7056793</v>
      </c>
      <c r="AR444" s="556">
        <f>INDEX(CarrierDriverTBL!$Y:$Y,MATCH(Table1[[#This Row],[DriverID]],CarrierDriverTBL!$A:$A,0))</f>
        <v>43410</v>
      </c>
      <c r="AS444" s="554" t="str">
        <f t="shared" si="170"/>
        <v>GOOD</v>
      </c>
      <c r="AT444" s="556">
        <f>INDEX(CarrierDriverTBL!$E:$E,MATCH(Table1[[#This Row],[DriverID]],CarrierDriverTBL!$A:$A,0))</f>
        <v>24782</v>
      </c>
      <c r="AU444" s="557">
        <f ca="1">INDEX(CarrierDriverTBL!$F:$F,MATCH(Table1[[#This Row],[DriverID]],CarrierDriverTBL!$A:$A,0))</f>
        <v>48.750684931506846</v>
      </c>
      <c r="AV444" s="554" t="str">
        <f>INDEX(CarrierDriverTBL!$K:$K,MATCH(Table1[[#This Row],[DriverID]],CarrierDriverTBL!$A:$A,0))</f>
        <v>209-276-9785</v>
      </c>
      <c r="AW444" s="554" t="str">
        <f>INDEX(CarrierDriverTBL!$M:$M,MATCH(Table1[[#This Row],[DriverID]],CarrierDriverTBL!$A:$A,0))</f>
        <v>1685 Winthrop Ln</v>
      </c>
      <c r="AX444" s="554" t="str">
        <f>INDEX(CarrierDriverTBL!$N:$N,MATCH(Table1[[#This Row],[DriverID]],CarrierDriverTBL!$A:$A,0))</f>
        <v>Ceres</v>
      </c>
      <c r="AY444" s="554" t="str">
        <f>INDEX(CarrierDriverTBL!$O:$O,MATCH(Table1[[#This Row],[DriverID]],CarrierDriverTBL!$A:$A,0))</f>
        <v>CA</v>
      </c>
      <c r="AZ444" s="554">
        <f>INDEX(CarrierDriverTBL!$P:$P,MATCH(Table1[[#This Row],[DriverID]],CarrierDriverTBL!$A:$A,0))</f>
        <v>95307</v>
      </c>
      <c r="BA444" s="554" t="str">
        <f>INDEX(CarrierDriverTBL!$Q:$Q,MATCH(Table1[[#This Row],[DriverID]],CarrierDriverTBL!$A:$A,0))</f>
        <v>US</v>
      </c>
      <c r="BB444" s="554" t="str">
        <f>INDEX(CarrierDriverTBL!$R:$R,MATCH(Table1[[#This Row],[DriverID]],CarrierDriverTBL!$A:$A,0))</f>
        <v>arturocarr777@gmail.com</v>
      </c>
      <c r="BC444" s="556">
        <f>INDEX(CarrierDriverTBL!$AB:$AB,MATCH(Table1[[#This Row],[DriverID]],CarrierDriverTBL!$A:$A,0))</f>
        <v>42418</v>
      </c>
      <c r="BD444" s="555" t="str">
        <f ca="1">INDEX(CarrierDriverTBL!$AD:$AD,MATCH(LoadMaster!$AN:$AN,CarrierDriverTBL!$A:$A,0))</f>
        <v>MISSING</v>
      </c>
      <c r="BE444" s="555">
        <f>INDEX(CarrierDriverTBL!$AE:$AE,MATCH(Table1[DriverID],CarrierDriverTBL!$A:$A,0))</f>
        <v>913971</v>
      </c>
      <c r="BF444" s="554">
        <f>INDEX(CarrierDriverTBL!$AF:$AF,MATCH(Table1[DriverID],CarrierDriverTBL!$A:$A,0))</f>
        <v>2627544</v>
      </c>
      <c r="BG444" s="236">
        <f>INDEX(CarrierDriverTBL!$AG:$AG,MATCH(Table1[DriverID],CarrierDriverTBL!$A:$A,0))</f>
        <v>466133</v>
      </c>
      <c r="BH444" s="554" t="str">
        <f>INDEX(CarrierDriverTBL!$AH:$AH,MATCH(Table1[DriverID],CarrierDriverTBL!$A:$A,0))</f>
        <v>GM Lawrence Ins</v>
      </c>
      <c r="BI444" s="554" t="str">
        <f>INDEX(CarrierDriverTBL!$AI:$AI,MATCH(Table1[DriverID],CarrierDriverTBL!$A:$A,0))</f>
        <v>DSK2842P160210</v>
      </c>
      <c r="BJ444" s="556">
        <f>INDEX(CarrierDriverTBL!$AJ:$AJ,MATCH(Table1[[#This Row],[DriverID]],CarrierDriverTBL!$A:$A,0))</f>
        <v>42778</v>
      </c>
      <c r="BK444" s="554">
        <f t="shared" si="171"/>
        <v>265</v>
      </c>
      <c r="BL444" s="558">
        <v>300</v>
      </c>
      <c r="BM444" s="554">
        <v>140.19999999999999</v>
      </c>
      <c r="BN444" s="558">
        <f t="shared" si="188"/>
        <v>2.1398002853067051</v>
      </c>
      <c r="BO444" s="241">
        <f>0.93*Table1[[#This Row],[ChargeBroker]]</f>
        <v>279</v>
      </c>
      <c r="BP444" s="558">
        <f t="shared" si="189"/>
        <v>1.9900142653352355</v>
      </c>
      <c r="BQ444" s="558">
        <v>2.6</v>
      </c>
      <c r="BR444" s="559">
        <f t="shared" si="190"/>
        <v>0.1166666666666667</v>
      </c>
      <c r="BS444" s="558">
        <f t="shared" si="172"/>
        <v>1.8733475986685688</v>
      </c>
      <c r="BT444" s="558">
        <f t="shared" si="173"/>
        <v>16.356666666666669</v>
      </c>
      <c r="BU444" s="236" t="str">
        <f t="shared" si="174"/>
        <v>Coyote</v>
      </c>
      <c r="BV444" s="554"/>
      <c r="BW444" s="236" t="str">
        <f>Table1[[#This Row],[BrokerAddress]]</f>
        <v>960 Northpoint Parkway Suite 150</v>
      </c>
      <c r="BX444" s="236" t="str">
        <f t="shared" si="175"/>
        <v>Alpharetta</v>
      </c>
      <c r="BY444" s="269" t="str">
        <f t="shared" si="176"/>
        <v>Ga</v>
      </c>
      <c r="BZ444" s="236">
        <f t="shared" si="177"/>
        <v>30005</v>
      </c>
      <c r="CA444" s="236" t="str">
        <f t="shared" si="178"/>
        <v>US</v>
      </c>
      <c r="CB444" s="15" t="s">
        <v>131</v>
      </c>
      <c r="CC444" s="62"/>
      <c r="CD444" s="15" t="s">
        <v>132</v>
      </c>
      <c r="CE444" s="64">
        <v>0</v>
      </c>
      <c r="CF444" s="4">
        <v>0</v>
      </c>
      <c r="CG444" s="132">
        <f t="shared" si="179"/>
        <v>0</v>
      </c>
      <c r="CH444" s="4" t="s">
        <v>132</v>
      </c>
      <c r="CI444" s="5">
        <v>0</v>
      </c>
      <c r="CJ444" s="4">
        <v>0</v>
      </c>
      <c r="CK444" s="132">
        <f t="shared" si="180"/>
        <v>0</v>
      </c>
      <c r="CL444" s="4" t="s">
        <v>132</v>
      </c>
      <c r="CM444" s="5">
        <v>0</v>
      </c>
      <c r="CN444" s="4">
        <v>0</v>
      </c>
      <c r="CO444" s="132">
        <f t="shared" si="181"/>
        <v>0</v>
      </c>
      <c r="CP444" s="4" t="s">
        <v>132</v>
      </c>
      <c r="CQ444" s="5">
        <v>0</v>
      </c>
      <c r="CR444" s="4">
        <v>0</v>
      </c>
      <c r="CS444" s="132">
        <f t="shared" si="182"/>
        <v>0</v>
      </c>
      <c r="CT444" s="132">
        <f t="shared" si="183"/>
        <v>0</v>
      </c>
      <c r="CU444" s="238">
        <f t="shared" si="184"/>
        <v>300</v>
      </c>
      <c r="CV444" s="239">
        <f t="shared" si="167"/>
        <v>0</v>
      </c>
      <c r="CW444" s="240">
        <f t="shared" si="168"/>
        <v>279</v>
      </c>
      <c r="CX444" s="79">
        <f>IF(ISBLANK(E444),"AddQuickPay",IF(E444=2,CU444*0.98,IF(E444=2.4,CU444*0.976,IF(E444=3,CU444*0.97,IF(E444=5,CU444*0.95,IF(E444=1.5,CU444*0.985,IF(E444=2.5,CU444*0.975,IF(E444=1.3,CU444*0.987,IF(E444=1,CU444*0.99,IF(E444=4,CU444*0.96,CU444*1))))))))))-Table1[[#This Row],[ComCheck+QuickPayFee]]</f>
        <v>291</v>
      </c>
      <c r="CY444" s="237">
        <f t="shared" si="185"/>
        <v>21</v>
      </c>
      <c r="CZ444" s="237">
        <f t="shared" si="186"/>
        <v>9</v>
      </c>
      <c r="DA444" s="263">
        <f>Table1[[#This Row],[OriginalDispatch]]-Table1[[#This Row],[QuickPayCharge]]</f>
        <v>12</v>
      </c>
      <c r="DB444" s="5">
        <v>0</v>
      </c>
      <c r="DC444" s="237" t="s">
        <v>133</v>
      </c>
      <c r="DD444" s="549">
        <f t="shared" si="187"/>
        <v>42517</v>
      </c>
      <c r="DE444" s="554">
        <f>MONTH(Table1[[#This Row],[Weekending]])</f>
        <v>5</v>
      </c>
      <c r="DF444" s="554">
        <f>YEAR(Table1[[#This Row],[Weekending]])</f>
        <v>2016</v>
      </c>
      <c r="DG444" s="235"/>
    </row>
    <row r="445" spans="1:111">
      <c r="A445" s="548" t="str">
        <f t="shared" si="169"/>
        <v>12wnwn49</v>
      </c>
      <c r="B445" s="549">
        <v>42514</v>
      </c>
      <c r="C445" s="550">
        <v>7792212</v>
      </c>
      <c r="D445" s="548" t="s">
        <v>2185</v>
      </c>
      <c r="E445" s="550">
        <v>0</v>
      </c>
      <c r="F445" s="551" t="str">
        <f>INDEX(BrokerTBL!$B:$B,MATCH(D445,BrokerTBL!$A:$A,0))</f>
        <v>PO Box 6348</v>
      </c>
      <c r="G445" s="550" t="str">
        <f>INDEX(BrokerTBL!$C:$C,MATCH(D445,BrokerTBL!$A:$A,0))</f>
        <v>Scottsdale</v>
      </c>
      <c r="H445" s="235" t="str">
        <f>INDEX(BrokerTBL!$D:$D,MATCH(D445,BrokerTBL!$A:$A,0))</f>
        <v>Az</v>
      </c>
      <c r="I445" s="235" t="str">
        <f>INDEX(BrokerTBL!$E:$E,MATCH(D445,BrokerTBL!$A:$A,0))</f>
        <v>US</v>
      </c>
      <c r="J445" s="235">
        <f>INDEX(BrokerTBL!$F:$F,MATCH(D445,BrokerTBL!$A:$A,0))</f>
        <v>85258</v>
      </c>
      <c r="K445" s="548" t="s">
        <v>2374</v>
      </c>
      <c r="L445" s="552" t="s">
        <v>1205</v>
      </c>
      <c r="M445" s="549">
        <v>42513</v>
      </c>
      <c r="N445" s="550" t="s">
        <v>2901</v>
      </c>
      <c r="O445" s="550" t="s">
        <v>2375</v>
      </c>
      <c r="P445" s="548" t="s">
        <v>214</v>
      </c>
      <c r="Q445" s="548" t="s">
        <v>2206</v>
      </c>
      <c r="R445" s="548">
        <v>93725</v>
      </c>
      <c r="S445" s="548" t="s">
        <v>2207</v>
      </c>
      <c r="T445" s="548" t="s">
        <v>123</v>
      </c>
      <c r="U445" s="548" t="s">
        <v>120</v>
      </c>
      <c r="V445" s="548">
        <v>53</v>
      </c>
      <c r="W445" s="548" t="s">
        <v>2376</v>
      </c>
      <c r="X445" s="553">
        <v>44997</v>
      </c>
      <c r="Y445" s="550" t="s">
        <v>2220</v>
      </c>
      <c r="Z445" s="548" t="s">
        <v>123</v>
      </c>
      <c r="AA445" s="548">
        <v>24</v>
      </c>
      <c r="AB445" s="548" t="s">
        <v>123</v>
      </c>
      <c r="AC445" s="548" t="s">
        <v>2377</v>
      </c>
      <c r="AD445" s="552" t="s">
        <v>1205</v>
      </c>
      <c r="AE445" s="549">
        <v>42514</v>
      </c>
      <c r="AF445" s="549" t="s">
        <v>2902</v>
      </c>
      <c r="AG445" s="548" t="s">
        <v>2378</v>
      </c>
      <c r="AH445" s="548" t="s">
        <v>738</v>
      </c>
      <c r="AI445" s="548" t="s">
        <v>2233</v>
      </c>
      <c r="AJ445" s="548">
        <v>89502</v>
      </c>
      <c r="AK445" s="548" t="s">
        <v>2207</v>
      </c>
      <c r="AL445" s="548" t="s">
        <v>123</v>
      </c>
      <c r="AM445" s="554" t="str">
        <f>INDEX(CarrierDriverTBL!$B:$B,MATCH(Table1[[#This Row],[DriverID]],CarrierDriverTBL!$A:$A,0))</f>
        <v>UBTrucking</v>
      </c>
      <c r="AN445" s="10" t="s">
        <v>192</v>
      </c>
      <c r="AO445" s="555" t="str">
        <f>INDEX(CarrierDriverTBL!$C:$C,MATCH(Table1[[#This Row],[DriverID]],CarrierDriverTBL!$A:$A,0))</f>
        <v>Albel</v>
      </c>
      <c r="AP445" s="555" t="str">
        <f>INDEX(CarrierDriverTBL!$D:$D,MATCH(Table1[[#This Row],[DriverID]],CarrierDriverTBL!$A:$A,0))</f>
        <v>Chahil</v>
      </c>
      <c r="AQ445" s="555" t="str">
        <f>INDEX(CarrierDriverTBL!$X:$X,MATCH(Table1[[#This Row],[DriverID]],CarrierDriverTBL!$A:$A,0))</f>
        <v>A8390649</v>
      </c>
      <c r="AR445" s="556">
        <f>INDEX(CarrierDriverTBL!$Y:$Y,MATCH(Table1[[#This Row],[DriverID]],CarrierDriverTBL!$A:$A,0))</f>
        <v>42402</v>
      </c>
      <c r="AS445" s="554" t="str">
        <f t="shared" si="170"/>
        <v>EXPIRED</v>
      </c>
      <c r="AT445" s="556">
        <f>INDEX(CarrierDriverTBL!$E:$E,MATCH(Table1[[#This Row],[DriverID]],CarrierDriverTBL!$A:$A,0))</f>
        <v>22314</v>
      </c>
      <c r="AU445" s="557">
        <f ca="1">INDEX(CarrierDriverTBL!$F:$F,MATCH(Table1[[#This Row],[DriverID]],CarrierDriverTBL!$A:$A,0))</f>
        <v>55.512328767123286</v>
      </c>
      <c r="AV445" s="554" t="str">
        <f>INDEX(CarrierDriverTBL!$K:$K,MATCH(Table1[[#This Row],[DriverID]],CarrierDriverTBL!$A:$A,0))</f>
        <v>510-773-9450</v>
      </c>
      <c r="AW445" s="554" t="str">
        <f>INDEX(CarrierDriverTBL!$M:$M,MATCH(Table1[[#This Row],[DriverID]],CarrierDriverTBL!$A:$A,0))</f>
        <v>3124 Cynthia CT</v>
      </c>
      <c r="AX445" s="554" t="str">
        <f>INDEX(CarrierDriverTBL!$N:$N,MATCH(Table1[[#This Row],[DriverID]],CarrierDriverTBL!$A:$A,0))</f>
        <v>Tracy</v>
      </c>
      <c r="AY445" s="554" t="str">
        <f>INDEX(CarrierDriverTBL!$O:$O,MATCH(Table1[[#This Row],[DriverID]],CarrierDriverTBL!$A:$A,0))</f>
        <v>CA</v>
      </c>
      <c r="AZ445" s="554">
        <f>INDEX(CarrierDriverTBL!$P:$P,MATCH(Table1[[#This Row],[DriverID]],CarrierDriverTBL!$A:$A,0))</f>
        <v>95377</v>
      </c>
      <c r="BA445" s="554" t="str">
        <f>INDEX(CarrierDriverTBL!$Q:$Q,MATCH(Table1[[#This Row],[DriverID]],CarrierDriverTBL!$A:$A,0))</f>
        <v>US</v>
      </c>
      <c r="BB445" s="554" t="str">
        <f>INDEX(CarrierDriverTBL!$R:$R,MATCH(Table1[[#This Row],[DriverID]],CarrierDriverTBL!$A:$A,0))</f>
        <v>ubgollc@gmail.com</v>
      </c>
      <c r="BC445" s="556">
        <f>INDEX(CarrierDriverTBL!$AB:$AB,MATCH(Table1[[#This Row],[DriverID]],CarrierDriverTBL!$A:$A,0))</f>
        <v>42167</v>
      </c>
      <c r="BD445" s="555" t="str">
        <f ca="1">INDEX(CarrierDriverTBL!$AD:$AD,MATCH(LoadMaster!$AN:$AN,CarrierDriverTBL!$A:$A,0))</f>
        <v>MISSING</v>
      </c>
      <c r="BE445" s="555">
        <f>INDEX(CarrierDriverTBL!$AE:$AE,MATCH(Table1[DriverID],CarrierDriverTBL!$A:$A,0))</f>
        <v>913971</v>
      </c>
      <c r="BF445" s="554">
        <f>INDEX(CarrierDriverTBL!$AF:$AF,MATCH(Table1[DriverID],CarrierDriverTBL!$A:$A,0))</f>
        <v>2627544</v>
      </c>
      <c r="BG445" s="236">
        <f>INDEX(CarrierDriverTBL!$AG:$AG,MATCH(Table1[DriverID],CarrierDriverTBL!$A:$A,0))</f>
        <v>466133</v>
      </c>
      <c r="BH445" s="554" t="str">
        <f>INDEX(CarrierDriverTBL!$AH:$AH,MATCH(Table1[DriverID],CarrierDriverTBL!$A:$A,0))</f>
        <v>GM Lawrence Ins</v>
      </c>
      <c r="BI445" s="554" t="str">
        <f>INDEX(CarrierDriverTBL!$AI:$AI,MATCH(Table1[DriverID],CarrierDriverTBL!$A:$A,0))</f>
        <v>DSK2842P160210</v>
      </c>
      <c r="BJ445" s="556">
        <f>INDEX(CarrierDriverTBL!$AJ:$AJ,MATCH(Table1[[#This Row],[DriverID]],CarrierDriverTBL!$A:$A,0))</f>
        <v>42778</v>
      </c>
      <c r="BK445" s="554">
        <f t="shared" si="171"/>
        <v>265</v>
      </c>
      <c r="BL445" s="558">
        <v>650</v>
      </c>
      <c r="BM445" s="554">
        <v>300.10000000000002</v>
      </c>
      <c r="BN445" s="558">
        <f t="shared" si="188"/>
        <v>2.1659446851049649</v>
      </c>
      <c r="BO445" s="241">
        <f>0.93*Table1[[#This Row],[ChargeBroker]]</f>
        <v>604.5</v>
      </c>
      <c r="BP445" s="558">
        <f t="shared" si="189"/>
        <v>2.0143285571476173</v>
      </c>
      <c r="BQ445" s="558">
        <v>2.6</v>
      </c>
      <c r="BR445" s="559">
        <f t="shared" si="190"/>
        <v>0.1166666666666667</v>
      </c>
      <c r="BS445" s="558">
        <f t="shared" si="172"/>
        <v>1.8976618904809506</v>
      </c>
      <c r="BT445" s="558">
        <f t="shared" si="173"/>
        <v>35.011666666666677</v>
      </c>
      <c r="BU445" s="236" t="str">
        <f t="shared" si="174"/>
        <v>Globaltranz</v>
      </c>
      <c r="BV445" s="554"/>
      <c r="BW445" s="236" t="str">
        <f>Table1[[#This Row],[BrokerAddress]]</f>
        <v>PO Box 6348</v>
      </c>
      <c r="BX445" s="236" t="str">
        <f t="shared" si="175"/>
        <v>Scottsdale</v>
      </c>
      <c r="BY445" s="269" t="str">
        <f t="shared" si="176"/>
        <v>Az</v>
      </c>
      <c r="BZ445" s="236">
        <f t="shared" si="177"/>
        <v>85258</v>
      </c>
      <c r="CA445" s="236" t="str">
        <f t="shared" si="178"/>
        <v>US</v>
      </c>
      <c r="CB445" s="15" t="s">
        <v>131</v>
      </c>
      <c r="CC445" s="62"/>
      <c r="CD445" s="15" t="s">
        <v>132</v>
      </c>
      <c r="CE445" s="64">
        <v>0</v>
      </c>
      <c r="CF445" s="4">
        <v>0</v>
      </c>
      <c r="CG445" s="132">
        <f t="shared" si="179"/>
        <v>0</v>
      </c>
      <c r="CH445" s="4" t="s">
        <v>132</v>
      </c>
      <c r="CI445" s="5">
        <v>0</v>
      </c>
      <c r="CJ445" s="4">
        <v>0</v>
      </c>
      <c r="CK445" s="132">
        <f t="shared" si="180"/>
        <v>0</v>
      </c>
      <c r="CL445" s="4" t="s">
        <v>132</v>
      </c>
      <c r="CM445" s="5">
        <v>0</v>
      </c>
      <c r="CN445" s="4">
        <v>0</v>
      </c>
      <c r="CO445" s="132">
        <f t="shared" si="181"/>
        <v>0</v>
      </c>
      <c r="CP445" s="4" t="s">
        <v>132</v>
      </c>
      <c r="CQ445" s="5">
        <v>0</v>
      </c>
      <c r="CR445" s="4">
        <v>0</v>
      </c>
      <c r="CS445" s="132">
        <f t="shared" si="182"/>
        <v>0</v>
      </c>
      <c r="CT445" s="132">
        <f t="shared" si="183"/>
        <v>0</v>
      </c>
      <c r="CU445" s="238">
        <f t="shared" si="184"/>
        <v>650</v>
      </c>
      <c r="CV445" s="239">
        <f t="shared" ref="CV445:CV483" si="191">IF(AO445="Albel",(CT445*1),(CT445*0.93))</f>
        <v>0</v>
      </c>
      <c r="CW445" s="240">
        <f t="shared" si="168"/>
        <v>604.5</v>
      </c>
      <c r="CX445" s="79">
        <f>IF(ISBLANK(E445),"AddQuickPay",IF(E445=2,CU445*0.98,IF(E445=2.4,CU445*0.976,IF(E445=3,CU445*0.97,IF(E445=5,CU445*0.95,IF(E445=1.5,CU445*0.985,IF(E445=2.5,CU445*0.975,IF(E445=1.3,CU445*0.987,IF(E445=1,CU445*0.99,IF(E445=4,CU445*0.96,CU445*1))))))))))-Table1[[#This Row],[ComCheck+QuickPayFee]]</f>
        <v>650</v>
      </c>
      <c r="CY445" s="237">
        <f t="shared" si="185"/>
        <v>45.5</v>
      </c>
      <c r="CZ445" s="237">
        <f t="shared" si="186"/>
        <v>0</v>
      </c>
      <c r="DA445" s="263">
        <f>Table1[[#This Row],[OriginalDispatch]]-Table1[[#This Row],[QuickPayCharge]]</f>
        <v>45.5</v>
      </c>
      <c r="DB445" s="5">
        <v>0</v>
      </c>
      <c r="DC445" s="237" t="s">
        <v>133</v>
      </c>
      <c r="DD445" s="549">
        <f t="shared" si="187"/>
        <v>42517</v>
      </c>
      <c r="DE445" s="554">
        <f>MONTH(Table1[[#This Row],[Weekending]])</f>
        <v>5</v>
      </c>
      <c r="DF445" s="554">
        <f>YEAR(Table1[[#This Row],[Weekending]])</f>
        <v>2016</v>
      </c>
      <c r="DG445" s="235"/>
    </row>
    <row r="446" spans="1:111">
      <c r="A446" s="548" t="str">
        <f t="shared" si="169"/>
        <v>5011wn19</v>
      </c>
      <c r="B446" s="549">
        <v>42514</v>
      </c>
      <c r="C446" s="550">
        <v>7438250</v>
      </c>
      <c r="D446" s="548" t="s">
        <v>445</v>
      </c>
      <c r="E446" s="550">
        <v>3</v>
      </c>
      <c r="F446" s="551" t="str">
        <f>INDEX(BrokerTBL!$B:$B,MATCH(D446,BrokerTBL!$A:$A,0))</f>
        <v>960 Northpoint Parkway Suite 150</v>
      </c>
      <c r="G446" s="550" t="str">
        <f>INDEX(BrokerTBL!$C:$C,MATCH(D446,BrokerTBL!$A:$A,0))</f>
        <v>Alpharetta</v>
      </c>
      <c r="H446" s="235" t="str">
        <f>INDEX(BrokerTBL!$D:$D,MATCH(D446,BrokerTBL!$A:$A,0))</f>
        <v>Ga</v>
      </c>
      <c r="I446" s="235" t="str">
        <f>INDEX(BrokerTBL!$E:$E,MATCH(D446,BrokerTBL!$A:$A,0))</f>
        <v>US</v>
      </c>
      <c r="J446" s="235">
        <f>INDEX(BrokerTBL!$F:$F,MATCH(D446,BrokerTBL!$A:$A,0))</f>
        <v>30005</v>
      </c>
      <c r="K446" s="548" t="s">
        <v>2903</v>
      </c>
      <c r="L446" s="552">
        <v>331311</v>
      </c>
      <c r="M446" s="549">
        <v>42513</v>
      </c>
      <c r="N446" s="550" t="s">
        <v>427</v>
      </c>
      <c r="O446" s="550" t="s">
        <v>2904</v>
      </c>
      <c r="P446" s="548" t="s">
        <v>864</v>
      </c>
      <c r="Q446" s="548" t="s">
        <v>2206</v>
      </c>
      <c r="R446" s="548">
        <v>95035</v>
      </c>
      <c r="S446" s="548" t="s">
        <v>2207</v>
      </c>
      <c r="T446" s="548" t="s">
        <v>2905</v>
      </c>
      <c r="U446" s="548" t="s">
        <v>120</v>
      </c>
      <c r="V446" s="548">
        <v>53</v>
      </c>
      <c r="W446" s="548" t="s">
        <v>2906</v>
      </c>
      <c r="X446" s="553">
        <v>40000</v>
      </c>
      <c r="Y446" s="550" t="s">
        <v>2220</v>
      </c>
      <c r="Z446" s="548" t="s">
        <v>123</v>
      </c>
      <c r="AA446" s="548" t="s">
        <v>123</v>
      </c>
      <c r="AB446" s="548" t="s">
        <v>123</v>
      </c>
      <c r="AC446" s="548" t="s">
        <v>2907</v>
      </c>
      <c r="AD446" s="552" t="s">
        <v>1205</v>
      </c>
      <c r="AE446" s="549">
        <v>42514</v>
      </c>
      <c r="AF446" s="560">
        <v>0.33333333333333331</v>
      </c>
      <c r="AG446" s="548" t="s">
        <v>2908</v>
      </c>
      <c r="AH446" s="548" t="s">
        <v>2909</v>
      </c>
      <c r="AI446" s="548" t="s">
        <v>2206</v>
      </c>
      <c r="AJ446" s="548">
        <v>96021</v>
      </c>
      <c r="AK446" s="548" t="s">
        <v>2207</v>
      </c>
      <c r="AL446" s="548" t="s">
        <v>2910</v>
      </c>
      <c r="AM446" s="554" t="str">
        <f>INDEX(CarrierDriverTBL!$B:$B,MATCH(Table1[[#This Row],[DriverID]],CarrierDriverTBL!$A:$A,0))</f>
        <v>UBTrucking</v>
      </c>
      <c r="AN446" s="10" t="s">
        <v>1409</v>
      </c>
      <c r="AO446" s="555" t="str">
        <f>INDEX(CarrierDriverTBL!$C:$C,MATCH(Table1[[#This Row],[DriverID]],CarrierDriverTBL!$A:$A,0))</f>
        <v>Miguel Jaime</v>
      </c>
      <c r="AP446" s="555" t="str">
        <f>INDEX(CarrierDriverTBL!$D:$D,MATCH(Table1[[#This Row],[DriverID]],CarrierDriverTBL!$A:$A,0))</f>
        <v>Martin Del Campo Velarca</v>
      </c>
      <c r="AQ446" s="555" t="str">
        <f>INDEX(CarrierDriverTBL!$X:$X,MATCH(Table1[[#This Row],[DriverID]],CarrierDriverTBL!$A:$A,0))</f>
        <v>D5179619</v>
      </c>
      <c r="AR446" s="556">
        <f>INDEX(CarrierDriverTBL!$Y:$Y,MATCH(Table1[[#This Row],[DriverID]],CarrierDriverTBL!$A:$A,0))</f>
        <v>43843</v>
      </c>
      <c r="AS446" s="554" t="str">
        <f t="shared" si="170"/>
        <v>GOOD</v>
      </c>
      <c r="AT446" s="556">
        <f>INDEX(CarrierDriverTBL!$E:$E,MATCH(Table1[[#This Row],[DriverID]],CarrierDriverTBL!$A:$A,0))</f>
        <v>21198</v>
      </c>
      <c r="AU446" s="557">
        <f ca="1">INDEX(CarrierDriverTBL!$F:$F,MATCH(Table1[[#This Row],[DriverID]],CarrierDriverTBL!$A:$A,0))</f>
        <v>58.56986301369863</v>
      </c>
      <c r="AV446" s="554" t="str">
        <f>INDEX(CarrierDriverTBL!$K:$K,MATCH(Table1[[#This Row],[DriverID]],CarrierDriverTBL!$A:$A,0))</f>
        <v>209-322-5231</v>
      </c>
      <c r="AW446" s="554" t="str">
        <f>INDEX(CarrierDriverTBL!$M:$M,MATCH(Table1[[#This Row],[DriverID]],CarrierDriverTBL!$A:$A,0))</f>
        <v>572 Predersen RD</v>
      </c>
      <c r="AX446" s="554" t="str">
        <f>INDEX(CarrierDriverTBL!$N:$N,MATCH(Table1[[#This Row],[DriverID]],CarrierDriverTBL!$A:$A,0))</f>
        <v>Oakdale</v>
      </c>
      <c r="AY446" s="554" t="str">
        <f>INDEX(CarrierDriverTBL!$O:$O,MATCH(Table1[[#This Row],[DriverID]],CarrierDriverTBL!$A:$A,0))</f>
        <v>CA</v>
      </c>
      <c r="AZ446" s="554">
        <f>INDEX(CarrierDriverTBL!$P:$P,MATCH(Table1[[#This Row],[DriverID]],CarrierDriverTBL!$A:$A,0))</f>
        <v>95361</v>
      </c>
      <c r="BA446" s="554" t="str">
        <f>INDEX(CarrierDriverTBL!$Q:$Q,MATCH(Table1[[#This Row],[DriverID]],CarrierDriverTBL!$A:$A,0))</f>
        <v>US</v>
      </c>
      <c r="BB446" s="554" t="str">
        <f>INDEX(CarrierDriverTBL!$R:$R,MATCH(Table1[[#This Row],[DriverID]],CarrierDriverTBL!$A:$A,0))</f>
        <v>Miguelmartin52@yahoo.com</v>
      </c>
      <c r="BC446" s="556">
        <f>INDEX(CarrierDriverTBL!$AB:$AB,MATCH(Table1[[#This Row],[DriverID]],CarrierDriverTBL!$A:$A,0))</f>
        <v>42334</v>
      </c>
      <c r="BD446" s="555" t="str">
        <f ca="1">INDEX(CarrierDriverTBL!$AD:$AD,MATCH(LoadMaster!$AN:$AN,CarrierDriverTBL!$A:$A,0))</f>
        <v>MISSING</v>
      </c>
      <c r="BE446" s="555">
        <f>INDEX(CarrierDriverTBL!$AE:$AE,MATCH(Table1[DriverID],CarrierDriverTBL!$A:$A,0))</f>
        <v>913971</v>
      </c>
      <c r="BF446" s="554">
        <f>INDEX(CarrierDriverTBL!$AF:$AF,MATCH(Table1[DriverID],CarrierDriverTBL!$A:$A,0))</f>
        <v>2627544</v>
      </c>
      <c r="BG446" s="236">
        <f>INDEX(CarrierDriverTBL!$AG:$AG,MATCH(Table1[DriverID],CarrierDriverTBL!$A:$A,0))</f>
        <v>466133</v>
      </c>
      <c r="BH446" s="554" t="str">
        <f>INDEX(CarrierDriverTBL!$AH:$AH,MATCH(Table1[DriverID],CarrierDriverTBL!$A:$A,0))</f>
        <v>GM Lawrence Ins</v>
      </c>
      <c r="BI446" s="554" t="str">
        <f>INDEX(CarrierDriverTBL!$AI:$AI,MATCH(Table1[DriverID],CarrierDriverTBL!$A:$A,0))</f>
        <v>DSK2842P160210</v>
      </c>
      <c r="BJ446" s="556">
        <f>INDEX(CarrierDriverTBL!$AJ:$AJ,MATCH(Table1[[#This Row],[DriverID]],CarrierDriverTBL!$A:$A,0))</f>
        <v>42778</v>
      </c>
      <c r="BK446" s="554">
        <f t="shared" si="171"/>
        <v>265</v>
      </c>
      <c r="BL446" s="558">
        <v>685</v>
      </c>
      <c r="BM446" s="554">
        <v>191.8</v>
      </c>
      <c r="BN446" s="558">
        <f t="shared" si="188"/>
        <v>3.5714285714285712</v>
      </c>
      <c r="BO446" s="241">
        <f>0.93*Table1[[#This Row],[ChargeBroker]]</f>
        <v>637.05000000000007</v>
      </c>
      <c r="BP446" s="558">
        <f t="shared" si="189"/>
        <v>3.3214285714285716</v>
      </c>
      <c r="BQ446" s="558">
        <v>2.6</v>
      </c>
      <c r="BR446" s="559">
        <f t="shared" si="190"/>
        <v>0.1166666666666667</v>
      </c>
      <c r="BS446" s="558">
        <f t="shared" si="172"/>
        <v>3.2047619047619049</v>
      </c>
      <c r="BT446" s="558">
        <f t="shared" si="173"/>
        <v>22.376666666666672</v>
      </c>
      <c r="BU446" s="236" t="str">
        <f t="shared" si="174"/>
        <v>Coyote</v>
      </c>
      <c r="BV446" s="554"/>
      <c r="BW446" s="236" t="str">
        <f>Table1[[#This Row],[BrokerAddress]]</f>
        <v>960 Northpoint Parkway Suite 150</v>
      </c>
      <c r="BX446" s="236" t="str">
        <f t="shared" si="175"/>
        <v>Alpharetta</v>
      </c>
      <c r="BY446" s="269" t="str">
        <f t="shared" si="176"/>
        <v>Ga</v>
      </c>
      <c r="BZ446" s="236">
        <f t="shared" si="177"/>
        <v>30005</v>
      </c>
      <c r="CA446" s="236" t="str">
        <f t="shared" si="178"/>
        <v>US</v>
      </c>
      <c r="CB446" s="15" t="s">
        <v>131</v>
      </c>
      <c r="CC446" s="62"/>
      <c r="CD446" s="15" t="s">
        <v>132</v>
      </c>
      <c r="CE446" s="64">
        <v>0</v>
      </c>
      <c r="CF446" s="4">
        <v>0</v>
      </c>
      <c r="CG446" s="132">
        <f t="shared" si="179"/>
        <v>0</v>
      </c>
      <c r="CH446" s="4" t="s">
        <v>132</v>
      </c>
      <c r="CI446" s="5">
        <v>0</v>
      </c>
      <c r="CJ446" s="4">
        <v>0</v>
      </c>
      <c r="CK446" s="132">
        <f t="shared" si="180"/>
        <v>0</v>
      </c>
      <c r="CL446" s="4" t="s">
        <v>132</v>
      </c>
      <c r="CM446" s="5">
        <v>0</v>
      </c>
      <c r="CN446" s="4">
        <v>0</v>
      </c>
      <c r="CO446" s="132">
        <f t="shared" si="181"/>
        <v>0</v>
      </c>
      <c r="CP446" s="4" t="s">
        <v>132</v>
      </c>
      <c r="CQ446" s="5">
        <v>0</v>
      </c>
      <c r="CR446" s="4">
        <v>0</v>
      </c>
      <c r="CS446" s="132">
        <f t="shared" si="182"/>
        <v>0</v>
      </c>
      <c r="CT446" s="132">
        <f t="shared" si="183"/>
        <v>0</v>
      </c>
      <c r="CU446" s="238">
        <f t="shared" si="184"/>
        <v>685</v>
      </c>
      <c r="CV446" s="239">
        <f t="shared" si="191"/>
        <v>0</v>
      </c>
      <c r="CW446" s="240">
        <f t="shared" si="168"/>
        <v>637.05000000000007</v>
      </c>
      <c r="CX446" s="79">
        <f>IF(ISBLANK(E446),"AddQuickPay",IF(E446=2,CU446*0.98,IF(E446=2.4,CU446*0.976,IF(E446=3,CU446*0.97,IF(E446=5,CU446*0.95,IF(E446=1.5,CU446*0.985,IF(E446=2.5,CU446*0.975,IF(E446=1.3,CU446*0.987,IF(E446=1,CU446*0.99,IF(E446=4,CU446*0.96,CU446*1))))))))))-Table1[[#This Row],[ComCheck+QuickPayFee]]</f>
        <v>664.44999999999993</v>
      </c>
      <c r="CY446" s="237">
        <f t="shared" si="185"/>
        <v>47.949999999999932</v>
      </c>
      <c r="CZ446" s="237">
        <f t="shared" si="186"/>
        <v>20.55</v>
      </c>
      <c r="DA446" s="263">
        <f>Table1[[#This Row],[OriginalDispatch]]-Table1[[#This Row],[QuickPayCharge]]</f>
        <v>27.399999999999931</v>
      </c>
      <c r="DB446" s="5">
        <v>0</v>
      </c>
      <c r="DC446" s="237" t="s">
        <v>133</v>
      </c>
      <c r="DD446" s="549">
        <f t="shared" si="187"/>
        <v>42517</v>
      </c>
      <c r="DE446" s="554">
        <f>MONTH(Table1[[#This Row],[Weekending]])</f>
        <v>5</v>
      </c>
      <c r="DF446" s="554">
        <f>YEAR(Table1[[#This Row],[Weekending]])</f>
        <v>2016</v>
      </c>
      <c r="DG446" s="235"/>
    </row>
    <row r="447" spans="1:111">
      <c r="A447" s="548" t="str">
        <f t="shared" si="169"/>
        <v>49SASA49</v>
      </c>
      <c r="B447" s="549">
        <v>42514</v>
      </c>
      <c r="C447" s="550">
        <v>110849</v>
      </c>
      <c r="D447" s="548" t="s">
        <v>2911</v>
      </c>
      <c r="E447" s="550">
        <v>0</v>
      </c>
      <c r="F447" s="551" t="str">
        <f>INDEX(BrokerTBL!$B:$B,MATCH(D447,BrokerTBL!$A:$A,0))</f>
        <v>P. O. Box 647</v>
      </c>
      <c r="G447" s="550" t="str">
        <f>INDEX(BrokerTBL!$C:$C,MATCH(D447,BrokerTBL!$A:$A,0))</f>
        <v>Olive Branch</v>
      </c>
      <c r="H447" s="235" t="str">
        <f>INDEX(BrokerTBL!$D:$D,MATCH(D447,BrokerTBL!$A:$A,0))</f>
        <v>MS</v>
      </c>
      <c r="I447" s="235" t="str">
        <f>INDEX(BrokerTBL!$E:$E,MATCH(D447,BrokerTBL!$A:$A,0))</f>
        <v>US</v>
      </c>
      <c r="J447" s="235">
        <f>INDEX(BrokerTBL!$F:$F,MATCH(D447,BrokerTBL!$A:$A,0))</f>
        <v>38654</v>
      </c>
      <c r="K447" s="548" t="s">
        <v>2912</v>
      </c>
      <c r="L447" s="552" t="s">
        <v>2913</v>
      </c>
      <c r="M447" s="549">
        <v>42514</v>
      </c>
      <c r="N447" s="560">
        <v>0.66666666666666663</v>
      </c>
      <c r="O447" s="550" t="s">
        <v>2914</v>
      </c>
      <c r="P447" s="548" t="s">
        <v>738</v>
      </c>
      <c r="Q447" s="548" t="s">
        <v>2233</v>
      </c>
      <c r="R447" s="548">
        <v>89506</v>
      </c>
      <c r="S447" s="548" t="s">
        <v>2207</v>
      </c>
      <c r="T447" s="548" t="s">
        <v>2915</v>
      </c>
      <c r="U447" s="548" t="s">
        <v>120</v>
      </c>
      <c r="V447" s="548">
        <v>53</v>
      </c>
      <c r="W447" s="548" t="s">
        <v>2916</v>
      </c>
      <c r="X447" s="553">
        <v>41000</v>
      </c>
      <c r="Y447" s="550" t="s">
        <v>123</v>
      </c>
      <c r="Z447" s="548" t="s">
        <v>123</v>
      </c>
      <c r="AA447" s="548" t="s">
        <v>123</v>
      </c>
      <c r="AB447" s="548" t="s">
        <v>123</v>
      </c>
      <c r="AC447" s="548" t="s">
        <v>2917</v>
      </c>
      <c r="AD447" s="552" t="s">
        <v>2913</v>
      </c>
      <c r="AE447" s="549">
        <v>42515</v>
      </c>
      <c r="AF447" s="549" t="s">
        <v>2918</v>
      </c>
      <c r="AG447" s="548" t="s">
        <v>2919</v>
      </c>
      <c r="AH447" s="548" t="s">
        <v>595</v>
      </c>
      <c r="AI447" s="548" t="s">
        <v>2206</v>
      </c>
      <c r="AJ447" s="548">
        <v>95122</v>
      </c>
      <c r="AK447" s="548" t="s">
        <v>2207</v>
      </c>
      <c r="AL447" s="548" t="s">
        <v>2920</v>
      </c>
      <c r="AM447" s="554" t="str">
        <f>INDEX(CarrierDriverTBL!$B:$B,MATCH(Table1[[#This Row],[DriverID]],CarrierDriverTBL!$A:$A,0))</f>
        <v>UBTrucking</v>
      </c>
      <c r="AN447" s="10" t="s">
        <v>192</v>
      </c>
      <c r="AO447" s="555" t="str">
        <f>INDEX(CarrierDriverTBL!$C:$C,MATCH(Table1[[#This Row],[DriverID]],CarrierDriverTBL!$A:$A,0))</f>
        <v>Albel</v>
      </c>
      <c r="AP447" s="555" t="str">
        <f>INDEX(CarrierDriverTBL!$D:$D,MATCH(Table1[[#This Row],[DriverID]],CarrierDriverTBL!$A:$A,0))</f>
        <v>Chahil</v>
      </c>
      <c r="AQ447" s="555" t="str">
        <f>INDEX(CarrierDriverTBL!$X:$X,MATCH(Table1[[#This Row],[DriverID]],CarrierDriverTBL!$A:$A,0))</f>
        <v>A8390649</v>
      </c>
      <c r="AR447" s="556">
        <f>INDEX(CarrierDriverTBL!$Y:$Y,MATCH(Table1[[#This Row],[DriverID]],CarrierDriverTBL!$A:$A,0))</f>
        <v>42402</v>
      </c>
      <c r="AS447" s="554" t="str">
        <f t="shared" si="170"/>
        <v>EXPIRED</v>
      </c>
      <c r="AT447" s="556">
        <f>INDEX(CarrierDriverTBL!$E:$E,MATCH(Table1[[#This Row],[DriverID]],CarrierDriverTBL!$A:$A,0))</f>
        <v>22314</v>
      </c>
      <c r="AU447" s="557">
        <f ca="1">INDEX(CarrierDriverTBL!$F:$F,MATCH(Table1[[#This Row],[DriverID]],CarrierDriverTBL!$A:$A,0))</f>
        <v>55.512328767123286</v>
      </c>
      <c r="AV447" s="554" t="str">
        <f>INDEX(CarrierDriverTBL!$K:$K,MATCH(Table1[[#This Row],[DriverID]],CarrierDriverTBL!$A:$A,0))</f>
        <v>510-773-9450</v>
      </c>
      <c r="AW447" s="554" t="str">
        <f>INDEX(CarrierDriverTBL!$M:$M,MATCH(Table1[[#This Row],[DriverID]],CarrierDriverTBL!$A:$A,0))</f>
        <v>3124 Cynthia CT</v>
      </c>
      <c r="AX447" s="554" t="str">
        <f>INDEX(CarrierDriverTBL!$N:$N,MATCH(Table1[[#This Row],[DriverID]],CarrierDriverTBL!$A:$A,0))</f>
        <v>Tracy</v>
      </c>
      <c r="AY447" s="554" t="str">
        <f>INDEX(CarrierDriverTBL!$O:$O,MATCH(Table1[[#This Row],[DriverID]],CarrierDriverTBL!$A:$A,0))</f>
        <v>CA</v>
      </c>
      <c r="AZ447" s="554">
        <f>INDEX(CarrierDriverTBL!$P:$P,MATCH(Table1[[#This Row],[DriverID]],CarrierDriverTBL!$A:$A,0))</f>
        <v>95377</v>
      </c>
      <c r="BA447" s="554" t="str">
        <f>INDEX(CarrierDriverTBL!$Q:$Q,MATCH(Table1[[#This Row],[DriverID]],CarrierDriverTBL!$A:$A,0))</f>
        <v>US</v>
      </c>
      <c r="BB447" s="554" t="str">
        <f>INDEX(CarrierDriverTBL!$R:$R,MATCH(Table1[[#This Row],[DriverID]],CarrierDriverTBL!$A:$A,0))</f>
        <v>ubgollc@gmail.com</v>
      </c>
      <c r="BC447" s="556">
        <f>INDEX(CarrierDriverTBL!$AB:$AB,MATCH(Table1[[#This Row],[DriverID]],CarrierDriverTBL!$A:$A,0))</f>
        <v>42167</v>
      </c>
      <c r="BD447" s="555" t="str">
        <f ca="1">INDEX(CarrierDriverTBL!$AD:$AD,MATCH(LoadMaster!$AN:$AN,CarrierDriverTBL!$A:$A,0))</f>
        <v>MISSING</v>
      </c>
      <c r="BE447" s="555">
        <f>INDEX(CarrierDriverTBL!$AE:$AE,MATCH(Table1[DriverID],CarrierDriverTBL!$A:$A,0))</f>
        <v>913971</v>
      </c>
      <c r="BF447" s="554">
        <f>INDEX(CarrierDriverTBL!$AF:$AF,MATCH(Table1[DriverID],CarrierDriverTBL!$A:$A,0))</f>
        <v>2627544</v>
      </c>
      <c r="BG447" s="236">
        <f>INDEX(CarrierDriverTBL!$AG:$AG,MATCH(Table1[DriverID],CarrierDriverTBL!$A:$A,0))</f>
        <v>466133</v>
      </c>
      <c r="BH447" s="554" t="str">
        <f>INDEX(CarrierDriverTBL!$AH:$AH,MATCH(Table1[DriverID],CarrierDriverTBL!$A:$A,0))</f>
        <v>GM Lawrence Ins</v>
      </c>
      <c r="BI447" s="554" t="str">
        <f>INDEX(CarrierDriverTBL!$AI:$AI,MATCH(Table1[DriverID],CarrierDriverTBL!$A:$A,0))</f>
        <v>DSK2842P160210</v>
      </c>
      <c r="BJ447" s="556">
        <f>INDEX(CarrierDriverTBL!$AJ:$AJ,MATCH(Table1[[#This Row],[DriverID]],CarrierDriverTBL!$A:$A,0))</f>
        <v>42778</v>
      </c>
      <c r="BK447" s="554">
        <f t="shared" si="171"/>
        <v>264</v>
      </c>
      <c r="BL447" s="558">
        <v>500</v>
      </c>
      <c r="BM447" s="554">
        <v>255</v>
      </c>
      <c r="BN447" s="558">
        <f t="shared" si="188"/>
        <v>1.9607843137254901</v>
      </c>
      <c r="BO447" s="241">
        <f>0.93*Table1[[#This Row],[ChargeBroker]]</f>
        <v>465</v>
      </c>
      <c r="BP447" s="558">
        <f t="shared" si="189"/>
        <v>1.8235294117647058</v>
      </c>
      <c r="BQ447" s="558">
        <v>2.6</v>
      </c>
      <c r="BR447" s="559">
        <f t="shared" si="190"/>
        <v>0.1166666666666667</v>
      </c>
      <c r="BS447" s="558">
        <f t="shared" si="172"/>
        <v>1.7068627450980391</v>
      </c>
      <c r="BT447" s="558">
        <f t="shared" si="173"/>
        <v>29.750000000000007</v>
      </c>
      <c r="BU447" s="236" t="str">
        <f t="shared" si="174"/>
        <v>Covenant Express</v>
      </c>
      <c r="BV447" s="554"/>
      <c r="BW447" s="236" t="str">
        <f>Table1[[#This Row],[BrokerAddress]]</f>
        <v>P. O. Box 647</v>
      </c>
      <c r="BX447" s="236" t="str">
        <f t="shared" si="175"/>
        <v>Olive Branch</v>
      </c>
      <c r="BY447" s="269" t="str">
        <f t="shared" si="176"/>
        <v>MS</v>
      </c>
      <c r="BZ447" s="236">
        <f t="shared" si="177"/>
        <v>38654</v>
      </c>
      <c r="CA447" s="236" t="str">
        <f t="shared" si="178"/>
        <v>US</v>
      </c>
      <c r="CB447" s="15" t="s">
        <v>131</v>
      </c>
      <c r="CC447" s="62"/>
      <c r="CD447" s="15" t="s">
        <v>132</v>
      </c>
      <c r="CE447" s="64">
        <v>0</v>
      </c>
      <c r="CF447" s="4">
        <v>0</v>
      </c>
      <c r="CG447" s="132">
        <f t="shared" si="179"/>
        <v>0</v>
      </c>
      <c r="CH447" s="4" t="s">
        <v>132</v>
      </c>
      <c r="CI447" s="5">
        <v>0</v>
      </c>
      <c r="CJ447" s="4">
        <v>0</v>
      </c>
      <c r="CK447" s="132">
        <f t="shared" si="180"/>
        <v>0</v>
      </c>
      <c r="CL447" s="4" t="s">
        <v>132</v>
      </c>
      <c r="CM447" s="5">
        <v>0</v>
      </c>
      <c r="CN447" s="4">
        <v>0</v>
      </c>
      <c r="CO447" s="132">
        <f t="shared" si="181"/>
        <v>0</v>
      </c>
      <c r="CP447" s="4" t="s">
        <v>132</v>
      </c>
      <c r="CQ447" s="5">
        <v>0</v>
      </c>
      <c r="CR447" s="4">
        <v>0</v>
      </c>
      <c r="CS447" s="132">
        <f t="shared" si="182"/>
        <v>0</v>
      </c>
      <c r="CT447" s="132">
        <f t="shared" si="183"/>
        <v>0</v>
      </c>
      <c r="CU447" s="238">
        <f t="shared" si="184"/>
        <v>500</v>
      </c>
      <c r="CV447" s="239">
        <f t="shared" si="191"/>
        <v>0</v>
      </c>
      <c r="CW447" s="240">
        <f t="shared" si="168"/>
        <v>465</v>
      </c>
      <c r="CX447" s="79">
        <f>IF(ISBLANK(E447),"AddQuickPay",IF(E447=2,CU447*0.98,IF(E447=2.4,CU447*0.976,IF(E447=3,CU447*0.97,IF(E447=5,CU447*0.95,IF(E447=1.5,CU447*0.985,IF(E447=2.5,CU447*0.975,IF(E447=1.3,CU447*0.987,IF(E447=1,CU447*0.99,IF(E447=4,CU447*0.96,CU447*1))))))))))-Table1[[#This Row],[ComCheck+QuickPayFee]]</f>
        <v>500</v>
      </c>
      <c r="CY447" s="237">
        <f t="shared" si="185"/>
        <v>35</v>
      </c>
      <c r="CZ447" s="237">
        <f t="shared" si="186"/>
        <v>0</v>
      </c>
      <c r="DA447" s="263">
        <f>Table1[[#This Row],[OriginalDispatch]]-Table1[[#This Row],[QuickPayCharge]]</f>
        <v>35</v>
      </c>
      <c r="DB447" s="5">
        <v>0</v>
      </c>
      <c r="DC447" s="237" t="s">
        <v>133</v>
      </c>
      <c r="DD447" s="549">
        <f t="shared" si="187"/>
        <v>42517</v>
      </c>
      <c r="DE447" s="554">
        <f>MONTH(Table1[[#This Row],[Weekending]])</f>
        <v>5</v>
      </c>
      <c r="DF447" s="554">
        <f>YEAR(Table1[[#This Row],[Weekending]])</f>
        <v>2016</v>
      </c>
      <c r="DG447" s="235"/>
    </row>
    <row r="448" spans="1:111">
      <c r="A448" s="548" t="str">
        <f t="shared" si="169"/>
        <v>51787819</v>
      </c>
      <c r="B448" s="549">
        <v>42514</v>
      </c>
      <c r="C448" s="550">
        <v>7447351</v>
      </c>
      <c r="D448" s="548" t="s">
        <v>445</v>
      </c>
      <c r="E448" s="550">
        <v>3</v>
      </c>
      <c r="F448" s="551" t="str">
        <f>INDEX(BrokerTBL!$B:$B,MATCH(D448,BrokerTBL!$A:$A,0))</f>
        <v>960 Northpoint Parkway Suite 150</v>
      </c>
      <c r="G448" s="550" t="str">
        <f>INDEX(BrokerTBL!$C:$C,MATCH(D448,BrokerTBL!$A:$A,0))</f>
        <v>Alpharetta</v>
      </c>
      <c r="H448" s="235" t="str">
        <f>INDEX(BrokerTBL!$D:$D,MATCH(D448,BrokerTBL!$A:$A,0))</f>
        <v>Ga</v>
      </c>
      <c r="I448" s="235" t="str">
        <f>INDEX(BrokerTBL!$E:$E,MATCH(D448,BrokerTBL!$A:$A,0))</f>
        <v>US</v>
      </c>
      <c r="J448" s="235">
        <f>INDEX(BrokerTBL!$F:$F,MATCH(D448,BrokerTBL!$A:$A,0))</f>
        <v>30005</v>
      </c>
      <c r="K448" s="548" t="s">
        <v>2752</v>
      </c>
      <c r="L448" s="552" t="s">
        <v>2921</v>
      </c>
      <c r="M448" s="549">
        <v>42514</v>
      </c>
      <c r="N448" s="550" t="s">
        <v>1316</v>
      </c>
      <c r="O448" s="550" t="s">
        <v>535</v>
      </c>
      <c r="P448" s="548" t="s">
        <v>536</v>
      </c>
      <c r="Q448" s="548" t="s">
        <v>2206</v>
      </c>
      <c r="R448" s="548">
        <v>95963</v>
      </c>
      <c r="S448" s="548" t="s">
        <v>2207</v>
      </c>
      <c r="T448" s="548" t="s">
        <v>2922</v>
      </c>
      <c r="U448" s="548" t="s">
        <v>120</v>
      </c>
      <c r="V448" s="548">
        <v>53</v>
      </c>
      <c r="W448" s="548" t="s">
        <v>2754</v>
      </c>
      <c r="X448" s="553">
        <v>43000</v>
      </c>
      <c r="Y448" s="550" t="s">
        <v>2220</v>
      </c>
      <c r="Z448" s="548" t="s">
        <v>123</v>
      </c>
      <c r="AA448" s="548" t="s">
        <v>123</v>
      </c>
      <c r="AB448" s="548" t="s">
        <v>123</v>
      </c>
      <c r="AC448" s="548" t="s">
        <v>2755</v>
      </c>
      <c r="AD448" s="552" t="s">
        <v>2921</v>
      </c>
      <c r="AE448" s="549">
        <v>42514</v>
      </c>
      <c r="AF448" s="560">
        <v>0.625</v>
      </c>
      <c r="AG448" s="548" t="s">
        <v>2756</v>
      </c>
      <c r="AH448" s="548" t="s">
        <v>2684</v>
      </c>
      <c r="AI448" s="548" t="s">
        <v>2206</v>
      </c>
      <c r="AJ448" s="548">
        <v>95240</v>
      </c>
      <c r="AK448" s="548" t="s">
        <v>2207</v>
      </c>
      <c r="AL448" s="548" t="s">
        <v>2923</v>
      </c>
      <c r="AM448" s="554" t="str">
        <f>INDEX(CarrierDriverTBL!$B:$B,MATCH(Table1[[#This Row],[DriverID]],CarrierDriverTBL!$A:$A,0))</f>
        <v>UBTrucking</v>
      </c>
      <c r="AN448" s="10" t="s">
        <v>1409</v>
      </c>
      <c r="AO448" s="555" t="str">
        <f>INDEX(CarrierDriverTBL!$C:$C,MATCH(Table1[[#This Row],[DriverID]],CarrierDriverTBL!$A:$A,0))</f>
        <v>Miguel Jaime</v>
      </c>
      <c r="AP448" s="555" t="str">
        <f>INDEX(CarrierDriverTBL!$D:$D,MATCH(Table1[[#This Row],[DriverID]],CarrierDriverTBL!$A:$A,0))</f>
        <v>Martin Del Campo Velarca</v>
      </c>
      <c r="AQ448" s="555" t="str">
        <f>INDEX(CarrierDriverTBL!$X:$X,MATCH(Table1[[#This Row],[DriverID]],CarrierDriverTBL!$A:$A,0))</f>
        <v>D5179619</v>
      </c>
      <c r="AR448" s="556">
        <f>INDEX(CarrierDriverTBL!$Y:$Y,MATCH(Table1[[#This Row],[DriverID]],CarrierDriverTBL!$A:$A,0))</f>
        <v>43843</v>
      </c>
      <c r="AS448" s="554" t="str">
        <f t="shared" si="170"/>
        <v>GOOD</v>
      </c>
      <c r="AT448" s="556">
        <f>INDEX(CarrierDriverTBL!$E:$E,MATCH(Table1[[#This Row],[DriverID]],CarrierDriverTBL!$A:$A,0))</f>
        <v>21198</v>
      </c>
      <c r="AU448" s="557">
        <f ca="1">INDEX(CarrierDriverTBL!$F:$F,MATCH(Table1[[#This Row],[DriverID]],CarrierDriverTBL!$A:$A,0))</f>
        <v>58.56986301369863</v>
      </c>
      <c r="AV448" s="554" t="str">
        <f>INDEX(CarrierDriverTBL!$K:$K,MATCH(Table1[[#This Row],[DriverID]],CarrierDriverTBL!$A:$A,0))</f>
        <v>209-322-5231</v>
      </c>
      <c r="AW448" s="554" t="str">
        <f>INDEX(CarrierDriverTBL!$M:$M,MATCH(Table1[[#This Row],[DriverID]],CarrierDriverTBL!$A:$A,0))</f>
        <v>572 Predersen RD</v>
      </c>
      <c r="AX448" s="554" t="str">
        <f>INDEX(CarrierDriverTBL!$N:$N,MATCH(Table1[[#This Row],[DriverID]],CarrierDriverTBL!$A:$A,0))</f>
        <v>Oakdale</v>
      </c>
      <c r="AY448" s="554" t="str">
        <f>INDEX(CarrierDriverTBL!$O:$O,MATCH(Table1[[#This Row],[DriverID]],CarrierDriverTBL!$A:$A,0))</f>
        <v>CA</v>
      </c>
      <c r="AZ448" s="554">
        <f>INDEX(CarrierDriverTBL!$P:$P,MATCH(Table1[[#This Row],[DriverID]],CarrierDriverTBL!$A:$A,0))</f>
        <v>95361</v>
      </c>
      <c r="BA448" s="554" t="str">
        <f>INDEX(CarrierDriverTBL!$Q:$Q,MATCH(Table1[[#This Row],[DriverID]],CarrierDriverTBL!$A:$A,0))</f>
        <v>US</v>
      </c>
      <c r="BB448" s="554" t="str">
        <f>INDEX(CarrierDriverTBL!$R:$R,MATCH(Table1[[#This Row],[DriverID]],CarrierDriverTBL!$A:$A,0))</f>
        <v>Miguelmartin52@yahoo.com</v>
      </c>
      <c r="BC448" s="556">
        <f>INDEX(CarrierDriverTBL!$AB:$AB,MATCH(Table1[[#This Row],[DriverID]],CarrierDriverTBL!$A:$A,0))</f>
        <v>42334</v>
      </c>
      <c r="BD448" s="555" t="str">
        <f ca="1">INDEX(CarrierDriverTBL!$AD:$AD,MATCH(LoadMaster!$AN:$AN,CarrierDriverTBL!$A:$A,0))</f>
        <v>MISSING</v>
      </c>
      <c r="BE448" s="555">
        <f>INDEX(CarrierDriverTBL!$AE:$AE,MATCH(Table1[DriverID],CarrierDriverTBL!$A:$A,0))</f>
        <v>913971</v>
      </c>
      <c r="BF448" s="554">
        <f>INDEX(CarrierDriverTBL!$AF:$AF,MATCH(Table1[DriverID],CarrierDriverTBL!$A:$A,0))</f>
        <v>2627544</v>
      </c>
      <c r="BG448" s="236">
        <f>INDEX(CarrierDriverTBL!$AG:$AG,MATCH(Table1[DriverID],CarrierDriverTBL!$A:$A,0))</f>
        <v>466133</v>
      </c>
      <c r="BH448" s="554" t="str">
        <f>INDEX(CarrierDriverTBL!$AH:$AH,MATCH(Table1[DriverID],CarrierDriverTBL!$A:$A,0))</f>
        <v>GM Lawrence Ins</v>
      </c>
      <c r="BI448" s="554" t="str">
        <f>INDEX(CarrierDriverTBL!$AI:$AI,MATCH(Table1[DriverID],CarrierDriverTBL!$A:$A,0))</f>
        <v>DSK2842P160210</v>
      </c>
      <c r="BJ448" s="556">
        <f>INDEX(CarrierDriverTBL!$AJ:$AJ,MATCH(Table1[[#This Row],[DriverID]],CarrierDriverTBL!$A:$A,0))</f>
        <v>42778</v>
      </c>
      <c r="BK448" s="554">
        <f t="shared" si="171"/>
        <v>264</v>
      </c>
      <c r="BL448" s="558">
        <v>300</v>
      </c>
      <c r="BM448" s="554">
        <v>136.80000000000001</v>
      </c>
      <c r="BN448" s="558">
        <f t="shared" si="188"/>
        <v>2.1929824561403506</v>
      </c>
      <c r="BO448" s="241">
        <f>0.93*Table1[[#This Row],[ChargeBroker]]</f>
        <v>279</v>
      </c>
      <c r="BP448" s="558">
        <f t="shared" si="189"/>
        <v>2.0394736842105261</v>
      </c>
      <c r="BQ448" s="558">
        <v>2.6</v>
      </c>
      <c r="BR448" s="559">
        <f t="shared" si="190"/>
        <v>0.1166666666666667</v>
      </c>
      <c r="BS448" s="558">
        <f t="shared" si="172"/>
        <v>1.9228070175438594</v>
      </c>
      <c r="BT448" s="558">
        <f t="shared" si="173"/>
        <v>15.960000000000006</v>
      </c>
      <c r="BU448" s="236" t="str">
        <f t="shared" si="174"/>
        <v>Coyote</v>
      </c>
      <c r="BV448" s="554"/>
      <c r="BW448" s="236" t="str">
        <f>Table1[[#This Row],[BrokerAddress]]</f>
        <v>960 Northpoint Parkway Suite 150</v>
      </c>
      <c r="BX448" s="236" t="str">
        <f t="shared" si="175"/>
        <v>Alpharetta</v>
      </c>
      <c r="BY448" s="269" t="str">
        <f t="shared" si="176"/>
        <v>Ga</v>
      </c>
      <c r="BZ448" s="236">
        <f t="shared" si="177"/>
        <v>30005</v>
      </c>
      <c r="CA448" s="236" t="str">
        <f t="shared" si="178"/>
        <v>US</v>
      </c>
      <c r="CB448" s="15" t="s">
        <v>131</v>
      </c>
      <c r="CC448" s="62"/>
      <c r="CD448" s="15" t="s">
        <v>132</v>
      </c>
      <c r="CE448" s="64">
        <v>0</v>
      </c>
      <c r="CF448" s="4">
        <v>0</v>
      </c>
      <c r="CG448" s="132">
        <f t="shared" si="179"/>
        <v>0</v>
      </c>
      <c r="CH448" s="4" t="s">
        <v>132</v>
      </c>
      <c r="CI448" s="5">
        <v>0</v>
      </c>
      <c r="CJ448" s="4">
        <v>0</v>
      </c>
      <c r="CK448" s="132">
        <f t="shared" si="180"/>
        <v>0</v>
      </c>
      <c r="CL448" s="4" t="s">
        <v>132</v>
      </c>
      <c r="CM448" s="5">
        <v>0</v>
      </c>
      <c r="CN448" s="4">
        <v>0</v>
      </c>
      <c r="CO448" s="132">
        <f t="shared" si="181"/>
        <v>0</v>
      </c>
      <c r="CP448" s="4" t="s">
        <v>132</v>
      </c>
      <c r="CQ448" s="5">
        <v>0</v>
      </c>
      <c r="CR448" s="4">
        <v>0</v>
      </c>
      <c r="CS448" s="132">
        <f t="shared" si="182"/>
        <v>0</v>
      </c>
      <c r="CT448" s="132">
        <f t="shared" si="183"/>
        <v>0</v>
      </c>
      <c r="CU448" s="238">
        <f t="shared" si="184"/>
        <v>300</v>
      </c>
      <c r="CV448" s="239">
        <f t="shared" si="191"/>
        <v>0</v>
      </c>
      <c r="CW448" s="240">
        <f t="shared" ref="CW448:CW458" si="192">BO448+CV448</f>
        <v>279</v>
      </c>
      <c r="CX448" s="79">
        <f>IF(ISBLANK(E448),"AddQuickPay",IF(E448=2,CU448*0.98,IF(E448=2.4,CU448*0.976,IF(E448=3,CU448*0.97,IF(E448=5,CU448*0.95,IF(E448=1.5,CU448*0.985,IF(E448=2.5,CU448*0.975,IF(E448=1.3,CU448*0.987,IF(E448=1,CU448*0.99,IF(E448=4,CU448*0.96,CU448*1))))))))))-Table1[[#This Row],[ComCheck+QuickPayFee]]</f>
        <v>291</v>
      </c>
      <c r="CY448" s="237">
        <f t="shared" si="185"/>
        <v>21</v>
      </c>
      <c r="CZ448" s="237">
        <f t="shared" si="186"/>
        <v>9</v>
      </c>
      <c r="DA448" s="263">
        <f>Table1[[#This Row],[OriginalDispatch]]-Table1[[#This Row],[QuickPayCharge]]</f>
        <v>12</v>
      </c>
      <c r="DB448" s="5">
        <v>0</v>
      </c>
      <c r="DC448" s="237" t="s">
        <v>133</v>
      </c>
      <c r="DD448" s="549">
        <f t="shared" si="187"/>
        <v>42517</v>
      </c>
      <c r="DE448" s="554">
        <f>MONTH(Table1[[#This Row],[Weekending]])</f>
        <v>5</v>
      </c>
      <c r="DF448" s="554">
        <f>YEAR(Table1[[#This Row],[Weekending]])</f>
        <v>2016</v>
      </c>
      <c r="DG448" s="235"/>
    </row>
    <row r="449" spans="1:111">
      <c r="A449" s="548" t="str">
        <f t="shared" si="169"/>
        <v>44758093</v>
      </c>
      <c r="B449" s="549">
        <v>42516</v>
      </c>
      <c r="C449" s="550">
        <v>202065444</v>
      </c>
      <c r="D449" s="548" t="s">
        <v>111</v>
      </c>
      <c r="E449" s="550">
        <v>2</v>
      </c>
      <c r="F449" s="551" t="str">
        <f>INDEX(BrokerTBL!$B:$B,MATCH(D449,BrokerTBL!$A:$A,0))</f>
        <v>P.O. Box 3474</v>
      </c>
      <c r="G449" s="550" t="str">
        <f>INDEX(BrokerTBL!$C:$C,MATCH(D449,BrokerTBL!$A:$A,0))</f>
        <v>Chicago</v>
      </c>
      <c r="H449" s="235" t="str">
        <f>INDEX(BrokerTBL!$D:$D,MATCH(D449,BrokerTBL!$A:$A,0))</f>
        <v>Il</v>
      </c>
      <c r="I449" s="235" t="str">
        <f>INDEX(BrokerTBL!$E:$E,MATCH(D449,BrokerTBL!$A:$A,0))</f>
        <v>US</v>
      </c>
      <c r="J449" s="235">
        <f>INDEX(BrokerTBL!$F:$F,MATCH(D449,BrokerTBL!$A:$A,0))</f>
        <v>60654</v>
      </c>
      <c r="K449" s="548" t="s">
        <v>2924</v>
      </c>
      <c r="L449" s="552">
        <v>37841775</v>
      </c>
      <c r="M449" s="549">
        <v>42515</v>
      </c>
      <c r="N449" s="550" t="s">
        <v>2129</v>
      </c>
      <c r="O449" s="550" t="s">
        <v>2925</v>
      </c>
      <c r="P449" s="548" t="s">
        <v>2570</v>
      </c>
      <c r="Q449" s="548" t="s">
        <v>2206</v>
      </c>
      <c r="R449" s="548">
        <v>95376</v>
      </c>
      <c r="S449" s="548" t="s">
        <v>2207</v>
      </c>
      <c r="T449" s="548" t="s">
        <v>123</v>
      </c>
      <c r="U449" s="548" t="s">
        <v>120</v>
      </c>
      <c r="V449" s="548">
        <v>53</v>
      </c>
      <c r="W449" s="548" t="s">
        <v>2926</v>
      </c>
      <c r="X449" s="553">
        <v>43099</v>
      </c>
      <c r="Y449" s="550" t="s">
        <v>2220</v>
      </c>
      <c r="Z449" s="548">
        <v>1170</v>
      </c>
      <c r="AA449" s="548">
        <v>22</v>
      </c>
      <c r="AB449" s="548" t="s">
        <v>123</v>
      </c>
      <c r="AC449" s="548" t="s">
        <v>1661</v>
      </c>
      <c r="AD449" s="552" t="s">
        <v>2927</v>
      </c>
      <c r="AE449" s="549">
        <v>42516</v>
      </c>
      <c r="AF449" s="549" t="s">
        <v>1150</v>
      </c>
      <c r="AG449" s="548" t="s">
        <v>2928</v>
      </c>
      <c r="AH449" s="548" t="s">
        <v>2570</v>
      </c>
      <c r="AI449" s="548" t="s">
        <v>2206</v>
      </c>
      <c r="AJ449" s="548">
        <v>95377</v>
      </c>
      <c r="AK449" s="548" t="s">
        <v>2207</v>
      </c>
      <c r="AL449" s="548" t="s">
        <v>123</v>
      </c>
      <c r="AM449" s="554" t="str">
        <f>INDEX(CarrierDriverTBL!$B:$B,MATCH(Table1[[#This Row],[DriverID]],CarrierDriverTBL!$A:$A,0))</f>
        <v>UBTrucking</v>
      </c>
      <c r="AN449" s="10" t="s">
        <v>2234</v>
      </c>
      <c r="AO449" s="555" t="str">
        <f>INDEX(CarrierDriverTBL!$C:$C,MATCH(Table1[[#This Row],[DriverID]],CarrierDriverTBL!$A:$A,0))</f>
        <v>Arturo</v>
      </c>
      <c r="AP449" s="555" t="str">
        <f>INDEX(CarrierDriverTBL!$D:$D,MATCH(Table1[[#This Row],[DriverID]],CarrierDriverTBL!$A:$A,0))</f>
        <v>Carrillo</v>
      </c>
      <c r="AQ449" s="555" t="str">
        <f>INDEX(CarrierDriverTBL!$X:$X,MATCH(Table1[[#This Row],[DriverID]],CarrierDriverTBL!$A:$A,0))</f>
        <v>C7056793</v>
      </c>
      <c r="AR449" s="556">
        <f>INDEX(CarrierDriverTBL!$Y:$Y,MATCH(Table1[[#This Row],[DriverID]],CarrierDriverTBL!$A:$A,0))</f>
        <v>43410</v>
      </c>
      <c r="AS449" s="554" t="str">
        <f t="shared" si="170"/>
        <v>GOOD</v>
      </c>
      <c r="AT449" s="556">
        <f>INDEX(CarrierDriverTBL!$E:$E,MATCH(Table1[[#This Row],[DriverID]],CarrierDriverTBL!$A:$A,0))</f>
        <v>24782</v>
      </c>
      <c r="AU449" s="557">
        <f ca="1">INDEX(CarrierDriverTBL!$F:$F,MATCH(Table1[[#This Row],[DriverID]],CarrierDriverTBL!$A:$A,0))</f>
        <v>48.750684931506846</v>
      </c>
      <c r="AV449" s="554" t="str">
        <f>INDEX(CarrierDriverTBL!$K:$K,MATCH(Table1[[#This Row],[DriverID]],CarrierDriverTBL!$A:$A,0))</f>
        <v>209-276-9785</v>
      </c>
      <c r="AW449" s="554" t="str">
        <f>INDEX(CarrierDriverTBL!$M:$M,MATCH(Table1[[#This Row],[DriverID]],CarrierDriverTBL!$A:$A,0))</f>
        <v>1685 Winthrop Ln</v>
      </c>
      <c r="AX449" s="554" t="str">
        <f>INDEX(CarrierDriverTBL!$N:$N,MATCH(Table1[[#This Row],[DriverID]],CarrierDriverTBL!$A:$A,0))</f>
        <v>Ceres</v>
      </c>
      <c r="AY449" s="554" t="str">
        <f>INDEX(CarrierDriverTBL!$O:$O,MATCH(Table1[[#This Row],[DriverID]],CarrierDriverTBL!$A:$A,0))</f>
        <v>CA</v>
      </c>
      <c r="AZ449" s="554">
        <f>INDEX(CarrierDriverTBL!$P:$P,MATCH(Table1[[#This Row],[DriverID]],CarrierDriverTBL!$A:$A,0))</f>
        <v>95307</v>
      </c>
      <c r="BA449" s="554" t="str">
        <f>INDEX(CarrierDriverTBL!$Q:$Q,MATCH(Table1[[#This Row],[DriverID]],CarrierDriverTBL!$A:$A,0))</f>
        <v>US</v>
      </c>
      <c r="BB449" s="554" t="str">
        <f>INDEX(CarrierDriverTBL!$R:$R,MATCH(Table1[[#This Row],[DriverID]],CarrierDriverTBL!$A:$A,0))</f>
        <v>arturocarr777@gmail.com</v>
      </c>
      <c r="BC449" s="556">
        <f>INDEX(CarrierDriverTBL!$AB:$AB,MATCH(Table1[[#This Row],[DriverID]],CarrierDriverTBL!$A:$A,0))</f>
        <v>42418</v>
      </c>
      <c r="BD449" s="555" t="str">
        <f ca="1">INDEX(CarrierDriverTBL!$AD:$AD,MATCH(LoadMaster!$AN:$AN,CarrierDriverTBL!$A:$A,0))</f>
        <v>MISSING</v>
      </c>
      <c r="BE449" s="555">
        <f>INDEX(CarrierDriverTBL!$AE:$AE,MATCH(Table1[DriverID],CarrierDriverTBL!$A:$A,0))</f>
        <v>913971</v>
      </c>
      <c r="BF449" s="554">
        <f>INDEX(CarrierDriverTBL!$AF:$AF,MATCH(Table1[DriverID],CarrierDriverTBL!$A:$A,0))</f>
        <v>2627544</v>
      </c>
      <c r="BG449" s="236">
        <f>INDEX(CarrierDriverTBL!$AG:$AG,MATCH(Table1[DriverID],CarrierDriverTBL!$A:$A,0))</f>
        <v>466133</v>
      </c>
      <c r="BH449" s="554" t="str">
        <f>INDEX(CarrierDriverTBL!$AH:$AH,MATCH(Table1[DriverID],CarrierDriverTBL!$A:$A,0))</f>
        <v>GM Lawrence Ins</v>
      </c>
      <c r="BI449" s="554" t="str">
        <f>INDEX(CarrierDriverTBL!$AI:$AI,MATCH(Table1[DriverID],CarrierDriverTBL!$A:$A,0))</f>
        <v>DSK2842P160210</v>
      </c>
      <c r="BJ449" s="556">
        <f>INDEX(CarrierDriverTBL!$AJ:$AJ,MATCH(Table1[[#This Row],[DriverID]],CarrierDriverTBL!$A:$A,0))</f>
        <v>42778</v>
      </c>
      <c r="BK449" s="554">
        <f t="shared" si="171"/>
        <v>263</v>
      </c>
      <c r="BL449" s="558">
        <v>200</v>
      </c>
      <c r="BM449" s="554">
        <v>1.1000000000000001</v>
      </c>
      <c r="BN449" s="558">
        <f t="shared" si="188"/>
        <v>181.81818181818181</v>
      </c>
      <c r="BO449" s="241">
        <f>0.93*Table1[[#This Row],[ChargeBroker]]</f>
        <v>186</v>
      </c>
      <c r="BP449" s="558">
        <f t="shared" si="189"/>
        <v>169.09090909090907</v>
      </c>
      <c r="BQ449" s="558">
        <v>2.6</v>
      </c>
      <c r="BR449" s="559">
        <f t="shared" si="190"/>
        <v>0.1166666666666667</v>
      </c>
      <c r="BS449" s="558">
        <f t="shared" si="172"/>
        <v>168.97424242424239</v>
      </c>
      <c r="BT449" s="558">
        <f t="shared" si="173"/>
        <v>0.12833333333333338</v>
      </c>
      <c r="BU449" s="236" t="str">
        <f t="shared" si="174"/>
        <v>Ch Robinson</v>
      </c>
      <c r="BV449" s="554"/>
      <c r="BW449" s="236" t="str">
        <f>Table1[[#This Row],[BrokerAddress]]</f>
        <v>P.O. Box 3474</v>
      </c>
      <c r="BX449" s="236" t="str">
        <f t="shared" si="175"/>
        <v>Chicago</v>
      </c>
      <c r="BY449" s="269" t="str">
        <f t="shared" si="176"/>
        <v>Il</v>
      </c>
      <c r="BZ449" s="236">
        <f t="shared" si="177"/>
        <v>60654</v>
      </c>
      <c r="CA449" s="236" t="str">
        <f t="shared" si="178"/>
        <v>US</v>
      </c>
      <c r="CB449" s="15" t="s">
        <v>131</v>
      </c>
      <c r="CC449" s="62"/>
      <c r="CD449" s="15" t="s">
        <v>132</v>
      </c>
      <c r="CE449" s="64">
        <v>0</v>
      </c>
      <c r="CF449" s="4">
        <v>0</v>
      </c>
      <c r="CG449" s="132">
        <f t="shared" si="179"/>
        <v>0</v>
      </c>
      <c r="CH449" s="4" t="s">
        <v>132</v>
      </c>
      <c r="CI449" s="5">
        <v>0</v>
      </c>
      <c r="CJ449" s="4">
        <v>0</v>
      </c>
      <c r="CK449" s="132">
        <f t="shared" si="180"/>
        <v>0</v>
      </c>
      <c r="CL449" s="4" t="s">
        <v>132</v>
      </c>
      <c r="CM449" s="5">
        <v>0</v>
      </c>
      <c r="CN449" s="4">
        <v>0</v>
      </c>
      <c r="CO449" s="132">
        <f t="shared" si="181"/>
        <v>0</v>
      </c>
      <c r="CP449" s="4" t="s">
        <v>132</v>
      </c>
      <c r="CQ449" s="5">
        <v>0</v>
      </c>
      <c r="CR449" s="4">
        <v>0</v>
      </c>
      <c r="CS449" s="132">
        <f t="shared" si="182"/>
        <v>0</v>
      </c>
      <c r="CT449" s="132">
        <f t="shared" si="183"/>
        <v>0</v>
      </c>
      <c r="CU449" s="238">
        <f t="shared" si="184"/>
        <v>200</v>
      </c>
      <c r="CV449" s="239">
        <f t="shared" si="191"/>
        <v>0</v>
      </c>
      <c r="CW449" s="240">
        <f t="shared" si="192"/>
        <v>186</v>
      </c>
      <c r="CX449" s="79">
        <f>IF(ISBLANK(E449),"AddQuickPay",IF(E449=2,CU449*0.98,IF(E449=2.4,CU449*0.976,IF(E449=3,CU449*0.97,IF(E449=5,CU449*0.95,IF(E449=1.5,CU449*0.985,IF(E449=2.5,CU449*0.975,IF(E449=1.3,CU449*0.987,IF(E449=1,CU449*0.99,IF(E449=4,CU449*0.96,CU449*1))))))))))-Table1[[#This Row],[ComCheck+QuickPayFee]]</f>
        <v>196</v>
      </c>
      <c r="CY449" s="237">
        <f t="shared" si="185"/>
        <v>14</v>
      </c>
      <c r="CZ449" s="237">
        <f t="shared" si="186"/>
        <v>4</v>
      </c>
      <c r="DA449" s="263">
        <f>Table1[[#This Row],[OriginalDispatch]]-Table1[[#This Row],[QuickPayCharge]]</f>
        <v>10</v>
      </c>
      <c r="DB449" s="5">
        <v>0</v>
      </c>
      <c r="DC449" s="237" t="s">
        <v>133</v>
      </c>
      <c r="DD449" s="549">
        <f t="shared" si="187"/>
        <v>42517</v>
      </c>
      <c r="DE449" s="554">
        <f>MONTH(Table1[[#This Row],[Weekending]])</f>
        <v>5</v>
      </c>
      <c r="DF449" s="554">
        <f>YEAR(Table1[[#This Row],[Weekending]])</f>
        <v>2016</v>
      </c>
      <c r="DG449" s="235"/>
    </row>
    <row r="450" spans="1:111" ht="17.25" customHeight="1">
      <c r="A450" s="548" t="str">
        <f t="shared" ref="A450:A513" si="193">RIGHT(C450,2)&amp;RIGHT(L450,2)&amp;RIGHT(AD450,2)&amp;RIGHT(AQ450,2)</f>
        <v>24080819</v>
      </c>
      <c r="B450" s="549">
        <v>42516</v>
      </c>
      <c r="C450" s="550">
        <v>163224</v>
      </c>
      <c r="D450" s="548" t="s">
        <v>1917</v>
      </c>
      <c r="E450" s="550">
        <v>3</v>
      </c>
      <c r="F450" s="551" t="str">
        <f>INDEX(BrokerTBL!$B:$B,MATCH(D450,BrokerTBL!$A:$A,0))</f>
        <v>20002 N. 19Th Ave.</v>
      </c>
      <c r="G450" s="550" t="str">
        <f>INDEX(BrokerTBL!$C:$C,MATCH(D450,BrokerTBL!$A:$A,0))</f>
        <v>Phoenix</v>
      </c>
      <c r="H450" s="235" t="str">
        <f>INDEX(BrokerTBL!$D:$D,MATCH(D450,BrokerTBL!$A:$A,0))</f>
        <v>Az</v>
      </c>
      <c r="I450" s="235" t="str">
        <f>INDEX(BrokerTBL!$E:$E,MATCH(D450,BrokerTBL!$A:$A,0))</f>
        <v>US</v>
      </c>
      <c r="J450" s="235">
        <f>INDEX(BrokerTBL!$F:$F,MATCH(D450,BrokerTBL!$A:$A,0))</f>
        <v>85027</v>
      </c>
      <c r="K450" s="548" t="s">
        <v>2929</v>
      </c>
      <c r="L450" s="552">
        <v>4501086908</v>
      </c>
      <c r="M450" s="549">
        <v>42515</v>
      </c>
      <c r="N450" s="550" t="s">
        <v>2643</v>
      </c>
      <c r="O450" s="550" t="s">
        <v>2930</v>
      </c>
      <c r="P450" s="548" t="s">
        <v>395</v>
      </c>
      <c r="Q450" s="548" t="s">
        <v>2206</v>
      </c>
      <c r="R450" s="548" t="s">
        <v>2931</v>
      </c>
      <c r="S450" s="548" t="s">
        <v>2207</v>
      </c>
      <c r="T450" s="548" t="s">
        <v>123</v>
      </c>
      <c r="U450" s="548" t="s">
        <v>120</v>
      </c>
      <c r="V450" s="548">
        <v>53</v>
      </c>
      <c r="W450" s="548" t="s">
        <v>2932</v>
      </c>
      <c r="X450" s="553">
        <v>44092</v>
      </c>
      <c r="Y450" s="550" t="s">
        <v>566</v>
      </c>
      <c r="Z450" s="553">
        <v>44092</v>
      </c>
      <c r="AA450" s="548" t="s">
        <v>123</v>
      </c>
      <c r="AB450" s="548" t="s">
        <v>123</v>
      </c>
      <c r="AC450" s="548" t="s">
        <v>2933</v>
      </c>
      <c r="AD450" s="552">
        <v>4501086908</v>
      </c>
      <c r="AE450" s="549">
        <v>42515</v>
      </c>
      <c r="AF450" s="549" t="s">
        <v>2934</v>
      </c>
      <c r="AG450" s="548" t="s">
        <v>2935</v>
      </c>
      <c r="AH450" s="548" t="s">
        <v>2114</v>
      </c>
      <c r="AI450" s="548" t="s">
        <v>2233</v>
      </c>
      <c r="AJ450" s="548">
        <v>89406</v>
      </c>
      <c r="AK450" s="548" t="s">
        <v>2207</v>
      </c>
      <c r="AL450" s="548" t="s">
        <v>123</v>
      </c>
      <c r="AM450" s="554" t="str">
        <f>INDEX(CarrierDriverTBL!$B:$B,MATCH(Table1[[#This Row],[DriverID]],CarrierDriverTBL!$A:$A,0))</f>
        <v>UBTrucking</v>
      </c>
      <c r="AN450" s="10" t="s">
        <v>1409</v>
      </c>
      <c r="AO450" s="555" t="str">
        <f>INDEX(CarrierDriverTBL!$C:$C,MATCH(Table1[[#This Row],[DriverID]],CarrierDriverTBL!$A:$A,0))</f>
        <v>Miguel Jaime</v>
      </c>
      <c r="AP450" s="555" t="str">
        <f>INDEX(CarrierDriverTBL!$D:$D,MATCH(Table1[[#This Row],[DriverID]],CarrierDriverTBL!$A:$A,0))</f>
        <v>Martin Del Campo Velarca</v>
      </c>
      <c r="AQ450" s="555" t="str">
        <f>INDEX(CarrierDriverTBL!$X:$X,MATCH(Table1[[#This Row],[DriverID]],CarrierDriverTBL!$A:$A,0))</f>
        <v>D5179619</v>
      </c>
      <c r="AR450" s="556">
        <f>INDEX(CarrierDriverTBL!$Y:$Y,MATCH(Table1[[#This Row],[DriverID]],CarrierDriverTBL!$A:$A,0))</f>
        <v>43843</v>
      </c>
      <c r="AS450" s="554" t="str">
        <f t="shared" ref="AS450:AS513" si="194">IF(AR450&gt;M450,"GOOD","EXPIRED")</f>
        <v>GOOD</v>
      </c>
      <c r="AT450" s="556">
        <f>INDEX(CarrierDriverTBL!$E:$E,MATCH(Table1[[#This Row],[DriverID]],CarrierDriverTBL!$A:$A,0))</f>
        <v>21198</v>
      </c>
      <c r="AU450" s="557">
        <f ca="1">INDEX(CarrierDriverTBL!$F:$F,MATCH(Table1[[#This Row],[DriverID]],CarrierDriverTBL!$A:$A,0))</f>
        <v>58.56986301369863</v>
      </c>
      <c r="AV450" s="554" t="str">
        <f>INDEX(CarrierDriverTBL!$K:$K,MATCH(Table1[[#This Row],[DriverID]],CarrierDriverTBL!$A:$A,0))</f>
        <v>209-322-5231</v>
      </c>
      <c r="AW450" s="554" t="str">
        <f>INDEX(CarrierDriverTBL!$M:$M,MATCH(Table1[[#This Row],[DriverID]],CarrierDriverTBL!$A:$A,0))</f>
        <v>572 Predersen RD</v>
      </c>
      <c r="AX450" s="554" t="str">
        <f>INDEX(CarrierDriverTBL!$N:$N,MATCH(Table1[[#This Row],[DriverID]],CarrierDriverTBL!$A:$A,0))</f>
        <v>Oakdale</v>
      </c>
      <c r="AY450" s="554" t="str">
        <f>INDEX(CarrierDriverTBL!$O:$O,MATCH(Table1[[#This Row],[DriverID]],CarrierDriverTBL!$A:$A,0))</f>
        <v>CA</v>
      </c>
      <c r="AZ450" s="554">
        <f>INDEX(CarrierDriverTBL!$P:$P,MATCH(Table1[[#This Row],[DriverID]],CarrierDriverTBL!$A:$A,0))</f>
        <v>95361</v>
      </c>
      <c r="BA450" s="554" t="str">
        <f>INDEX(CarrierDriverTBL!$Q:$Q,MATCH(Table1[[#This Row],[DriverID]],CarrierDriverTBL!$A:$A,0))</f>
        <v>US</v>
      </c>
      <c r="BB450" s="554" t="str">
        <f>INDEX(CarrierDriverTBL!$R:$R,MATCH(Table1[[#This Row],[DriverID]],CarrierDriverTBL!$A:$A,0))</f>
        <v>Miguelmartin52@yahoo.com</v>
      </c>
      <c r="BC450" s="556">
        <f>INDEX(CarrierDriverTBL!$AB:$AB,MATCH(Table1[[#This Row],[DriverID]],CarrierDriverTBL!$A:$A,0))</f>
        <v>42334</v>
      </c>
      <c r="BD450" s="555" t="str">
        <f ca="1">INDEX(CarrierDriverTBL!$AD:$AD,MATCH(LoadMaster!$AN:$AN,CarrierDriverTBL!$A:$A,0))</f>
        <v>MISSING</v>
      </c>
      <c r="BE450" s="555">
        <f>INDEX(CarrierDriverTBL!$AE:$AE,MATCH(Table1[DriverID],CarrierDriverTBL!$A:$A,0))</f>
        <v>913971</v>
      </c>
      <c r="BF450" s="554">
        <f>INDEX(CarrierDriverTBL!$AF:$AF,MATCH(Table1[DriverID],CarrierDriverTBL!$A:$A,0))</f>
        <v>2627544</v>
      </c>
      <c r="BG450" s="236">
        <f>INDEX(CarrierDriverTBL!$AG:$AG,MATCH(Table1[DriverID],CarrierDriverTBL!$A:$A,0))</f>
        <v>466133</v>
      </c>
      <c r="BH450" s="554" t="str">
        <f>INDEX(CarrierDriverTBL!$AH:$AH,MATCH(Table1[DriverID],CarrierDriverTBL!$A:$A,0))</f>
        <v>GM Lawrence Ins</v>
      </c>
      <c r="BI450" s="554" t="str">
        <f>INDEX(CarrierDriverTBL!$AI:$AI,MATCH(Table1[DriverID],CarrierDriverTBL!$A:$A,0))</f>
        <v>DSK2842P160210</v>
      </c>
      <c r="BJ450" s="556">
        <f>INDEX(CarrierDriverTBL!$AJ:$AJ,MATCH(Table1[[#This Row],[DriverID]],CarrierDriverTBL!$A:$A,0))</f>
        <v>42778</v>
      </c>
      <c r="BK450" s="554">
        <f t="shared" ref="BK450:BK513" si="195">IFERROR(BJ450-M450,"MISSING")</f>
        <v>263</v>
      </c>
      <c r="BL450" s="558">
        <v>695</v>
      </c>
      <c r="BM450" s="554">
        <v>266</v>
      </c>
      <c r="BN450" s="558">
        <f t="shared" si="188"/>
        <v>2.6127819548872182</v>
      </c>
      <c r="BO450" s="241">
        <f>0.93*Table1[[#This Row],[ChargeBroker]]</f>
        <v>646.35</v>
      </c>
      <c r="BP450" s="558">
        <f t="shared" si="189"/>
        <v>2.429887218045113</v>
      </c>
      <c r="BQ450" s="558">
        <v>2.6</v>
      </c>
      <c r="BR450" s="559">
        <f t="shared" si="190"/>
        <v>0.1166666666666667</v>
      </c>
      <c r="BS450" s="558">
        <f t="shared" ref="BS450:BS483" si="196">BP450-BR450</f>
        <v>2.3132205513784463</v>
      </c>
      <c r="BT450" s="558">
        <f t="shared" ref="BT450:BT483" si="197">BM450*BR450</f>
        <v>31.033333333333342</v>
      </c>
      <c r="BU450" s="236" t="str">
        <f t="shared" ref="BU450:BU513" si="198">D450</f>
        <v>Knight Logistics Llc</v>
      </c>
      <c r="BV450" s="554"/>
      <c r="BW450" s="236" t="str">
        <f>Table1[[#This Row],[BrokerAddress]]</f>
        <v>20002 N. 19Th Ave.</v>
      </c>
      <c r="BX450" s="236" t="str">
        <f t="shared" ref="BX450:BX513" si="199">G450</f>
        <v>Phoenix</v>
      </c>
      <c r="BY450" s="269" t="str">
        <f t="shared" ref="BY450:BY513" si="200">H450</f>
        <v>Az</v>
      </c>
      <c r="BZ450" s="236">
        <f t="shared" ref="BZ450:BZ513" si="201">J450</f>
        <v>85027</v>
      </c>
      <c r="CA450" s="236" t="str">
        <f t="shared" ref="CA450:CA513" si="202">I450</f>
        <v>US</v>
      </c>
      <c r="CB450" s="15" t="s">
        <v>131</v>
      </c>
      <c r="CC450" s="62"/>
      <c r="CD450" s="15" t="s">
        <v>132</v>
      </c>
      <c r="CE450" s="64">
        <v>0</v>
      </c>
      <c r="CF450" s="4">
        <v>0</v>
      </c>
      <c r="CG450" s="132">
        <f t="shared" ref="CG450:CG483" si="203">CE450*CF450</f>
        <v>0</v>
      </c>
      <c r="CH450" s="4" t="s">
        <v>132</v>
      </c>
      <c r="CI450" s="5">
        <v>0</v>
      </c>
      <c r="CJ450" s="4">
        <v>0</v>
      </c>
      <c r="CK450" s="132">
        <f t="shared" ref="CK450:CK483" si="204">CI450*CJ450</f>
        <v>0</v>
      </c>
      <c r="CL450" s="4" t="s">
        <v>132</v>
      </c>
      <c r="CM450" s="5">
        <v>0</v>
      </c>
      <c r="CN450" s="4">
        <v>0</v>
      </c>
      <c r="CO450" s="132">
        <f t="shared" ref="CO450:CO483" si="205">CM450*CN450</f>
        <v>0</v>
      </c>
      <c r="CP450" s="4" t="s">
        <v>132</v>
      </c>
      <c r="CQ450" s="5">
        <v>0</v>
      </c>
      <c r="CR450" s="4">
        <v>0</v>
      </c>
      <c r="CS450" s="132">
        <f t="shared" ref="CS450:CS483" si="206">CQ450*CR450</f>
        <v>0</v>
      </c>
      <c r="CT450" s="132">
        <f t="shared" ref="CT450:CT483" si="207">CG450+CK450+CO450+CS450</f>
        <v>0</v>
      </c>
      <c r="CU450" s="238">
        <f t="shared" ref="CU450:CU483" si="208">(CT450+BL450)-CC450</f>
        <v>695</v>
      </c>
      <c r="CV450" s="239">
        <f t="shared" si="191"/>
        <v>0</v>
      </c>
      <c r="CW450" s="240">
        <f t="shared" si="192"/>
        <v>646.35</v>
      </c>
      <c r="CX450" s="79">
        <f>IF(ISBLANK(E450),"AddQuickPay",IF(E450=2,CU450*0.98,IF(E450=2.4,CU450*0.976,IF(E450=3,CU450*0.97,IF(E450=5,CU450*0.95,IF(E450=1.5,CU450*0.985,IF(E450=2.5,CU450*0.975,IF(E450=1.3,CU450*0.987,IF(E450=1,CU450*0.99,IF(E450=4,CU450*0.96,CU450*1))))))))))-Table1[[#This Row],[ComCheck+QuickPayFee]]</f>
        <v>674.15</v>
      </c>
      <c r="CY450" s="237">
        <f t="shared" ref="CY450:CY483" si="209">CU450-CW450</f>
        <v>48.649999999999977</v>
      </c>
      <c r="CZ450" s="237">
        <f t="shared" ref="CZ450:CZ513" si="210">IF(ISBLANK(E450),"AddQuickPay",IF(E450=2,CU450*0.02,IF(E450=2.4,CU450*0.024,IF(E450=3,CU450*0.03,IF(E450=5,CU450*0.05,IF(E450=1.5,CU450*0.015,IF(E450=2.5,CU450*0.025,IF(E450=4,CU450*0.04,IF(E450=1.3,CU450*0.013,IF(E450=1,CU450*0.01,CU450*0))))))))))</f>
        <v>20.849999999999998</v>
      </c>
      <c r="DA450" s="263">
        <f>Table1[[#This Row],[OriginalDispatch]]-Table1[[#This Row],[QuickPayCharge]]</f>
        <v>27.799999999999979</v>
      </c>
      <c r="DB450" s="5">
        <v>0</v>
      </c>
      <c r="DC450" s="237" t="s">
        <v>133</v>
      </c>
      <c r="DD450" s="549">
        <f t="shared" ref="DD450:DD513" si="211">(5-WEEKDAY(M450,2))+M450</f>
        <v>42517</v>
      </c>
      <c r="DE450" s="554">
        <f>MONTH(Table1[[#This Row],[Weekending]])</f>
        <v>5</v>
      </c>
      <c r="DF450" s="554">
        <f>YEAR(Table1[[#This Row],[Weekending]])</f>
        <v>2016</v>
      </c>
      <c r="DG450" s="235"/>
    </row>
    <row r="451" spans="1:111">
      <c r="A451" s="548" t="str">
        <f t="shared" si="193"/>
        <v>19wnwn49</v>
      </c>
      <c r="B451" s="549">
        <v>42516</v>
      </c>
      <c r="C451" s="550">
        <v>2844419</v>
      </c>
      <c r="D451" s="548" t="s">
        <v>1964</v>
      </c>
      <c r="E451" s="550">
        <v>1.5</v>
      </c>
      <c r="F451" s="551" t="str">
        <f>INDEX(BrokerTBL!$B:$B,MATCH(D451,BrokerTBL!$A:$A,0))</f>
        <v>Po Box 9349</v>
      </c>
      <c r="G451" s="550" t="str">
        <f>INDEX(BrokerTBL!$C:$C,MATCH(D451,BrokerTBL!$A:$A,0))</f>
        <v>Louisville</v>
      </c>
      <c r="H451" s="235" t="str">
        <f>INDEX(BrokerTBL!$D:$D,MATCH(D451,BrokerTBL!$A:$A,0))</f>
        <v>Ky</v>
      </c>
      <c r="I451" s="235" t="str">
        <f>INDEX(BrokerTBL!$E:$E,MATCH(D451,BrokerTBL!$A:$A,0))</f>
        <v>US</v>
      </c>
      <c r="J451" s="235">
        <f>INDEX(BrokerTBL!$F:$F,MATCH(D451,BrokerTBL!$A:$A,0))</f>
        <v>40209</v>
      </c>
      <c r="K451" s="548" t="s">
        <v>2936</v>
      </c>
      <c r="L451" s="552" t="s">
        <v>1205</v>
      </c>
      <c r="M451" s="549">
        <v>42515</v>
      </c>
      <c r="N451" s="560">
        <v>0.33333333333333331</v>
      </c>
      <c r="O451" s="550" t="s">
        <v>2937</v>
      </c>
      <c r="P451" s="548" t="s">
        <v>595</v>
      </c>
      <c r="Q451" s="548" t="s">
        <v>2206</v>
      </c>
      <c r="R451" s="548">
        <v>95112</v>
      </c>
      <c r="S451" s="548" t="s">
        <v>2207</v>
      </c>
      <c r="T451" s="548" t="s">
        <v>123</v>
      </c>
      <c r="U451" s="548" t="s">
        <v>120</v>
      </c>
      <c r="V451" s="548">
        <v>53</v>
      </c>
      <c r="W451" s="548" t="s">
        <v>2938</v>
      </c>
      <c r="X451" s="553">
        <v>44000</v>
      </c>
      <c r="Y451" s="550" t="s">
        <v>123</v>
      </c>
      <c r="Z451" s="548" t="s">
        <v>123</v>
      </c>
      <c r="AA451" s="548" t="s">
        <v>123</v>
      </c>
      <c r="AB451" s="548" t="s">
        <v>123</v>
      </c>
      <c r="AC451" s="548" t="s">
        <v>2939</v>
      </c>
      <c r="AD451" s="552" t="s">
        <v>1205</v>
      </c>
      <c r="AE451" s="549">
        <v>42516</v>
      </c>
      <c r="AF451" s="560">
        <v>0.33333333333333331</v>
      </c>
      <c r="AG451" s="548" t="s">
        <v>2940</v>
      </c>
      <c r="AH451" s="548" t="s">
        <v>2466</v>
      </c>
      <c r="AI451" s="548" t="s">
        <v>2233</v>
      </c>
      <c r="AJ451" s="548">
        <v>89506</v>
      </c>
      <c r="AK451" s="548" t="s">
        <v>2207</v>
      </c>
      <c r="AL451" s="548" t="s">
        <v>123</v>
      </c>
      <c r="AM451" s="554" t="str">
        <f>INDEX(CarrierDriverTBL!$B:$B,MATCH(Table1[[#This Row],[DriverID]],CarrierDriverTBL!$A:$A,0))</f>
        <v>UBTrucking</v>
      </c>
      <c r="AN451" s="10" t="s">
        <v>192</v>
      </c>
      <c r="AO451" s="555" t="str">
        <f>INDEX(CarrierDriverTBL!$C:$C,MATCH(Table1[[#This Row],[DriverID]],CarrierDriverTBL!$A:$A,0))</f>
        <v>Albel</v>
      </c>
      <c r="AP451" s="555" t="str">
        <f>INDEX(CarrierDriverTBL!$D:$D,MATCH(Table1[[#This Row],[DriverID]],CarrierDriverTBL!$A:$A,0))</f>
        <v>Chahil</v>
      </c>
      <c r="AQ451" s="555" t="str">
        <f>INDEX(CarrierDriverTBL!$X:$X,MATCH(Table1[[#This Row],[DriverID]],CarrierDriverTBL!$A:$A,0))</f>
        <v>A8390649</v>
      </c>
      <c r="AR451" s="556">
        <f>INDEX(CarrierDriverTBL!$Y:$Y,MATCH(Table1[[#This Row],[DriverID]],CarrierDriverTBL!$A:$A,0))</f>
        <v>42402</v>
      </c>
      <c r="AS451" s="554" t="str">
        <f t="shared" si="194"/>
        <v>EXPIRED</v>
      </c>
      <c r="AT451" s="556">
        <f>INDEX(CarrierDriverTBL!$E:$E,MATCH(Table1[[#This Row],[DriverID]],CarrierDriverTBL!$A:$A,0))</f>
        <v>22314</v>
      </c>
      <c r="AU451" s="557">
        <f ca="1">INDEX(CarrierDriverTBL!$F:$F,MATCH(Table1[[#This Row],[DriverID]],CarrierDriverTBL!$A:$A,0))</f>
        <v>55.512328767123286</v>
      </c>
      <c r="AV451" s="554" t="str">
        <f>INDEX(CarrierDriverTBL!$K:$K,MATCH(Table1[[#This Row],[DriverID]],CarrierDriverTBL!$A:$A,0))</f>
        <v>510-773-9450</v>
      </c>
      <c r="AW451" s="554" t="str">
        <f>INDEX(CarrierDriverTBL!$M:$M,MATCH(Table1[[#This Row],[DriverID]],CarrierDriverTBL!$A:$A,0))</f>
        <v>3124 Cynthia CT</v>
      </c>
      <c r="AX451" s="554" t="str">
        <f>INDEX(CarrierDriverTBL!$N:$N,MATCH(Table1[[#This Row],[DriverID]],CarrierDriverTBL!$A:$A,0))</f>
        <v>Tracy</v>
      </c>
      <c r="AY451" s="554" t="str">
        <f>INDEX(CarrierDriverTBL!$O:$O,MATCH(Table1[[#This Row],[DriverID]],CarrierDriverTBL!$A:$A,0))</f>
        <v>CA</v>
      </c>
      <c r="AZ451" s="554">
        <f>INDEX(CarrierDriverTBL!$P:$P,MATCH(Table1[[#This Row],[DriverID]],CarrierDriverTBL!$A:$A,0))</f>
        <v>95377</v>
      </c>
      <c r="BA451" s="554" t="str">
        <f>INDEX(CarrierDriverTBL!$Q:$Q,MATCH(Table1[[#This Row],[DriverID]],CarrierDriverTBL!$A:$A,0))</f>
        <v>US</v>
      </c>
      <c r="BB451" s="554" t="str">
        <f>INDEX(CarrierDriverTBL!$R:$R,MATCH(Table1[[#This Row],[DriverID]],CarrierDriverTBL!$A:$A,0))</f>
        <v>ubgollc@gmail.com</v>
      </c>
      <c r="BC451" s="556">
        <f>INDEX(CarrierDriverTBL!$AB:$AB,MATCH(Table1[[#This Row],[DriverID]],CarrierDriverTBL!$A:$A,0))</f>
        <v>42167</v>
      </c>
      <c r="BD451" s="555" t="str">
        <f ca="1">INDEX(CarrierDriverTBL!$AD:$AD,MATCH(LoadMaster!$AN:$AN,CarrierDriverTBL!$A:$A,0))</f>
        <v>MISSING</v>
      </c>
      <c r="BE451" s="555">
        <f>INDEX(CarrierDriverTBL!$AE:$AE,MATCH(Table1[DriverID],CarrierDriverTBL!$A:$A,0))</f>
        <v>913971</v>
      </c>
      <c r="BF451" s="554">
        <f>INDEX(CarrierDriverTBL!$AF:$AF,MATCH(Table1[DriverID],CarrierDriverTBL!$A:$A,0))</f>
        <v>2627544</v>
      </c>
      <c r="BG451" s="236">
        <f>INDEX(CarrierDriverTBL!$AG:$AG,MATCH(Table1[DriverID],CarrierDriverTBL!$A:$A,0))</f>
        <v>466133</v>
      </c>
      <c r="BH451" s="554" t="str">
        <f>INDEX(CarrierDriverTBL!$AH:$AH,MATCH(Table1[DriverID],CarrierDriverTBL!$A:$A,0))</f>
        <v>GM Lawrence Ins</v>
      </c>
      <c r="BI451" s="554" t="str">
        <f>INDEX(CarrierDriverTBL!$AI:$AI,MATCH(Table1[DriverID],CarrierDriverTBL!$A:$A,0))</f>
        <v>DSK2842P160210</v>
      </c>
      <c r="BJ451" s="556">
        <f>INDEX(CarrierDriverTBL!$AJ:$AJ,MATCH(Table1[[#This Row],[DriverID]],CarrierDriverTBL!$A:$A,0))</f>
        <v>42778</v>
      </c>
      <c r="BK451" s="554">
        <f t="shared" si="195"/>
        <v>263</v>
      </c>
      <c r="BL451" s="558">
        <v>650</v>
      </c>
      <c r="BM451" s="554">
        <v>257</v>
      </c>
      <c r="BN451" s="558">
        <f t="shared" si="188"/>
        <v>2.5291828793774318</v>
      </c>
      <c r="BO451" s="241">
        <f>0.93*Table1[[#This Row],[ChargeBroker]]</f>
        <v>604.5</v>
      </c>
      <c r="BP451" s="558">
        <f t="shared" si="189"/>
        <v>2.3521400778210118</v>
      </c>
      <c r="BQ451" s="558">
        <v>2.6</v>
      </c>
      <c r="BR451" s="559">
        <f t="shared" si="190"/>
        <v>0.1166666666666667</v>
      </c>
      <c r="BS451" s="558">
        <f t="shared" si="196"/>
        <v>2.2354734111543451</v>
      </c>
      <c r="BT451" s="558">
        <f t="shared" si="197"/>
        <v>29.983333333333341</v>
      </c>
      <c r="BU451" s="236" t="str">
        <f t="shared" si="198"/>
        <v>Us Xpress Logistics</v>
      </c>
      <c r="BV451" s="554"/>
      <c r="BW451" s="236" t="str">
        <f>Table1[[#This Row],[BrokerAddress]]</f>
        <v>Po Box 9349</v>
      </c>
      <c r="BX451" s="236" t="str">
        <f t="shared" si="199"/>
        <v>Louisville</v>
      </c>
      <c r="BY451" s="269" t="str">
        <f t="shared" si="200"/>
        <v>Ky</v>
      </c>
      <c r="BZ451" s="236">
        <f t="shared" si="201"/>
        <v>40209</v>
      </c>
      <c r="CA451" s="236" t="str">
        <f t="shared" si="202"/>
        <v>US</v>
      </c>
      <c r="CB451" s="15" t="s">
        <v>131</v>
      </c>
      <c r="CC451" s="62"/>
      <c r="CD451" s="15" t="s">
        <v>132</v>
      </c>
      <c r="CE451" s="64">
        <v>0</v>
      </c>
      <c r="CF451" s="4">
        <v>0</v>
      </c>
      <c r="CG451" s="132">
        <f t="shared" si="203"/>
        <v>0</v>
      </c>
      <c r="CH451" s="4" t="s">
        <v>132</v>
      </c>
      <c r="CI451" s="5">
        <v>0</v>
      </c>
      <c r="CJ451" s="4">
        <v>0</v>
      </c>
      <c r="CK451" s="132">
        <f t="shared" si="204"/>
        <v>0</v>
      </c>
      <c r="CL451" s="4" t="s">
        <v>132</v>
      </c>
      <c r="CM451" s="5">
        <v>0</v>
      </c>
      <c r="CN451" s="4">
        <v>0</v>
      </c>
      <c r="CO451" s="132">
        <f t="shared" si="205"/>
        <v>0</v>
      </c>
      <c r="CP451" s="4" t="s">
        <v>132</v>
      </c>
      <c r="CQ451" s="5">
        <v>0</v>
      </c>
      <c r="CR451" s="4">
        <v>0</v>
      </c>
      <c r="CS451" s="132">
        <f t="shared" si="206"/>
        <v>0</v>
      </c>
      <c r="CT451" s="132">
        <f t="shared" si="207"/>
        <v>0</v>
      </c>
      <c r="CU451" s="238">
        <f t="shared" si="208"/>
        <v>650</v>
      </c>
      <c r="CV451" s="239">
        <f t="shared" si="191"/>
        <v>0</v>
      </c>
      <c r="CW451" s="240">
        <f t="shared" si="192"/>
        <v>604.5</v>
      </c>
      <c r="CX451" s="79">
        <f>IF(ISBLANK(E451),"AddQuickPay",IF(E451=2,CU451*0.98,IF(E451=2.4,CU451*0.976,IF(E451=3,CU451*0.97,IF(E451=5,CU451*0.95,IF(E451=1.5,CU451*0.985,IF(E451=2.5,CU451*0.975,IF(E451=1.3,CU451*0.987,IF(E451=1,CU451*0.99,IF(E451=4,CU451*0.96,CU451*1))))))))))-Table1[[#This Row],[ComCheck+QuickPayFee]]</f>
        <v>640.25</v>
      </c>
      <c r="CY451" s="237">
        <f t="shared" si="209"/>
        <v>45.5</v>
      </c>
      <c r="CZ451" s="237">
        <f t="shared" si="210"/>
        <v>9.75</v>
      </c>
      <c r="DA451" s="263">
        <f>Table1[[#This Row],[OriginalDispatch]]-Table1[[#This Row],[QuickPayCharge]]</f>
        <v>35.75</v>
      </c>
      <c r="DB451" s="5">
        <v>0</v>
      </c>
      <c r="DC451" s="237" t="s">
        <v>133</v>
      </c>
      <c r="DD451" s="549">
        <f t="shared" si="211"/>
        <v>42517</v>
      </c>
      <c r="DE451" s="554">
        <f>MONTH(Table1[[#This Row],[Weekending]])</f>
        <v>5</v>
      </c>
      <c r="DF451" s="554">
        <f>YEAR(Table1[[#This Row],[Weekending]])</f>
        <v>2016</v>
      </c>
      <c r="DG451" s="235"/>
    </row>
    <row r="452" spans="1:111">
      <c r="A452" s="548" t="str">
        <f t="shared" si="193"/>
        <v>47wnwn49</v>
      </c>
      <c r="B452" s="549">
        <v>42516</v>
      </c>
      <c r="C452" s="550">
        <v>202544747</v>
      </c>
      <c r="D452" s="548" t="s">
        <v>111</v>
      </c>
      <c r="E452" s="550">
        <v>2</v>
      </c>
      <c r="F452" s="551" t="str">
        <f>INDEX(BrokerTBL!$B:$B,MATCH(D452,BrokerTBL!$A:$A,0))</f>
        <v>P.O. Box 3474</v>
      </c>
      <c r="G452" s="550" t="str">
        <f>INDEX(BrokerTBL!$C:$C,MATCH(D452,BrokerTBL!$A:$A,0))</f>
        <v>Chicago</v>
      </c>
      <c r="H452" s="235" t="str">
        <f>INDEX(BrokerTBL!$D:$D,MATCH(D452,BrokerTBL!$A:$A,0))</f>
        <v>Il</v>
      </c>
      <c r="I452" s="235" t="str">
        <f>INDEX(BrokerTBL!$E:$E,MATCH(D452,BrokerTBL!$A:$A,0))</f>
        <v>US</v>
      </c>
      <c r="J452" s="235">
        <f>INDEX(BrokerTBL!$F:$F,MATCH(D452,BrokerTBL!$A:$A,0))</f>
        <v>60654</v>
      </c>
      <c r="K452" s="548" t="s">
        <v>2941</v>
      </c>
      <c r="L452" s="552" t="s">
        <v>1205</v>
      </c>
      <c r="M452" s="549">
        <v>42516</v>
      </c>
      <c r="N452" s="15" t="s">
        <v>123</v>
      </c>
      <c r="O452" s="550" t="s">
        <v>2942</v>
      </c>
      <c r="P452" s="548" t="s">
        <v>738</v>
      </c>
      <c r="Q452" s="548" t="s">
        <v>2233</v>
      </c>
      <c r="R452" s="548">
        <v>89512</v>
      </c>
      <c r="S452" s="548" t="s">
        <v>2207</v>
      </c>
      <c r="T452" s="548" t="s">
        <v>2943</v>
      </c>
      <c r="U452" s="548" t="s">
        <v>120</v>
      </c>
      <c r="V452" s="548">
        <v>53</v>
      </c>
      <c r="W452" s="548" t="s">
        <v>2944</v>
      </c>
      <c r="X452" s="553">
        <v>44000</v>
      </c>
      <c r="Y452" s="550" t="s">
        <v>2220</v>
      </c>
      <c r="Z452" s="548" t="s">
        <v>123</v>
      </c>
      <c r="AA452" s="548" t="s">
        <v>123</v>
      </c>
      <c r="AB452" s="548" t="s">
        <v>123</v>
      </c>
      <c r="AC452" s="548" t="s">
        <v>2945</v>
      </c>
      <c r="AD452" s="552" t="s">
        <v>1205</v>
      </c>
      <c r="AE452" s="549">
        <v>42516</v>
      </c>
      <c r="AF452" s="549" t="s">
        <v>2946</v>
      </c>
      <c r="AG452" s="548" t="s">
        <v>2947</v>
      </c>
      <c r="AH452" s="548" t="s">
        <v>2448</v>
      </c>
      <c r="AI452" s="548" t="s">
        <v>2206</v>
      </c>
      <c r="AJ452" s="548">
        <v>95826</v>
      </c>
      <c r="AK452" s="548" t="s">
        <v>2207</v>
      </c>
      <c r="AL452" s="548" t="s">
        <v>2948</v>
      </c>
      <c r="AM452" s="554" t="str">
        <f>INDEX(CarrierDriverTBL!$B:$B,MATCH(Table1[[#This Row],[DriverID]],CarrierDriverTBL!$A:$A,0))</f>
        <v>UBTrucking</v>
      </c>
      <c r="AN452" s="10" t="s">
        <v>192</v>
      </c>
      <c r="AO452" s="555" t="str">
        <f>INDEX(CarrierDriverTBL!$C:$C,MATCH(Table1[[#This Row],[DriverID]],CarrierDriverTBL!$A:$A,0))</f>
        <v>Albel</v>
      </c>
      <c r="AP452" s="555" t="str">
        <f>INDEX(CarrierDriverTBL!$D:$D,MATCH(Table1[[#This Row],[DriverID]],CarrierDriverTBL!$A:$A,0))</f>
        <v>Chahil</v>
      </c>
      <c r="AQ452" s="555" t="str">
        <f>INDEX(CarrierDriverTBL!$X:$X,MATCH(Table1[[#This Row],[DriverID]],CarrierDriverTBL!$A:$A,0))</f>
        <v>A8390649</v>
      </c>
      <c r="AR452" s="556">
        <f>INDEX(CarrierDriverTBL!$Y:$Y,MATCH(Table1[[#This Row],[DriverID]],CarrierDriverTBL!$A:$A,0))</f>
        <v>42402</v>
      </c>
      <c r="AS452" s="554" t="str">
        <f t="shared" si="194"/>
        <v>EXPIRED</v>
      </c>
      <c r="AT452" s="556">
        <f>INDEX(CarrierDriverTBL!$E:$E,MATCH(Table1[[#This Row],[DriverID]],CarrierDriverTBL!$A:$A,0))</f>
        <v>22314</v>
      </c>
      <c r="AU452" s="557">
        <f ca="1">INDEX(CarrierDriverTBL!$F:$F,MATCH(Table1[[#This Row],[DriverID]],CarrierDriverTBL!$A:$A,0))</f>
        <v>55.512328767123286</v>
      </c>
      <c r="AV452" s="554" t="str">
        <f>INDEX(CarrierDriverTBL!$K:$K,MATCH(Table1[[#This Row],[DriverID]],CarrierDriverTBL!$A:$A,0))</f>
        <v>510-773-9450</v>
      </c>
      <c r="AW452" s="554" t="str">
        <f>INDEX(CarrierDriverTBL!$M:$M,MATCH(Table1[[#This Row],[DriverID]],CarrierDriverTBL!$A:$A,0))</f>
        <v>3124 Cynthia CT</v>
      </c>
      <c r="AX452" s="554" t="str">
        <f>INDEX(CarrierDriverTBL!$N:$N,MATCH(Table1[[#This Row],[DriverID]],CarrierDriverTBL!$A:$A,0))</f>
        <v>Tracy</v>
      </c>
      <c r="AY452" s="554" t="str">
        <f>INDEX(CarrierDriverTBL!$O:$O,MATCH(Table1[[#This Row],[DriverID]],CarrierDriverTBL!$A:$A,0))</f>
        <v>CA</v>
      </c>
      <c r="AZ452" s="554">
        <f>INDEX(CarrierDriverTBL!$P:$P,MATCH(Table1[[#This Row],[DriverID]],CarrierDriverTBL!$A:$A,0))</f>
        <v>95377</v>
      </c>
      <c r="BA452" s="554" t="str">
        <f>INDEX(CarrierDriverTBL!$Q:$Q,MATCH(Table1[[#This Row],[DriverID]],CarrierDriverTBL!$A:$A,0))</f>
        <v>US</v>
      </c>
      <c r="BB452" s="554" t="str">
        <f>INDEX(CarrierDriverTBL!$R:$R,MATCH(Table1[[#This Row],[DriverID]],CarrierDriverTBL!$A:$A,0))</f>
        <v>ubgollc@gmail.com</v>
      </c>
      <c r="BC452" s="556">
        <f>INDEX(CarrierDriverTBL!$AB:$AB,MATCH(Table1[[#This Row],[DriverID]],CarrierDriverTBL!$A:$A,0))</f>
        <v>42167</v>
      </c>
      <c r="BD452" s="555" t="str">
        <f ca="1">INDEX(CarrierDriverTBL!$AD:$AD,MATCH(LoadMaster!$AN:$AN,CarrierDriverTBL!$A:$A,0))</f>
        <v>MISSING</v>
      </c>
      <c r="BE452" s="555">
        <f>INDEX(CarrierDriverTBL!$AE:$AE,MATCH(Table1[DriverID],CarrierDriverTBL!$A:$A,0))</f>
        <v>913971</v>
      </c>
      <c r="BF452" s="554">
        <f>INDEX(CarrierDriverTBL!$AF:$AF,MATCH(Table1[DriverID],CarrierDriverTBL!$A:$A,0))</f>
        <v>2627544</v>
      </c>
      <c r="BG452" s="236">
        <f>INDEX(CarrierDriverTBL!$AG:$AG,MATCH(Table1[DriverID],CarrierDriverTBL!$A:$A,0))</f>
        <v>466133</v>
      </c>
      <c r="BH452" s="554" t="str">
        <f>INDEX(CarrierDriverTBL!$AH:$AH,MATCH(Table1[DriverID],CarrierDriverTBL!$A:$A,0))</f>
        <v>GM Lawrence Ins</v>
      </c>
      <c r="BI452" s="554" t="str">
        <f>INDEX(CarrierDriverTBL!$AI:$AI,MATCH(Table1[DriverID],CarrierDriverTBL!$A:$A,0))</f>
        <v>DSK2842P160210</v>
      </c>
      <c r="BJ452" s="556">
        <f>INDEX(CarrierDriverTBL!$AJ:$AJ,MATCH(Table1[[#This Row],[DriverID]],CarrierDriverTBL!$A:$A,0))</f>
        <v>42778</v>
      </c>
      <c r="BK452" s="554">
        <f t="shared" si="195"/>
        <v>262</v>
      </c>
      <c r="BL452" s="558">
        <v>275</v>
      </c>
      <c r="BM452" s="554">
        <v>131.69999999999999</v>
      </c>
      <c r="BN452" s="558">
        <f t="shared" si="188"/>
        <v>2.0880789673500382</v>
      </c>
      <c r="BO452" s="241">
        <f>0.93*Table1[[#This Row],[ChargeBroker]]</f>
        <v>255.75</v>
      </c>
      <c r="BP452" s="558">
        <f t="shared" si="189"/>
        <v>1.9419134396355355</v>
      </c>
      <c r="BQ452" s="558">
        <v>2.6</v>
      </c>
      <c r="BR452" s="559">
        <f t="shared" si="190"/>
        <v>0.1166666666666667</v>
      </c>
      <c r="BS452" s="558">
        <f t="shared" si="196"/>
        <v>1.8252467729688688</v>
      </c>
      <c r="BT452" s="558">
        <f t="shared" si="197"/>
        <v>15.365000000000002</v>
      </c>
      <c r="BU452" s="236" t="str">
        <f t="shared" si="198"/>
        <v>Ch Robinson</v>
      </c>
      <c r="BV452" s="554"/>
      <c r="BW452" s="236" t="str">
        <f>Table1[[#This Row],[BrokerAddress]]</f>
        <v>P.O. Box 3474</v>
      </c>
      <c r="BX452" s="236" t="str">
        <f t="shared" si="199"/>
        <v>Chicago</v>
      </c>
      <c r="BY452" s="269" t="str">
        <f t="shared" si="200"/>
        <v>Il</v>
      </c>
      <c r="BZ452" s="236">
        <f t="shared" si="201"/>
        <v>60654</v>
      </c>
      <c r="CA452" s="236" t="str">
        <f t="shared" si="202"/>
        <v>US</v>
      </c>
      <c r="CB452" s="15" t="s">
        <v>131</v>
      </c>
      <c r="CC452" s="62"/>
      <c r="CD452" s="15" t="s">
        <v>132</v>
      </c>
      <c r="CE452" s="64">
        <v>0</v>
      </c>
      <c r="CF452" s="4">
        <v>0</v>
      </c>
      <c r="CG452" s="132">
        <f t="shared" si="203"/>
        <v>0</v>
      </c>
      <c r="CH452" s="4" t="s">
        <v>132</v>
      </c>
      <c r="CI452" s="5">
        <v>0</v>
      </c>
      <c r="CJ452" s="4">
        <v>0</v>
      </c>
      <c r="CK452" s="132">
        <f t="shared" si="204"/>
        <v>0</v>
      </c>
      <c r="CL452" s="4" t="s">
        <v>132</v>
      </c>
      <c r="CM452" s="5">
        <v>0</v>
      </c>
      <c r="CN452" s="4">
        <v>0</v>
      </c>
      <c r="CO452" s="132">
        <f t="shared" si="205"/>
        <v>0</v>
      </c>
      <c r="CP452" s="4" t="s">
        <v>132</v>
      </c>
      <c r="CQ452" s="5">
        <v>0</v>
      </c>
      <c r="CR452" s="4">
        <v>0</v>
      </c>
      <c r="CS452" s="132">
        <f t="shared" si="206"/>
        <v>0</v>
      </c>
      <c r="CT452" s="132">
        <f t="shared" si="207"/>
        <v>0</v>
      </c>
      <c r="CU452" s="238">
        <f t="shared" si="208"/>
        <v>275</v>
      </c>
      <c r="CV452" s="239">
        <f t="shared" si="191"/>
        <v>0</v>
      </c>
      <c r="CW452" s="240">
        <f t="shared" si="192"/>
        <v>255.75</v>
      </c>
      <c r="CX452" s="79">
        <f>IF(ISBLANK(E452),"AddQuickPay",IF(E452=2,CU452*0.98,IF(E452=2.4,CU452*0.976,IF(E452=3,CU452*0.97,IF(E452=5,CU452*0.95,IF(E452=1.5,CU452*0.985,IF(E452=2.5,CU452*0.975,IF(E452=1.3,CU452*0.987,IF(E452=1,CU452*0.99,IF(E452=4,CU452*0.96,CU452*1))))))))))-Table1[[#This Row],[ComCheck+QuickPayFee]]</f>
        <v>269.5</v>
      </c>
      <c r="CY452" s="237">
        <f t="shared" si="209"/>
        <v>19.25</v>
      </c>
      <c r="CZ452" s="237">
        <f t="shared" si="210"/>
        <v>5.5</v>
      </c>
      <c r="DA452" s="263">
        <f>Table1[[#This Row],[OriginalDispatch]]-Table1[[#This Row],[QuickPayCharge]]</f>
        <v>13.75</v>
      </c>
      <c r="DB452" s="5">
        <v>0</v>
      </c>
      <c r="DC452" s="237" t="s">
        <v>133</v>
      </c>
      <c r="DD452" s="549">
        <f t="shared" si="211"/>
        <v>42517</v>
      </c>
      <c r="DE452" s="554">
        <f>MONTH(Table1[[#This Row],[Weekending]])</f>
        <v>5</v>
      </c>
      <c r="DF452" s="554">
        <f>YEAR(Table1[[#This Row],[Weekending]])</f>
        <v>2016</v>
      </c>
      <c r="DG452" s="235"/>
    </row>
    <row r="453" spans="1:111">
      <c r="A453" s="548" t="str">
        <f t="shared" si="193"/>
        <v>39717393</v>
      </c>
      <c r="B453" s="549">
        <v>42516</v>
      </c>
      <c r="C453" s="550">
        <v>2846839</v>
      </c>
      <c r="D453" s="91" t="s">
        <v>1964</v>
      </c>
      <c r="E453" s="550">
        <v>1.5</v>
      </c>
      <c r="F453" s="551" t="str">
        <f>INDEX(BrokerTBL!$B:$B,MATCH(D453,BrokerTBL!$A:$A,0))</f>
        <v>Po Box 9349</v>
      </c>
      <c r="G453" s="550" t="str">
        <f>INDEX(BrokerTBL!$C:$C,MATCH(D453,BrokerTBL!$A:$A,0))</f>
        <v>Louisville</v>
      </c>
      <c r="H453" s="235" t="str">
        <f>INDEX(BrokerTBL!$D:$D,MATCH(D453,BrokerTBL!$A:$A,0))</f>
        <v>Ky</v>
      </c>
      <c r="I453" s="235" t="str">
        <f>INDEX(BrokerTBL!$E:$E,MATCH(D453,BrokerTBL!$A:$A,0))</f>
        <v>US</v>
      </c>
      <c r="J453" s="235">
        <f>INDEX(BrokerTBL!$F:$F,MATCH(D453,BrokerTBL!$A:$A,0))</f>
        <v>40209</v>
      </c>
      <c r="K453" s="548" t="s">
        <v>2949</v>
      </c>
      <c r="L453" s="552" t="s">
        <v>2950</v>
      </c>
      <c r="M453" s="549">
        <v>42516</v>
      </c>
      <c r="N453" s="560">
        <v>0.41666666666666669</v>
      </c>
      <c r="O453" s="550" t="s">
        <v>2951</v>
      </c>
      <c r="P453" s="548" t="s">
        <v>380</v>
      </c>
      <c r="Q453" s="548" t="s">
        <v>2206</v>
      </c>
      <c r="R453" s="548">
        <v>95376</v>
      </c>
      <c r="S453" s="548" t="s">
        <v>2207</v>
      </c>
      <c r="T453" s="548" t="s">
        <v>123</v>
      </c>
      <c r="U453" s="548" t="s">
        <v>120</v>
      </c>
      <c r="V453" s="548">
        <v>53</v>
      </c>
      <c r="W453" s="548" t="s">
        <v>1205</v>
      </c>
      <c r="X453" s="553">
        <v>43430</v>
      </c>
      <c r="Y453" s="550" t="s">
        <v>123</v>
      </c>
      <c r="Z453" s="548" t="s">
        <v>123</v>
      </c>
      <c r="AA453" s="548" t="s">
        <v>123</v>
      </c>
      <c r="AB453" s="548" t="s">
        <v>123</v>
      </c>
      <c r="AC453" s="548" t="s">
        <v>2952</v>
      </c>
      <c r="AD453" s="552">
        <v>4504655373</v>
      </c>
      <c r="AE453" s="549">
        <v>42516</v>
      </c>
      <c r="AF453" s="560">
        <v>0.5</v>
      </c>
      <c r="AG453" s="548" t="s">
        <v>2953</v>
      </c>
      <c r="AH453" s="548" t="s">
        <v>2954</v>
      </c>
      <c r="AI453" s="548" t="s">
        <v>2206</v>
      </c>
      <c r="AJ453" s="548">
        <v>94080</v>
      </c>
      <c r="AK453" s="548" t="s">
        <v>2207</v>
      </c>
      <c r="AL453" s="548" t="s">
        <v>123</v>
      </c>
      <c r="AM453" s="554" t="str">
        <f>INDEX(CarrierDriverTBL!$B:$B,MATCH(Table1[[#This Row],[DriverID]],CarrierDriverTBL!$A:$A,0))</f>
        <v>UBTrucking</v>
      </c>
      <c r="AN453" s="10" t="s">
        <v>2234</v>
      </c>
      <c r="AO453" s="555" t="str">
        <f>INDEX(CarrierDriverTBL!$C:$C,MATCH(Table1[[#This Row],[DriverID]],CarrierDriverTBL!$A:$A,0))</f>
        <v>Arturo</v>
      </c>
      <c r="AP453" s="555" t="str">
        <f>INDEX(CarrierDriverTBL!$D:$D,MATCH(Table1[[#This Row],[DriverID]],CarrierDriverTBL!$A:$A,0))</f>
        <v>Carrillo</v>
      </c>
      <c r="AQ453" s="555" t="str">
        <f>INDEX(CarrierDriverTBL!$X:$X,MATCH(Table1[[#This Row],[DriverID]],CarrierDriverTBL!$A:$A,0))</f>
        <v>C7056793</v>
      </c>
      <c r="AR453" s="556">
        <f>INDEX(CarrierDriverTBL!$Y:$Y,MATCH(Table1[[#This Row],[DriverID]],CarrierDriverTBL!$A:$A,0))</f>
        <v>43410</v>
      </c>
      <c r="AS453" s="554" t="str">
        <f t="shared" si="194"/>
        <v>GOOD</v>
      </c>
      <c r="AT453" s="556">
        <f>INDEX(CarrierDriverTBL!$E:$E,MATCH(Table1[[#This Row],[DriverID]],CarrierDriverTBL!$A:$A,0))</f>
        <v>24782</v>
      </c>
      <c r="AU453" s="557">
        <f ca="1">INDEX(CarrierDriverTBL!$F:$F,MATCH(Table1[[#This Row],[DriverID]],CarrierDriverTBL!$A:$A,0))</f>
        <v>48.750684931506846</v>
      </c>
      <c r="AV453" s="554" t="str">
        <f>INDEX(CarrierDriverTBL!$K:$K,MATCH(Table1[[#This Row],[DriverID]],CarrierDriverTBL!$A:$A,0))</f>
        <v>209-276-9785</v>
      </c>
      <c r="AW453" s="554" t="str">
        <f>INDEX(CarrierDriverTBL!$M:$M,MATCH(Table1[[#This Row],[DriverID]],CarrierDriverTBL!$A:$A,0))</f>
        <v>1685 Winthrop Ln</v>
      </c>
      <c r="AX453" s="554" t="str">
        <f>INDEX(CarrierDriverTBL!$N:$N,MATCH(Table1[[#This Row],[DriverID]],CarrierDriverTBL!$A:$A,0))</f>
        <v>Ceres</v>
      </c>
      <c r="AY453" s="554" t="str">
        <f>INDEX(CarrierDriverTBL!$O:$O,MATCH(Table1[[#This Row],[DriverID]],CarrierDriverTBL!$A:$A,0))</f>
        <v>CA</v>
      </c>
      <c r="AZ453" s="554">
        <f>INDEX(CarrierDriverTBL!$P:$P,MATCH(Table1[[#This Row],[DriverID]],CarrierDriverTBL!$A:$A,0))</f>
        <v>95307</v>
      </c>
      <c r="BA453" s="554" t="str">
        <f>INDEX(CarrierDriverTBL!$Q:$Q,MATCH(Table1[[#This Row],[DriverID]],CarrierDriverTBL!$A:$A,0))</f>
        <v>US</v>
      </c>
      <c r="BB453" s="554" t="str">
        <f>INDEX(CarrierDriverTBL!$R:$R,MATCH(Table1[[#This Row],[DriverID]],CarrierDriverTBL!$A:$A,0))</f>
        <v>arturocarr777@gmail.com</v>
      </c>
      <c r="BC453" s="556">
        <f>INDEX(CarrierDriverTBL!$AB:$AB,MATCH(Table1[[#This Row],[DriverID]],CarrierDriverTBL!$A:$A,0))</f>
        <v>42418</v>
      </c>
      <c r="BD453" s="555" t="str">
        <f ca="1">INDEX(CarrierDriverTBL!$AD:$AD,MATCH(LoadMaster!$AN:$AN,CarrierDriverTBL!$A:$A,0))</f>
        <v>MISSING</v>
      </c>
      <c r="BE453" s="555">
        <f>INDEX(CarrierDriverTBL!$AE:$AE,MATCH(Table1[DriverID],CarrierDriverTBL!$A:$A,0))</f>
        <v>913971</v>
      </c>
      <c r="BF453" s="554">
        <f>INDEX(CarrierDriverTBL!$AF:$AF,MATCH(Table1[DriverID],CarrierDriverTBL!$A:$A,0))</f>
        <v>2627544</v>
      </c>
      <c r="BG453" s="236">
        <f>INDEX(CarrierDriverTBL!$AG:$AG,MATCH(Table1[DriverID],CarrierDriverTBL!$A:$A,0))</f>
        <v>466133</v>
      </c>
      <c r="BH453" s="554" t="str">
        <f>INDEX(CarrierDriverTBL!$AH:$AH,MATCH(Table1[DriverID],CarrierDriverTBL!$A:$A,0))</f>
        <v>GM Lawrence Ins</v>
      </c>
      <c r="BI453" s="554" t="str">
        <f>INDEX(CarrierDriverTBL!$AI:$AI,MATCH(Table1[DriverID],CarrierDriverTBL!$A:$A,0))</f>
        <v>DSK2842P160210</v>
      </c>
      <c r="BJ453" s="556">
        <f>INDEX(CarrierDriverTBL!$AJ:$AJ,MATCH(Table1[[#This Row],[DriverID]],CarrierDriverTBL!$A:$A,0))</f>
        <v>42778</v>
      </c>
      <c r="BK453" s="554">
        <f t="shared" si="195"/>
        <v>262</v>
      </c>
      <c r="BL453" s="558">
        <v>396</v>
      </c>
      <c r="BM453" s="554">
        <v>73</v>
      </c>
      <c r="BN453" s="558">
        <f t="shared" si="188"/>
        <v>5.4246575342465757</v>
      </c>
      <c r="BO453" s="241">
        <f>0.93*Table1[[#This Row],[ChargeBroker]]</f>
        <v>368.28000000000003</v>
      </c>
      <c r="BP453" s="558">
        <f t="shared" si="189"/>
        <v>5.0449315068493155</v>
      </c>
      <c r="BQ453" s="558">
        <v>2.6</v>
      </c>
      <c r="BR453" s="559">
        <f t="shared" si="190"/>
        <v>0.1166666666666667</v>
      </c>
      <c r="BS453" s="558">
        <f t="shared" si="196"/>
        <v>4.9282648401826492</v>
      </c>
      <c r="BT453" s="558">
        <f t="shared" si="197"/>
        <v>8.5166666666666693</v>
      </c>
      <c r="BU453" s="236" t="str">
        <f t="shared" si="198"/>
        <v>Us Xpress Logistics</v>
      </c>
      <c r="BV453" s="554"/>
      <c r="BW453" s="236" t="str">
        <f>Table1[[#This Row],[BrokerAddress]]</f>
        <v>Po Box 9349</v>
      </c>
      <c r="BX453" s="236" t="str">
        <f t="shared" si="199"/>
        <v>Louisville</v>
      </c>
      <c r="BY453" s="269" t="str">
        <f t="shared" si="200"/>
        <v>Ky</v>
      </c>
      <c r="BZ453" s="236">
        <f t="shared" si="201"/>
        <v>40209</v>
      </c>
      <c r="CA453" s="236" t="str">
        <f t="shared" si="202"/>
        <v>US</v>
      </c>
      <c r="CB453" s="15" t="s">
        <v>131</v>
      </c>
      <c r="CC453" s="62"/>
      <c r="CD453" s="15" t="s">
        <v>132</v>
      </c>
      <c r="CE453" s="64">
        <v>0</v>
      </c>
      <c r="CF453" s="4">
        <v>0</v>
      </c>
      <c r="CG453" s="132">
        <f t="shared" si="203"/>
        <v>0</v>
      </c>
      <c r="CH453" s="4" t="s">
        <v>132</v>
      </c>
      <c r="CI453" s="5">
        <v>0</v>
      </c>
      <c r="CJ453" s="4">
        <v>0</v>
      </c>
      <c r="CK453" s="132">
        <f t="shared" si="204"/>
        <v>0</v>
      </c>
      <c r="CL453" s="4" t="s">
        <v>132</v>
      </c>
      <c r="CM453" s="5">
        <v>0</v>
      </c>
      <c r="CN453" s="4">
        <v>0</v>
      </c>
      <c r="CO453" s="132">
        <f t="shared" si="205"/>
        <v>0</v>
      </c>
      <c r="CP453" s="4" t="s">
        <v>132</v>
      </c>
      <c r="CQ453" s="5">
        <v>0</v>
      </c>
      <c r="CR453" s="4">
        <v>0</v>
      </c>
      <c r="CS453" s="132">
        <f t="shared" si="206"/>
        <v>0</v>
      </c>
      <c r="CT453" s="132">
        <f t="shared" si="207"/>
        <v>0</v>
      </c>
      <c r="CU453" s="238">
        <f t="shared" si="208"/>
        <v>396</v>
      </c>
      <c r="CV453" s="239">
        <f t="shared" si="191"/>
        <v>0</v>
      </c>
      <c r="CW453" s="240">
        <f t="shared" si="192"/>
        <v>368.28000000000003</v>
      </c>
      <c r="CX453" s="79">
        <f>IF(ISBLANK(E453),"AddQuickPay",IF(E453=2,CU453*0.98,IF(E453=2.4,CU453*0.976,IF(E453=3,CU453*0.97,IF(E453=5,CU453*0.95,IF(E453=1.5,CU453*0.985,IF(E453=2.5,CU453*0.975,IF(E453=1.3,CU453*0.987,IF(E453=1,CU453*0.99,IF(E453=4,CU453*0.96,CU453*1))))))))))-Table1[[#This Row],[ComCheck+QuickPayFee]]</f>
        <v>390.06</v>
      </c>
      <c r="CY453" s="237">
        <f t="shared" si="209"/>
        <v>27.71999999999997</v>
      </c>
      <c r="CZ453" s="237">
        <f t="shared" si="210"/>
        <v>5.9399999999999995</v>
      </c>
      <c r="DA453" s="263">
        <f>Table1[[#This Row],[OriginalDispatch]]-Table1[[#This Row],[QuickPayCharge]]</f>
        <v>21.779999999999973</v>
      </c>
      <c r="DB453" s="5">
        <v>0</v>
      </c>
      <c r="DC453" s="237" t="s">
        <v>133</v>
      </c>
      <c r="DD453" s="549">
        <f t="shared" si="211"/>
        <v>42517</v>
      </c>
      <c r="DE453" s="554">
        <f>MONTH(Table1[[#This Row],[Weekending]])</f>
        <v>5</v>
      </c>
      <c r="DF453" s="554">
        <f>YEAR(Table1[[#This Row],[Weekending]])</f>
        <v>2016</v>
      </c>
      <c r="DG453" s="235"/>
    </row>
    <row r="454" spans="1:111">
      <c r="A454" s="548" t="str">
        <f t="shared" si="193"/>
        <v>64010019</v>
      </c>
      <c r="B454" s="549">
        <v>42516</v>
      </c>
      <c r="C454" s="550">
        <v>4567664</v>
      </c>
      <c r="D454" s="548" t="s">
        <v>2955</v>
      </c>
      <c r="E454" s="550">
        <v>2</v>
      </c>
      <c r="F454" s="551" t="str">
        <f>INDEX(BrokerTBL!$B:$B,MATCH(D454,BrokerTBL!$A:$A,0))</f>
        <v>P.O. BOX 1620</v>
      </c>
      <c r="G454" s="550" t="str">
        <f>INDEX(BrokerTBL!$C:$C,MATCH(D454,BrokerTBL!$A:$A,0))</f>
        <v>Seaford</v>
      </c>
      <c r="H454" s="235" t="str">
        <f>INDEX(BrokerTBL!$D:$D,MATCH(D454,BrokerTBL!$A:$A,0))</f>
        <v>DE</v>
      </c>
      <c r="I454" s="235" t="str">
        <f>INDEX(BrokerTBL!$E:$E,MATCH(D454,BrokerTBL!$A:$A,0))</f>
        <v>US</v>
      </c>
      <c r="J454" s="235">
        <f>INDEX(BrokerTBL!$F:$F,MATCH(D454,BrokerTBL!$A:$A,0))</f>
        <v>19973</v>
      </c>
      <c r="K454" s="548" t="s">
        <v>2956</v>
      </c>
      <c r="L454" s="552" t="s">
        <v>2957</v>
      </c>
      <c r="M454" s="549">
        <v>42516</v>
      </c>
      <c r="N454" s="560">
        <v>0.52083333333333337</v>
      </c>
      <c r="O454" s="550" t="s">
        <v>2958</v>
      </c>
      <c r="P454" s="548" t="s">
        <v>263</v>
      </c>
      <c r="Q454" s="548" t="s">
        <v>2233</v>
      </c>
      <c r="R454" s="548">
        <v>89431</v>
      </c>
      <c r="S454" s="548" t="s">
        <v>2207</v>
      </c>
      <c r="T454" s="548" t="s">
        <v>2959</v>
      </c>
      <c r="U454" s="548" t="s">
        <v>120</v>
      </c>
      <c r="V454" s="548">
        <v>53</v>
      </c>
      <c r="W454" s="548" t="s">
        <v>2960</v>
      </c>
      <c r="X454" s="553">
        <v>42000</v>
      </c>
      <c r="Y454" s="550" t="s">
        <v>2961</v>
      </c>
      <c r="Z454" s="548">
        <v>15</v>
      </c>
      <c r="AA454" s="548" t="s">
        <v>123</v>
      </c>
      <c r="AB454" s="548" t="s">
        <v>123</v>
      </c>
      <c r="AC454" s="548" t="s">
        <v>2962</v>
      </c>
      <c r="AD454" s="552" t="s">
        <v>2963</v>
      </c>
      <c r="AE454" s="549">
        <v>42517</v>
      </c>
      <c r="AF454" s="560">
        <v>0.33333333333333331</v>
      </c>
      <c r="AG454" s="548" t="s">
        <v>2964</v>
      </c>
      <c r="AH454" s="548" t="s">
        <v>2544</v>
      </c>
      <c r="AI454" s="548" t="s">
        <v>2206</v>
      </c>
      <c r="AJ454" s="548">
        <v>94603</v>
      </c>
      <c r="AK454" s="548" t="s">
        <v>2207</v>
      </c>
      <c r="AL454" s="548" t="s">
        <v>2959</v>
      </c>
      <c r="AM454" s="554" t="str">
        <f>INDEX(CarrierDriverTBL!$B:$B,MATCH(Table1[[#This Row],[DriverID]],CarrierDriverTBL!$A:$A,0))</f>
        <v>UBTrucking</v>
      </c>
      <c r="AN454" s="10" t="s">
        <v>1409</v>
      </c>
      <c r="AO454" s="555" t="str">
        <f>INDEX(CarrierDriverTBL!$C:$C,MATCH(Table1[[#This Row],[DriverID]],CarrierDriverTBL!$A:$A,0))</f>
        <v>Miguel Jaime</v>
      </c>
      <c r="AP454" s="555" t="str">
        <f>INDEX(CarrierDriverTBL!$D:$D,MATCH(Table1[[#This Row],[DriverID]],CarrierDriverTBL!$A:$A,0))</f>
        <v>Martin Del Campo Velarca</v>
      </c>
      <c r="AQ454" s="555" t="str">
        <f>INDEX(CarrierDriverTBL!$X:$X,MATCH(Table1[[#This Row],[DriverID]],CarrierDriverTBL!$A:$A,0))</f>
        <v>D5179619</v>
      </c>
      <c r="AR454" s="556">
        <f>INDEX(CarrierDriverTBL!$Y:$Y,MATCH(Table1[[#This Row],[DriverID]],CarrierDriverTBL!$A:$A,0))</f>
        <v>43843</v>
      </c>
      <c r="AS454" s="554" t="str">
        <f t="shared" si="194"/>
        <v>GOOD</v>
      </c>
      <c r="AT454" s="556">
        <f>INDEX(CarrierDriverTBL!$E:$E,MATCH(Table1[[#This Row],[DriverID]],CarrierDriverTBL!$A:$A,0))</f>
        <v>21198</v>
      </c>
      <c r="AU454" s="557">
        <f ca="1">INDEX(CarrierDriverTBL!$F:$F,MATCH(Table1[[#This Row],[DriverID]],CarrierDriverTBL!$A:$A,0))</f>
        <v>58.56986301369863</v>
      </c>
      <c r="AV454" s="554" t="str">
        <f>INDEX(CarrierDriverTBL!$K:$K,MATCH(Table1[[#This Row],[DriverID]],CarrierDriverTBL!$A:$A,0))</f>
        <v>209-322-5231</v>
      </c>
      <c r="AW454" s="554" t="str">
        <f>INDEX(CarrierDriverTBL!$M:$M,MATCH(Table1[[#This Row],[DriverID]],CarrierDriverTBL!$A:$A,0))</f>
        <v>572 Predersen RD</v>
      </c>
      <c r="AX454" s="554" t="str">
        <f>INDEX(CarrierDriverTBL!$N:$N,MATCH(Table1[[#This Row],[DriverID]],CarrierDriverTBL!$A:$A,0))</f>
        <v>Oakdale</v>
      </c>
      <c r="AY454" s="554" t="str">
        <f>INDEX(CarrierDriverTBL!$O:$O,MATCH(Table1[[#This Row],[DriverID]],CarrierDriverTBL!$A:$A,0))</f>
        <v>CA</v>
      </c>
      <c r="AZ454" s="554">
        <f>INDEX(CarrierDriverTBL!$P:$P,MATCH(Table1[[#This Row],[DriverID]],CarrierDriverTBL!$A:$A,0))</f>
        <v>95361</v>
      </c>
      <c r="BA454" s="554" t="str">
        <f>INDEX(CarrierDriverTBL!$Q:$Q,MATCH(Table1[[#This Row],[DriverID]],CarrierDriverTBL!$A:$A,0))</f>
        <v>US</v>
      </c>
      <c r="BB454" s="554" t="str">
        <f>INDEX(CarrierDriverTBL!$R:$R,MATCH(Table1[[#This Row],[DriverID]],CarrierDriverTBL!$A:$A,0))</f>
        <v>Miguelmartin52@yahoo.com</v>
      </c>
      <c r="BC454" s="556">
        <f>INDEX(CarrierDriverTBL!$AB:$AB,MATCH(Table1[[#This Row],[DriverID]],CarrierDriverTBL!$A:$A,0))</f>
        <v>42334</v>
      </c>
      <c r="BD454" s="555" t="str">
        <f ca="1">INDEX(CarrierDriverTBL!$AD:$AD,MATCH(LoadMaster!$AN:$AN,CarrierDriverTBL!$A:$A,0))</f>
        <v>MISSING</v>
      </c>
      <c r="BE454" s="555">
        <f>INDEX(CarrierDriverTBL!$AE:$AE,MATCH(Table1[DriverID],CarrierDriverTBL!$A:$A,0))</f>
        <v>913971</v>
      </c>
      <c r="BF454" s="554">
        <f>INDEX(CarrierDriverTBL!$AF:$AF,MATCH(Table1[DriverID],CarrierDriverTBL!$A:$A,0))</f>
        <v>2627544</v>
      </c>
      <c r="BG454" s="236">
        <f>INDEX(CarrierDriverTBL!$AG:$AG,MATCH(Table1[DriverID],CarrierDriverTBL!$A:$A,0))</f>
        <v>466133</v>
      </c>
      <c r="BH454" s="554" t="str">
        <f>INDEX(CarrierDriverTBL!$AH:$AH,MATCH(Table1[DriverID],CarrierDriverTBL!$A:$A,0))</f>
        <v>GM Lawrence Ins</v>
      </c>
      <c r="BI454" s="554" t="str">
        <f>INDEX(CarrierDriverTBL!$AI:$AI,MATCH(Table1[DriverID],CarrierDriverTBL!$A:$A,0))</f>
        <v>DSK2842P160210</v>
      </c>
      <c r="BJ454" s="556">
        <f>INDEX(CarrierDriverTBL!$AJ:$AJ,MATCH(Table1[[#This Row],[DriverID]],CarrierDriverTBL!$A:$A,0))</f>
        <v>42778</v>
      </c>
      <c r="BK454" s="554">
        <f t="shared" si="195"/>
        <v>262</v>
      </c>
      <c r="BL454" s="558">
        <v>400</v>
      </c>
      <c r="BM454" s="554">
        <v>215</v>
      </c>
      <c r="BN454" s="558">
        <f t="shared" ref="BN454:BN483" si="212">BL454/BM454</f>
        <v>1.8604651162790697</v>
      </c>
      <c r="BO454" s="241">
        <f>0.93*Table1[[#This Row],[ChargeBroker]]</f>
        <v>372</v>
      </c>
      <c r="BP454" s="558">
        <f t="shared" ref="BP454:BP483" si="213">BO454/BM454</f>
        <v>1.7302325581395348</v>
      </c>
      <c r="BQ454" s="558">
        <v>2.6</v>
      </c>
      <c r="BR454" s="559">
        <f t="shared" ref="BR454:BR483" si="214">(BQ454-1.9)/6</f>
        <v>0.1166666666666667</v>
      </c>
      <c r="BS454" s="558">
        <f t="shared" si="196"/>
        <v>1.6135658914728681</v>
      </c>
      <c r="BT454" s="558">
        <f t="shared" si="197"/>
        <v>25.083333333333339</v>
      </c>
      <c r="BU454" s="236" t="str">
        <f t="shared" si="198"/>
        <v>Trinity Logistics</v>
      </c>
      <c r="BV454" s="554"/>
      <c r="BW454" s="236" t="str">
        <f>Table1[[#This Row],[BrokerAddress]]</f>
        <v>P.O. BOX 1620</v>
      </c>
      <c r="BX454" s="236" t="str">
        <f t="shared" si="199"/>
        <v>Seaford</v>
      </c>
      <c r="BY454" s="269" t="str">
        <f t="shared" si="200"/>
        <v>DE</v>
      </c>
      <c r="BZ454" s="236">
        <f t="shared" si="201"/>
        <v>19973</v>
      </c>
      <c r="CA454" s="236" t="str">
        <f t="shared" si="202"/>
        <v>US</v>
      </c>
      <c r="CB454" s="15" t="s">
        <v>131</v>
      </c>
      <c r="CC454" s="62"/>
      <c r="CD454" s="15" t="s">
        <v>132</v>
      </c>
      <c r="CE454" s="64">
        <v>0</v>
      </c>
      <c r="CF454" s="4">
        <v>0</v>
      </c>
      <c r="CG454" s="132">
        <f t="shared" si="203"/>
        <v>0</v>
      </c>
      <c r="CH454" s="4" t="s">
        <v>132</v>
      </c>
      <c r="CI454" s="5">
        <v>0</v>
      </c>
      <c r="CJ454" s="4">
        <v>0</v>
      </c>
      <c r="CK454" s="132">
        <f t="shared" si="204"/>
        <v>0</v>
      </c>
      <c r="CL454" s="4" t="s">
        <v>132</v>
      </c>
      <c r="CM454" s="5">
        <v>0</v>
      </c>
      <c r="CN454" s="4">
        <v>0</v>
      </c>
      <c r="CO454" s="132">
        <f t="shared" si="205"/>
        <v>0</v>
      </c>
      <c r="CP454" s="4" t="s">
        <v>132</v>
      </c>
      <c r="CQ454" s="5">
        <v>0</v>
      </c>
      <c r="CR454" s="4">
        <v>0</v>
      </c>
      <c r="CS454" s="132">
        <f t="shared" si="206"/>
        <v>0</v>
      </c>
      <c r="CT454" s="132">
        <f t="shared" si="207"/>
        <v>0</v>
      </c>
      <c r="CU454" s="238">
        <f t="shared" si="208"/>
        <v>400</v>
      </c>
      <c r="CV454" s="239">
        <f t="shared" si="191"/>
        <v>0</v>
      </c>
      <c r="CW454" s="240">
        <f t="shared" si="192"/>
        <v>372</v>
      </c>
      <c r="CX454" s="79">
        <f>IF(ISBLANK(E454),"AddQuickPay",IF(E454=2,CU454*0.98,IF(E454=2.4,CU454*0.976,IF(E454=3,CU454*0.97,IF(E454=5,CU454*0.95,IF(E454=1.5,CU454*0.985,IF(E454=2.5,CU454*0.975,IF(E454=1.3,CU454*0.987,IF(E454=1,CU454*0.99,IF(E454=4,CU454*0.96,CU454*1))))))))))-Table1[[#This Row],[ComCheck+QuickPayFee]]</f>
        <v>392</v>
      </c>
      <c r="CY454" s="237">
        <f t="shared" si="209"/>
        <v>28</v>
      </c>
      <c r="CZ454" s="237">
        <f t="shared" si="210"/>
        <v>8</v>
      </c>
      <c r="DA454" s="263">
        <f>Table1[[#This Row],[OriginalDispatch]]-Table1[[#This Row],[QuickPayCharge]]</f>
        <v>20</v>
      </c>
      <c r="DB454" s="5">
        <v>0</v>
      </c>
      <c r="DC454" s="237" t="s">
        <v>133</v>
      </c>
      <c r="DD454" s="549">
        <f t="shared" si="211"/>
        <v>42517</v>
      </c>
      <c r="DE454" s="554">
        <f>MONTH(Table1[[#This Row],[Weekending]])</f>
        <v>5</v>
      </c>
      <c r="DF454" s="554">
        <f>YEAR(Table1[[#This Row],[Weekending]])</f>
        <v>2016</v>
      </c>
      <c r="DG454" s="235"/>
    </row>
    <row r="455" spans="1:111">
      <c r="A455" s="548" t="str">
        <f t="shared" si="193"/>
        <v>29ngwn93</v>
      </c>
      <c r="B455" s="549">
        <v>42516</v>
      </c>
      <c r="C455" s="550">
        <v>7022729</v>
      </c>
      <c r="D455" s="548" t="s">
        <v>2248</v>
      </c>
      <c r="E455" s="550">
        <v>3</v>
      </c>
      <c r="F455" s="551" t="str">
        <f>INDEX(BrokerTBL!$B:$B,MATCH(D455,BrokerTBL!$A:$A,0))</f>
        <v>P.O. Box 799</v>
      </c>
      <c r="G455" s="550" t="str">
        <f>INDEX(BrokerTBL!$C:$C,MATCH(D455,BrokerTBL!$A:$A,0))</f>
        <v>Milford</v>
      </c>
      <c r="H455" s="235" t="str">
        <f>INDEX(BrokerTBL!$D:$D,MATCH(D455,BrokerTBL!$A:$A,0))</f>
        <v>Ohio</v>
      </c>
      <c r="I455" s="235" t="str">
        <f>INDEX(BrokerTBL!$E:$E,MATCH(D455,BrokerTBL!$A:$A,0))</f>
        <v>US</v>
      </c>
      <c r="J455" s="235">
        <f>INDEX(BrokerTBL!$F:$F,MATCH(D455,BrokerTBL!$A:$A,0))</f>
        <v>45150</v>
      </c>
      <c r="K455" s="548" t="s">
        <v>2965</v>
      </c>
      <c r="L455" s="81" t="s">
        <v>1309</v>
      </c>
      <c r="M455" s="549">
        <v>42517</v>
      </c>
      <c r="N455" s="550" t="s">
        <v>353</v>
      </c>
      <c r="O455" s="550" t="s">
        <v>1976</v>
      </c>
      <c r="P455" s="548" t="s">
        <v>1977</v>
      </c>
      <c r="Q455" s="548" t="s">
        <v>2206</v>
      </c>
      <c r="R455" s="548">
        <v>94550</v>
      </c>
      <c r="S455" s="548" t="s">
        <v>2207</v>
      </c>
      <c r="T455" s="548" t="s">
        <v>123</v>
      </c>
      <c r="U455" s="548" t="s">
        <v>120</v>
      </c>
      <c r="V455" s="548">
        <v>53</v>
      </c>
      <c r="W455" s="548" t="s">
        <v>894</v>
      </c>
      <c r="X455" s="553">
        <v>25000</v>
      </c>
      <c r="Y455" s="550" t="s">
        <v>123</v>
      </c>
      <c r="Z455" s="548" t="s">
        <v>123</v>
      </c>
      <c r="AA455" s="548" t="s">
        <v>123</v>
      </c>
      <c r="AB455" s="548" t="s">
        <v>123</v>
      </c>
      <c r="AC455" s="548" t="s">
        <v>2966</v>
      </c>
      <c r="AD455" s="552" t="s">
        <v>1205</v>
      </c>
      <c r="AE455" s="549">
        <v>42517</v>
      </c>
      <c r="AF455" s="549" t="s">
        <v>1723</v>
      </c>
      <c r="AG455" s="548" t="s">
        <v>2967</v>
      </c>
      <c r="AH455" s="548" t="s">
        <v>2968</v>
      </c>
      <c r="AI455" s="548" t="s">
        <v>2206</v>
      </c>
      <c r="AJ455" s="548">
        <v>93706</v>
      </c>
      <c r="AK455" s="548" t="s">
        <v>2207</v>
      </c>
      <c r="AL455" s="548" t="s">
        <v>123</v>
      </c>
      <c r="AM455" s="554" t="str">
        <f>INDEX(CarrierDriverTBL!$B:$B,MATCH(Table1[[#This Row],[DriverID]],CarrierDriverTBL!$A:$A,0))</f>
        <v>UBTrucking</v>
      </c>
      <c r="AN455" s="10" t="s">
        <v>2234</v>
      </c>
      <c r="AO455" s="555" t="str">
        <f>INDEX(CarrierDriverTBL!$C:$C,MATCH(Table1[[#This Row],[DriverID]],CarrierDriverTBL!$A:$A,0))</f>
        <v>Arturo</v>
      </c>
      <c r="AP455" s="555" t="str">
        <f>INDEX(CarrierDriverTBL!$D:$D,MATCH(Table1[[#This Row],[DriverID]],CarrierDriverTBL!$A:$A,0))</f>
        <v>Carrillo</v>
      </c>
      <c r="AQ455" s="555" t="str">
        <f>INDEX(CarrierDriverTBL!$X:$X,MATCH(Table1[[#This Row],[DriverID]],CarrierDriverTBL!$A:$A,0))</f>
        <v>C7056793</v>
      </c>
      <c r="AR455" s="556">
        <f>INDEX(CarrierDriverTBL!$Y:$Y,MATCH(Table1[[#This Row],[DriverID]],CarrierDriverTBL!$A:$A,0))</f>
        <v>43410</v>
      </c>
      <c r="AS455" s="554" t="str">
        <f t="shared" si="194"/>
        <v>GOOD</v>
      </c>
      <c r="AT455" s="556">
        <f>INDEX(CarrierDriverTBL!$E:$E,MATCH(Table1[[#This Row],[DriverID]],CarrierDriverTBL!$A:$A,0))</f>
        <v>24782</v>
      </c>
      <c r="AU455" s="557">
        <f ca="1">INDEX(CarrierDriverTBL!$F:$F,MATCH(Table1[[#This Row],[DriverID]],CarrierDriverTBL!$A:$A,0))</f>
        <v>48.750684931506846</v>
      </c>
      <c r="AV455" s="554" t="str">
        <f>INDEX(CarrierDriverTBL!$K:$K,MATCH(Table1[[#This Row],[DriverID]],CarrierDriverTBL!$A:$A,0))</f>
        <v>209-276-9785</v>
      </c>
      <c r="AW455" s="554" t="str">
        <f>INDEX(CarrierDriverTBL!$M:$M,MATCH(Table1[[#This Row],[DriverID]],CarrierDriverTBL!$A:$A,0))</f>
        <v>1685 Winthrop Ln</v>
      </c>
      <c r="AX455" s="554" t="str">
        <f>INDEX(CarrierDriverTBL!$N:$N,MATCH(Table1[[#This Row],[DriverID]],CarrierDriverTBL!$A:$A,0))</f>
        <v>Ceres</v>
      </c>
      <c r="AY455" s="554" t="str">
        <f>INDEX(CarrierDriverTBL!$O:$O,MATCH(Table1[[#This Row],[DriverID]],CarrierDriverTBL!$A:$A,0))</f>
        <v>CA</v>
      </c>
      <c r="AZ455" s="554">
        <f>INDEX(CarrierDriverTBL!$P:$P,MATCH(Table1[[#This Row],[DriverID]],CarrierDriverTBL!$A:$A,0))</f>
        <v>95307</v>
      </c>
      <c r="BA455" s="554" t="str">
        <f>INDEX(CarrierDriverTBL!$Q:$Q,MATCH(Table1[[#This Row],[DriverID]],CarrierDriverTBL!$A:$A,0))</f>
        <v>US</v>
      </c>
      <c r="BB455" s="554" t="str">
        <f>INDEX(CarrierDriverTBL!$R:$R,MATCH(Table1[[#This Row],[DriverID]],CarrierDriverTBL!$A:$A,0))</f>
        <v>arturocarr777@gmail.com</v>
      </c>
      <c r="BC455" s="556">
        <f>INDEX(CarrierDriverTBL!$AB:$AB,MATCH(Table1[[#This Row],[DriverID]],CarrierDriverTBL!$A:$A,0))</f>
        <v>42418</v>
      </c>
      <c r="BD455" s="555" t="str">
        <f ca="1">INDEX(CarrierDriverTBL!$AD:$AD,MATCH(LoadMaster!$AN:$AN,CarrierDriverTBL!$A:$A,0))</f>
        <v>MISSING</v>
      </c>
      <c r="BE455" s="555">
        <f>INDEX(CarrierDriverTBL!$AE:$AE,MATCH(Table1[DriverID],CarrierDriverTBL!$A:$A,0))</f>
        <v>913971</v>
      </c>
      <c r="BF455" s="554">
        <f>INDEX(CarrierDriverTBL!$AF:$AF,MATCH(Table1[DriverID],CarrierDriverTBL!$A:$A,0))</f>
        <v>2627544</v>
      </c>
      <c r="BG455" s="236">
        <f>INDEX(CarrierDriverTBL!$AG:$AG,MATCH(Table1[DriverID],CarrierDriverTBL!$A:$A,0))</f>
        <v>466133</v>
      </c>
      <c r="BH455" s="554" t="str">
        <f>INDEX(CarrierDriverTBL!$AH:$AH,MATCH(Table1[DriverID],CarrierDriverTBL!$A:$A,0))</f>
        <v>GM Lawrence Ins</v>
      </c>
      <c r="BI455" s="554" t="str">
        <f>INDEX(CarrierDriverTBL!$AI:$AI,MATCH(Table1[DriverID],CarrierDriverTBL!$A:$A,0))</f>
        <v>DSK2842P160210</v>
      </c>
      <c r="BJ455" s="556">
        <f>INDEX(CarrierDriverTBL!$AJ:$AJ,MATCH(Table1[[#This Row],[DriverID]],CarrierDriverTBL!$A:$A,0))</f>
        <v>42778</v>
      </c>
      <c r="BK455" s="554">
        <f t="shared" si="195"/>
        <v>261</v>
      </c>
      <c r="BL455" s="558">
        <v>400</v>
      </c>
      <c r="BM455" s="554">
        <v>146.19999999999999</v>
      </c>
      <c r="BN455" s="558">
        <f t="shared" si="212"/>
        <v>2.7359781121751028</v>
      </c>
      <c r="BO455" s="241">
        <f>0.93*Table1[[#This Row],[ChargeBroker]]</f>
        <v>372</v>
      </c>
      <c r="BP455" s="558">
        <f t="shared" si="213"/>
        <v>2.5444596443228455</v>
      </c>
      <c r="BQ455" s="558">
        <v>2.6</v>
      </c>
      <c r="BR455" s="559">
        <f t="shared" si="214"/>
        <v>0.1166666666666667</v>
      </c>
      <c r="BS455" s="558">
        <f t="shared" si="196"/>
        <v>2.4277929776561789</v>
      </c>
      <c r="BT455" s="558">
        <f t="shared" si="197"/>
        <v>17.056666666666668</v>
      </c>
      <c r="BU455" s="236" t="str">
        <f t="shared" si="198"/>
        <v>TQL</v>
      </c>
      <c r="BV455" s="554"/>
      <c r="BW455" s="236" t="str">
        <f>Table1[[#This Row],[BrokerAddress]]</f>
        <v>P.O. Box 799</v>
      </c>
      <c r="BX455" s="236" t="str">
        <f t="shared" si="199"/>
        <v>Milford</v>
      </c>
      <c r="BY455" s="269" t="str">
        <f t="shared" si="200"/>
        <v>Ohio</v>
      </c>
      <c r="BZ455" s="236">
        <f t="shared" si="201"/>
        <v>45150</v>
      </c>
      <c r="CA455" s="236" t="str">
        <f t="shared" si="202"/>
        <v>US</v>
      </c>
      <c r="CB455" s="15" t="s">
        <v>131</v>
      </c>
      <c r="CC455" s="62"/>
      <c r="CD455" s="15" t="s">
        <v>132</v>
      </c>
      <c r="CE455" s="64">
        <v>0</v>
      </c>
      <c r="CF455" s="4">
        <v>0</v>
      </c>
      <c r="CG455" s="132">
        <f t="shared" si="203"/>
        <v>0</v>
      </c>
      <c r="CH455" s="4" t="s">
        <v>132</v>
      </c>
      <c r="CI455" s="5">
        <v>0</v>
      </c>
      <c r="CJ455" s="4">
        <v>0</v>
      </c>
      <c r="CK455" s="132">
        <f t="shared" si="204"/>
        <v>0</v>
      </c>
      <c r="CL455" s="4" t="s">
        <v>132</v>
      </c>
      <c r="CM455" s="5">
        <v>0</v>
      </c>
      <c r="CN455" s="4">
        <v>0</v>
      </c>
      <c r="CO455" s="132">
        <f t="shared" si="205"/>
        <v>0</v>
      </c>
      <c r="CP455" s="4" t="s">
        <v>132</v>
      </c>
      <c r="CQ455" s="5">
        <v>0</v>
      </c>
      <c r="CR455" s="4">
        <v>0</v>
      </c>
      <c r="CS455" s="132">
        <f t="shared" si="206"/>
        <v>0</v>
      </c>
      <c r="CT455" s="132">
        <f t="shared" si="207"/>
        <v>0</v>
      </c>
      <c r="CU455" s="238">
        <f t="shared" si="208"/>
        <v>400</v>
      </c>
      <c r="CV455" s="239">
        <f t="shared" si="191"/>
        <v>0</v>
      </c>
      <c r="CW455" s="240">
        <f t="shared" si="192"/>
        <v>372</v>
      </c>
      <c r="CX455" s="79">
        <f>IF(ISBLANK(E455),"AddQuickPay",IF(E455=2,CU455*0.98,IF(E455=2.4,CU455*0.976,IF(E455=3,CU455*0.97,IF(E455=5,CU455*0.95,IF(E455=1.5,CU455*0.985,IF(E455=2.5,CU455*0.975,IF(E455=1.3,CU455*0.987,IF(E455=1,CU455*0.99,IF(E455=4,CU455*0.96,CU455*1))))))))))-Table1[[#This Row],[ComCheck+QuickPayFee]]</f>
        <v>388</v>
      </c>
      <c r="CY455" s="237">
        <f t="shared" si="209"/>
        <v>28</v>
      </c>
      <c r="CZ455" s="237">
        <f t="shared" si="210"/>
        <v>12</v>
      </c>
      <c r="DA455" s="263">
        <f>Table1[[#This Row],[OriginalDispatch]]-Table1[[#This Row],[QuickPayCharge]]</f>
        <v>16</v>
      </c>
      <c r="DB455" s="5">
        <v>0</v>
      </c>
      <c r="DC455" s="237" t="s">
        <v>133</v>
      </c>
      <c r="DD455" s="549">
        <f t="shared" si="211"/>
        <v>42517</v>
      </c>
      <c r="DE455" s="554">
        <f>MONTH(Table1[[#This Row],[Weekending]])</f>
        <v>5</v>
      </c>
      <c r="DF455" s="554">
        <f>YEAR(Table1[[#This Row],[Weekending]])</f>
        <v>2016</v>
      </c>
      <c r="DG455" s="235"/>
    </row>
    <row r="456" spans="1:111">
      <c r="A456" s="548" t="str">
        <f t="shared" si="193"/>
        <v>38839819</v>
      </c>
      <c r="B456" s="549">
        <v>42522</v>
      </c>
      <c r="C456" s="550">
        <v>202611838</v>
      </c>
      <c r="D456" s="548" t="s">
        <v>111</v>
      </c>
      <c r="E456" s="550">
        <v>2</v>
      </c>
      <c r="F456" s="551" t="str">
        <f>INDEX(BrokerTBL!$B:$B,MATCH(D456,BrokerTBL!$A:$A,0))</f>
        <v>P.O. Box 3474</v>
      </c>
      <c r="G456" s="550" t="str">
        <f>INDEX(BrokerTBL!$C:$C,MATCH(D456,BrokerTBL!$A:$A,0))</f>
        <v>Chicago</v>
      </c>
      <c r="H456" s="235" t="str">
        <f>INDEX(BrokerTBL!$D:$D,MATCH(D456,BrokerTBL!$A:$A,0))</f>
        <v>Il</v>
      </c>
      <c r="I456" s="235" t="str">
        <f>INDEX(BrokerTBL!$E:$E,MATCH(D456,BrokerTBL!$A:$A,0))</f>
        <v>US</v>
      </c>
      <c r="J456" s="235">
        <f>INDEX(BrokerTBL!$F:$F,MATCH(D456,BrokerTBL!$A:$A,0))</f>
        <v>60654</v>
      </c>
      <c r="K456" s="548" t="s">
        <v>2969</v>
      </c>
      <c r="L456" s="552">
        <v>6032983</v>
      </c>
      <c r="M456" s="549">
        <v>42517</v>
      </c>
      <c r="N456" s="550" t="s">
        <v>1045</v>
      </c>
      <c r="O456" s="550" t="s">
        <v>2970</v>
      </c>
      <c r="P456" s="548" t="s">
        <v>787</v>
      </c>
      <c r="Q456" s="548" t="s">
        <v>2206</v>
      </c>
      <c r="R456" s="548" t="s">
        <v>2971</v>
      </c>
      <c r="S456" s="548" t="s">
        <v>2207</v>
      </c>
      <c r="T456" s="548" t="s">
        <v>123</v>
      </c>
      <c r="U456" s="548" t="s">
        <v>120</v>
      </c>
      <c r="V456" s="548">
        <v>53</v>
      </c>
      <c r="W456" s="548" t="s">
        <v>2972</v>
      </c>
      <c r="X456" s="553">
        <v>25800</v>
      </c>
      <c r="Y456" s="550" t="s">
        <v>2220</v>
      </c>
      <c r="Z456" s="548">
        <v>12</v>
      </c>
      <c r="AA456" s="548" t="s">
        <v>123</v>
      </c>
      <c r="AB456" s="548" t="s">
        <v>123</v>
      </c>
      <c r="AC456" s="548" t="s">
        <v>2973</v>
      </c>
      <c r="AD456" s="552" t="s">
        <v>2974</v>
      </c>
      <c r="AE456" s="549">
        <v>42517</v>
      </c>
      <c r="AF456" s="549" t="s">
        <v>2469</v>
      </c>
      <c r="AG456" s="548" t="s">
        <v>2975</v>
      </c>
      <c r="AH456" s="548" t="s">
        <v>2976</v>
      </c>
      <c r="AI456" s="548" t="s">
        <v>2206</v>
      </c>
      <c r="AJ456" s="548">
        <v>95654</v>
      </c>
      <c r="AK456" s="548" t="s">
        <v>2207</v>
      </c>
      <c r="AL456" s="548" t="s">
        <v>123</v>
      </c>
      <c r="AM456" s="554" t="str">
        <f>INDEX(CarrierDriverTBL!$B:$B,MATCH(Table1[[#This Row],[DriverID]],CarrierDriverTBL!$A:$A,0))</f>
        <v>UBTrucking</v>
      </c>
      <c r="AN456" s="10" t="s">
        <v>1409</v>
      </c>
      <c r="AO456" s="555" t="str">
        <f>INDEX(CarrierDriverTBL!$C:$C,MATCH(Table1[[#This Row],[DriverID]],CarrierDriverTBL!$A:$A,0))</f>
        <v>Miguel Jaime</v>
      </c>
      <c r="AP456" s="555" t="str">
        <f>INDEX(CarrierDriverTBL!$D:$D,MATCH(Table1[[#This Row],[DriverID]],CarrierDriverTBL!$A:$A,0))</f>
        <v>Martin Del Campo Velarca</v>
      </c>
      <c r="AQ456" s="555" t="str">
        <f>INDEX(CarrierDriverTBL!$X:$X,MATCH(Table1[[#This Row],[DriverID]],CarrierDriverTBL!$A:$A,0))</f>
        <v>D5179619</v>
      </c>
      <c r="AR456" s="556">
        <f>INDEX(CarrierDriverTBL!$Y:$Y,MATCH(Table1[[#This Row],[DriverID]],CarrierDriverTBL!$A:$A,0))</f>
        <v>43843</v>
      </c>
      <c r="AS456" s="554" t="str">
        <f t="shared" si="194"/>
        <v>GOOD</v>
      </c>
      <c r="AT456" s="556">
        <f>INDEX(CarrierDriverTBL!$E:$E,MATCH(Table1[[#This Row],[DriverID]],CarrierDriverTBL!$A:$A,0))</f>
        <v>21198</v>
      </c>
      <c r="AU456" s="557">
        <f ca="1">INDEX(CarrierDriverTBL!$F:$F,MATCH(Table1[[#This Row],[DriverID]],CarrierDriverTBL!$A:$A,0))</f>
        <v>58.56986301369863</v>
      </c>
      <c r="AV456" s="554" t="str">
        <f>INDEX(CarrierDriverTBL!$K:$K,MATCH(Table1[[#This Row],[DriverID]],CarrierDriverTBL!$A:$A,0))</f>
        <v>209-322-5231</v>
      </c>
      <c r="AW456" s="554" t="str">
        <f>INDEX(CarrierDriverTBL!$M:$M,MATCH(Table1[[#This Row],[DriverID]],CarrierDriverTBL!$A:$A,0))</f>
        <v>572 Predersen RD</v>
      </c>
      <c r="AX456" s="554" t="str">
        <f>INDEX(CarrierDriverTBL!$N:$N,MATCH(Table1[[#This Row],[DriverID]],CarrierDriverTBL!$A:$A,0))</f>
        <v>Oakdale</v>
      </c>
      <c r="AY456" s="554" t="str">
        <f>INDEX(CarrierDriverTBL!$O:$O,MATCH(Table1[[#This Row],[DriverID]],CarrierDriverTBL!$A:$A,0))</f>
        <v>CA</v>
      </c>
      <c r="AZ456" s="554">
        <f>INDEX(CarrierDriverTBL!$P:$P,MATCH(Table1[[#This Row],[DriverID]],CarrierDriverTBL!$A:$A,0))</f>
        <v>95361</v>
      </c>
      <c r="BA456" s="554" t="str">
        <f>INDEX(CarrierDriverTBL!$Q:$Q,MATCH(Table1[[#This Row],[DriverID]],CarrierDriverTBL!$A:$A,0))</f>
        <v>US</v>
      </c>
      <c r="BB456" s="554" t="str">
        <f>INDEX(CarrierDriverTBL!$R:$R,MATCH(Table1[[#This Row],[DriverID]],CarrierDriverTBL!$A:$A,0))</f>
        <v>Miguelmartin52@yahoo.com</v>
      </c>
      <c r="BC456" s="556">
        <f>INDEX(CarrierDriverTBL!$AB:$AB,MATCH(Table1[[#This Row],[DriverID]],CarrierDriverTBL!$A:$A,0))</f>
        <v>42334</v>
      </c>
      <c r="BD456" s="555" t="str">
        <f ca="1">INDEX(CarrierDriverTBL!$AD:$AD,MATCH(LoadMaster!$AN:$AN,CarrierDriverTBL!$A:$A,0))</f>
        <v>MISSING</v>
      </c>
      <c r="BE456" s="555">
        <f>INDEX(CarrierDriverTBL!$AE:$AE,MATCH(Table1[DriverID],CarrierDriverTBL!$A:$A,0))</f>
        <v>913971</v>
      </c>
      <c r="BF456" s="554">
        <f>INDEX(CarrierDriverTBL!$AF:$AF,MATCH(Table1[DriverID],CarrierDriverTBL!$A:$A,0))</f>
        <v>2627544</v>
      </c>
      <c r="BG456" s="236">
        <f>INDEX(CarrierDriverTBL!$AG:$AG,MATCH(Table1[DriverID],CarrierDriverTBL!$A:$A,0))</f>
        <v>466133</v>
      </c>
      <c r="BH456" s="554" t="str">
        <f>INDEX(CarrierDriverTBL!$AH:$AH,MATCH(Table1[DriverID],CarrierDriverTBL!$A:$A,0))</f>
        <v>GM Lawrence Ins</v>
      </c>
      <c r="BI456" s="554" t="str">
        <f>INDEX(CarrierDriverTBL!$AI:$AI,MATCH(Table1[DriverID],CarrierDriverTBL!$A:$A,0))</f>
        <v>DSK2842P160210</v>
      </c>
      <c r="BJ456" s="556">
        <f>INDEX(CarrierDriverTBL!$AJ:$AJ,MATCH(Table1[[#This Row],[DriverID]],CarrierDriverTBL!$A:$A,0))</f>
        <v>42778</v>
      </c>
      <c r="BK456" s="554">
        <f t="shared" si="195"/>
        <v>261</v>
      </c>
      <c r="BL456" s="558">
        <v>400</v>
      </c>
      <c r="BM456" s="554">
        <v>115.9</v>
      </c>
      <c r="BN456" s="558">
        <f t="shared" si="212"/>
        <v>3.4512510785159618</v>
      </c>
      <c r="BO456" s="241">
        <f>0.93*Table1[[#This Row],[ChargeBroker]]</f>
        <v>372</v>
      </c>
      <c r="BP456" s="558">
        <f t="shared" si="213"/>
        <v>3.2096635030198444</v>
      </c>
      <c r="BQ456" s="558">
        <v>2.6</v>
      </c>
      <c r="BR456" s="559">
        <f t="shared" si="214"/>
        <v>0.1166666666666667</v>
      </c>
      <c r="BS456" s="558">
        <f t="shared" si="196"/>
        <v>3.0929968363531777</v>
      </c>
      <c r="BT456" s="558">
        <f t="shared" si="197"/>
        <v>13.52166666666667</v>
      </c>
      <c r="BU456" s="236" t="str">
        <f t="shared" si="198"/>
        <v>Ch Robinson</v>
      </c>
      <c r="BV456" s="554"/>
      <c r="BW456" s="236" t="str">
        <f>Table1[[#This Row],[BrokerAddress]]</f>
        <v>P.O. Box 3474</v>
      </c>
      <c r="BX456" s="236" t="str">
        <f t="shared" si="199"/>
        <v>Chicago</v>
      </c>
      <c r="BY456" s="269" t="str">
        <f t="shared" si="200"/>
        <v>Il</v>
      </c>
      <c r="BZ456" s="236">
        <f t="shared" si="201"/>
        <v>60654</v>
      </c>
      <c r="CA456" s="236" t="str">
        <f t="shared" si="202"/>
        <v>US</v>
      </c>
      <c r="CB456" s="15" t="s">
        <v>131</v>
      </c>
      <c r="CC456" s="62"/>
      <c r="CD456" s="15" t="s">
        <v>149</v>
      </c>
      <c r="CE456" s="64">
        <v>0</v>
      </c>
      <c r="CF456" s="4">
        <v>1.5</v>
      </c>
      <c r="CG456" s="132">
        <f t="shared" si="203"/>
        <v>0</v>
      </c>
      <c r="CH456" s="4" t="s">
        <v>132</v>
      </c>
      <c r="CI456" s="5">
        <v>0</v>
      </c>
      <c r="CJ456" s="4">
        <v>0</v>
      </c>
      <c r="CK456" s="132">
        <f t="shared" si="204"/>
        <v>0</v>
      </c>
      <c r="CL456" s="4" t="s">
        <v>132</v>
      </c>
      <c r="CM456" s="5">
        <v>0</v>
      </c>
      <c r="CN456" s="4">
        <v>0</v>
      </c>
      <c r="CO456" s="132">
        <f t="shared" si="205"/>
        <v>0</v>
      </c>
      <c r="CP456" s="4" t="s">
        <v>132</v>
      </c>
      <c r="CQ456" s="5">
        <v>0</v>
      </c>
      <c r="CR456" s="4">
        <v>0</v>
      </c>
      <c r="CS456" s="132">
        <f t="shared" si="206"/>
        <v>0</v>
      </c>
      <c r="CT456" s="132">
        <f t="shared" si="207"/>
        <v>0</v>
      </c>
      <c r="CU456" s="238">
        <f t="shared" si="208"/>
        <v>400</v>
      </c>
      <c r="CV456" s="239">
        <f t="shared" si="191"/>
        <v>0</v>
      </c>
      <c r="CW456" s="240">
        <f t="shared" si="192"/>
        <v>372</v>
      </c>
      <c r="CX456" s="79">
        <f>IF(ISBLANK(E456),"AddQuickPay",IF(E456=2,CU456*0.98,IF(E456=2.4,CU456*0.976,IF(E456=3,CU456*0.97,IF(E456=5,CU456*0.95,IF(E456=1.5,CU456*0.985,IF(E456=2.5,CU456*0.975,IF(E456=1.3,CU456*0.987,IF(E456=1,CU456*0.99,IF(E456=4,CU456*0.96,CU456*1))))))))))-Table1[[#This Row],[ComCheck+QuickPayFee]]</f>
        <v>392</v>
      </c>
      <c r="CY456" s="237">
        <f t="shared" si="209"/>
        <v>28</v>
      </c>
      <c r="CZ456" s="237">
        <f t="shared" si="210"/>
        <v>8</v>
      </c>
      <c r="DA456" s="263">
        <f>Table1[[#This Row],[OriginalDispatch]]-Table1[[#This Row],[QuickPayCharge]]</f>
        <v>20</v>
      </c>
      <c r="DB456" s="5">
        <v>0</v>
      </c>
      <c r="DC456" s="237" t="s">
        <v>133</v>
      </c>
      <c r="DD456" s="549">
        <f t="shared" si="211"/>
        <v>42517</v>
      </c>
      <c r="DE456" s="554">
        <f>MONTH(Table1[[#This Row],[Weekending]])</f>
        <v>5</v>
      </c>
      <c r="DF456" s="554">
        <f>YEAR(Table1[[#This Row],[Weekending]])</f>
        <v>2016</v>
      </c>
      <c r="DG456" s="235"/>
    </row>
    <row r="457" spans="1:111">
      <c r="A457" s="548" t="str">
        <f t="shared" si="193"/>
        <v>9393wn49</v>
      </c>
      <c r="B457" s="549">
        <v>42522</v>
      </c>
      <c r="C457" s="550">
        <v>2044593</v>
      </c>
      <c r="D457" s="548" t="s">
        <v>2405</v>
      </c>
      <c r="E457" s="550">
        <v>3</v>
      </c>
      <c r="F457" s="551" t="str">
        <f>INDEX(BrokerTBL!$B:$B,MATCH(D457,BrokerTBL!$A:$A,0))</f>
        <v xml:space="preserve">303 E Wacker Dr. </v>
      </c>
      <c r="G457" s="550" t="str">
        <f>INDEX(BrokerTBL!$C:$C,MATCH(D457,BrokerTBL!$A:$A,0))</f>
        <v>Chicago</v>
      </c>
      <c r="H457" s="235" t="str">
        <f>INDEX(BrokerTBL!$D:$D,MATCH(D457,BrokerTBL!$A:$A,0))</f>
        <v>IL</v>
      </c>
      <c r="I457" s="235" t="str">
        <f>INDEX(BrokerTBL!$E:$E,MATCH(D457,BrokerTBL!$A:$A,0))</f>
        <v>US</v>
      </c>
      <c r="J457" s="235">
        <f>INDEX(BrokerTBL!$F:$F,MATCH(D457,BrokerTBL!$A:$A,0))</f>
        <v>60601</v>
      </c>
      <c r="K457" s="548" t="s">
        <v>2977</v>
      </c>
      <c r="L457" s="552">
        <v>2044593</v>
      </c>
      <c r="M457" s="549">
        <v>42517</v>
      </c>
      <c r="N457" s="550" t="s">
        <v>2860</v>
      </c>
      <c r="O457" s="550" t="s">
        <v>2978</v>
      </c>
      <c r="P457" s="548" t="s">
        <v>208</v>
      </c>
      <c r="Q457" s="548" t="s">
        <v>2206</v>
      </c>
      <c r="R457" s="548" t="s">
        <v>2979</v>
      </c>
      <c r="S457" s="548" t="s">
        <v>2207</v>
      </c>
      <c r="T457" s="548" t="s">
        <v>123</v>
      </c>
      <c r="U457" s="548" t="s">
        <v>120</v>
      </c>
      <c r="V457" s="548">
        <v>53</v>
      </c>
      <c r="W457" s="548" t="s">
        <v>2980</v>
      </c>
      <c r="X457" s="553">
        <v>30000</v>
      </c>
      <c r="Y457" s="550" t="s">
        <v>123</v>
      </c>
      <c r="Z457" s="548" t="s">
        <v>123</v>
      </c>
      <c r="AA457" s="548" t="s">
        <v>123</v>
      </c>
      <c r="AB457" s="548" t="s">
        <v>123</v>
      </c>
      <c r="AC457" s="548" t="s">
        <v>2981</v>
      </c>
      <c r="AD457" s="552" t="s">
        <v>1205</v>
      </c>
      <c r="AE457" s="549">
        <v>42517</v>
      </c>
      <c r="AF457" s="549" t="s">
        <v>1723</v>
      </c>
      <c r="AG457" s="548" t="s">
        <v>2982</v>
      </c>
      <c r="AH457" s="548" t="s">
        <v>2983</v>
      </c>
      <c r="AI457" s="548" t="s">
        <v>2206</v>
      </c>
      <c r="AJ457" s="548">
        <v>94568</v>
      </c>
      <c r="AK457" s="548" t="s">
        <v>2207</v>
      </c>
      <c r="AL457" s="548" t="s">
        <v>123</v>
      </c>
      <c r="AM457" s="554" t="str">
        <f>INDEX(CarrierDriverTBL!$B:$B,MATCH(Table1[[#This Row],[DriverID]],CarrierDriverTBL!$A:$A,0))</f>
        <v>UBTrucking</v>
      </c>
      <c r="AN457" s="10" t="s">
        <v>192</v>
      </c>
      <c r="AO457" s="555" t="str">
        <f>INDEX(CarrierDriverTBL!$C:$C,MATCH(Table1[[#This Row],[DriverID]],CarrierDriverTBL!$A:$A,0))</f>
        <v>Albel</v>
      </c>
      <c r="AP457" s="555" t="str">
        <f>INDEX(CarrierDriverTBL!$D:$D,MATCH(Table1[[#This Row],[DriverID]],CarrierDriverTBL!$A:$A,0))</f>
        <v>Chahil</v>
      </c>
      <c r="AQ457" s="555" t="str">
        <f>INDEX(CarrierDriverTBL!$X:$X,MATCH(Table1[[#This Row],[DriverID]],CarrierDriverTBL!$A:$A,0))</f>
        <v>A8390649</v>
      </c>
      <c r="AR457" s="556">
        <f>INDEX(CarrierDriverTBL!$Y:$Y,MATCH(Table1[[#This Row],[DriverID]],CarrierDriverTBL!$A:$A,0))</f>
        <v>42402</v>
      </c>
      <c r="AS457" s="554" t="str">
        <f t="shared" si="194"/>
        <v>EXPIRED</v>
      </c>
      <c r="AT457" s="556">
        <f>INDEX(CarrierDriverTBL!$E:$E,MATCH(Table1[[#This Row],[DriverID]],CarrierDriverTBL!$A:$A,0))</f>
        <v>22314</v>
      </c>
      <c r="AU457" s="557">
        <f ca="1">INDEX(CarrierDriverTBL!$F:$F,MATCH(Table1[[#This Row],[DriverID]],CarrierDriverTBL!$A:$A,0))</f>
        <v>55.512328767123286</v>
      </c>
      <c r="AV457" s="554" t="str">
        <f>INDEX(CarrierDriverTBL!$K:$K,MATCH(Table1[[#This Row],[DriverID]],CarrierDriverTBL!$A:$A,0))</f>
        <v>510-773-9450</v>
      </c>
      <c r="AW457" s="554" t="str">
        <f>INDEX(CarrierDriverTBL!$M:$M,MATCH(Table1[[#This Row],[DriverID]],CarrierDriverTBL!$A:$A,0))</f>
        <v>3124 Cynthia CT</v>
      </c>
      <c r="AX457" s="554" t="str">
        <f>INDEX(CarrierDriverTBL!$N:$N,MATCH(Table1[[#This Row],[DriverID]],CarrierDriverTBL!$A:$A,0))</f>
        <v>Tracy</v>
      </c>
      <c r="AY457" s="554" t="str">
        <f>INDEX(CarrierDriverTBL!$O:$O,MATCH(Table1[[#This Row],[DriverID]],CarrierDriverTBL!$A:$A,0))</f>
        <v>CA</v>
      </c>
      <c r="AZ457" s="554">
        <f>INDEX(CarrierDriverTBL!$P:$P,MATCH(Table1[[#This Row],[DriverID]],CarrierDriverTBL!$A:$A,0))</f>
        <v>95377</v>
      </c>
      <c r="BA457" s="554" t="str">
        <f>INDEX(CarrierDriverTBL!$Q:$Q,MATCH(Table1[[#This Row],[DriverID]],CarrierDriverTBL!$A:$A,0))</f>
        <v>US</v>
      </c>
      <c r="BB457" s="554" t="str">
        <f>INDEX(CarrierDriverTBL!$R:$R,MATCH(Table1[[#This Row],[DriverID]],CarrierDriverTBL!$A:$A,0))</f>
        <v>ubgollc@gmail.com</v>
      </c>
      <c r="BC457" s="556">
        <f>INDEX(CarrierDriverTBL!$AB:$AB,MATCH(Table1[[#This Row],[DriverID]],CarrierDriverTBL!$A:$A,0))</f>
        <v>42167</v>
      </c>
      <c r="BD457" s="555" t="str">
        <f ca="1">INDEX(CarrierDriverTBL!$AD:$AD,MATCH(LoadMaster!$AN:$AN,CarrierDriverTBL!$A:$A,0))</f>
        <v>MISSING</v>
      </c>
      <c r="BE457" s="555">
        <f>INDEX(CarrierDriverTBL!$AE:$AE,MATCH(Table1[DriverID],CarrierDriverTBL!$A:$A,0))</f>
        <v>913971</v>
      </c>
      <c r="BF457" s="554">
        <f>INDEX(CarrierDriverTBL!$AF:$AF,MATCH(Table1[DriverID],CarrierDriverTBL!$A:$A,0))</f>
        <v>2627544</v>
      </c>
      <c r="BG457" s="236">
        <f>INDEX(CarrierDriverTBL!$AG:$AG,MATCH(Table1[DriverID],CarrierDriverTBL!$A:$A,0))</f>
        <v>466133</v>
      </c>
      <c r="BH457" s="554" t="str">
        <f>INDEX(CarrierDriverTBL!$AH:$AH,MATCH(Table1[DriverID],CarrierDriverTBL!$A:$A,0))</f>
        <v>GM Lawrence Ins</v>
      </c>
      <c r="BI457" s="554" t="str">
        <f>INDEX(CarrierDriverTBL!$AI:$AI,MATCH(Table1[DriverID],CarrierDriverTBL!$A:$A,0))</f>
        <v>DSK2842P160210</v>
      </c>
      <c r="BJ457" s="556">
        <f>INDEX(CarrierDriverTBL!$AJ:$AJ,MATCH(Table1[[#This Row],[DriverID]],CarrierDriverTBL!$A:$A,0))</f>
        <v>42778</v>
      </c>
      <c r="BK457" s="554">
        <f t="shared" si="195"/>
        <v>261</v>
      </c>
      <c r="BL457" s="558">
        <v>425</v>
      </c>
      <c r="BM457" s="554">
        <v>88.5</v>
      </c>
      <c r="BN457" s="558">
        <f t="shared" si="212"/>
        <v>4.8022598870056497</v>
      </c>
      <c r="BO457" s="241">
        <f>0.93*Table1[[#This Row],[ChargeBroker]]</f>
        <v>395.25</v>
      </c>
      <c r="BP457" s="558">
        <f t="shared" si="213"/>
        <v>4.4661016949152543</v>
      </c>
      <c r="BQ457" s="558">
        <v>2.6</v>
      </c>
      <c r="BR457" s="559">
        <f t="shared" si="214"/>
        <v>0.1166666666666667</v>
      </c>
      <c r="BS457" s="558">
        <f t="shared" si="196"/>
        <v>4.3494350282485872</v>
      </c>
      <c r="BT457" s="558">
        <f t="shared" si="197"/>
        <v>10.325000000000003</v>
      </c>
      <c r="BU457" s="236" t="str">
        <f t="shared" si="198"/>
        <v>XPOLogistics</v>
      </c>
      <c r="BV457" s="554"/>
      <c r="BW457" s="236" t="str">
        <f>Table1[[#This Row],[BrokerAddress]]</f>
        <v xml:space="preserve">303 E Wacker Dr. </v>
      </c>
      <c r="BX457" s="236" t="str">
        <f t="shared" si="199"/>
        <v>Chicago</v>
      </c>
      <c r="BY457" s="269" t="str">
        <f t="shared" si="200"/>
        <v>IL</v>
      </c>
      <c r="BZ457" s="236">
        <f t="shared" si="201"/>
        <v>60601</v>
      </c>
      <c r="CA457" s="236" t="str">
        <f t="shared" si="202"/>
        <v>US</v>
      </c>
      <c r="CB457" s="15" t="s">
        <v>131</v>
      </c>
      <c r="CC457" s="62"/>
      <c r="CD457" s="15" t="s">
        <v>132</v>
      </c>
      <c r="CE457" s="64">
        <v>0</v>
      </c>
      <c r="CF457" s="4">
        <v>0</v>
      </c>
      <c r="CG457" s="132">
        <f t="shared" si="203"/>
        <v>0</v>
      </c>
      <c r="CH457" s="4" t="s">
        <v>132</v>
      </c>
      <c r="CI457" s="5">
        <v>0</v>
      </c>
      <c r="CJ457" s="4">
        <v>0</v>
      </c>
      <c r="CK457" s="132">
        <f t="shared" si="204"/>
        <v>0</v>
      </c>
      <c r="CL457" s="4" t="s">
        <v>132</v>
      </c>
      <c r="CM457" s="5">
        <v>0</v>
      </c>
      <c r="CN457" s="4">
        <v>0</v>
      </c>
      <c r="CO457" s="132">
        <f t="shared" si="205"/>
        <v>0</v>
      </c>
      <c r="CP457" s="4" t="s">
        <v>132</v>
      </c>
      <c r="CQ457" s="5">
        <v>0</v>
      </c>
      <c r="CR457" s="4">
        <v>0</v>
      </c>
      <c r="CS457" s="132">
        <f t="shared" si="206"/>
        <v>0</v>
      </c>
      <c r="CT457" s="132">
        <f t="shared" si="207"/>
        <v>0</v>
      </c>
      <c r="CU457" s="238">
        <f t="shared" si="208"/>
        <v>425</v>
      </c>
      <c r="CV457" s="239">
        <f t="shared" si="191"/>
        <v>0</v>
      </c>
      <c r="CW457" s="240">
        <f t="shared" si="192"/>
        <v>395.25</v>
      </c>
      <c r="CX457" s="79">
        <f>IF(ISBLANK(E457),"AddQuickPay",IF(E457=2,CU457*0.98,IF(E457=2.4,CU457*0.976,IF(E457=3,CU457*0.97,IF(E457=5,CU457*0.95,IF(E457=1.5,CU457*0.985,IF(E457=2.5,CU457*0.975,IF(E457=1.3,CU457*0.987,IF(E457=1,CU457*0.99,IF(E457=4,CU457*0.96,CU457*1))))))))))-Table1[[#This Row],[ComCheck+QuickPayFee]]</f>
        <v>412.25</v>
      </c>
      <c r="CY457" s="237">
        <f t="shared" si="209"/>
        <v>29.75</v>
      </c>
      <c r="CZ457" s="237">
        <f t="shared" si="210"/>
        <v>12.75</v>
      </c>
      <c r="DA457" s="263">
        <f>Table1[[#This Row],[OriginalDispatch]]-Table1[[#This Row],[QuickPayCharge]]</f>
        <v>17</v>
      </c>
      <c r="DB457" s="5">
        <v>0</v>
      </c>
      <c r="DC457" s="237" t="s">
        <v>133</v>
      </c>
      <c r="DD457" s="549">
        <f t="shared" si="211"/>
        <v>42517</v>
      </c>
      <c r="DE457" s="554">
        <f>MONTH(Table1[[#This Row],[Weekending]])</f>
        <v>5</v>
      </c>
      <c r="DF457" s="554">
        <f>YEAR(Table1[[#This Row],[Weekending]])</f>
        <v>2016</v>
      </c>
      <c r="DG457" s="235"/>
    </row>
    <row r="458" spans="1:111">
      <c r="A458" s="548" t="str">
        <f t="shared" si="193"/>
        <v>1732wn93</v>
      </c>
      <c r="B458" s="549">
        <v>42522</v>
      </c>
      <c r="C458" s="550">
        <v>202432217</v>
      </c>
      <c r="D458" s="548" t="s">
        <v>111</v>
      </c>
      <c r="E458" s="550">
        <v>2</v>
      </c>
      <c r="F458" s="551" t="str">
        <f>INDEX(BrokerTBL!$B:$B,MATCH(D458,BrokerTBL!$A:$A,0))</f>
        <v>P.O. Box 3474</v>
      </c>
      <c r="G458" s="550" t="str">
        <f>INDEX(BrokerTBL!$C:$C,MATCH(D458,BrokerTBL!$A:$A,0))</f>
        <v>Chicago</v>
      </c>
      <c r="H458" s="235" t="str">
        <f>INDEX(BrokerTBL!$D:$D,MATCH(D458,BrokerTBL!$A:$A,0))</f>
        <v>Il</v>
      </c>
      <c r="I458" s="235" t="str">
        <f>INDEX(BrokerTBL!$E:$E,MATCH(D458,BrokerTBL!$A:$A,0))</f>
        <v>US</v>
      </c>
      <c r="J458" s="235">
        <f>INDEX(BrokerTBL!$F:$F,MATCH(D458,BrokerTBL!$A:$A,0))</f>
        <v>60654</v>
      </c>
      <c r="K458" s="548" t="s">
        <v>134</v>
      </c>
      <c r="L458" s="552" t="s">
        <v>2984</v>
      </c>
      <c r="M458" s="549">
        <v>42517</v>
      </c>
      <c r="N458" s="550" t="s">
        <v>1723</v>
      </c>
      <c r="O458" s="550" t="s">
        <v>2985</v>
      </c>
      <c r="P458" s="548" t="s">
        <v>138</v>
      </c>
      <c r="Q458" s="548" t="s">
        <v>2206</v>
      </c>
      <c r="R458" s="548">
        <v>93230</v>
      </c>
      <c r="S458" s="548" t="s">
        <v>2207</v>
      </c>
      <c r="T458" s="548" t="s">
        <v>123</v>
      </c>
      <c r="U458" s="548" t="s">
        <v>120</v>
      </c>
      <c r="V458" s="548">
        <v>53</v>
      </c>
      <c r="W458" s="548" t="s">
        <v>2926</v>
      </c>
      <c r="X458" s="553">
        <v>2511</v>
      </c>
      <c r="Y458" s="550" t="s">
        <v>24</v>
      </c>
      <c r="Z458" s="548">
        <v>3</v>
      </c>
      <c r="AA458" s="548" t="s">
        <v>123</v>
      </c>
      <c r="AB458" s="548" t="s">
        <v>123</v>
      </c>
      <c r="AC458" s="548" t="s">
        <v>2986</v>
      </c>
      <c r="AD458" s="552" t="s">
        <v>1205</v>
      </c>
      <c r="AE458" s="549">
        <v>42521</v>
      </c>
      <c r="AF458" s="549" t="s">
        <v>2918</v>
      </c>
      <c r="AG458" s="548" t="s">
        <v>2987</v>
      </c>
      <c r="AH458" s="548" t="s">
        <v>2988</v>
      </c>
      <c r="AI458" s="548" t="s">
        <v>2206</v>
      </c>
      <c r="AJ458" s="548" t="s">
        <v>2989</v>
      </c>
      <c r="AK458" s="548" t="s">
        <v>2207</v>
      </c>
      <c r="AL458" s="548" t="s">
        <v>123</v>
      </c>
      <c r="AM458" s="554" t="str">
        <f>INDEX(CarrierDriverTBL!$B:$B,MATCH(Table1[[#This Row],[DriverID]],CarrierDriverTBL!$A:$A,0))</f>
        <v>UBTrucking</v>
      </c>
      <c r="AN458" s="10" t="s">
        <v>2234</v>
      </c>
      <c r="AO458" s="555" t="str">
        <f>INDEX(CarrierDriverTBL!$C:$C,MATCH(Table1[[#This Row],[DriverID]],CarrierDriverTBL!$A:$A,0))</f>
        <v>Arturo</v>
      </c>
      <c r="AP458" s="555" t="str">
        <f>INDEX(CarrierDriverTBL!$D:$D,MATCH(Table1[[#This Row],[DriverID]],CarrierDriverTBL!$A:$A,0))</f>
        <v>Carrillo</v>
      </c>
      <c r="AQ458" s="555" t="str">
        <f>INDEX(CarrierDriverTBL!$X:$X,MATCH(Table1[[#This Row],[DriverID]],CarrierDriverTBL!$A:$A,0))</f>
        <v>C7056793</v>
      </c>
      <c r="AR458" s="556">
        <f>INDEX(CarrierDriverTBL!$Y:$Y,MATCH(Table1[[#This Row],[DriverID]],CarrierDriverTBL!$A:$A,0))</f>
        <v>43410</v>
      </c>
      <c r="AS458" s="554" t="str">
        <f t="shared" si="194"/>
        <v>GOOD</v>
      </c>
      <c r="AT458" s="556">
        <f>INDEX(CarrierDriverTBL!$E:$E,MATCH(Table1[[#This Row],[DriverID]],CarrierDriverTBL!$A:$A,0))</f>
        <v>24782</v>
      </c>
      <c r="AU458" s="557">
        <f ca="1">INDEX(CarrierDriverTBL!$F:$F,MATCH(Table1[[#This Row],[DriverID]],CarrierDriverTBL!$A:$A,0))</f>
        <v>48.750684931506846</v>
      </c>
      <c r="AV458" s="554" t="str">
        <f>INDEX(CarrierDriverTBL!$K:$K,MATCH(Table1[[#This Row],[DriverID]],CarrierDriverTBL!$A:$A,0))</f>
        <v>209-276-9785</v>
      </c>
      <c r="AW458" s="554" t="str">
        <f>INDEX(CarrierDriverTBL!$M:$M,MATCH(Table1[[#This Row],[DriverID]],CarrierDriverTBL!$A:$A,0))</f>
        <v>1685 Winthrop Ln</v>
      </c>
      <c r="AX458" s="554" t="str">
        <f>INDEX(CarrierDriverTBL!$N:$N,MATCH(Table1[[#This Row],[DriverID]],CarrierDriverTBL!$A:$A,0))</f>
        <v>Ceres</v>
      </c>
      <c r="AY458" s="554" t="str">
        <f>INDEX(CarrierDriverTBL!$O:$O,MATCH(Table1[[#This Row],[DriverID]],CarrierDriverTBL!$A:$A,0))</f>
        <v>CA</v>
      </c>
      <c r="AZ458" s="554">
        <f>INDEX(CarrierDriverTBL!$P:$P,MATCH(Table1[[#This Row],[DriverID]],CarrierDriverTBL!$A:$A,0))</f>
        <v>95307</v>
      </c>
      <c r="BA458" s="554" t="str">
        <f>INDEX(CarrierDriverTBL!$Q:$Q,MATCH(Table1[[#This Row],[DriverID]],CarrierDriverTBL!$A:$A,0))</f>
        <v>US</v>
      </c>
      <c r="BB458" s="554" t="str">
        <f>INDEX(CarrierDriverTBL!$R:$R,MATCH(Table1[[#This Row],[DriverID]],CarrierDriverTBL!$A:$A,0))</f>
        <v>arturocarr777@gmail.com</v>
      </c>
      <c r="BC458" s="556">
        <f>INDEX(CarrierDriverTBL!$AB:$AB,MATCH(Table1[[#This Row],[DriverID]],CarrierDriverTBL!$A:$A,0))</f>
        <v>42418</v>
      </c>
      <c r="BD458" s="555" t="str">
        <f ca="1">INDEX(CarrierDriverTBL!$AD:$AD,MATCH(LoadMaster!$AN:$AN,CarrierDriverTBL!$A:$A,0))</f>
        <v>MISSING</v>
      </c>
      <c r="BE458" s="555">
        <f>INDEX(CarrierDriverTBL!$AE:$AE,MATCH(Table1[DriverID],CarrierDriverTBL!$A:$A,0))</f>
        <v>913971</v>
      </c>
      <c r="BF458" s="554">
        <f>INDEX(CarrierDriverTBL!$AF:$AF,MATCH(Table1[DriverID],CarrierDriverTBL!$A:$A,0))</f>
        <v>2627544</v>
      </c>
      <c r="BG458" s="236">
        <f>INDEX(CarrierDriverTBL!$AG:$AG,MATCH(Table1[DriverID],CarrierDriverTBL!$A:$A,0))</f>
        <v>466133</v>
      </c>
      <c r="BH458" s="554" t="str">
        <f>INDEX(CarrierDriverTBL!$AH:$AH,MATCH(Table1[DriverID],CarrierDriverTBL!$A:$A,0))</f>
        <v>GM Lawrence Ins</v>
      </c>
      <c r="BI458" s="554" t="str">
        <f>INDEX(CarrierDriverTBL!$AI:$AI,MATCH(Table1[DriverID],CarrierDriverTBL!$A:$A,0))</f>
        <v>DSK2842P160210</v>
      </c>
      <c r="BJ458" s="556">
        <f>INDEX(CarrierDriverTBL!$AJ:$AJ,MATCH(Table1[[#This Row],[DriverID]],CarrierDriverTBL!$A:$A,0))</f>
        <v>42778</v>
      </c>
      <c r="BK458" s="554">
        <f t="shared" si="195"/>
        <v>261</v>
      </c>
      <c r="BL458" s="558">
        <v>675</v>
      </c>
      <c r="BM458" s="554">
        <v>297</v>
      </c>
      <c r="BN458" s="558">
        <f t="shared" si="212"/>
        <v>2.2727272727272729</v>
      </c>
      <c r="BO458" s="241">
        <f>0.93*Table1[[#This Row],[ChargeBroker]]</f>
        <v>627.75</v>
      </c>
      <c r="BP458" s="558">
        <f t="shared" si="213"/>
        <v>2.1136363636363638</v>
      </c>
      <c r="BQ458" s="558">
        <v>2.6</v>
      </c>
      <c r="BR458" s="559">
        <f t="shared" si="214"/>
        <v>0.1166666666666667</v>
      </c>
      <c r="BS458" s="558">
        <f t="shared" si="196"/>
        <v>1.9969696969696971</v>
      </c>
      <c r="BT458" s="558">
        <f t="shared" si="197"/>
        <v>34.650000000000006</v>
      </c>
      <c r="BU458" s="236" t="str">
        <f t="shared" si="198"/>
        <v>Ch Robinson</v>
      </c>
      <c r="BV458" s="554"/>
      <c r="BW458" s="236" t="str">
        <f>Table1[[#This Row],[BrokerAddress]]</f>
        <v>P.O. Box 3474</v>
      </c>
      <c r="BX458" s="236" t="str">
        <f t="shared" si="199"/>
        <v>Chicago</v>
      </c>
      <c r="BY458" s="269" t="str">
        <f t="shared" si="200"/>
        <v>Il</v>
      </c>
      <c r="BZ458" s="236">
        <f t="shared" si="201"/>
        <v>60654</v>
      </c>
      <c r="CA458" s="236" t="str">
        <f t="shared" si="202"/>
        <v>US</v>
      </c>
      <c r="CB458" s="15" t="s">
        <v>131</v>
      </c>
      <c r="CC458" s="62"/>
      <c r="CD458" s="15" t="s">
        <v>132</v>
      </c>
      <c r="CE458" s="64">
        <v>0</v>
      </c>
      <c r="CF458" s="4">
        <v>0</v>
      </c>
      <c r="CG458" s="132">
        <f t="shared" si="203"/>
        <v>0</v>
      </c>
      <c r="CH458" s="4" t="s">
        <v>132</v>
      </c>
      <c r="CI458" s="5">
        <v>0</v>
      </c>
      <c r="CJ458" s="4">
        <v>0</v>
      </c>
      <c r="CK458" s="132">
        <f t="shared" si="204"/>
        <v>0</v>
      </c>
      <c r="CL458" s="4" t="s">
        <v>132</v>
      </c>
      <c r="CM458" s="5">
        <v>0</v>
      </c>
      <c r="CN458" s="4">
        <v>0</v>
      </c>
      <c r="CO458" s="132">
        <f t="shared" si="205"/>
        <v>0</v>
      </c>
      <c r="CP458" s="4" t="s">
        <v>132</v>
      </c>
      <c r="CQ458" s="5">
        <v>0</v>
      </c>
      <c r="CR458" s="4">
        <v>0</v>
      </c>
      <c r="CS458" s="132">
        <f t="shared" si="206"/>
        <v>0</v>
      </c>
      <c r="CT458" s="132">
        <f t="shared" si="207"/>
        <v>0</v>
      </c>
      <c r="CU458" s="238">
        <f t="shared" si="208"/>
        <v>675</v>
      </c>
      <c r="CV458" s="239">
        <f t="shared" si="191"/>
        <v>0</v>
      </c>
      <c r="CW458" s="240">
        <f t="shared" si="192"/>
        <v>627.75</v>
      </c>
      <c r="CX458" s="79">
        <f>IF(ISBLANK(E458),"AddQuickPay",IF(E458=2,CU458*0.98,IF(E458=2.4,CU458*0.976,IF(E458=3,CU458*0.97,IF(E458=5,CU458*0.95,IF(E458=1.5,CU458*0.985,IF(E458=2.5,CU458*0.975,IF(E458=1.3,CU458*0.987,IF(E458=1,CU458*0.99,IF(E458=4,CU458*0.96,CU458*1))))))))))-Table1[[#This Row],[ComCheck+QuickPayFee]]</f>
        <v>661.5</v>
      </c>
      <c r="CY458" s="237">
        <f t="shared" si="209"/>
        <v>47.25</v>
      </c>
      <c r="CZ458" s="237">
        <f t="shared" si="210"/>
        <v>13.5</v>
      </c>
      <c r="DA458" s="263">
        <f>Table1[[#This Row],[OriginalDispatch]]-Table1[[#This Row],[QuickPayCharge]]</f>
        <v>33.75</v>
      </c>
      <c r="DB458" s="5">
        <v>0</v>
      </c>
      <c r="DC458" s="237" t="s">
        <v>133</v>
      </c>
      <c r="DD458" s="549">
        <f t="shared" si="211"/>
        <v>42517</v>
      </c>
      <c r="DE458" s="554">
        <f>MONTH(Table1[[#This Row],[Weekending]])</f>
        <v>5</v>
      </c>
      <c r="DF458" s="554">
        <f>YEAR(Table1[[#This Row],[Weekending]])</f>
        <v>2016</v>
      </c>
      <c r="DG458" s="235"/>
    </row>
    <row r="459" spans="1:111">
      <c r="A459" s="548" t="str">
        <f t="shared" si="193"/>
        <v>66677949</v>
      </c>
      <c r="B459" s="549">
        <v>42522</v>
      </c>
      <c r="C459" s="550">
        <v>202401966</v>
      </c>
      <c r="D459" s="548" t="s">
        <v>111</v>
      </c>
      <c r="E459" s="550">
        <v>2</v>
      </c>
      <c r="F459" s="551" t="str">
        <f>INDEX(BrokerTBL!$B:$B,MATCH(D459,BrokerTBL!$A:$A,0))</f>
        <v>P.O. Box 3474</v>
      </c>
      <c r="G459" s="550" t="str">
        <f>INDEX(BrokerTBL!$C:$C,MATCH(D459,BrokerTBL!$A:$A,0))</f>
        <v>Chicago</v>
      </c>
      <c r="H459" s="235" t="str">
        <f>INDEX(BrokerTBL!$D:$D,MATCH(D459,BrokerTBL!$A:$A,0))</f>
        <v>Il</v>
      </c>
      <c r="I459" s="235" t="str">
        <f>INDEX(BrokerTBL!$E:$E,MATCH(D459,BrokerTBL!$A:$A,0))</f>
        <v>US</v>
      </c>
      <c r="J459" s="235">
        <f>INDEX(BrokerTBL!$F:$F,MATCH(D459,BrokerTBL!$A:$A,0))</f>
        <v>60654</v>
      </c>
      <c r="K459" s="548" t="s">
        <v>2924</v>
      </c>
      <c r="L459" s="552">
        <v>37871367</v>
      </c>
      <c r="M459" s="549">
        <v>42519</v>
      </c>
      <c r="N459" s="550" t="s">
        <v>1298</v>
      </c>
      <c r="O459" s="550" t="s">
        <v>2925</v>
      </c>
      <c r="P459" s="548" t="s">
        <v>380</v>
      </c>
      <c r="Q459" s="548" t="s">
        <v>2206</v>
      </c>
      <c r="R459" s="548">
        <v>95376</v>
      </c>
      <c r="S459" s="548" t="s">
        <v>2207</v>
      </c>
      <c r="T459" s="548" t="s">
        <v>123</v>
      </c>
      <c r="U459" s="548" t="s">
        <v>120</v>
      </c>
      <c r="V459" s="548">
        <v>53</v>
      </c>
      <c r="W459" s="548" t="s">
        <v>2926</v>
      </c>
      <c r="X459" s="553">
        <v>40369</v>
      </c>
      <c r="Y459" s="550" t="s">
        <v>2410</v>
      </c>
      <c r="Z459" s="548">
        <v>1731</v>
      </c>
      <c r="AA459" s="548">
        <v>24</v>
      </c>
      <c r="AB459" s="548" t="s">
        <v>123</v>
      </c>
      <c r="AC459" s="548" t="s">
        <v>2990</v>
      </c>
      <c r="AD459" s="552">
        <v>162145979</v>
      </c>
      <c r="AE459" s="549">
        <v>42521</v>
      </c>
      <c r="AF459" s="549" t="s">
        <v>1398</v>
      </c>
      <c r="AG459" s="548" t="s">
        <v>935</v>
      </c>
      <c r="AH459" s="548" t="s">
        <v>2570</v>
      </c>
      <c r="AI459" s="548" t="s">
        <v>2206</v>
      </c>
      <c r="AJ459" s="548" t="s">
        <v>2025</v>
      </c>
      <c r="AK459" s="548" t="s">
        <v>2207</v>
      </c>
      <c r="AL459" s="548" t="s">
        <v>123</v>
      </c>
      <c r="AM459" s="554" t="str">
        <f>INDEX(CarrierDriverTBL!$B:$B,MATCH(Table1[[#This Row],[DriverID]],CarrierDriverTBL!$A:$A,0))</f>
        <v>UBTrucking</v>
      </c>
      <c r="AN459" s="10" t="s">
        <v>192</v>
      </c>
      <c r="AO459" s="555" t="str">
        <f>INDEX(CarrierDriverTBL!$C:$C,MATCH(Table1[[#This Row],[DriverID]],CarrierDriverTBL!$A:$A,0))</f>
        <v>Albel</v>
      </c>
      <c r="AP459" s="555" t="str">
        <f>INDEX(CarrierDriverTBL!$D:$D,MATCH(Table1[[#This Row],[DriverID]],CarrierDriverTBL!$A:$A,0))</f>
        <v>Chahil</v>
      </c>
      <c r="AQ459" s="555" t="str">
        <f>INDEX(CarrierDriverTBL!$X:$X,MATCH(Table1[[#This Row],[DriverID]],CarrierDriverTBL!$A:$A,0))</f>
        <v>A8390649</v>
      </c>
      <c r="AR459" s="556">
        <f>INDEX(CarrierDriverTBL!$Y:$Y,MATCH(Table1[[#This Row],[DriverID]],CarrierDriverTBL!$A:$A,0))</f>
        <v>42402</v>
      </c>
      <c r="AS459" s="554" t="str">
        <f t="shared" si="194"/>
        <v>EXPIRED</v>
      </c>
      <c r="AT459" s="556">
        <f>INDEX(CarrierDriverTBL!$E:$E,MATCH(Table1[[#This Row],[DriverID]],CarrierDriverTBL!$A:$A,0))</f>
        <v>22314</v>
      </c>
      <c r="AU459" s="557">
        <f ca="1">INDEX(CarrierDriverTBL!$F:$F,MATCH(Table1[[#This Row],[DriverID]],CarrierDriverTBL!$A:$A,0))</f>
        <v>55.512328767123286</v>
      </c>
      <c r="AV459" s="554" t="str">
        <f>INDEX(CarrierDriverTBL!$K:$K,MATCH(Table1[[#This Row],[DriverID]],CarrierDriverTBL!$A:$A,0))</f>
        <v>510-773-9450</v>
      </c>
      <c r="AW459" s="554" t="str">
        <f>INDEX(CarrierDriverTBL!$M:$M,MATCH(Table1[[#This Row],[DriverID]],CarrierDriverTBL!$A:$A,0))</f>
        <v>3124 Cynthia CT</v>
      </c>
      <c r="AX459" s="554" t="str">
        <f>INDEX(CarrierDriverTBL!$N:$N,MATCH(Table1[[#This Row],[DriverID]],CarrierDriverTBL!$A:$A,0))</f>
        <v>Tracy</v>
      </c>
      <c r="AY459" s="554" t="str">
        <f>INDEX(CarrierDriverTBL!$O:$O,MATCH(Table1[[#This Row],[DriverID]],CarrierDriverTBL!$A:$A,0))</f>
        <v>CA</v>
      </c>
      <c r="AZ459" s="554">
        <f>INDEX(CarrierDriverTBL!$P:$P,MATCH(Table1[[#This Row],[DriverID]],CarrierDriverTBL!$A:$A,0))</f>
        <v>95377</v>
      </c>
      <c r="BA459" s="554" t="str">
        <f>INDEX(CarrierDriverTBL!$Q:$Q,MATCH(Table1[[#This Row],[DriverID]],CarrierDriverTBL!$A:$A,0))</f>
        <v>US</v>
      </c>
      <c r="BB459" s="554" t="str">
        <f>INDEX(CarrierDriverTBL!$R:$R,MATCH(Table1[[#This Row],[DriverID]],CarrierDriverTBL!$A:$A,0))</f>
        <v>ubgollc@gmail.com</v>
      </c>
      <c r="BC459" s="556">
        <f>INDEX(CarrierDriverTBL!$AB:$AB,MATCH(Table1[[#This Row],[DriverID]],CarrierDriverTBL!$A:$A,0))</f>
        <v>42167</v>
      </c>
      <c r="BD459" s="555" t="str">
        <f ca="1">INDEX(CarrierDriverTBL!$AD:$AD,MATCH(LoadMaster!$AN:$AN,CarrierDriverTBL!$A:$A,0))</f>
        <v>MISSING</v>
      </c>
      <c r="BE459" s="555">
        <f>INDEX(CarrierDriverTBL!$AE:$AE,MATCH(Table1[DriverID],CarrierDriverTBL!$A:$A,0))</f>
        <v>913971</v>
      </c>
      <c r="BF459" s="554">
        <f>INDEX(CarrierDriverTBL!$AF:$AF,MATCH(Table1[DriverID],CarrierDriverTBL!$A:$A,0))</f>
        <v>2627544</v>
      </c>
      <c r="BG459" s="236">
        <f>INDEX(CarrierDriverTBL!$AG:$AG,MATCH(Table1[DriverID],CarrierDriverTBL!$A:$A,0))</f>
        <v>466133</v>
      </c>
      <c r="BH459" s="554" t="str">
        <f>INDEX(CarrierDriverTBL!$AH:$AH,MATCH(Table1[DriverID],CarrierDriverTBL!$A:$A,0))</f>
        <v>GM Lawrence Ins</v>
      </c>
      <c r="BI459" s="554" t="str">
        <f>INDEX(CarrierDriverTBL!$AI:$AI,MATCH(Table1[DriverID],CarrierDriverTBL!$A:$A,0))</f>
        <v>DSK2842P160210</v>
      </c>
      <c r="BJ459" s="556">
        <f>INDEX(CarrierDriverTBL!$AJ:$AJ,MATCH(Table1[[#This Row],[DriverID]],CarrierDriverTBL!$A:$A,0))</f>
        <v>42778</v>
      </c>
      <c r="BK459" s="554">
        <f t="shared" si="195"/>
        <v>259</v>
      </c>
      <c r="BL459" s="558">
        <v>300</v>
      </c>
      <c r="BM459" s="554">
        <v>1.1000000000000001</v>
      </c>
      <c r="BN459" s="558">
        <f t="shared" si="212"/>
        <v>272.72727272727269</v>
      </c>
      <c r="BO459" s="241">
        <f>0.93*Table1[[#This Row],[ChargeBroker]]</f>
        <v>279</v>
      </c>
      <c r="BP459" s="558">
        <f t="shared" si="213"/>
        <v>253.63636363636363</v>
      </c>
      <c r="BQ459" s="558">
        <v>2.6</v>
      </c>
      <c r="BR459" s="559">
        <f t="shared" si="214"/>
        <v>0.1166666666666667</v>
      </c>
      <c r="BS459" s="558">
        <f t="shared" si="196"/>
        <v>253.51969696969695</v>
      </c>
      <c r="BT459" s="558">
        <f t="shared" si="197"/>
        <v>0.12833333333333338</v>
      </c>
      <c r="BU459" s="236" t="str">
        <f t="shared" si="198"/>
        <v>Ch Robinson</v>
      </c>
      <c r="BV459" s="554"/>
      <c r="BW459" s="236" t="str">
        <f>Table1[[#This Row],[BrokerAddress]]</f>
        <v>P.O. Box 3474</v>
      </c>
      <c r="BX459" s="236" t="str">
        <f t="shared" si="199"/>
        <v>Chicago</v>
      </c>
      <c r="BY459" s="269" t="str">
        <f t="shared" si="200"/>
        <v>Il</v>
      </c>
      <c r="BZ459" s="236">
        <f t="shared" si="201"/>
        <v>60654</v>
      </c>
      <c r="CA459" s="236" t="str">
        <f t="shared" si="202"/>
        <v>US</v>
      </c>
      <c r="CB459" s="15" t="s">
        <v>131</v>
      </c>
      <c r="CC459" s="62">
        <v>155</v>
      </c>
      <c r="CD459" s="15" t="s">
        <v>2991</v>
      </c>
      <c r="CE459" s="64">
        <v>140</v>
      </c>
      <c r="CF459" s="4">
        <v>1</v>
      </c>
      <c r="CG459" s="132">
        <f t="shared" si="203"/>
        <v>140</v>
      </c>
      <c r="CH459" s="4" t="s">
        <v>132</v>
      </c>
      <c r="CI459" s="5">
        <v>0</v>
      </c>
      <c r="CJ459" s="4">
        <v>0</v>
      </c>
      <c r="CK459" s="132">
        <f t="shared" si="204"/>
        <v>0</v>
      </c>
      <c r="CL459" s="4" t="s">
        <v>132</v>
      </c>
      <c r="CM459" s="5">
        <v>0</v>
      </c>
      <c r="CN459" s="4">
        <v>0</v>
      </c>
      <c r="CO459" s="132">
        <f t="shared" si="205"/>
        <v>0</v>
      </c>
      <c r="CP459" s="4" t="s">
        <v>132</v>
      </c>
      <c r="CQ459" s="5">
        <v>0</v>
      </c>
      <c r="CR459" s="4">
        <v>0</v>
      </c>
      <c r="CS459" s="132">
        <f t="shared" si="206"/>
        <v>0</v>
      </c>
      <c r="CT459" s="132">
        <f t="shared" si="207"/>
        <v>140</v>
      </c>
      <c r="CU459" s="238">
        <f t="shared" si="208"/>
        <v>285</v>
      </c>
      <c r="CV459" s="239">
        <f t="shared" si="191"/>
        <v>140</v>
      </c>
      <c r="CW459" s="240">
        <f>(BO459+CV459)-Table1[[#This Row],[TcheckPrePaid]]</f>
        <v>264</v>
      </c>
      <c r="CX459" s="79">
        <f>IF(ISBLANK(E459),"AddQuickPay",IF(E459=2,CU459*0.98,IF(E459=2.4,CU459*0.976,IF(E459=3,CU459*0.97,IF(E459=5,CU459*0.95,IF(E459=1.5,CU459*0.985,IF(E459=2.5,CU459*0.975,IF(E459=1.3,CU459*0.987,IF(E459=1,CU459*0.99,IF(E459=4,CU459*0.96,CU459*1))))))))))-Table1[[#This Row],[ComCheck+QuickPayFee]]</f>
        <v>279.3</v>
      </c>
      <c r="CY459" s="237">
        <f t="shared" si="209"/>
        <v>21</v>
      </c>
      <c r="CZ459" s="237">
        <f t="shared" si="210"/>
        <v>5.7</v>
      </c>
      <c r="DA459" s="263">
        <f>Table1[[#This Row],[OriginalDispatch]]-Table1[[#This Row],[QuickPayCharge]]</f>
        <v>15.3</v>
      </c>
      <c r="DB459" s="5">
        <v>0</v>
      </c>
      <c r="DC459" s="237" t="s">
        <v>133</v>
      </c>
      <c r="DD459" s="549">
        <f t="shared" si="211"/>
        <v>42517</v>
      </c>
      <c r="DE459" s="554">
        <f>MONTH(Table1[[#This Row],[Weekending]])</f>
        <v>5</v>
      </c>
      <c r="DF459" s="554">
        <f>YEAR(Table1[[#This Row],[Weekending]])</f>
        <v>2016</v>
      </c>
      <c r="DG459" s="235"/>
    </row>
    <row r="460" spans="1:111">
      <c r="A460" s="548" t="str">
        <f t="shared" si="193"/>
        <v>41060649</v>
      </c>
      <c r="B460" s="549">
        <v>42522</v>
      </c>
      <c r="C460" s="550">
        <v>7028741</v>
      </c>
      <c r="D460" s="548" t="s">
        <v>2248</v>
      </c>
      <c r="E460" s="550">
        <v>3</v>
      </c>
      <c r="F460" s="551" t="str">
        <f>INDEX(BrokerTBL!$B:$B,MATCH(D460,BrokerTBL!$A:$A,0))</f>
        <v>P.O. Box 799</v>
      </c>
      <c r="G460" s="550" t="str">
        <f>INDEX(BrokerTBL!$C:$C,MATCH(D460,BrokerTBL!$A:$A,0))</f>
        <v>Milford</v>
      </c>
      <c r="H460" s="235" t="str">
        <f>INDEX(BrokerTBL!$D:$D,MATCH(D460,BrokerTBL!$A:$A,0))</f>
        <v>Ohio</v>
      </c>
      <c r="I460" s="235" t="str">
        <f>INDEX(BrokerTBL!$E:$E,MATCH(D460,BrokerTBL!$A:$A,0))</f>
        <v>US</v>
      </c>
      <c r="J460" s="235">
        <f>INDEX(BrokerTBL!$F:$F,MATCH(D460,BrokerTBL!$A:$A,0))</f>
        <v>45150</v>
      </c>
      <c r="K460" s="548" t="s">
        <v>2992</v>
      </c>
      <c r="L460" s="552" t="s">
        <v>2993</v>
      </c>
      <c r="M460" s="549">
        <v>42521</v>
      </c>
      <c r="N460" s="15" t="s">
        <v>123</v>
      </c>
      <c r="O460" s="550" t="s">
        <v>2994</v>
      </c>
      <c r="P460" s="548" t="s">
        <v>2684</v>
      </c>
      <c r="Q460" s="548" t="s">
        <v>2206</v>
      </c>
      <c r="R460" s="548">
        <v>95240</v>
      </c>
      <c r="S460" s="548" t="s">
        <v>2207</v>
      </c>
      <c r="T460" s="548" t="s">
        <v>2995</v>
      </c>
      <c r="U460" s="548" t="s">
        <v>120</v>
      </c>
      <c r="V460" s="548">
        <v>53</v>
      </c>
      <c r="W460" s="548" t="s">
        <v>2996</v>
      </c>
      <c r="X460" s="553">
        <v>12000</v>
      </c>
      <c r="Y460" s="550" t="s">
        <v>123</v>
      </c>
      <c r="Z460" s="548" t="s">
        <v>123</v>
      </c>
      <c r="AA460" s="548" t="s">
        <v>123</v>
      </c>
      <c r="AB460" s="548" t="s">
        <v>123</v>
      </c>
      <c r="AC460" s="548" t="s">
        <v>2997</v>
      </c>
      <c r="AD460" s="552" t="s">
        <v>2993</v>
      </c>
      <c r="AE460" s="549">
        <v>42522</v>
      </c>
      <c r="AF460" s="549" t="s">
        <v>2998</v>
      </c>
      <c r="AG460" s="548" t="s">
        <v>2999</v>
      </c>
      <c r="AH460" s="548" t="s">
        <v>2544</v>
      </c>
      <c r="AI460" s="548" t="s">
        <v>2206</v>
      </c>
      <c r="AJ460" s="548">
        <v>94621</v>
      </c>
      <c r="AK460" s="548" t="s">
        <v>2207</v>
      </c>
      <c r="AL460" s="548" t="s">
        <v>123</v>
      </c>
      <c r="AM460" s="554" t="str">
        <f>INDEX(CarrierDriverTBL!$B:$B,MATCH(Table1[[#This Row],[DriverID]],CarrierDriverTBL!$A:$A,0))</f>
        <v>UBTrucking</v>
      </c>
      <c r="AN460" s="10" t="s">
        <v>192</v>
      </c>
      <c r="AO460" s="555" t="str">
        <f>INDEX(CarrierDriverTBL!$C:$C,MATCH(Table1[[#This Row],[DriverID]],CarrierDriverTBL!$A:$A,0))</f>
        <v>Albel</v>
      </c>
      <c r="AP460" s="555" t="str">
        <f>INDEX(CarrierDriverTBL!$D:$D,MATCH(Table1[[#This Row],[DriverID]],CarrierDriverTBL!$A:$A,0))</f>
        <v>Chahil</v>
      </c>
      <c r="AQ460" s="555" t="str">
        <f>INDEX(CarrierDriverTBL!$X:$X,MATCH(Table1[[#This Row],[DriverID]],CarrierDriverTBL!$A:$A,0))</f>
        <v>A8390649</v>
      </c>
      <c r="AR460" s="556">
        <f>INDEX(CarrierDriverTBL!$Y:$Y,MATCH(Table1[[#This Row],[DriverID]],CarrierDriverTBL!$A:$A,0))</f>
        <v>42402</v>
      </c>
      <c r="AS460" s="554" t="str">
        <f t="shared" si="194"/>
        <v>EXPIRED</v>
      </c>
      <c r="AT460" s="556">
        <f>INDEX(CarrierDriverTBL!$E:$E,MATCH(Table1[[#This Row],[DriverID]],CarrierDriverTBL!$A:$A,0))</f>
        <v>22314</v>
      </c>
      <c r="AU460" s="557">
        <f ca="1">INDEX(CarrierDriverTBL!$F:$F,MATCH(Table1[[#This Row],[DriverID]],CarrierDriverTBL!$A:$A,0))</f>
        <v>55.512328767123286</v>
      </c>
      <c r="AV460" s="554" t="str">
        <f>INDEX(CarrierDriverTBL!$K:$K,MATCH(Table1[[#This Row],[DriverID]],CarrierDriverTBL!$A:$A,0))</f>
        <v>510-773-9450</v>
      </c>
      <c r="AW460" s="554" t="str">
        <f>INDEX(CarrierDriverTBL!$M:$M,MATCH(Table1[[#This Row],[DriverID]],CarrierDriverTBL!$A:$A,0))</f>
        <v>3124 Cynthia CT</v>
      </c>
      <c r="AX460" s="554" t="str">
        <f>INDEX(CarrierDriverTBL!$N:$N,MATCH(Table1[[#This Row],[DriverID]],CarrierDriverTBL!$A:$A,0))</f>
        <v>Tracy</v>
      </c>
      <c r="AY460" s="554" t="str">
        <f>INDEX(CarrierDriverTBL!$O:$O,MATCH(Table1[[#This Row],[DriverID]],CarrierDriverTBL!$A:$A,0))</f>
        <v>CA</v>
      </c>
      <c r="AZ460" s="554">
        <f>INDEX(CarrierDriverTBL!$P:$P,MATCH(Table1[[#This Row],[DriverID]],CarrierDriverTBL!$A:$A,0))</f>
        <v>95377</v>
      </c>
      <c r="BA460" s="554" t="str">
        <f>INDEX(CarrierDriverTBL!$Q:$Q,MATCH(Table1[[#This Row],[DriverID]],CarrierDriverTBL!$A:$A,0))</f>
        <v>US</v>
      </c>
      <c r="BB460" s="554" t="str">
        <f>INDEX(CarrierDriverTBL!$R:$R,MATCH(Table1[[#This Row],[DriverID]],CarrierDriverTBL!$A:$A,0))</f>
        <v>ubgollc@gmail.com</v>
      </c>
      <c r="BC460" s="556">
        <f>INDEX(CarrierDriverTBL!$AB:$AB,MATCH(Table1[[#This Row],[DriverID]],CarrierDriverTBL!$A:$A,0))</f>
        <v>42167</v>
      </c>
      <c r="BD460" s="555" t="str">
        <f ca="1">INDEX(CarrierDriverTBL!$AD:$AD,MATCH(LoadMaster!$AN:$AN,CarrierDriverTBL!$A:$A,0))</f>
        <v>MISSING</v>
      </c>
      <c r="BE460" s="555">
        <f>INDEX(CarrierDriverTBL!$AE:$AE,MATCH(Table1[DriverID],CarrierDriverTBL!$A:$A,0))</f>
        <v>913971</v>
      </c>
      <c r="BF460" s="554">
        <f>INDEX(CarrierDriverTBL!$AF:$AF,MATCH(Table1[DriverID],CarrierDriverTBL!$A:$A,0))</f>
        <v>2627544</v>
      </c>
      <c r="BG460" s="236">
        <f>INDEX(CarrierDriverTBL!$AG:$AG,MATCH(Table1[DriverID],CarrierDriverTBL!$A:$A,0))</f>
        <v>466133</v>
      </c>
      <c r="BH460" s="554" t="str">
        <f>INDEX(CarrierDriverTBL!$AH:$AH,MATCH(Table1[DriverID],CarrierDriverTBL!$A:$A,0))</f>
        <v>GM Lawrence Ins</v>
      </c>
      <c r="BI460" s="554" t="str">
        <f>INDEX(CarrierDriverTBL!$AI:$AI,MATCH(Table1[DriverID],CarrierDriverTBL!$A:$A,0))</f>
        <v>DSK2842P160210</v>
      </c>
      <c r="BJ460" s="556">
        <f>INDEX(CarrierDriverTBL!$AJ:$AJ,MATCH(Table1[[#This Row],[DriverID]],CarrierDriverTBL!$A:$A,0))</f>
        <v>42778</v>
      </c>
      <c r="BK460" s="554">
        <f t="shared" si="195"/>
        <v>257</v>
      </c>
      <c r="BL460" s="558">
        <v>450</v>
      </c>
      <c r="BM460" s="554">
        <v>87</v>
      </c>
      <c r="BN460" s="558">
        <f t="shared" si="212"/>
        <v>5.1724137931034484</v>
      </c>
      <c r="BO460" s="241">
        <f>0.93*Table1[[#This Row],[ChargeBroker]]</f>
        <v>418.5</v>
      </c>
      <c r="BP460" s="558">
        <f t="shared" si="213"/>
        <v>4.8103448275862073</v>
      </c>
      <c r="BQ460" s="558">
        <v>2.6</v>
      </c>
      <c r="BR460" s="559">
        <f t="shared" si="214"/>
        <v>0.1166666666666667</v>
      </c>
      <c r="BS460" s="558">
        <f t="shared" si="196"/>
        <v>4.693678160919541</v>
      </c>
      <c r="BT460" s="558">
        <f t="shared" si="197"/>
        <v>10.150000000000002</v>
      </c>
      <c r="BU460" s="236" t="str">
        <f t="shared" si="198"/>
        <v>TQL</v>
      </c>
      <c r="BV460" s="554"/>
      <c r="BW460" s="236" t="str">
        <f>Table1[[#This Row],[BrokerAddress]]</f>
        <v>P.O. Box 799</v>
      </c>
      <c r="BX460" s="236" t="str">
        <f t="shared" si="199"/>
        <v>Milford</v>
      </c>
      <c r="BY460" s="269" t="str">
        <f t="shared" si="200"/>
        <v>Ohio</v>
      </c>
      <c r="BZ460" s="236">
        <f t="shared" si="201"/>
        <v>45150</v>
      </c>
      <c r="CA460" s="236" t="str">
        <f t="shared" si="202"/>
        <v>US</v>
      </c>
      <c r="CB460" s="15" t="s">
        <v>131</v>
      </c>
      <c r="CC460" s="62"/>
      <c r="CD460" s="15" t="s">
        <v>132</v>
      </c>
      <c r="CE460" s="64">
        <v>0</v>
      </c>
      <c r="CF460" s="4">
        <v>0</v>
      </c>
      <c r="CG460" s="132">
        <f t="shared" si="203"/>
        <v>0</v>
      </c>
      <c r="CH460" s="4" t="s">
        <v>132</v>
      </c>
      <c r="CI460" s="5">
        <v>0</v>
      </c>
      <c r="CJ460" s="4">
        <v>0</v>
      </c>
      <c r="CK460" s="132">
        <f t="shared" si="204"/>
        <v>0</v>
      </c>
      <c r="CL460" s="4" t="s">
        <v>132</v>
      </c>
      <c r="CM460" s="5">
        <v>0</v>
      </c>
      <c r="CN460" s="4">
        <v>0</v>
      </c>
      <c r="CO460" s="132">
        <f t="shared" si="205"/>
        <v>0</v>
      </c>
      <c r="CP460" s="4" t="s">
        <v>132</v>
      </c>
      <c r="CQ460" s="5">
        <v>0</v>
      </c>
      <c r="CR460" s="4">
        <v>0</v>
      </c>
      <c r="CS460" s="132">
        <f t="shared" si="206"/>
        <v>0</v>
      </c>
      <c r="CT460" s="132">
        <f t="shared" si="207"/>
        <v>0</v>
      </c>
      <c r="CU460" s="238">
        <f t="shared" si="208"/>
        <v>450</v>
      </c>
      <c r="CV460" s="239">
        <f t="shared" si="191"/>
        <v>0</v>
      </c>
      <c r="CW460" s="240">
        <f>(BO460+CV460)-Table1[[#This Row],[TcheckPrePaid]]</f>
        <v>418.5</v>
      </c>
      <c r="CX460" s="79">
        <f>IF(ISBLANK(E460),"AddQuickPay",IF(E460=2,CU460*0.98,IF(E460=2.4,CU460*0.976,IF(E460=3,CU460*0.97,IF(E460=5,CU460*0.95,IF(E460=1.5,CU460*0.985,IF(E460=2.5,CU460*0.975,IF(E460=1.3,CU460*0.987,IF(E460=1,CU460*0.99,IF(E460=4,CU460*0.96,CU460*1))))))))))-Table1[[#This Row],[ComCheck+QuickPayFee]]</f>
        <v>436.5</v>
      </c>
      <c r="CY460" s="237">
        <f t="shared" si="209"/>
        <v>31.5</v>
      </c>
      <c r="CZ460" s="237">
        <f t="shared" si="210"/>
        <v>13.5</v>
      </c>
      <c r="DA460" s="263">
        <f>Table1[[#This Row],[OriginalDispatch]]-Table1[[#This Row],[QuickPayCharge]]</f>
        <v>18</v>
      </c>
      <c r="DB460" s="5">
        <v>0</v>
      </c>
      <c r="DC460" s="237" t="s">
        <v>133</v>
      </c>
      <c r="DD460" s="549">
        <f t="shared" si="211"/>
        <v>42524</v>
      </c>
      <c r="DE460" s="554">
        <f>MONTH(Table1[[#This Row],[Weekending]])</f>
        <v>6</v>
      </c>
      <c r="DF460" s="554">
        <f>YEAR(Table1[[#This Row],[Weekending]])</f>
        <v>2016</v>
      </c>
      <c r="DG460" s="235"/>
    </row>
    <row r="461" spans="1:111">
      <c r="A461" s="548" t="str">
        <f t="shared" si="193"/>
        <v>44wnwn93</v>
      </c>
      <c r="B461" s="549">
        <v>42522</v>
      </c>
      <c r="C461" s="550">
        <v>379944</v>
      </c>
      <c r="D461" s="548" t="s">
        <v>2686</v>
      </c>
      <c r="E461" s="550">
        <v>4</v>
      </c>
      <c r="F461" s="551" t="str">
        <f>INDEX(BrokerTBL!$B:$B,MATCH(D461,BrokerTBL!$A:$A,0))</f>
        <v>10739 Deerwood Park Blvd. Suite 103</v>
      </c>
      <c r="G461" s="550" t="str">
        <f>INDEX(BrokerTBL!$C:$C,MATCH(D461,BrokerTBL!$A:$A,0))</f>
        <v>Jacksonville</v>
      </c>
      <c r="H461" s="235" t="str">
        <f>INDEX(BrokerTBL!$D:$D,MATCH(D461,BrokerTBL!$A:$A,0))</f>
        <v>FL</v>
      </c>
      <c r="I461" s="235" t="str">
        <f>INDEX(BrokerTBL!$E:$E,MATCH(D461,BrokerTBL!$A:$A,0))</f>
        <v>US</v>
      </c>
      <c r="J461" s="235">
        <f>INDEX(BrokerTBL!$F:$F,MATCH(D461,BrokerTBL!$A:$A,0))</f>
        <v>32256</v>
      </c>
      <c r="K461" s="548" t="s">
        <v>3000</v>
      </c>
      <c r="L461" s="552" t="s">
        <v>1205</v>
      </c>
      <c r="M461" s="549">
        <v>42521</v>
      </c>
      <c r="N461" s="550" t="s">
        <v>3001</v>
      </c>
      <c r="O461" s="550" t="s">
        <v>3002</v>
      </c>
      <c r="P461" s="548" t="s">
        <v>3003</v>
      </c>
      <c r="Q461" s="548" t="s">
        <v>2206</v>
      </c>
      <c r="R461" s="548">
        <v>95688</v>
      </c>
      <c r="S461" s="548" t="s">
        <v>2207</v>
      </c>
      <c r="T461" s="548" t="s">
        <v>3004</v>
      </c>
      <c r="U461" s="548" t="s">
        <v>120</v>
      </c>
      <c r="V461" s="548">
        <v>53</v>
      </c>
      <c r="W461" s="548" t="s">
        <v>1205</v>
      </c>
      <c r="X461" s="553">
        <v>25000</v>
      </c>
      <c r="Y461" s="550" t="s">
        <v>123</v>
      </c>
      <c r="Z461" s="548" t="s">
        <v>123</v>
      </c>
      <c r="AA461" s="548" t="s">
        <v>123</v>
      </c>
      <c r="AB461" s="548" t="s">
        <v>123</v>
      </c>
      <c r="AC461" s="548" t="s">
        <v>3005</v>
      </c>
      <c r="AD461" s="552" t="s">
        <v>1205</v>
      </c>
      <c r="AE461" s="549">
        <v>42521</v>
      </c>
      <c r="AF461" s="549" t="s">
        <v>3006</v>
      </c>
      <c r="AG461" s="548" t="s">
        <v>3007</v>
      </c>
      <c r="AH461" s="548" t="s">
        <v>770</v>
      </c>
      <c r="AI461" s="548" t="s">
        <v>2206</v>
      </c>
      <c r="AJ461" s="548">
        <v>94560</v>
      </c>
      <c r="AK461" s="548" t="s">
        <v>2207</v>
      </c>
      <c r="AL461" s="548" t="s">
        <v>123</v>
      </c>
      <c r="AM461" s="554" t="str">
        <f>INDEX(CarrierDriverTBL!$B:$B,MATCH(Table1[[#This Row],[DriverID]],CarrierDriverTBL!$A:$A,0))</f>
        <v>UBTrucking</v>
      </c>
      <c r="AN461" s="10" t="s">
        <v>2234</v>
      </c>
      <c r="AO461" s="555" t="str">
        <f>INDEX(CarrierDriverTBL!$C:$C,MATCH(Table1[[#This Row],[DriverID]],CarrierDriverTBL!$A:$A,0))</f>
        <v>Arturo</v>
      </c>
      <c r="AP461" s="555" t="str">
        <f>INDEX(CarrierDriverTBL!$D:$D,MATCH(Table1[[#This Row],[DriverID]],CarrierDriverTBL!$A:$A,0))</f>
        <v>Carrillo</v>
      </c>
      <c r="AQ461" s="555" t="str">
        <f>INDEX(CarrierDriverTBL!$X:$X,MATCH(Table1[[#This Row],[DriverID]],CarrierDriverTBL!$A:$A,0))</f>
        <v>C7056793</v>
      </c>
      <c r="AR461" s="556">
        <f>INDEX(CarrierDriverTBL!$Y:$Y,MATCH(Table1[[#This Row],[DriverID]],CarrierDriverTBL!$A:$A,0))</f>
        <v>43410</v>
      </c>
      <c r="AS461" s="554" t="str">
        <f t="shared" si="194"/>
        <v>GOOD</v>
      </c>
      <c r="AT461" s="556">
        <f>INDEX(CarrierDriverTBL!$E:$E,MATCH(Table1[[#This Row],[DriverID]],CarrierDriverTBL!$A:$A,0))</f>
        <v>24782</v>
      </c>
      <c r="AU461" s="557">
        <f ca="1">INDEX(CarrierDriverTBL!$F:$F,MATCH(Table1[[#This Row],[DriverID]],CarrierDriverTBL!$A:$A,0))</f>
        <v>48.750684931506846</v>
      </c>
      <c r="AV461" s="554" t="str">
        <f>INDEX(CarrierDriverTBL!$K:$K,MATCH(Table1[[#This Row],[DriverID]],CarrierDriverTBL!$A:$A,0))</f>
        <v>209-276-9785</v>
      </c>
      <c r="AW461" s="554" t="str">
        <f>INDEX(CarrierDriverTBL!$M:$M,MATCH(Table1[[#This Row],[DriverID]],CarrierDriverTBL!$A:$A,0))</f>
        <v>1685 Winthrop Ln</v>
      </c>
      <c r="AX461" s="554" t="str">
        <f>INDEX(CarrierDriverTBL!$N:$N,MATCH(Table1[[#This Row],[DriverID]],CarrierDriverTBL!$A:$A,0))</f>
        <v>Ceres</v>
      </c>
      <c r="AY461" s="554" t="str">
        <f>INDEX(CarrierDriverTBL!$O:$O,MATCH(Table1[[#This Row],[DriverID]],CarrierDriverTBL!$A:$A,0))</f>
        <v>CA</v>
      </c>
      <c r="AZ461" s="554">
        <f>INDEX(CarrierDriverTBL!$P:$P,MATCH(Table1[[#This Row],[DriverID]],CarrierDriverTBL!$A:$A,0))</f>
        <v>95307</v>
      </c>
      <c r="BA461" s="554" t="str">
        <f>INDEX(CarrierDriverTBL!$Q:$Q,MATCH(Table1[[#This Row],[DriverID]],CarrierDriverTBL!$A:$A,0))</f>
        <v>US</v>
      </c>
      <c r="BB461" s="554" t="str">
        <f>INDEX(CarrierDriverTBL!$R:$R,MATCH(Table1[[#This Row],[DriverID]],CarrierDriverTBL!$A:$A,0))</f>
        <v>arturocarr777@gmail.com</v>
      </c>
      <c r="BC461" s="556">
        <f>INDEX(CarrierDriverTBL!$AB:$AB,MATCH(Table1[[#This Row],[DriverID]],CarrierDriverTBL!$A:$A,0))</f>
        <v>42418</v>
      </c>
      <c r="BD461" s="555" t="str">
        <f ca="1">INDEX(CarrierDriverTBL!$AD:$AD,MATCH(LoadMaster!$AN:$AN,CarrierDriverTBL!$A:$A,0))</f>
        <v>MISSING</v>
      </c>
      <c r="BE461" s="555">
        <f>INDEX(CarrierDriverTBL!$AE:$AE,MATCH(Table1[DriverID],CarrierDriverTBL!$A:$A,0))</f>
        <v>913971</v>
      </c>
      <c r="BF461" s="554">
        <f>INDEX(CarrierDriverTBL!$AF:$AF,MATCH(Table1[DriverID],CarrierDriverTBL!$A:$A,0))</f>
        <v>2627544</v>
      </c>
      <c r="BG461" s="236">
        <f>INDEX(CarrierDriverTBL!$AG:$AG,MATCH(Table1[DriverID],CarrierDriverTBL!$A:$A,0))</f>
        <v>466133</v>
      </c>
      <c r="BH461" s="554" t="str">
        <f>INDEX(CarrierDriverTBL!$AH:$AH,MATCH(Table1[DriverID],CarrierDriverTBL!$A:$A,0))</f>
        <v>GM Lawrence Ins</v>
      </c>
      <c r="BI461" s="554" t="str">
        <f>INDEX(CarrierDriverTBL!$AI:$AI,MATCH(Table1[DriverID],CarrierDriverTBL!$A:$A,0))</f>
        <v>DSK2842P160210</v>
      </c>
      <c r="BJ461" s="556">
        <f>INDEX(CarrierDriverTBL!$AJ:$AJ,MATCH(Table1[[#This Row],[DriverID]],CarrierDriverTBL!$A:$A,0))</f>
        <v>42778</v>
      </c>
      <c r="BK461" s="554">
        <f t="shared" si="195"/>
        <v>257</v>
      </c>
      <c r="BL461" s="558">
        <v>325</v>
      </c>
      <c r="BM461" s="554">
        <v>73.400000000000006</v>
      </c>
      <c r="BN461" s="558">
        <f t="shared" si="212"/>
        <v>4.4277929155313345</v>
      </c>
      <c r="BO461" s="241">
        <f>0.93*Table1[[#This Row],[ChargeBroker]]</f>
        <v>302.25</v>
      </c>
      <c r="BP461" s="558">
        <f t="shared" si="213"/>
        <v>4.1178474114441412</v>
      </c>
      <c r="BQ461" s="558">
        <v>2.6</v>
      </c>
      <c r="BR461" s="559">
        <f t="shared" si="214"/>
        <v>0.1166666666666667</v>
      </c>
      <c r="BS461" s="558">
        <f t="shared" si="196"/>
        <v>4.001180744777475</v>
      </c>
      <c r="BT461" s="558">
        <f t="shared" si="197"/>
        <v>8.5633333333333361</v>
      </c>
      <c r="BU461" s="236" t="str">
        <f t="shared" si="198"/>
        <v>R2 Logistics</v>
      </c>
      <c r="BV461" s="554"/>
      <c r="BW461" s="236" t="str">
        <f>Table1[[#This Row],[BrokerAddress]]</f>
        <v>10739 Deerwood Park Blvd. Suite 103</v>
      </c>
      <c r="BX461" s="236" t="str">
        <f t="shared" si="199"/>
        <v>Jacksonville</v>
      </c>
      <c r="BY461" s="269" t="str">
        <f t="shared" si="200"/>
        <v>FL</v>
      </c>
      <c r="BZ461" s="236">
        <f t="shared" si="201"/>
        <v>32256</v>
      </c>
      <c r="CA461" s="236" t="str">
        <f t="shared" si="202"/>
        <v>US</v>
      </c>
      <c r="CB461" s="15" t="s">
        <v>131</v>
      </c>
      <c r="CC461" s="62"/>
      <c r="CD461" s="15" t="s">
        <v>132</v>
      </c>
      <c r="CE461" s="64">
        <v>0</v>
      </c>
      <c r="CF461" s="4">
        <v>0</v>
      </c>
      <c r="CG461" s="132">
        <f t="shared" si="203"/>
        <v>0</v>
      </c>
      <c r="CH461" s="4" t="s">
        <v>132</v>
      </c>
      <c r="CI461" s="5">
        <v>0</v>
      </c>
      <c r="CJ461" s="4">
        <v>0</v>
      </c>
      <c r="CK461" s="132">
        <f t="shared" si="204"/>
        <v>0</v>
      </c>
      <c r="CL461" s="4" t="s">
        <v>132</v>
      </c>
      <c r="CM461" s="5">
        <v>0</v>
      </c>
      <c r="CN461" s="4">
        <v>0</v>
      </c>
      <c r="CO461" s="132">
        <f t="shared" si="205"/>
        <v>0</v>
      </c>
      <c r="CP461" s="4" t="s">
        <v>132</v>
      </c>
      <c r="CQ461" s="5">
        <v>0</v>
      </c>
      <c r="CR461" s="4">
        <v>0</v>
      </c>
      <c r="CS461" s="132">
        <f t="shared" si="206"/>
        <v>0</v>
      </c>
      <c r="CT461" s="132">
        <f t="shared" si="207"/>
        <v>0</v>
      </c>
      <c r="CU461" s="238">
        <f t="shared" si="208"/>
        <v>325</v>
      </c>
      <c r="CV461" s="239">
        <f t="shared" si="191"/>
        <v>0</v>
      </c>
      <c r="CW461" s="240">
        <f>(BO461+CV461)-Table1[[#This Row],[TcheckPrePaid]]</f>
        <v>302.25</v>
      </c>
      <c r="CX461" s="79">
        <f>IF(ISBLANK(E461),"AddQuickPay",IF(E461=2,CU461*0.98,IF(E461=2.4,CU461*0.976,IF(E461=3,CU461*0.97,IF(E461=5,CU461*0.95,IF(E461=1.5,CU461*0.985,IF(E461=2.5,CU461*0.975,IF(E461=1.3,CU461*0.987,IF(E461=1,CU461*0.99,IF(E461=4,CU461*0.96,CU461*1))))))))))-Table1[[#This Row],[ComCheck+QuickPayFee]]</f>
        <v>312</v>
      </c>
      <c r="CY461" s="237">
        <f t="shared" si="209"/>
        <v>22.75</v>
      </c>
      <c r="CZ461" s="237">
        <f t="shared" si="210"/>
        <v>13</v>
      </c>
      <c r="DA461" s="263">
        <f>Table1[[#This Row],[OriginalDispatch]]-Table1[[#This Row],[QuickPayCharge]]</f>
        <v>9.75</v>
      </c>
      <c r="DB461" s="5">
        <v>0</v>
      </c>
      <c r="DC461" s="237" t="s">
        <v>133</v>
      </c>
      <c r="DD461" s="549">
        <f t="shared" si="211"/>
        <v>42524</v>
      </c>
      <c r="DE461" s="554">
        <f>MONTH(Table1[[#This Row],[Weekending]])</f>
        <v>6</v>
      </c>
      <c r="DF461" s="554">
        <f>YEAR(Table1[[#This Row],[Weekending]])</f>
        <v>2016</v>
      </c>
      <c r="DG461" s="235"/>
    </row>
    <row r="462" spans="1:111">
      <c r="A462" s="548" t="str">
        <f t="shared" si="193"/>
        <v>14807419</v>
      </c>
      <c r="B462" s="549">
        <v>42522</v>
      </c>
      <c r="C462" s="550">
        <v>164614</v>
      </c>
      <c r="D462" s="548" t="s">
        <v>1917</v>
      </c>
      <c r="E462" s="550">
        <v>3</v>
      </c>
      <c r="F462" s="551" t="str">
        <f>INDEX(BrokerTBL!$B:$B,MATCH(D462,BrokerTBL!$A:$A,0))</f>
        <v>20002 N. 19Th Ave.</v>
      </c>
      <c r="G462" s="550" t="str">
        <f>INDEX(BrokerTBL!$C:$C,MATCH(D462,BrokerTBL!$A:$A,0))</f>
        <v>Phoenix</v>
      </c>
      <c r="H462" s="235" t="str">
        <f>INDEX(BrokerTBL!$D:$D,MATCH(D462,BrokerTBL!$A:$A,0))</f>
        <v>Az</v>
      </c>
      <c r="I462" s="235" t="str">
        <f>INDEX(BrokerTBL!$E:$E,MATCH(D462,BrokerTBL!$A:$A,0))</f>
        <v>US</v>
      </c>
      <c r="J462" s="235">
        <f>INDEX(BrokerTBL!$F:$F,MATCH(D462,BrokerTBL!$A:$A,0))</f>
        <v>85027</v>
      </c>
      <c r="K462" s="548" t="s">
        <v>3008</v>
      </c>
      <c r="L462" s="552" t="s">
        <v>3009</v>
      </c>
      <c r="M462" s="549">
        <v>42521</v>
      </c>
      <c r="N462" s="550" t="s">
        <v>2643</v>
      </c>
      <c r="O462" s="550" t="s">
        <v>3010</v>
      </c>
      <c r="P462" s="548" t="s">
        <v>184</v>
      </c>
      <c r="Q462" s="548" t="s">
        <v>2206</v>
      </c>
      <c r="R462" s="548" t="s">
        <v>3011</v>
      </c>
      <c r="S462" s="548" t="s">
        <v>2207</v>
      </c>
      <c r="T462" s="548" t="s">
        <v>3012</v>
      </c>
      <c r="U462" s="548" t="s">
        <v>120</v>
      </c>
      <c r="V462" s="548">
        <v>53</v>
      </c>
      <c r="W462" s="548" t="s">
        <v>3013</v>
      </c>
      <c r="X462" s="225" t="s">
        <v>123</v>
      </c>
      <c r="Y462" s="550" t="s">
        <v>123</v>
      </c>
      <c r="Z462" s="548" t="s">
        <v>123</v>
      </c>
      <c r="AA462" s="548" t="s">
        <v>123</v>
      </c>
      <c r="AB462" s="548" t="s">
        <v>123</v>
      </c>
      <c r="AC462" s="548" t="s">
        <v>3014</v>
      </c>
      <c r="AD462" s="552">
        <v>22601674</v>
      </c>
      <c r="AE462" s="549">
        <v>42521</v>
      </c>
      <c r="AF462" s="549" t="s">
        <v>3015</v>
      </c>
      <c r="AG462" s="548" t="s">
        <v>3016</v>
      </c>
      <c r="AH462" s="548" t="s">
        <v>738</v>
      </c>
      <c r="AI462" s="548" t="s">
        <v>2233</v>
      </c>
      <c r="AJ462" s="548">
        <v>89502</v>
      </c>
      <c r="AK462" s="548" t="s">
        <v>2207</v>
      </c>
      <c r="AL462" s="548" t="s">
        <v>3017</v>
      </c>
      <c r="AM462" s="554" t="str">
        <f>INDEX(CarrierDriverTBL!$B:$B,MATCH(Table1[[#This Row],[DriverID]],CarrierDriverTBL!$A:$A,0))</f>
        <v>UBTrucking</v>
      </c>
      <c r="AN462" s="10" t="s">
        <v>1409</v>
      </c>
      <c r="AO462" s="555" t="str">
        <f>INDEX(CarrierDriverTBL!$C:$C,MATCH(Table1[[#This Row],[DriverID]],CarrierDriverTBL!$A:$A,0))</f>
        <v>Miguel Jaime</v>
      </c>
      <c r="AP462" s="555" t="str">
        <f>INDEX(CarrierDriverTBL!$D:$D,MATCH(Table1[[#This Row],[DriverID]],CarrierDriverTBL!$A:$A,0))</f>
        <v>Martin Del Campo Velarca</v>
      </c>
      <c r="AQ462" s="555" t="str">
        <f>INDEX(CarrierDriverTBL!$X:$X,MATCH(Table1[[#This Row],[DriverID]],CarrierDriverTBL!$A:$A,0))</f>
        <v>D5179619</v>
      </c>
      <c r="AR462" s="556">
        <f>INDEX(CarrierDriverTBL!$Y:$Y,MATCH(Table1[[#This Row],[DriverID]],CarrierDriverTBL!$A:$A,0))</f>
        <v>43843</v>
      </c>
      <c r="AS462" s="554" t="str">
        <f t="shared" si="194"/>
        <v>GOOD</v>
      </c>
      <c r="AT462" s="556">
        <f>INDEX(CarrierDriverTBL!$E:$E,MATCH(Table1[[#This Row],[DriverID]],CarrierDriverTBL!$A:$A,0))</f>
        <v>21198</v>
      </c>
      <c r="AU462" s="557">
        <f ca="1">INDEX(CarrierDriverTBL!$F:$F,MATCH(Table1[[#This Row],[DriverID]],CarrierDriverTBL!$A:$A,0))</f>
        <v>58.56986301369863</v>
      </c>
      <c r="AV462" s="554" t="str">
        <f>INDEX(CarrierDriverTBL!$K:$K,MATCH(Table1[[#This Row],[DriverID]],CarrierDriverTBL!$A:$A,0))</f>
        <v>209-322-5231</v>
      </c>
      <c r="AW462" s="554" t="str">
        <f>INDEX(CarrierDriverTBL!$M:$M,MATCH(Table1[[#This Row],[DriverID]],CarrierDriverTBL!$A:$A,0))</f>
        <v>572 Predersen RD</v>
      </c>
      <c r="AX462" s="554" t="str">
        <f>INDEX(CarrierDriverTBL!$N:$N,MATCH(Table1[[#This Row],[DriverID]],CarrierDriverTBL!$A:$A,0))</f>
        <v>Oakdale</v>
      </c>
      <c r="AY462" s="554" t="str">
        <f>INDEX(CarrierDriverTBL!$O:$O,MATCH(Table1[[#This Row],[DriverID]],CarrierDriverTBL!$A:$A,0))</f>
        <v>CA</v>
      </c>
      <c r="AZ462" s="554">
        <f>INDEX(CarrierDriverTBL!$P:$P,MATCH(Table1[[#This Row],[DriverID]],CarrierDriverTBL!$A:$A,0))</f>
        <v>95361</v>
      </c>
      <c r="BA462" s="554" t="str">
        <f>INDEX(CarrierDriverTBL!$Q:$Q,MATCH(Table1[[#This Row],[DriverID]],CarrierDriverTBL!$A:$A,0))</f>
        <v>US</v>
      </c>
      <c r="BB462" s="554" t="str">
        <f>INDEX(CarrierDriverTBL!$R:$R,MATCH(Table1[[#This Row],[DriverID]],CarrierDriverTBL!$A:$A,0))</f>
        <v>Miguelmartin52@yahoo.com</v>
      </c>
      <c r="BC462" s="556">
        <f>INDEX(CarrierDriverTBL!$AB:$AB,MATCH(Table1[[#This Row],[DriverID]],CarrierDriverTBL!$A:$A,0))</f>
        <v>42334</v>
      </c>
      <c r="BD462" s="555" t="str">
        <f ca="1">INDEX(CarrierDriverTBL!$AD:$AD,MATCH(LoadMaster!$AN:$AN,CarrierDriverTBL!$A:$A,0))</f>
        <v>MISSING</v>
      </c>
      <c r="BE462" s="555">
        <f>INDEX(CarrierDriverTBL!$AE:$AE,MATCH(Table1[DriverID],CarrierDriverTBL!$A:$A,0))</f>
        <v>913971</v>
      </c>
      <c r="BF462" s="554">
        <f>INDEX(CarrierDriverTBL!$AF:$AF,MATCH(Table1[DriverID],CarrierDriverTBL!$A:$A,0))</f>
        <v>2627544</v>
      </c>
      <c r="BG462" s="236">
        <f>INDEX(CarrierDriverTBL!$AG:$AG,MATCH(Table1[DriverID],CarrierDriverTBL!$A:$A,0))</f>
        <v>466133</v>
      </c>
      <c r="BH462" s="554" t="str">
        <f>INDEX(CarrierDriverTBL!$AH:$AH,MATCH(Table1[DriverID],CarrierDriverTBL!$A:$A,0))</f>
        <v>GM Lawrence Ins</v>
      </c>
      <c r="BI462" s="554" t="str">
        <f>INDEX(CarrierDriverTBL!$AI:$AI,MATCH(Table1[DriverID],CarrierDriverTBL!$A:$A,0))</f>
        <v>DSK2842P160210</v>
      </c>
      <c r="BJ462" s="556">
        <f>INDEX(CarrierDriverTBL!$AJ:$AJ,MATCH(Table1[[#This Row],[DriverID]],CarrierDriverTBL!$A:$A,0))</f>
        <v>42778</v>
      </c>
      <c r="BK462" s="554">
        <f t="shared" si="195"/>
        <v>257</v>
      </c>
      <c r="BL462" s="558">
        <v>150</v>
      </c>
      <c r="BM462" s="554">
        <v>182</v>
      </c>
      <c r="BN462" s="558">
        <f t="shared" si="212"/>
        <v>0.82417582417582413</v>
      </c>
      <c r="BO462" s="241">
        <f>1*Table1[[#This Row],[ChargeBroker]]</f>
        <v>150</v>
      </c>
      <c r="BP462" s="558">
        <f t="shared" si="213"/>
        <v>0.82417582417582413</v>
      </c>
      <c r="BQ462" s="558">
        <v>2.75</v>
      </c>
      <c r="BR462" s="559">
        <f t="shared" si="214"/>
        <v>0.14166666666666669</v>
      </c>
      <c r="BS462" s="558">
        <f t="shared" si="196"/>
        <v>0.68250915750915742</v>
      </c>
      <c r="BT462" s="558">
        <f t="shared" si="197"/>
        <v>25.783333333333339</v>
      </c>
      <c r="BU462" s="236" t="str">
        <f t="shared" si="198"/>
        <v>Knight Logistics Llc</v>
      </c>
      <c r="BV462" s="554"/>
      <c r="BW462" s="236" t="str">
        <f>Table1[[#This Row],[BrokerAddress]]</f>
        <v>20002 N. 19Th Ave.</v>
      </c>
      <c r="BX462" s="236" t="str">
        <f t="shared" si="199"/>
        <v>Phoenix</v>
      </c>
      <c r="BY462" s="269" t="str">
        <f t="shared" si="200"/>
        <v>Az</v>
      </c>
      <c r="BZ462" s="236">
        <f t="shared" si="201"/>
        <v>85027</v>
      </c>
      <c r="CA462" s="236" t="str">
        <f t="shared" si="202"/>
        <v>US</v>
      </c>
      <c r="CB462" s="15" t="s">
        <v>131</v>
      </c>
      <c r="CC462" s="62"/>
      <c r="CD462" s="15" t="s">
        <v>132</v>
      </c>
      <c r="CE462" s="64">
        <v>0</v>
      </c>
      <c r="CF462" s="4">
        <v>0</v>
      </c>
      <c r="CG462" s="132">
        <f t="shared" si="203"/>
        <v>0</v>
      </c>
      <c r="CH462" s="4" t="s">
        <v>132</v>
      </c>
      <c r="CI462" s="5">
        <v>0</v>
      </c>
      <c r="CJ462" s="4">
        <v>0</v>
      </c>
      <c r="CK462" s="132">
        <f t="shared" si="204"/>
        <v>0</v>
      </c>
      <c r="CL462" s="4" t="s">
        <v>132</v>
      </c>
      <c r="CM462" s="5">
        <v>0</v>
      </c>
      <c r="CN462" s="4">
        <v>0</v>
      </c>
      <c r="CO462" s="132">
        <f t="shared" si="205"/>
        <v>0</v>
      </c>
      <c r="CP462" s="4" t="s">
        <v>132</v>
      </c>
      <c r="CQ462" s="5">
        <v>0</v>
      </c>
      <c r="CR462" s="4">
        <v>0</v>
      </c>
      <c r="CS462" s="132">
        <f t="shared" si="206"/>
        <v>0</v>
      </c>
      <c r="CT462" s="132">
        <f t="shared" si="207"/>
        <v>0</v>
      </c>
      <c r="CU462" s="238">
        <f t="shared" si="208"/>
        <v>150</v>
      </c>
      <c r="CV462" s="239">
        <f t="shared" si="191"/>
        <v>0</v>
      </c>
      <c r="CW462" s="240">
        <f>(BO462+CV462)-Table1[[#This Row],[TcheckPrePaid]]</f>
        <v>150</v>
      </c>
      <c r="CX462" s="79">
        <f>IF(ISBLANK(E462),"AddQuickPay",IF(E462=2,CU462*0.98,IF(E462=2.4,CU462*0.976,IF(E462=3,CU462*0.97,IF(E462=5,CU462*0.95,IF(E462=1.5,CU462*0.985,IF(E462=2.5,CU462*0.975,IF(E462=1.3,CU462*0.987,IF(E462=1,CU462*0.99,IF(E462=4,CU462*0.96,CU462*1))))))))))-Table1[[#This Row],[ComCheck+QuickPayFee]]</f>
        <v>145.5</v>
      </c>
      <c r="CY462" s="237">
        <f t="shared" si="209"/>
        <v>0</v>
      </c>
      <c r="CZ462" s="237">
        <f t="shared" si="210"/>
        <v>4.5</v>
      </c>
      <c r="DA462" s="263">
        <f>Table1[[#This Row],[OriginalDispatch]]-Table1[[#This Row],[QuickPayCharge]]</f>
        <v>-4.5</v>
      </c>
      <c r="DB462" s="5">
        <v>0</v>
      </c>
      <c r="DC462" s="237" t="s">
        <v>133</v>
      </c>
      <c r="DD462" s="549">
        <f t="shared" si="211"/>
        <v>42524</v>
      </c>
      <c r="DE462" s="554">
        <f>MONTH(Table1[[#This Row],[Weekending]])</f>
        <v>6</v>
      </c>
      <c r="DF462" s="554">
        <f>YEAR(Table1[[#This Row],[Weekending]])</f>
        <v>2016</v>
      </c>
      <c r="DG462" s="235" t="s">
        <v>3018</v>
      </c>
    </row>
    <row r="463" spans="1:111">
      <c r="A463" s="548" t="str">
        <f t="shared" si="193"/>
        <v>29101019</v>
      </c>
      <c r="B463" s="549">
        <v>42527</v>
      </c>
      <c r="C463" s="550">
        <v>202881029</v>
      </c>
      <c r="D463" s="548" t="s">
        <v>111</v>
      </c>
      <c r="E463" s="550">
        <v>2</v>
      </c>
      <c r="F463" s="551" t="str">
        <f>INDEX(BrokerTBL!$B:$B,MATCH(D463,BrokerTBL!$A:$A,0))</f>
        <v>P.O. Box 3474</v>
      </c>
      <c r="G463" s="550" t="str">
        <f>INDEX(BrokerTBL!$C:$C,MATCH(D463,BrokerTBL!$A:$A,0))</f>
        <v>Chicago</v>
      </c>
      <c r="H463" s="235" t="str">
        <f>INDEX(BrokerTBL!$D:$D,MATCH(D463,BrokerTBL!$A:$A,0))</f>
        <v>Il</v>
      </c>
      <c r="I463" s="235" t="str">
        <f>INDEX(BrokerTBL!$E:$E,MATCH(D463,BrokerTBL!$A:$A,0))</f>
        <v>US</v>
      </c>
      <c r="J463" s="235">
        <f>INDEX(BrokerTBL!$F:$F,MATCH(D463,BrokerTBL!$A:$A,0))</f>
        <v>60654</v>
      </c>
      <c r="K463" s="548" t="s">
        <v>3019</v>
      </c>
      <c r="L463" s="552">
        <v>1004810</v>
      </c>
      <c r="M463" s="549">
        <v>42521</v>
      </c>
      <c r="N463" s="550" t="s">
        <v>3020</v>
      </c>
      <c r="O463" s="550" t="s">
        <v>3021</v>
      </c>
      <c r="P463" s="548" t="s">
        <v>2368</v>
      </c>
      <c r="Q463" s="548" t="s">
        <v>2206</v>
      </c>
      <c r="R463" s="548" t="s">
        <v>3022</v>
      </c>
      <c r="S463" s="548" t="s">
        <v>2207</v>
      </c>
      <c r="T463" s="548" t="s">
        <v>123</v>
      </c>
      <c r="U463" s="548" t="s">
        <v>120</v>
      </c>
      <c r="V463" s="548">
        <v>53</v>
      </c>
      <c r="W463" s="548" t="s">
        <v>3023</v>
      </c>
      <c r="X463" s="553">
        <v>20011</v>
      </c>
      <c r="Y463" s="550" t="s">
        <v>3024</v>
      </c>
      <c r="Z463" s="548">
        <v>12</v>
      </c>
      <c r="AA463" s="548" t="s">
        <v>123</v>
      </c>
      <c r="AB463" s="548" t="s">
        <v>123</v>
      </c>
      <c r="AC463" s="548" t="s">
        <v>3025</v>
      </c>
      <c r="AD463" s="552" t="s">
        <v>3026</v>
      </c>
      <c r="AE463" s="549">
        <v>42522</v>
      </c>
      <c r="AF463" s="549" t="s">
        <v>2060</v>
      </c>
      <c r="AG463" s="548" t="s">
        <v>3027</v>
      </c>
      <c r="AH463" s="548" t="s">
        <v>2281</v>
      </c>
      <c r="AI463" s="548" t="s">
        <v>2233</v>
      </c>
      <c r="AJ463" s="548">
        <v>89423</v>
      </c>
      <c r="AK463" s="548" t="s">
        <v>2207</v>
      </c>
      <c r="AL463" s="548" t="s">
        <v>123</v>
      </c>
      <c r="AM463" s="554" t="str">
        <f>INDEX(CarrierDriverTBL!$B:$B,MATCH(Table1[[#This Row],[DriverID]],CarrierDriverTBL!$A:$A,0))</f>
        <v>UBTrucking</v>
      </c>
      <c r="AN463" s="10" t="s">
        <v>1409</v>
      </c>
      <c r="AO463" s="555" t="str">
        <f>INDEX(CarrierDriverTBL!$C:$C,MATCH(Table1[[#This Row],[DriverID]],CarrierDriverTBL!$A:$A,0))</f>
        <v>Miguel Jaime</v>
      </c>
      <c r="AP463" s="555" t="str">
        <f>INDEX(CarrierDriverTBL!$D:$D,MATCH(Table1[[#This Row],[DriverID]],CarrierDriverTBL!$A:$A,0))</f>
        <v>Martin Del Campo Velarca</v>
      </c>
      <c r="AQ463" s="555" t="str">
        <f>INDEX(CarrierDriverTBL!$X:$X,MATCH(Table1[[#This Row],[DriverID]],CarrierDriverTBL!$A:$A,0))</f>
        <v>D5179619</v>
      </c>
      <c r="AR463" s="556">
        <f>INDEX(CarrierDriverTBL!$Y:$Y,MATCH(Table1[[#This Row],[DriverID]],CarrierDriverTBL!$A:$A,0))</f>
        <v>43843</v>
      </c>
      <c r="AS463" s="554" t="str">
        <f t="shared" si="194"/>
        <v>GOOD</v>
      </c>
      <c r="AT463" s="556">
        <f>INDEX(CarrierDriverTBL!$E:$E,MATCH(Table1[[#This Row],[DriverID]],CarrierDriverTBL!$A:$A,0))</f>
        <v>21198</v>
      </c>
      <c r="AU463" s="557">
        <f ca="1">INDEX(CarrierDriverTBL!$F:$F,MATCH(Table1[[#This Row],[DriverID]],CarrierDriverTBL!$A:$A,0))</f>
        <v>58.56986301369863</v>
      </c>
      <c r="AV463" s="554" t="str">
        <f>INDEX(CarrierDriverTBL!$K:$K,MATCH(Table1[[#This Row],[DriverID]],CarrierDriverTBL!$A:$A,0))</f>
        <v>209-322-5231</v>
      </c>
      <c r="AW463" s="554" t="str">
        <f>INDEX(CarrierDriverTBL!$M:$M,MATCH(Table1[[#This Row],[DriverID]],CarrierDriverTBL!$A:$A,0))</f>
        <v>572 Predersen RD</v>
      </c>
      <c r="AX463" s="554" t="str">
        <f>INDEX(CarrierDriverTBL!$N:$N,MATCH(Table1[[#This Row],[DriverID]],CarrierDriverTBL!$A:$A,0))</f>
        <v>Oakdale</v>
      </c>
      <c r="AY463" s="554" t="str">
        <f>INDEX(CarrierDriverTBL!$O:$O,MATCH(Table1[[#This Row],[DriverID]],CarrierDriverTBL!$A:$A,0))</f>
        <v>CA</v>
      </c>
      <c r="AZ463" s="554">
        <f>INDEX(CarrierDriverTBL!$P:$P,MATCH(Table1[[#This Row],[DriverID]],CarrierDriverTBL!$A:$A,0))</f>
        <v>95361</v>
      </c>
      <c r="BA463" s="554" t="str">
        <f>INDEX(CarrierDriverTBL!$Q:$Q,MATCH(Table1[[#This Row],[DriverID]],CarrierDriverTBL!$A:$A,0))</f>
        <v>US</v>
      </c>
      <c r="BB463" s="554" t="str">
        <f>INDEX(CarrierDriverTBL!$R:$R,MATCH(Table1[[#This Row],[DriverID]],CarrierDriverTBL!$A:$A,0))</f>
        <v>Miguelmartin52@yahoo.com</v>
      </c>
      <c r="BC463" s="556">
        <f>INDEX(CarrierDriverTBL!$AB:$AB,MATCH(Table1[[#This Row],[DriverID]],CarrierDriverTBL!$A:$A,0))</f>
        <v>42334</v>
      </c>
      <c r="BD463" s="555" t="str">
        <f ca="1">INDEX(CarrierDriverTBL!$AD:$AD,MATCH(LoadMaster!$AN:$AN,CarrierDriverTBL!$A:$A,0))</f>
        <v>MISSING</v>
      </c>
      <c r="BE463" s="555">
        <f>INDEX(CarrierDriverTBL!$AE:$AE,MATCH(Table1[DriverID],CarrierDriverTBL!$A:$A,0))</f>
        <v>913971</v>
      </c>
      <c r="BF463" s="554">
        <f>INDEX(CarrierDriverTBL!$AF:$AF,MATCH(Table1[DriverID],CarrierDriverTBL!$A:$A,0))</f>
        <v>2627544</v>
      </c>
      <c r="BG463" s="236">
        <f>INDEX(CarrierDriverTBL!$AG:$AG,MATCH(Table1[DriverID],CarrierDriverTBL!$A:$A,0))</f>
        <v>466133</v>
      </c>
      <c r="BH463" s="554" t="str">
        <f>INDEX(CarrierDriverTBL!$AH:$AH,MATCH(Table1[DriverID],CarrierDriverTBL!$A:$A,0))</f>
        <v>GM Lawrence Ins</v>
      </c>
      <c r="BI463" s="554" t="str">
        <f>INDEX(CarrierDriverTBL!$AI:$AI,MATCH(Table1[DriverID],CarrierDriverTBL!$A:$A,0))</f>
        <v>DSK2842P160210</v>
      </c>
      <c r="BJ463" s="556">
        <f>INDEX(CarrierDriverTBL!$AJ:$AJ,MATCH(Table1[[#This Row],[DriverID]],CarrierDriverTBL!$A:$A,0))</f>
        <v>42778</v>
      </c>
      <c r="BK463" s="554">
        <f t="shared" si="195"/>
        <v>257</v>
      </c>
      <c r="BL463" s="558">
        <v>500</v>
      </c>
      <c r="BM463" s="554">
        <v>133.5</v>
      </c>
      <c r="BN463" s="558">
        <f t="shared" si="212"/>
        <v>3.7453183520599249</v>
      </c>
      <c r="BO463" s="241">
        <f>0.93*Table1[[#This Row],[ChargeBroker]]</f>
        <v>465</v>
      </c>
      <c r="BP463" s="558">
        <f t="shared" si="213"/>
        <v>3.4831460674157304</v>
      </c>
      <c r="BQ463" s="558">
        <v>2.75</v>
      </c>
      <c r="BR463" s="559">
        <f t="shared" si="214"/>
        <v>0.14166666666666669</v>
      </c>
      <c r="BS463" s="558">
        <f t="shared" si="196"/>
        <v>3.3414794007490638</v>
      </c>
      <c r="BT463" s="558">
        <f t="shared" si="197"/>
        <v>18.912500000000005</v>
      </c>
      <c r="BU463" s="236" t="str">
        <f t="shared" si="198"/>
        <v>Ch Robinson</v>
      </c>
      <c r="BV463" s="554"/>
      <c r="BW463" s="236" t="str">
        <f>Table1[[#This Row],[BrokerAddress]]</f>
        <v>P.O. Box 3474</v>
      </c>
      <c r="BX463" s="236" t="str">
        <f t="shared" si="199"/>
        <v>Chicago</v>
      </c>
      <c r="BY463" s="269" t="str">
        <f t="shared" si="200"/>
        <v>Il</v>
      </c>
      <c r="BZ463" s="236">
        <f t="shared" si="201"/>
        <v>60654</v>
      </c>
      <c r="CA463" s="236" t="str">
        <f t="shared" si="202"/>
        <v>US</v>
      </c>
      <c r="CB463" s="15" t="s">
        <v>131</v>
      </c>
      <c r="CC463" s="561"/>
      <c r="CD463" s="15" t="s">
        <v>132</v>
      </c>
      <c r="CE463" s="64">
        <v>0</v>
      </c>
      <c r="CF463" s="4">
        <v>0</v>
      </c>
      <c r="CG463" s="132">
        <f t="shared" si="203"/>
        <v>0</v>
      </c>
      <c r="CH463" s="4" t="s">
        <v>132</v>
      </c>
      <c r="CI463" s="5">
        <v>0</v>
      </c>
      <c r="CJ463" s="4">
        <v>0</v>
      </c>
      <c r="CK463" s="132">
        <f t="shared" si="204"/>
        <v>0</v>
      </c>
      <c r="CL463" s="4" t="s">
        <v>132</v>
      </c>
      <c r="CM463" s="5">
        <v>0</v>
      </c>
      <c r="CN463" s="4">
        <v>0</v>
      </c>
      <c r="CO463" s="132">
        <f t="shared" si="205"/>
        <v>0</v>
      </c>
      <c r="CP463" s="4" t="s">
        <v>132</v>
      </c>
      <c r="CQ463" s="5">
        <v>0</v>
      </c>
      <c r="CR463" s="4">
        <v>0</v>
      </c>
      <c r="CS463" s="132">
        <f t="shared" si="206"/>
        <v>0</v>
      </c>
      <c r="CT463" s="132">
        <f t="shared" si="207"/>
        <v>0</v>
      </c>
      <c r="CU463" s="238">
        <f t="shared" si="208"/>
        <v>500</v>
      </c>
      <c r="CV463" s="239">
        <f t="shared" si="191"/>
        <v>0</v>
      </c>
      <c r="CW463" s="240">
        <f>(BO463+CV463)-Table1[[#This Row],[TcheckPrePaid]]</f>
        <v>465</v>
      </c>
      <c r="CX463" s="79">
        <f>IF(ISBLANK(E463),"AddQuickPay",IF(E463=2,CU463*0.98,IF(E463=2.4,CU463*0.976,IF(E463=3,CU463*0.97,IF(E463=5,CU463*0.95,IF(E463=1.5,CU463*0.985,IF(E463=2.5,CU463*0.975,IF(E463=1.3,CU463*0.987,IF(E463=1,CU463*0.99,IF(E463=4,CU463*0.96,CU463*1))))))))))-Table1[[#This Row],[ComCheck+QuickPayFee]]</f>
        <v>490</v>
      </c>
      <c r="CY463" s="237">
        <f t="shared" si="209"/>
        <v>35</v>
      </c>
      <c r="CZ463" s="237">
        <f t="shared" si="210"/>
        <v>10</v>
      </c>
      <c r="DA463" s="263">
        <f>Table1[[#This Row],[OriginalDispatch]]-Table1[[#This Row],[QuickPayCharge]]</f>
        <v>25</v>
      </c>
      <c r="DB463" s="5">
        <v>0</v>
      </c>
      <c r="DC463" s="237" t="s">
        <v>133</v>
      </c>
      <c r="DD463" s="549">
        <f t="shared" si="211"/>
        <v>42524</v>
      </c>
      <c r="DE463" s="554">
        <f>MONTH(Table1[[#This Row],[Weekending]])</f>
        <v>6</v>
      </c>
      <c r="DF463" s="554">
        <f>YEAR(Table1[[#This Row],[Weekending]])</f>
        <v>2016</v>
      </c>
      <c r="DG463" s="235"/>
    </row>
    <row r="464" spans="1:111">
      <c r="A464" s="548" t="str">
        <f t="shared" si="193"/>
        <v>34ngwn49</v>
      </c>
      <c r="B464" s="549">
        <v>42522</v>
      </c>
      <c r="C464" s="550">
        <v>1073534</v>
      </c>
      <c r="D464" s="548" t="s">
        <v>3028</v>
      </c>
      <c r="E464" s="550">
        <v>0</v>
      </c>
      <c r="F464" s="551" t="str">
        <f>INDEX(BrokerTBL!$B:$B,MATCH(D464,BrokerTBL!$A:$A,0))</f>
        <v>1060 La Avenida St.</v>
      </c>
      <c r="G464" s="550" t="str">
        <f>INDEX(BrokerTBL!$C:$C,MATCH(D464,BrokerTBL!$A:$A,0))</f>
        <v>Mountain View</v>
      </c>
      <c r="H464" s="235" t="str">
        <f>INDEX(BrokerTBL!$D:$D,MATCH(D464,BrokerTBL!$A:$A,0))</f>
        <v>CA</v>
      </c>
      <c r="I464" s="235" t="str">
        <f>INDEX(BrokerTBL!$E:$E,MATCH(D464,BrokerTBL!$A:$A,0))</f>
        <v>US</v>
      </c>
      <c r="J464" s="235">
        <f>INDEX(BrokerTBL!$F:$F,MATCH(D464,BrokerTBL!$A:$A,0))</f>
        <v>94043</v>
      </c>
      <c r="K464" s="548" t="s">
        <v>3029</v>
      </c>
      <c r="L464" s="552" t="s">
        <v>1309</v>
      </c>
      <c r="M464" s="549">
        <v>42522</v>
      </c>
      <c r="N464" s="550" t="s">
        <v>3030</v>
      </c>
      <c r="O464" s="550" t="s">
        <v>3031</v>
      </c>
      <c r="P464" s="548" t="s">
        <v>2544</v>
      </c>
      <c r="Q464" s="548" t="s">
        <v>2206</v>
      </c>
      <c r="R464" s="548">
        <v>94612</v>
      </c>
      <c r="S464" s="548" t="s">
        <v>2207</v>
      </c>
      <c r="T464" s="548" t="s">
        <v>3032</v>
      </c>
      <c r="U464" s="548" t="s">
        <v>120</v>
      </c>
      <c r="V464" s="548">
        <v>53</v>
      </c>
      <c r="W464" s="548" t="s">
        <v>3033</v>
      </c>
      <c r="X464" s="553">
        <v>45000</v>
      </c>
      <c r="Y464" s="550" t="s">
        <v>24</v>
      </c>
      <c r="Z464" s="548">
        <v>20</v>
      </c>
      <c r="AA464" s="548" t="s">
        <v>123</v>
      </c>
      <c r="AB464" s="548" t="s">
        <v>123</v>
      </c>
      <c r="AC464" s="548" t="s">
        <v>579</v>
      </c>
      <c r="AD464" s="552" t="s">
        <v>1205</v>
      </c>
      <c r="AE464" s="549">
        <v>42523</v>
      </c>
      <c r="AF464" s="549" t="s">
        <v>3034</v>
      </c>
      <c r="AG464" s="548" t="s">
        <v>1919</v>
      </c>
      <c r="AH464" s="548" t="s">
        <v>3035</v>
      </c>
      <c r="AI464" s="548" t="s">
        <v>2233</v>
      </c>
      <c r="AJ464" s="548">
        <v>89434</v>
      </c>
      <c r="AK464" s="548" t="s">
        <v>2207</v>
      </c>
      <c r="AL464" s="548" t="s">
        <v>3036</v>
      </c>
      <c r="AM464" s="554" t="str">
        <f>INDEX(CarrierDriverTBL!$B:$B,MATCH(Table1[[#This Row],[DriverID]],CarrierDriverTBL!$A:$A,0))</f>
        <v>UBTrucking</v>
      </c>
      <c r="AN464" s="10" t="s">
        <v>192</v>
      </c>
      <c r="AO464" s="555" t="str">
        <f>INDEX(CarrierDriverTBL!$C:$C,MATCH(Table1[[#This Row],[DriverID]],CarrierDriverTBL!$A:$A,0))</f>
        <v>Albel</v>
      </c>
      <c r="AP464" s="555" t="str">
        <f>INDEX(CarrierDriverTBL!$D:$D,MATCH(Table1[[#This Row],[DriverID]],CarrierDriverTBL!$A:$A,0))</f>
        <v>Chahil</v>
      </c>
      <c r="AQ464" s="555" t="str">
        <f>INDEX(CarrierDriverTBL!$X:$X,MATCH(Table1[[#This Row],[DriverID]],CarrierDriverTBL!$A:$A,0))</f>
        <v>A8390649</v>
      </c>
      <c r="AR464" s="556">
        <f>INDEX(CarrierDriverTBL!$Y:$Y,MATCH(Table1[[#This Row],[DriverID]],CarrierDriverTBL!$A:$A,0))</f>
        <v>42402</v>
      </c>
      <c r="AS464" s="554" t="str">
        <f t="shared" si="194"/>
        <v>EXPIRED</v>
      </c>
      <c r="AT464" s="556">
        <f>INDEX(CarrierDriverTBL!$E:$E,MATCH(Table1[[#This Row],[DriverID]],CarrierDriverTBL!$A:$A,0))</f>
        <v>22314</v>
      </c>
      <c r="AU464" s="557">
        <f ca="1">INDEX(CarrierDriverTBL!$F:$F,MATCH(Table1[[#This Row],[DriverID]],CarrierDriverTBL!$A:$A,0))</f>
        <v>55.512328767123286</v>
      </c>
      <c r="AV464" s="554" t="str">
        <f>INDEX(CarrierDriverTBL!$K:$K,MATCH(Table1[[#This Row],[DriverID]],CarrierDriverTBL!$A:$A,0))</f>
        <v>510-773-9450</v>
      </c>
      <c r="AW464" s="554" t="str">
        <f>INDEX(CarrierDriverTBL!$M:$M,MATCH(Table1[[#This Row],[DriverID]],CarrierDriverTBL!$A:$A,0))</f>
        <v>3124 Cynthia CT</v>
      </c>
      <c r="AX464" s="554" t="str">
        <f>INDEX(CarrierDriverTBL!$N:$N,MATCH(Table1[[#This Row],[DriverID]],CarrierDriverTBL!$A:$A,0))</f>
        <v>Tracy</v>
      </c>
      <c r="AY464" s="554" t="str">
        <f>INDEX(CarrierDriverTBL!$O:$O,MATCH(Table1[[#This Row],[DriverID]],CarrierDriverTBL!$A:$A,0))</f>
        <v>CA</v>
      </c>
      <c r="AZ464" s="554">
        <f>INDEX(CarrierDriverTBL!$P:$P,MATCH(Table1[[#This Row],[DriverID]],CarrierDriverTBL!$A:$A,0))</f>
        <v>95377</v>
      </c>
      <c r="BA464" s="554" t="str">
        <f>INDEX(CarrierDriverTBL!$Q:$Q,MATCH(Table1[[#This Row],[DriverID]],CarrierDriverTBL!$A:$A,0))</f>
        <v>US</v>
      </c>
      <c r="BB464" s="554" t="str">
        <f>INDEX(CarrierDriverTBL!$R:$R,MATCH(Table1[[#This Row],[DriverID]],CarrierDriverTBL!$A:$A,0))</f>
        <v>ubgollc@gmail.com</v>
      </c>
      <c r="BC464" s="556">
        <f>INDEX(CarrierDriverTBL!$AB:$AB,MATCH(Table1[[#This Row],[DriverID]],CarrierDriverTBL!$A:$A,0))</f>
        <v>42167</v>
      </c>
      <c r="BD464" s="555" t="str">
        <f ca="1">INDEX(CarrierDriverTBL!$AD:$AD,MATCH(LoadMaster!$AN:$AN,CarrierDriverTBL!$A:$A,0))</f>
        <v>MISSING</v>
      </c>
      <c r="BE464" s="555">
        <f>INDEX(CarrierDriverTBL!$AE:$AE,MATCH(Table1[DriverID],CarrierDriverTBL!$A:$A,0))</f>
        <v>913971</v>
      </c>
      <c r="BF464" s="554">
        <f>INDEX(CarrierDriverTBL!$AF:$AF,MATCH(Table1[DriverID],CarrierDriverTBL!$A:$A,0))</f>
        <v>2627544</v>
      </c>
      <c r="BG464" s="236">
        <f>INDEX(CarrierDriverTBL!$AG:$AG,MATCH(Table1[DriverID],CarrierDriverTBL!$A:$A,0))</f>
        <v>466133</v>
      </c>
      <c r="BH464" s="554" t="str">
        <f>INDEX(CarrierDriverTBL!$AH:$AH,MATCH(Table1[DriverID],CarrierDriverTBL!$A:$A,0))</f>
        <v>GM Lawrence Ins</v>
      </c>
      <c r="BI464" s="554" t="str">
        <f>INDEX(CarrierDriverTBL!$AI:$AI,MATCH(Table1[DriverID],CarrierDriverTBL!$A:$A,0))</f>
        <v>DSK2842P160210</v>
      </c>
      <c r="BJ464" s="556">
        <f>INDEX(CarrierDriverTBL!$AJ:$AJ,MATCH(Table1[[#This Row],[DriverID]],CarrierDriverTBL!$A:$A,0))</f>
        <v>42778</v>
      </c>
      <c r="BK464" s="554">
        <f t="shared" si="195"/>
        <v>256</v>
      </c>
      <c r="BL464" s="558">
        <v>650</v>
      </c>
      <c r="BM464" s="554">
        <v>554.1</v>
      </c>
      <c r="BN464" s="558">
        <f t="shared" si="212"/>
        <v>1.173073452445407</v>
      </c>
      <c r="BO464" s="241">
        <f>0.93*Table1[[#This Row],[ChargeBroker]]</f>
        <v>604.5</v>
      </c>
      <c r="BP464" s="558">
        <f t="shared" si="213"/>
        <v>1.0909583107742284</v>
      </c>
      <c r="BQ464" s="558">
        <v>2.6</v>
      </c>
      <c r="BR464" s="559">
        <f t="shared" si="214"/>
        <v>0.1166666666666667</v>
      </c>
      <c r="BS464" s="558">
        <f t="shared" si="196"/>
        <v>0.97429164410756175</v>
      </c>
      <c r="BT464" s="558">
        <f t="shared" si="197"/>
        <v>64.645000000000024</v>
      </c>
      <c r="BU464" s="236" t="str">
        <f t="shared" si="198"/>
        <v>Cargo Chief</v>
      </c>
      <c r="BV464" s="554"/>
      <c r="BW464" s="236" t="str">
        <f>Table1[[#This Row],[BrokerAddress]]</f>
        <v>1060 La Avenida St.</v>
      </c>
      <c r="BX464" s="236" t="str">
        <f t="shared" si="199"/>
        <v>Mountain View</v>
      </c>
      <c r="BY464" s="269" t="str">
        <f t="shared" si="200"/>
        <v>CA</v>
      </c>
      <c r="BZ464" s="236">
        <f t="shared" si="201"/>
        <v>94043</v>
      </c>
      <c r="CA464" s="236" t="str">
        <f t="shared" si="202"/>
        <v>US</v>
      </c>
      <c r="CB464" s="15" t="s">
        <v>131</v>
      </c>
      <c r="CC464" s="62"/>
      <c r="CD464" s="15" t="s">
        <v>132</v>
      </c>
      <c r="CE464" s="64">
        <v>0</v>
      </c>
      <c r="CF464" s="4">
        <v>0</v>
      </c>
      <c r="CG464" s="132">
        <f t="shared" si="203"/>
        <v>0</v>
      </c>
      <c r="CH464" s="4" t="s">
        <v>132</v>
      </c>
      <c r="CI464" s="5">
        <v>0</v>
      </c>
      <c r="CJ464" s="4">
        <v>0</v>
      </c>
      <c r="CK464" s="132">
        <f t="shared" si="204"/>
        <v>0</v>
      </c>
      <c r="CL464" s="4" t="s">
        <v>132</v>
      </c>
      <c r="CM464" s="5">
        <v>0</v>
      </c>
      <c r="CN464" s="4">
        <v>0</v>
      </c>
      <c r="CO464" s="132">
        <f t="shared" si="205"/>
        <v>0</v>
      </c>
      <c r="CP464" s="4" t="s">
        <v>132</v>
      </c>
      <c r="CQ464" s="5">
        <v>0</v>
      </c>
      <c r="CR464" s="4">
        <v>0</v>
      </c>
      <c r="CS464" s="132">
        <f t="shared" si="206"/>
        <v>0</v>
      </c>
      <c r="CT464" s="132">
        <f t="shared" si="207"/>
        <v>0</v>
      </c>
      <c r="CU464" s="238">
        <f t="shared" si="208"/>
        <v>650</v>
      </c>
      <c r="CV464" s="239">
        <f t="shared" si="191"/>
        <v>0</v>
      </c>
      <c r="CW464" s="240">
        <f>(BO464+CV464)-Table1[[#This Row],[TcheckPrePaid]]</f>
        <v>604.5</v>
      </c>
      <c r="CX464" s="79">
        <f>IF(ISBLANK(E464),"AddQuickPay",IF(E464=2,CU464*0.98,IF(E464=2.4,CU464*0.976,IF(E464=3,CU464*0.97,IF(E464=5,CU464*0.95,IF(E464=1.5,CU464*0.985,IF(E464=2.5,CU464*0.975,IF(E464=1.3,CU464*0.987,IF(E464=1,CU464*0.99,IF(E464=4,CU464*0.96,CU464*1))))))))))-Table1[[#This Row],[ComCheck+QuickPayFee]]</f>
        <v>650</v>
      </c>
      <c r="CY464" s="237">
        <f t="shared" si="209"/>
        <v>45.5</v>
      </c>
      <c r="CZ464" s="237">
        <f t="shared" si="210"/>
        <v>0</v>
      </c>
      <c r="DA464" s="263">
        <f>Table1[[#This Row],[OriginalDispatch]]-Table1[[#This Row],[QuickPayCharge]]</f>
        <v>45.5</v>
      </c>
      <c r="DB464" s="5">
        <v>0</v>
      </c>
      <c r="DC464" s="237" t="s">
        <v>133</v>
      </c>
      <c r="DD464" s="549">
        <f t="shared" si="211"/>
        <v>42524</v>
      </c>
      <c r="DE464" s="554">
        <f>MONTH(Table1[[#This Row],[Weekending]])</f>
        <v>6</v>
      </c>
      <c r="DF464" s="554">
        <f>YEAR(Table1[[#This Row],[Weekending]])</f>
        <v>2016</v>
      </c>
      <c r="DG464" s="235"/>
    </row>
    <row r="465" spans="1:111">
      <c r="A465" s="548" t="str">
        <f t="shared" si="193"/>
        <v>13842919</v>
      </c>
      <c r="B465" s="549">
        <v>42522</v>
      </c>
      <c r="C465" s="550">
        <v>2049113</v>
      </c>
      <c r="D465" s="548" t="s">
        <v>2405</v>
      </c>
      <c r="E465" s="550">
        <v>3</v>
      </c>
      <c r="F465" s="551" t="str">
        <f>INDEX(BrokerTBL!$B:$B,MATCH(D465,BrokerTBL!$A:$A,0))</f>
        <v xml:space="preserve">303 E Wacker Dr. </v>
      </c>
      <c r="G465" s="550" t="str">
        <f>INDEX(BrokerTBL!$C:$C,MATCH(D465,BrokerTBL!$A:$A,0))</f>
        <v>Chicago</v>
      </c>
      <c r="H465" s="235" t="str">
        <f>INDEX(BrokerTBL!$D:$D,MATCH(D465,BrokerTBL!$A:$A,0))</f>
        <v>IL</v>
      </c>
      <c r="I465" s="235" t="str">
        <f>INDEX(BrokerTBL!$E:$E,MATCH(D465,BrokerTBL!$A:$A,0))</f>
        <v>US</v>
      </c>
      <c r="J465" s="235">
        <f>INDEX(BrokerTBL!$F:$F,MATCH(D465,BrokerTBL!$A:$A,0))</f>
        <v>60601</v>
      </c>
      <c r="K465" s="548" t="s">
        <v>3037</v>
      </c>
      <c r="L465" s="552">
        <v>202885884</v>
      </c>
      <c r="M465" s="549">
        <v>42522</v>
      </c>
      <c r="N465" s="550" t="s">
        <v>1378</v>
      </c>
      <c r="O465" s="550" t="s">
        <v>1379</v>
      </c>
      <c r="P465" s="548" t="s">
        <v>1380</v>
      </c>
      <c r="Q465" s="548" t="s">
        <v>2233</v>
      </c>
      <c r="R465" s="548">
        <v>89423</v>
      </c>
      <c r="S465" s="548" t="s">
        <v>2207</v>
      </c>
      <c r="T465" s="548" t="s">
        <v>123</v>
      </c>
      <c r="U465" s="548" t="s">
        <v>120</v>
      </c>
      <c r="V465" s="548">
        <v>53</v>
      </c>
      <c r="W465" s="548" t="s">
        <v>3038</v>
      </c>
      <c r="X465" s="553">
        <v>41358</v>
      </c>
      <c r="Y465" s="550" t="s">
        <v>123</v>
      </c>
      <c r="Z465" s="548" t="s">
        <v>123</v>
      </c>
      <c r="AA465" s="548" t="s">
        <v>123</v>
      </c>
      <c r="AB465" s="548" t="s">
        <v>123</v>
      </c>
      <c r="AC465" s="548" t="s">
        <v>3039</v>
      </c>
      <c r="AD465" s="552">
        <v>1021041629</v>
      </c>
      <c r="AE465" s="549">
        <v>42523</v>
      </c>
      <c r="AF465" s="104" t="s">
        <v>123</v>
      </c>
      <c r="AG465" s="548" t="s">
        <v>3040</v>
      </c>
      <c r="AH465" s="548" t="s">
        <v>3041</v>
      </c>
      <c r="AI465" s="548" t="s">
        <v>2233</v>
      </c>
      <c r="AJ465" s="548">
        <v>89074</v>
      </c>
      <c r="AK465" s="548" t="s">
        <v>2207</v>
      </c>
      <c r="AL465" s="548" t="s">
        <v>123</v>
      </c>
      <c r="AM465" s="554" t="str">
        <f>INDEX(CarrierDriverTBL!$B:$B,MATCH(Table1[[#This Row],[DriverID]],CarrierDriverTBL!$A:$A,0))</f>
        <v>UBTrucking</v>
      </c>
      <c r="AN465" s="10" t="s">
        <v>1409</v>
      </c>
      <c r="AO465" s="555" t="str">
        <f>INDEX(CarrierDriverTBL!$C:$C,MATCH(Table1[[#This Row],[DriverID]],CarrierDriverTBL!$A:$A,0))</f>
        <v>Miguel Jaime</v>
      </c>
      <c r="AP465" s="555" t="str">
        <f>INDEX(CarrierDriverTBL!$D:$D,MATCH(Table1[[#This Row],[DriverID]],CarrierDriverTBL!$A:$A,0))</f>
        <v>Martin Del Campo Velarca</v>
      </c>
      <c r="AQ465" s="555" t="str">
        <f>INDEX(CarrierDriverTBL!$X:$X,MATCH(Table1[[#This Row],[DriverID]],CarrierDriverTBL!$A:$A,0))</f>
        <v>D5179619</v>
      </c>
      <c r="AR465" s="556">
        <f>INDEX(CarrierDriverTBL!$Y:$Y,MATCH(Table1[[#This Row],[DriverID]],CarrierDriverTBL!$A:$A,0))</f>
        <v>43843</v>
      </c>
      <c r="AS465" s="554" t="str">
        <f t="shared" si="194"/>
        <v>GOOD</v>
      </c>
      <c r="AT465" s="556">
        <f>INDEX(CarrierDriverTBL!$E:$E,MATCH(Table1[[#This Row],[DriverID]],CarrierDriverTBL!$A:$A,0))</f>
        <v>21198</v>
      </c>
      <c r="AU465" s="557">
        <f ca="1">INDEX(CarrierDriverTBL!$F:$F,MATCH(Table1[[#This Row],[DriverID]],CarrierDriverTBL!$A:$A,0))</f>
        <v>58.56986301369863</v>
      </c>
      <c r="AV465" s="554" t="str">
        <f>INDEX(CarrierDriverTBL!$K:$K,MATCH(Table1[[#This Row],[DriverID]],CarrierDriverTBL!$A:$A,0))</f>
        <v>209-322-5231</v>
      </c>
      <c r="AW465" s="554" t="str">
        <f>INDEX(CarrierDriverTBL!$M:$M,MATCH(Table1[[#This Row],[DriverID]],CarrierDriverTBL!$A:$A,0))</f>
        <v>572 Predersen RD</v>
      </c>
      <c r="AX465" s="554" t="str">
        <f>INDEX(CarrierDriverTBL!$N:$N,MATCH(Table1[[#This Row],[DriverID]],CarrierDriverTBL!$A:$A,0))</f>
        <v>Oakdale</v>
      </c>
      <c r="AY465" s="554" t="str">
        <f>INDEX(CarrierDriverTBL!$O:$O,MATCH(Table1[[#This Row],[DriverID]],CarrierDriverTBL!$A:$A,0))</f>
        <v>CA</v>
      </c>
      <c r="AZ465" s="554">
        <f>INDEX(CarrierDriverTBL!$P:$P,MATCH(Table1[[#This Row],[DriverID]],CarrierDriverTBL!$A:$A,0))</f>
        <v>95361</v>
      </c>
      <c r="BA465" s="554" t="str">
        <f>INDEX(CarrierDriverTBL!$Q:$Q,MATCH(Table1[[#This Row],[DriverID]],CarrierDriverTBL!$A:$A,0))</f>
        <v>US</v>
      </c>
      <c r="BB465" s="554" t="str">
        <f>INDEX(CarrierDriverTBL!$R:$R,MATCH(Table1[[#This Row],[DriverID]],CarrierDriverTBL!$A:$A,0))</f>
        <v>Miguelmartin52@yahoo.com</v>
      </c>
      <c r="BC465" s="556">
        <f>INDEX(CarrierDriverTBL!$AB:$AB,MATCH(Table1[[#This Row],[DriverID]],CarrierDriverTBL!$A:$A,0))</f>
        <v>42334</v>
      </c>
      <c r="BD465" s="555" t="str">
        <f ca="1">INDEX(CarrierDriverTBL!$AD:$AD,MATCH(LoadMaster!$AN:$AN,CarrierDriverTBL!$A:$A,0))</f>
        <v>MISSING</v>
      </c>
      <c r="BE465" s="555">
        <f>INDEX(CarrierDriverTBL!$AE:$AE,MATCH(Table1[DriverID],CarrierDriverTBL!$A:$A,0))</f>
        <v>913971</v>
      </c>
      <c r="BF465" s="554">
        <f>INDEX(CarrierDriverTBL!$AF:$AF,MATCH(Table1[DriverID],CarrierDriverTBL!$A:$A,0))</f>
        <v>2627544</v>
      </c>
      <c r="BG465" s="236">
        <f>INDEX(CarrierDriverTBL!$AG:$AG,MATCH(Table1[DriverID],CarrierDriverTBL!$A:$A,0))</f>
        <v>466133</v>
      </c>
      <c r="BH465" s="554" t="str">
        <f>INDEX(CarrierDriverTBL!$AH:$AH,MATCH(Table1[DriverID],CarrierDriverTBL!$A:$A,0))</f>
        <v>GM Lawrence Ins</v>
      </c>
      <c r="BI465" s="554" t="str">
        <f>INDEX(CarrierDriverTBL!$AI:$AI,MATCH(Table1[DriverID],CarrierDriverTBL!$A:$A,0))</f>
        <v>DSK2842P160210</v>
      </c>
      <c r="BJ465" s="556">
        <f>INDEX(CarrierDriverTBL!$AJ:$AJ,MATCH(Table1[[#This Row],[DriverID]],CarrierDriverTBL!$A:$A,0))</f>
        <v>42778</v>
      </c>
      <c r="BK465" s="554">
        <f t="shared" si="195"/>
        <v>256</v>
      </c>
      <c r="BL465" s="558">
        <v>850</v>
      </c>
      <c r="BM465" s="554">
        <v>431.4</v>
      </c>
      <c r="BN465" s="558">
        <f t="shared" si="212"/>
        <v>1.9703291608715809</v>
      </c>
      <c r="BO465" s="241">
        <f>0.93*Table1[[#This Row],[ChargeBroker]]</f>
        <v>790.5</v>
      </c>
      <c r="BP465" s="558">
        <f t="shared" si="213"/>
        <v>1.8324061196105703</v>
      </c>
      <c r="BQ465" s="558">
        <v>2.75</v>
      </c>
      <c r="BR465" s="559">
        <f t="shared" si="214"/>
        <v>0.14166666666666669</v>
      </c>
      <c r="BS465" s="558">
        <f t="shared" si="196"/>
        <v>1.6907394529439037</v>
      </c>
      <c r="BT465" s="558">
        <f t="shared" si="197"/>
        <v>61.115000000000009</v>
      </c>
      <c r="BU465" s="236" t="str">
        <f t="shared" si="198"/>
        <v>XPOLogistics</v>
      </c>
      <c r="BV465" s="554"/>
      <c r="BW465" s="236" t="str">
        <f>Table1[[#This Row],[BrokerAddress]]</f>
        <v xml:space="preserve">303 E Wacker Dr. </v>
      </c>
      <c r="BX465" s="236" t="str">
        <f t="shared" si="199"/>
        <v>Chicago</v>
      </c>
      <c r="BY465" s="269" t="str">
        <f t="shared" si="200"/>
        <v>IL</v>
      </c>
      <c r="BZ465" s="236">
        <f t="shared" si="201"/>
        <v>60601</v>
      </c>
      <c r="CA465" s="236" t="str">
        <f t="shared" si="202"/>
        <v>US</v>
      </c>
      <c r="CB465" s="15" t="s">
        <v>131</v>
      </c>
      <c r="CC465" s="62"/>
      <c r="CD465" s="15" t="s">
        <v>132</v>
      </c>
      <c r="CE465" s="64">
        <v>0</v>
      </c>
      <c r="CF465" s="4">
        <v>0</v>
      </c>
      <c r="CG465" s="132">
        <f t="shared" si="203"/>
        <v>0</v>
      </c>
      <c r="CH465" s="4" t="s">
        <v>132</v>
      </c>
      <c r="CI465" s="5">
        <v>0</v>
      </c>
      <c r="CJ465" s="4">
        <v>0</v>
      </c>
      <c r="CK465" s="132">
        <f t="shared" si="204"/>
        <v>0</v>
      </c>
      <c r="CL465" s="4" t="s">
        <v>132</v>
      </c>
      <c r="CM465" s="5">
        <v>0</v>
      </c>
      <c r="CN465" s="4">
        <v>0</v>
      </c>
      <c r="CO465" s="132">
        <f t="shared" si="205"/>
        <v>0</v>
      </c>
      <c r="CP465" s="4" t="s">
        <v>132</v>
      </c>
      <c r="CQ465" s="5">
        <v>0</v>
      </c>
      <c r="CR465" s="4">
        <v>0</v>
      </c>
      <c r="CS465" s="132">
        <f t="shared" si="206"/>
        <v>0</v>
      </c>
      <c r="CT465" s="132">
        <f t="shared" si="207"/>
        <v>0</v>
      </c>
      <c r="CU465" s="238">
        <f t="shared" si="208"/>
        <v>850</v>
      </c>
      <c r="CV465" s="239">
        <f t="shared" si="191"/>
        <v>0</v>
      </c>
      <c r="CW465" s="240">
        <f>(BO465+CV465)-Table1[[#This Row],[TcheckPrePaid]]</f>
        <v>790.5</v>
      </c>
      <c r="CX465" s="79">
        <f>IF(ISBLANK(E465),"AddQuickPay",IF(E465=2,CU465*0.98,IF(E465=2.4,CU465*0.976,IF(E465=3,CU465*0.97,IF(E465=5,CU465*0.95,IF(E465=1.5,CU465*0.985,IF(E465=2.5,CU465*0.975,IF(E465=1.3,CU465*0.987,IF(E465=1,CU465*0.99,IF(E465=4,CU465*0.96,CU465*1))))))))))-Table1[[#This Row],[ComCheck+QuickPayFee]]</f>
        <v>824.5</v>
      </c>
      <c r="CY465" s="237">
        <f t="shared" si="209"/>
        <v>59.5</v>
      </c>
      <c r="CZ465" s="237">
        <f t="shared" si="210"/>
        <v>25.5</v>
      </c>
      <c r="DA465" s="263">
        <f>Table1[[#This Row],[OriginalDispatch]]-Table1[[#This Row],[QuickPayCharge]]</f>
        <v>34</v>
      </c>
      <c r="DB465" s="5">
        <v>0</v>
      </c>
      <c r="DC465" s="237" t="s">
        <v>133</v>
      </c>
      <c r="DD465" s="549">
        <f t="shared" si="211"/>
        <v>42524</v>
      </c>
      <c r="DE465" s="554">
        <f>MONTH(Table1[[#This Row],[Weekending]])</f>
        <v>6</v>
      </c>
      <c r="DF465" s="554">
        <f>YEAR(Table1[[#This Row],[Weekending]])</f>
        <v>2016</v>
      </c>
      <c r="DG465" s="235"/>
    </row>
    <row r="466" spans="1:111">
      <c r="A466" s="548" t="str">
        <f t="shared" si="193"/>
        <v>52wnwn49</v>
      </c>
      <c r="B466" s="549">
        <v>42522</v>
      </c>
      <c r="C466" s="550" t="s">
        <v>3042</v>
      </c>
      <c r="D466" s="548" t="s">
        <v>3043</v>
      </c>
      <c r="E466" s="550">
        <v>0</v>
      </c>
      <c r="F466" s="551" t="str">
        <f>INDEX(BrokerTBL!$B:$B,MATCH(D466,BrokerTBL!$A:$A,0))</f>
        <v>1848 N. WOODSON AVE.</v>
      </c>
      <c r="G466" s="550" t="str">
        <f>INDEX(BrokerTBL!$C:$C,MATCH(D466,BrokerTBL!$A:$A,0))</f>
        <v>Fresno</v>
      </c>
      <c r="H466" s="235" t="str">
        <f>INDEX(BrokerTBL!$D:$D,MATCH(D466,BrokerTBL!$A:$A,0))</f>
        <v>CA</v>
      </c>
      <c r="I466" s="235" t="str">
        <f>INDEX(BrokerTBL!$E:$E,MATCH(D466,BrokerTBL!$A:$A,0))</f>
        <v>US</v>
      </c>
      <c r="J466" s="235">
        <f>INDEX(BrokerTBL!$F:$F,MATCH(D466,BrokerTBL!$A:$A,0))</f>
        <v>93705</v>
      </c>
      <c r="K466" s="548" t="s">
        <v>3044</v>
      </c>
      <c r="L466" s="552" t="s">
        <v>1205</v>
      </c>
      <c r="M466" s="549">
        <v>42523</v>
      </c>
      <c r="N466" s="15" t="s">
        <v>123</v>
      </c>
      <c r="O466" s="550" t="s">
        <v>3045</v>
      </c>
      <c r="P466" s="548" t="s">
        <v>2616</v>
      </c>
      <c r="Q466" s="548" t="s">
        <v>2233</v>
      </c>
      <c r="R466" s="548">
        <v>89408</v>
      </c>
      <c r="S466" s="548" t="s">
        <v>2207</v>
      </c>
      <c r="T466" s="548" t="s">
        <v>3046</v>
      </c>
      <c r="U466" s="548" t="s">
        <v>120</v>
      </c>
      <c r="V466" s="548">
        <v>53</v>
      </c>
      <c r="W466" s="548" t="s">
        <v>3047</v>
      </c>
      <c r="X466" s="553">
        <v>43000</v>
      </c>
      <c r="Y466" s="550" t="s">
        <v>123</v>
      </c>
      <c r="Z466" s="548" t="s">
        <v>123</v>
      </c>
      <c r="AA466" s="548" t="s">
        <v>123</v>
      </c>
      <c r="AB466" s="548" t="s">
        <v>123</v>
      </c>
      <c r="AC466" s="548" t="s">
        <v>3044</v>
      </c>
      <c r="AD466" s="552" t="s">
        <v>1205</v>
      </c>
      <c r="AE466" s="549">
        <v>42523</v>
      </c>
      <c r="AF466" s="104" t="s">
        <v>123</v>
      </c>
      <c r="AG466" s="548" t="s">
        <v>3048</v>
      </c>
      <c r="AH466" s="548" t="s">
        <v>3049</v>
      </c>
      <c r="AI466" s="548" t="s">
        <v>2206</v>
      </c>
      <c r="AJ466" s="548">
        <v>93930</v>
      </c>
      <c r="AK466" s="548" t="s">
        <v>2207</v>
      </c>
      <c r="AL466" s="548" t="s">
        <v>123</v>
      </c>
      <c r="AM466" s="554" t="str">
        <f>INDEX(CarrierDriverTBL!$B:$B,MATCH(Table1[[#This Row],[DriverID]],CarrierDriverTBL!$A:$A,0))</f>
        <v>UBTrucking</v>
      </c>
      <c r="AN466" s="10" t="s">
        <v>192</v>
      </c>
      <c r="AO466" s="555" t="str">
        <f>INDEX(CarrierDriverTBL!$C:$C,MATCH(Table1[[#This Row],[DriverID]],CarrierDriverTBL!$A:$A,0))</f>
        <v>Albel</v>
      </c>
      <c r="AP466" s="555" t="str">
        <f>INDEX(CarrierDriverTBL!$D:$D,MATCH(Table1[[#This Row],[DriverID]],CarrierDriverTBL!$A:$A,0))</f>
        <v>Chahil</v>
      </c>
      <c r="AQ466" s="555" t="str">
        <f>INDEX(CarrierDriverTBL!$X:$X,MATCH(Table1[[#This Row],[DriverID]],CarrierDriverTBL!$A:$A,0))</f>
        <v>A8390649</v>
      </c>
      <c r="AR466" s="556">
        <f>INDEX(CarrierDriverTBL!$Y:$Y,MATCH(Table1[[#This Row],[DriverID]],CarrierDriverTBL!$A:$A,0))</f>
        <v>42402</v>
      </c>
      <c r="AS466" s="554" t="str">
        <f t="shared" si="194"/>
        <v>EXPIRED</v>
      </c>
      <c r="AT466" s="556">
        <f>INDEX(CarrierDriverTBL!$E:$E,MATCH(Table1[[#This Row],[DriverID]],CarrierDriverTBL!$A:$A,0))</f>
        <v>22314</v>
      </c>
      <c r="AU466" s="557">
        <f ca="1">INDEX(CarrierDriverTBL!$F:$F,MATCH(Table1[[#This Row],[DriverID]],CarrierDriverTBL!$A:$A,0))</f>
        <v>55.512328767123286</v>
      </c>
      <c r="AV466" s="554" t="str">
        <f>INDEX(CarrierDriverTBL!$K:$K,MATCH(Table1[[#This Row],[DriverID]],CarrierDriverTBL!$A:$A,0))</f>
        <v>510-773-9450</v>
      </c>
      <c r="AW466" s="554" t="str">
        <f>INDEX(CarrierDriverTBL!$M:$M,MATCH(Table1[[#This Row],[DriverID]],CarrierDriverTBL!$A:$A,0))</f>
        <v>3124 Cynthia CT</v>
      </c>
      <c r="AX466" s="554" t="str">
        <f>INDEX(CarrierDriverTBL!$N:$N,MATCH(Table1[[#This Row],[DriverID]],CarrierDriverTBL!$A:$A,0))</f>
        <v>Tracy</v>
      </c>
      <c r="AY466" s="554" t="str">
        <f>INDEX(CarrierDriverTBL!$O:$O,MATCH(Table1[[#This Row],[DriverID]],CarrierDriverTBL!$A:$A,0))</f>
        <v>CA</v>
      </c>
      <c r="AZ466" s="554">
        <f>INDEX(CarrierDriverTBL!$P:$P,MATCH(Table1[[#This Row],[DriverID]],CarrierDriverTBL!$A:$A,0))</f>
        <v>95377</v>
      </c>
      <c r="BA466" s="554" t="str">
        <f>INDEX(CarrierDriverTBL!$Q:$Q,MATCH(Table1[[#This Row],[DriverID]],CarrierDriverTBL!$A:$A,0))</f>
        <v>US</v>
      </c>
      <c r="BB466" s="554" t="str">
        <f>INDEX(CarrierDriverTBL!$R:$R,MATCH(Table1[[#This Row],[DriverID]],CarrierDriverTBL!$A:$A,0))</f>
        <v>ubgollc@gmail.com</v>
      </c>
      <c r="BC466" s="556">
        <f>INDEX(CarrierDriverTBL!$AB:$AB,MATCH(Table1[[#This Row],[DriverID]],CarrierDriverTBL!$A:$A,0))</f>
        <v>42167</v>
      </c>
      <c r="BD466" s="555" t="str">
        <f ca="1">INDEX(CarrierDriverTBL!$AD:$AD,MATCH(LoadMaster!$AN:$AN,CarrierDriverTBL!$A:$A,0))</f>
        <v>MISSING</v>
      </c>
      <c r="BE466" s="555">
        <f>INDEX(CarrierDriverTBL!$AE:$AE,MATCH(Table1[DriverID],CarrierDriverTBL!$A:$A,0))</f>
        <v>913971</v>
      </c>
      <c r="BF466" s="554">
        <f>INDEX(CarrierDriverTBL!$AF:$AF,MATCH(Table1[DriverID],CarrierDriverTBL!$A:$A,0))</f>
        <v>2627544</v>
      </c>
      <c r="BG466" s="236">
        <f>INDEX(CarrierDriverTBL!$AG:$AG,MATCH(Table1[DriverID],CarrierDriverTBL!$A:$A,0))</f>
        <v>466133</v>
      </c>
      <c r="BH466" s="554" t="str">
        <f>INDEX(CarrierDriverTBL!$AH:$AH,MATCH(Table1[DriverID],CarrierDriverTBL!$A:$A,0))</f>
        <v>GM Lawrence Ins</v>
      </c>
      <c r="BI466" s="554" t="str">
        <f>INDEX(CarrierDriverTBL!$AI:$AI,MATCH(Table1[DriverID],CarrierDriverTBL!$A:$A,0))</f>
        <v>DSK2842P160210</v>
      </c>
      <c r="BJ466" s="556">
        <f>INDEX(CarrierDriverTBL!$AJ:$AJ,MATCH(Table1[[#This Row],[DriverID]],CarrierDriverTBL!$A:$A,0))</f>
        <v>42778</v>
      </c>
      <c r="BK466" s="554">
        <f t="shared" si="195"/>
        <v>255</v>
      </c>
      <c r="BL466" s="558">
        <v>700</v>
      </c>
      <c r="BM466" s="554">
        <v>385.4</v>
      </c>
      <c r="BN466" s="558">
        <f t="shared" si="212"/>
        <v>1.816294758692268</v>
      </c>
      <c r="BO466" s="241">
        <f>0.93*Table1[[#This Row],[ChargeBroker]]</f>
        <v>651</v>
      </c>
      <c r="BP466" s="558">
        <f t="shared" si="213"/>
        <v>1.6891541255838092</v>
      </c>
      <c r="BQ466" s="558">
        <v>2.75</v>
      </c>
      <c r="BR466" s="559">
        <f t="shared" si="214"/>
        <v>0.14166666666666669</v>
      </c>
      <c r="BS466" s="558">
        <f t="shared" si="196"/>
        <v>1.5474874589171426</v>
      </c>
      <c r="BT466" s="558">
        <f t="shared" si="197"/>
        <v>54.598333333333336</v>
      </c>
      <c r="BU466" s="236" t="str">
        <f t="shared" si="198"/>
        <v>Ray Brothers Transportation Inc.</v>
      </c>
      <c r="BV466" s="554"/>
      <c r="BW466" s="236" t="str">
        <f>Table1[[#This Row],[BrokerAddress]]</f>
        <v>1848 N. WOODSON AVE.</v>
      </c>
      <c r="BX466" s="236" t="str">
        <f t="shared" si="199"/>
        <v>Fresno</v>
      </c>
      <c r="BY466" s="269" t="str">
        <f t="shared" si="200"/>
        <v>CA</v>
      </c>
      <c r="BZ466" s="236">
        <f t="shared" si="201"/>
        <v>93705</v>
      </c>
      <c r="CA466" s="236" t="str">
        <f t="shared" si="202"/>
        <v>US</v>
      </c>
      <c r="CB466" s="15" t="s">
        <v>131</v>
      </c>
      <c r="CC466" s="62"/>
      <c r="CD466" s="15" t="s">
        <v>132</v>
      </c>
      <c r="CE466" s="64">
        <v>0</v>
      </c>
      <c r="CF466" s="4">
        <v>0</v>
      </c>
      <c r="CG466" s="132">
        <f t="shared" si="203"/>
        <v>0</v>
      </c>
      <c r="CH466" s="4" t="s">
        <v>132</v>
      </c>
      <c r="CI466" s="5">
        <v>0</v>
      </c>
      <c r="CJ466" s="4">
        <v>0</v>
      </c>
      <c r="CK466" s="132">
        <f t="shared" si="204"/>
        <v>0</v>
      </c>
      <c r="CL466" s="4" t="s">
        <v>132</v>
      </c>
      <c r="CM466" s="5">
        <v>0</v>
      </c>
      <c r="CN466" s="4">
        <v>0</v>
      </c>
      <c r="CO466" s="132">
        <f t="shared" si="205"/>
        <v>0</v>
      </c>
      <c r="CP466" s="4" t="s">
        <v>132</v>
      </c>
      <c r="CQ466" s="5">
        <v>0</v>
      </c>
      <c r="CR466" s="4">
        <v>0</v>
      </c>
      <c r="CS466" s="132">
        <f t="shared" si="206"/>
        <v>0</v>
      </c>
      <c r="CT466" s="132">
        <f t="shared" si="207"/>
        <v>0</v>
      </c>
      <c r="CU466" s="238">
        <f t="shared" si="208"/>
        <v>700</v>
      </c>
      <c r="CV466" s="239">
        <f t="shared" si="191"/>
        <v>0</v>
      </c>
      <c r="CW466" s="240">
        <f>(BO466+CV466)-Table1[[#This Row],[TcheckPrePaid]]</f>
        <v>651</v>
      </c>
      <c r="CX466" s="79">
        <f>IF(ISBLANK(E466),"AddQuickPay",IF(E466=2,CU466*0.98,IF(E466=2.4,CU466*0.976,IF(E466=3,CU466*0.97,IF(E466=5,CU466*0.95,IF(E466=1.5,CU466*0.985,IF(E466=2.5,CU466*0.975,IF(E466=1.3,CU466*0.987,IF(E466=1,CU466*0.99,IF(E466=4,CU466*0.96,CU466*1))))))))))-Table1[[#This Row],[ComCheck+QuickPayFee]]</f>
        <v>700</v>
      </c>
      <c r="CY466" s="237">
        <f t="shared" si="209"/>
        <v>49</v>
      </c>
      <c r="CZ466" s="237">
        <f t="shared" si="210"/>
        <v>0</v>
      </c>
      <c r="DA466" s="263">
        <f>Table1[[#This Row],[OriginalDispatch]]-Table1[[#This Row],[QuickPayCharge]]</f>
        <v>49</v>
      </c>
      <c r="DB466" s="5">
        <v>0</v>
      </c>
      <c r="DC466" s="237" t="s">
        <v>133</v>
      </c>
      <c r="DD466" s="549">
        <f t="shared" si="211"/>
        <v>42524</v>
      </c>
      <c r="DE466" s="554">
        <f>MONTH(Table1[[#This Row],[Weekending]])</f>
        <v>6</v>
      </c>
      <c r="DF466" s="554">
        <f>YEAR(Table1[[#This Row],[Weekending]])</f>
        <v>2016</v>
      </c>
      <c r="DG466" s="235"/>
    </row>
    <row r="467" spans="1:111">
      <c r="A467" s="548" t="str">
        <f t="shared" si="193"/>
        <v>98wn9819</v>
      </c>
      <c r="B467" s="549">
        <v>42527</v>
      </c>
      <c r="C467" s="550">
        <v>7039098</v>
      </c>
      <c r="D467" s="548" t="s">
        <v>2248</v>
      </c>
      <c r="E467" s="550">
        <v>3</v>
      </c>
      <c r="F467" s="551" t="str">
        <f>INDEX(BrokerTBL!$B:$B,MATCH(D467,BrokerTBL!$A:$A,0))</f>
        <v>P.O. Box 799</v>
      </c>
      <c r="G467" s="550" t="str">
        <f>INDEX(BrokerTBL!$C:$C,MATCH(D467,BrokerTBL!$A:$A,0))</f>
        <v>Milford</v>
      </c>
      <c r="H467" s="235" t="str">
        <f>INDEX(BrokerTBL!$D:$D,MATCH(D467,BrokerTBL!$A:$A,0))</f>
        <v>Ohio</v>
      </c>
      <c r="I467" s="235" t="str">
        <f>INDEX(BrokerTBL!$E:$E,MATCH(D467,BrokerTBL!$A:$A,0))</f>
        <v>US</v>
      </c>
      <c r="J467" s="235">
        <f>INDEX(BrokerTBL!$F:$F,MATCH(D467,BrokerTBL!$A:$A,0))</f>
        <v>45150</v>
      </c>
      <c r="K467" s="548" t="s">
        <v>3050</v>
      </c>
      <c r="L467" s="552" t="s">
        <v>1205</v>
      </c>
      <c r="M467" s="549">
        <v>42523</v>
      </c>
      <c r="N467" s="550" t="s">
        <v>427</v>
      </c>
      <c r="O467" s="550" t="s">
        <v>3051</v>
      </c>
      <c r="P467" s="548" t="s">
        <v>3052</v>
      </c>
      <c r="Q467" s="548" t="s">
        <v>2233</v>
      </c>
      <c r="R467" s="548">
        <v>89019</v>
      </c>
      <c r="S467" s="548" t="s">
        <v>2207</v>
      </c>
      <c r="T467" s="548" t="s">
        <v>3053</v>
      </c>
      <c r="U467" s="548" t="s">
        <v>120</v>
      </c>
      <c r="V467" s="548">
        <v>53</v>
      </c>
      <c r="W467" s="548" t="s">
        <v>1205</v>
      </c>
      <c r="X467" s="553">
        <v>43000</v>
      </c>
      <c r="Y467" s="550" t="s">
        <v>123</v>
      </c>
      <c r="Z467" s="548" t="s">
        <v>123</v>
      </c>
      <c r="AA467" s="548" t="s">
        <v>123</v>
      </c>
      <c r="AB467" s="548" t="s">
        <v>123</v>
      </c>
      <c r="AC467" s="548" t="s">
        <v>3054</v>
      </c>
      <c r="AD467" s="552" t="s">
        <v>3055</v>
      </c>
      <c r="AE467" s="549">
        <v>42524</v>
      </c>
      <c r="AF467" s="549" t="s">
        <v>1150</v>
      </c>
      <c r="AG467" s="548" t="s">
        <v>2433</v>
      </c>
      <c r="AH467" s="548" t="s">
        <v>3056</v>
      </c>
      <c r="AI467" s="548" t="s">
        <v>2206</v>
      </c>
      <c r="AJ467" s="548">
        <v>90810</v>
      </c>
      <c r="AK467" s="548" t="s">
        <v>2207</v>
      </c>
      <c r="AL467" s="548" t="s">
        <v>123</v>
      </c>
      <c r="AM467" s="554" t="str">
        <f>INDEX(CarrierDriverTBL!$B:$B,MATCH(Table1[[#This Row],[DriverID]],CarrierDriverTBL!$A:$A,0))</f>
        <v>UBTrucking</v>
      </c>
      <c r="AN467" s="10" t="s">
        <v>1409</v>
      </c>
      <c r="AO467" s="555" t="str">
        <f>INDEX(CarrierDriverTBL!$C:$C,MATCH(Table1[[#This Row],[DriverID]],CarrierDriverTBL!$A:$A,0))</f>
        <v>Miguel Jaime</v>
      </c>
      <c r="AP467" s="555" t="str">
        <f>INDEX(CarrierDriverTBL!$D:$D,MATCH(Table1[[#This Row],[DriverID]],CarrierDriverTBL!$A:$A,0))</f>
        <v>Martin Del Campo Velarca</v>
      </c>
      <c r="AQ467" s="555" t="str">
        <f>INDEX(CarrierDriverTBL!$X:$X,MATCH(Table1[[#This Row],[DriverID]],CarrierDriverTBL!$A:$A,0))</f>
        <v>D5179619</v>
      </c>
      <c r="AR467" s="556">
        <f>INDEX(CarrierDriverTBL!$Y:$Y,MATCH(Table1[[#This Row],[DriverID]],CarrierDriverTBL!$A:$A,0))</f>
        <v>43843</v>
      </c>
      <c r="AS467" s="554" t="str">
        <f t="shared" si="194"/>
        <v>GOOD</v>
      </c>
      <c r="AT467" s="556">
        <f>INDEX(CarrierDriverTBL!$E:$E,MATCH(Table1[[#This Row],[DriverID]],CarrierDriverTBL!$A:$A,0))</f>
        <v>21198</v>
      </c>
      <c r="AU467" s="557">
        <f ca="1">INDEX(CarrierDriverTBL!$F:$F,MATCH(Table1[[#This Row],[DriverID]],CarrierDriverTBL!$A:$A,0))</f>
        <v>58.56986301369863</v>
      </c>
      <c r="AV467" s="554" t="str">
        <f>INDEX(CarrierDriverTBL!$K:$K,MATCH(Table1[[#This Row],[DriverID]],CarrierDriverTBL!$A:$A,0))</f>
        <v>209-322-5231</v>
      </c>
      <c r="AW467" s="554" t="str">
        <f>INDEX(CarrierDriverTBL!$M:$M,MATCH(Table1[[#This Row],[DriverID]],CarrierDriverTBL!$A:$A,0))</f>
        <v>572 Predersen RD</v>
      </c>
      <c r="AX467" s="554" t="str">
        <f>INDEX(CarrierDriverTBL!$N:$N,MATCH(Table1[[#This Row],[DriverID]],CarrierDriverTBL!$A:$A,0))</f>
        <v>Oakdale</v>
      </c>
      <c r="AY467" s="554" t="str">
        <f>INDEX(CarrierDriverTBL!$O:$O,MATCH(Table1[[#This Row],[DriverID]],CarrierDriverTBL!$A:$A,0))</f>
        <v>CA</v>
      </c>
      <c r="AZ467" s="554">
        <f>INDEX(CarrierDriverTBL!$P:$P,MATCH(Table1[[#This Row],[DriverID]],CarrierDriverTBL!$A:$A,0))</f>
        <v>95361</v>
      </c>
      <c r="BA467" s="554" t="str">
        <f>INDEX(CarrierDriverTBL!$Q:$Q,MATCH(Table1[[#This Row],[DriverID]],CarrierDriverTBL!$A:$A,0))</f>
        <v>US</v>
      </c>
      <c r="BB467" s="554" t="str">
        <f>INDEX(CarrierDriverTBL!$R:$R,MATCH(Table1[[#This Row],[DriverID]],CarrierDriverTBL!$A:$A,0))</f>
        <v>Miguelmartin52@yahoo.com</v>
      </c>
      <c r="BC467" s="556">
        <f>INDEX(CarrierDriverTBL!$AB:$AB,MATCH(Table1[[#This Row],[DriverID]],CarrierDriverTBL!$A:$A,0))</f>
        <v>42334</v>
      </c>
      <c r="BD467" s="555" t="str">
        <f ca="1">INDEX(CarrierDriverTBL!$AD:$AD,MATCH(LoadMaster!$AN:$AN,CarrierDriverTBL!$A:$A,0))</f>
        <v>MISSING</v>
      </c>
      <c r="BE467" s="555">
        <f>INDEX(CarrierDriverTBL!$AE:$AE,MATCH(Table1[DriverID],CarrierDriverTBL!$A:$A,0))</f>
        <v>913971</v>
      </c>
      <c r="BF467" s="554">
        <f>INDEX(CarrierDriverTBL!$AF:$AF,MATCH(Table1[DriverID],CarrierDriverTBL!$A:$A,0))</f>
        <v>2627544</v>
      </c>
      <c r="BG467" s="236">
        <f>INDEX(CarrierDriverTBL!$AG:$AG,MATCH(Table1[DriverID],CarrierDriverTBL!$A:$A,0))</f>
        <v>466133</v>
      </c>
      <c r="BH467" s="554" t="str">
        <f>INDEX(CarrierDriverTBL!$AH:$AH,MATCH(Table1[DriverID],CarrierDriverTBL!$A:$A,0))</f>
        <v>GM Lawrence Ins</v>
      </c>
      <c r="BI467" s="554" t="str">
        <f>INDEX(CarrierDriverTBL!$AI:$AI,MATCH(Table1[DriverID],CarrierDriverTBL!$A:$A,0))</f>
        <v>DSK2842P160210</v>
      </c>
      <c r="BJ467" s="556">
        <f>INDEX(CarrierDriverTBL!$AJ:$AJ,MATCH(Table1[[#This Row],[DriverID]],CarrierDriverTBL!$A:$A,0))</f>
        <v>42778</v>
      </c>
      <c r="BK467" s="554">
        <f t="shared" si="195"/>
        <v>255</v>
      </c>
      <c r="BL467" s="558">
        <v>400</v>
      </c>
      <c r="BM467" s="554">
        <v>245.5</v>
      </c>
      <c r="BN467" s="558">
        <f t="shared" si="212"/>
        <v>1.629327902240326</v>
      </c>
      <c r="BO467" s="241">
        <f>0.93*Table1[[#This Row],[ChargeBroker]]</f>
        <v>372</v>
      </c>
      <c r="BP467" s="558">
        <f t="shared" si="213"/>
        <v>1.5152749490835031</v>
      </c>
      <c r="BQ467" s="558">
        <v>2.75</v>
      </c>
      <c r="BR467" s="559">
        <f t="shared" si="214"/>
        <v>0.14166666666666669</v>
      </c>
      <c r="BS467" s="558">
        <f t="shared" si="196"/>
        <v>1.3736082824168365</v>
      </c>
      <c r="BT467" s="558">
        <f t="shared" si="197"/>
        <v>34.779166666666676</v>
      </c>
      <c r="BU467" s="236" t="str">
        <f t="shared" si="198"/>
        <v>TQL</v>
      </c>
      <c r="BV467" s="554"/>
      <c r="BW467" s="236" t="str">
        <f>Table1[[#This Row],[BrokerAddress]]</f>
        <v>P.O. Box 799</v>
      </c>
      <c r="BX467" s="236" t="str">
        <f t="shared" si="199"/>
        <v>Milford</v>
      </c>
      <c r="BY467" s="269" t="str">
        <f t="shared" si="200"/>
        <v>Ohio</v>
      </c>
      <c r="BZ467" s="236">
        <f t="shared" si="201"/>
        <v>45150</v>
      </c>
      <c r="CA467" s="236" t="str">
        <f t="shared" si="202"/>
        <v>US</v>
      </c>
      <c r="CB467" s="15" t="s">
        <v>131</v>
      </c>
      <c r="CC467" s="561"/>
      <c r="CD467" s="15" t="s">
        <v>132</v>
      </c>
      <c r="CE467" s="64">
        <v>0</v>
      </c>
      <c r="CF467" s="4">
        <v>0</v>
      </c>
      <c r="CG467" s="132">
        <f t="shared" si="203"/>
        <v>0</v>
      </c>
      <c r="CH467" s="4" t="s">
        <v>132</v>
      </c>
      <c r="CI467" s="5">
        <v>0</v>
      </c>
      <c r="CJ467" s="4">
        <v>0</v>
      </c>
      <c r="CK467" s="132">
        <f t="shared" si="204"/>
        <v>0</v>
      </c>
      <c r="CL467" s="4" t="s">
        <v>132</v>
      </c>
      <c r="CM467" s="5">
        <v>0</v>
      </c>
      <c r="CN467" s="4">
        <v>0</v>
      </c>
      <c r="CO467" s="132">
        <f t="shared" si="205"/>
        <v>0</v>
      </c>
      <c r="CP467" s="4" t="s">
        <v>132</v>
      </c>
      <c r="CQ467" s="5">
        <v>0</v>
      </c>
      <c r="CR467" s="4">
        <v>0</v>
      </c>
      <c r="CS467" s="132">
        <f t="shared" si="206"/>
        <v>0</v>
      </c>
      <c r="CT467" s="132">
        <f t="shared" si="207"/>
        <v>0</v>
      </c>
      <c r="CU467" s="238">
        <f t="shared" si="208"/>
        <v>400</v>
      </c>
      <c r="CV467" s="239">
        <f t="shared" si="191"/>
        <v>0</v>
      </c>
      <c r="CW467" s="240">
        <f>(BO467+CV467)-Table1[[#This Row],[TcheckPrePaid]]</f>
        <v>372</v>
      </c>
      <c r="CX467" s="79">
        <f>IF(ISBLANK(E467),"AddQuickPay",IF(E467=2,CU467*0.98,IF(E467=2.4,CU467*0.976,IF(E467=3,CU467*0.97,IF(E467=5,CU467*0.95,IF(E467=1.5,CU467*0.985,IF(E467=2.5,CU467*0.975,IF(E467=1.3,CU467*0.987,IF(E467=1,CU467*0.99,IF(E467=4,CU467*0.96,CU467*1))))))))))-Table1[[#This Row],[ComCheck+QuickPayFee]]</f>
        <v>388</v>
      </c>
      <c r="CY467" s="237">
        <f t="shared" si="209"/>
        <v>28</v>
      </c>
      <c r="CZ467" s="237">
        <f t="shared" si="210"/>
        <v>12</v>
      </c>
      <c r="DA467" s="263">
        <f>Table1[[#This Row],[OriginalDispatch]]-Table1[[#This Row],[QuickPayCharge]]</f>
        <v>16</v>
      </c>
      <c r="DB467" s="5">
        <v>0</v>
      </c>
      <c r="DC467" s="237" t="s">
        <v>133</v>
      </c>
      <c r="DD467" s="549">
        <f t="shared" si="211"/>
        <v>42524</v>
      </c>
      <c r="DE467" s="554">
        <f>MONTH(Table1[[#This Row],[Weekending]])</f>
        <v>6</v>
      </c>
      <c r="DF467" s="554">
        <f>YEAR(Table1[[#This Row],[Weekending]])</f>
        <v>2016</v>
      </c>
      <c r="DG467" s="235"/>
    </row>
    <row r="468" spans="1:111">
      <c r="A468" s="548" t="str">
        <f t="shared" si="193"/>
        <v>3154wn49</v>
      </c>
      <c r="B468" s="549">
        <v>42527</v>
      </c>
      <c r="C468" s="550" t="s">
        <v>3057</v>
      </c>
      <c r="D468" s="548" t="s">
        <v>2825</v>
      </c>
      <c r="E468" s="550">
        <v>0</v>
      </c>
      <c r="F468" s="551" t="str">
        <f>INDEX(BrokerTBL!$B:$B,MATCH(D468,BrokerTBL!$A:$A,0))</f>
        <v>P.O. Box 2545 3101 South Packerland Drive</v>
      </c>
      <c r="G468" s="550" t="str">
        <f>INDEX(BrokerTBL!$C:$C,MATCH(D468,BrokerTBL!$A:$A,0))</f>
        <v>Green Bay</v>
      </c>
      <c r="H468" s="235" t="str">
        <f>INDEX(BrokerTBL!$D:$D,MATCH(D468,BrokerTBL!$A:$A,0))</f>
        <v>Wisconsin</v>
      </c>
      <c r="I468" s="235" t="str">
        <f>INDEX(BrokerTBL!$E:$E,MATCH(D468,BrokerTBL!$A:$A,0))</f>
        <v>US</v>
      </c>
      <c r="J468" s="235" t="str">
        <f>INDEX(BrokerTBL!$F:$F,MATCH(D468,BrokerTBL!$A:$A,0))</f>
        <v>54306-2545</v>
      </c>
      <c r="K468" s="548" t="s">
        <v>3058</v>
      </c>
      <c r="L468" s="552">
        <v>8154</v>
      </c>
      <c r="M468" s="549">
        <v>42524</v>
      </c>
      <c r="N468" s="550" t="s">
        <v>3059</v>
      </c>
      <c r="O468" s="550" t="s">
        <v>3060</v>
      </c>
      <c r="P468" s="548" t="s">
        <v>595</v>
      </c>
      <c r="Q468" s="548" t="s">
        <v>2206</v>
      </c>
      <c r="R468" s="548">
        <v>95126</v>
      </c>
      <c r="S468" s="548" t="s">
        <v>2207</v>
      </c>
      <c r="T468" s="548" t="s">
        <v>123</v>
      </c>
      <c r="U468" s="548" t="s">
        <v>120</v>
      </c>
      <c r="V468" s="548">
        <v>53</v>
      </c>
      <c r="W468" s="548" t="s">
        <v>3061</v>
      </c>
      <c r="X468" s="553">
        <v>40000</v>
      </c>
      <c r="Y468" s="550" t="s">
        <v>2220</v>
      </c>
      <c r="Z468" s="548">
        <v>32</v>
      </c>
      <c r="AA468" s="548" t="s">
        <v>123</v>
      </c>
      <c r="AB468" s="548" t="s">
        <v>123</v>
      </c>
      <c r="AC468" s="548" t="s">
        <v>3062</v>
      </c>
      <c r="AD468" s="552" t="s">
        <v>1205</v>
      </c>
      <c r="AE468" s="549">
        <v>42527</v>
      </c>
      <c r="AF468" s="549" t="s">
        <v>496</v>
      </c>
      <c r="AG468" s="548" t="s">
        <v>3063</v>
      </c>
      <c r="AH468" s="548" t="s">
        <v>2466</v>
      </c>
      <c r="AI468" s="548" t="s">
        <v>2233</v>
      </c>
      <c r="AJ468" s="548">
        <v>89506</v>
      </c>
      <c r="AK468" s="548" t="s">
        <v>2207</v>
      </c>
      <c r="AL468" s="548" t="s">
        <v>123</v>
      </c>
      <c r="AM468" s="554" t="str">
        <f>INDEX(CarrierDriverTBL!$B:$B,MATCH(Table1[[#This Row],[DriverID]],CarrierDriverTBL!$A:$A,0))</f>
        <v>UBTrucking</v>
      </c>
      <c r="AN468" s="10" t="s">
        <v>192</v>
      </c>
      <c r="AO468" s="555" t="str">
        <f>INDEX(CarrierDriverTBL!$C:$C,MATCH(Table1[[#This Row],[DriverID]],CarrierDriverTBL!$A:$A,0))</f>
        <v>Albel</v>
      </c>
      <c r="AP468" s="555" t="str">
        <f>INDEX(CarrierDriverTBL!$D:$D,MATCH(Table1[[#This Row],[DriverID]],CarrierDriverTBL!$A:$A,0))</f>
        <v>Chahil</v>
      </c>
      <c r="AQ468" s="555" t="str">
        <f>INDEX(CarrierDriverTBL!$X:$X,MATCH(Table1[[#This Row],[DriverID]],CarrierDriverTBL!$A:$A,0))</f>
        <v>A8390649</v>
      </c>
      <c r="AR468" s="556">
        <f>INDEX(CarrierDriverTBL!$Y:$Y,MATCH(Table1[[#This Row],[DriverID]],CarrierDriverTBL!$A:$A,0))</f>
        <v>42402</v>
      </c>
      <c r="AS468" s="554" t="str">
        <f t="shared" si="194"/>
        <v>EXPIRED</v>
      </c>
      <c r="AT468" s="556">
        <f>INDEX(CarrierDriverTBL!$E:$E,MATCH(Table1[[#This Row],[DriverID]],CarrierDriverTBL!$A:$A,0))</f>
        <v>22314</v>
      </c>
      <c r="AU468" s="557">
        <f ca="1">INDEX(CarrierDriverTBL!$F:$F,MATCH(Table1[[#This Row],[DriverID]],CarrierDriverTBL!$A:$A,0))</f>
        <v>55.512328767123286</v>
      </c>
      <c r="AV468" s="554" t="str">
        <f>INDEX(CarrierDriverTBL!$K:$K,MATCH(Table1[[#This Row],[DriverID]],CarrierDriverTBL!$A:$A,0))</f>
        <v>510-773-9450</v>
      </c>
      <c r="AW468" s="554" t="str">
        <f>INDEX(CarrierDriverTBL!$M:$M,MATCH(Table1[[#This Row],[DriverID]],CarrierDriverTBL!$A:$A,0))</f>
        <v>3124 Cynthia CT</v>
      </c>
      <c r="AX468" s="554" t="str">
        <f>INDEX(CarrierDriverTBL!$N:$N,MATCH(Table1[[#This Row],[DriverID]],CarrierDriverTBL!$A:$A,0))</f>
        <v>Tracy</v>
      </c>
      <c r="AY468" s="554" t="str">
        <f>INDEX(CarrierDriverTBL!$O:$O,MATCH(Table1[[#This Row],[DriverID]],CarrierDriverTBL!$A:$A,0))</f>
        <v>CA</v>
      </c>
      <c r="AZ468" s="554">
        <f>INDEX(CarrierDriverTBL!$P:$P,MATCH(Table1[[#This Row],[DriverID]],CarrierDriverTBL!$A:$A,0))</f>
        <v>95377</v>
      </c>
      <c r="BA468" s="554" t="str">
        <f>INDEX(CarrierDriverTBL!$Q:$Q,MATCH(Table1[[#This Row],[DriverID]],CarrierDriverTBL!$A:$A,0))</f>
        <v>US</v>
      </c>
      <c r="BB468" s="554" t="str">
        <f>INDEX(CarrierDriverTBL!$R:$R,MATCH(Table1[[#This Row],[DriverID]],CarrierDriverTBL!$A:$A,0))</f>
        <v>ubgollc@gmail.com</v>
      </c>
      <c r="BC468" s="556">
        <f>INDEX(CarrierDriverTBL!$AB:$AB,MATCH(Table1[[#This Row],[DriverID]],CarrierDriverTBL!$A:$A,0))</f>
        <v>42167</v>
      </c>
      <c r="BD468" s="555" t="str">
        <f ca="1">INDEX(CarrierDriverTBL!$AD:$AD,MATCH(LoadMaster!$AN:$AN,CarrierDriverTBL!$A:$A,0))</f>
        <v>MISSING</v>
      </c>
      <c r="BE468" s="555">
        <f>INDEX(CarrierDriverTBL!$AE:$AE,MATCH(Table1[DriverID],CarrierDriverTBL!$A:$A,0))</f>
        <v>913971</v>
      </c>
      <c r="BF468" s="554">
        <f>INDEX(CarrierDriverTBL!$AF:$AF,MATCH(Table1[DriverID],CarrierDriverTBL!$A:$A,0))</f>
        <v>2627544</v>
      </c>
      <c r="BG468" s="236">
        <f>INDEX(CarrierDriverTBL!$AG:$AG,MATCH(Table1[DriverID],CarrierDriverTBL!$A:$A,0))</f>
        <v>466133</v>
      </c>
      <c r="BH468" s="554" t="str">
        <f>INDEX(CarrierDriverTBL!$AH:$AH,MATCH(Table1[DriverID],CarrierDriverTBL!$A:$A,0))</f>
        <v>GM Lawrence Ins</v>
      </c>
      <c r="BI468" s="554" t="str">
        <f>INDEX(CarrierDriverTBL!$AI:$AI,MATCH(Table1[DriverID],CarrierDriverTBL!$A:$A,0))</f>
        <v>DSK2842P160210</v>
      </c>
      <c r="BJ468" s="556">
        <f>INDEX(CarrierDriverTBL!$AJ:$AJ,MATCH(Table1[[#This Row],[DriverID]],CarrierDriverTBL!$A:$A,0))</f>
        <v>42778</v>
      </c>
      <c r="BK468" s="554">
        <f t="shared" si="195"/>
        <v>254</v>
      </c>
      <c r="BL468" s="558">
        <v>650</v>
      </c>
      <c r="BM468" s="554">
        <v>250.5</v>
      </c>
      <c r="BN468" s="558">
        <f t="shared" si="212"/>
        <v>2.5948103792415171</v>
      </c>
      <c r="BO468" s="241">
        <f>0.93*Table1[[#This Row],[ChargeBroker]]</f>
        <v>604.5</v>
      </c>
      <c r="BP468" s="558">
        <f t="shared" si="213"/>
        <v>2.4131736526946108</v>
      </c>
      <c r="BQ468" s="558">
        <v>2.75</v>
      </c>
      <c r="BR468" s="559">
        <f t="shared" si="214"/>
        <v>0.14166666666666669</v>
      </c>
      <c r="BS468" s="558">
        <f t="shared" si="196"/>
        <v>2.2715069860279442</v>
      </c>
      <c r="BT468" s="558">
        <f t="shared" si="197"/>
        <v>35.487500000000004</v>
      </c>
      <c r="BU468" s="236" t="str">
        <f t="shared" si="198"/>
        <v>Schenider</v>
      </c>
      <c r="BV468" s="554"/>
      <c r="BW468" s="236" t="str">
        <f>Table1[[#This Row],[BrokerAddress]]</f>
        <v>P.O. Box 2545 3101 South Packerland Drive</v>
      </c>
      <c r="BX468" s="236" t="str">
        <f t="shared" si="199"/>
        <v>Green Bay</v>
      </c>
      <c r="BY468" s="269" t="str">
        <f t="shared" si="200"/>
        <v>Wisconsin</v>
      </c>
      <c r="BZ468" s="236" t="str">
        <f t="shared" si="201"/>
        <v>54306-2545</v>
      </c>
      <c r="CA468" s="236" t="str">
        <f t="shared" si="202"/>
        <v>US</v>
      </c>
      <c r="CB468" s="15" t="s">
        <v>131</v>
      </c>
      <c r="CC468" s="561"/>
      <c r="CD468" s="15" t="s">
        <v>132</v>
      </c>
      <c r="CE468" s="64">
        <v>0</v>
      </c>
      <c r="CF468" s="4">
        <v>0</v>
      </c>
      <c r="CG468" s="132">
        <f t="shared" si="203"/>
        <v>0</v>
      </c>
      <c r="CH468" s="4" t="s">
        <v>132</v>
      </c>
      <c r="CI468" s="5">
        <v>0</v>
      </c>
      <c r="CJ468" s="4">
        <v>0</v>
      </c>
      <c r="CK468" s="132">
        <f t="shared" si="204"/>
        <v>0</v>
      </c>
      <c r="CL468" s="4" t="s">
        <v>132</v>
      </c>
      <c r="CM468" s="5">
        <v>0</v>
      </c>
      <c r="CN468" s="4">
        <v>0</v>
      </c>
      <c r="CO468" s="132">
        <f t="shared" si="205"/>
        <v>0</v>
      </c>
      <c r="CP468" s="4" t="s">
        <v>132</v>
      </c>
      <c r="CQ468" s="5">
        <v>0</v>
      </c>
      <c r="CR468" s="4">
        <v>0</v>
      </c>
      <c r="CS468" s="132">
        <f t="shared" si="206"/>
        <v>0</v>
      </c>
      <c r="CT468" s="132">
        <f t="shared" si="207"/>
        <v>0</v>
      </c>
      <c r="CU468" s="238">
        <f t="shared" si="208"/>
        <v>650</v>
      </c>
      <c r="CV468" s="239">
        <f t="shared" si="191"/>
        <v>0</v>
      </c>
      <c r="CW468" s="240">
        <f>(BO468+CV468)-Table1[[#This Row],[TcheckPrePaid]]</f>
        <v>604.5</v>
      </c>
      <c r="CX468" s="79">
        <f>IF(ISBLANK(E468),"AddQuickPay",IF(E468=2,CU468*0.98,IF(E468=2.4,CU468*0.976,IF(E468=3,CU468*0.97,IF(E468=5,CU468*0.95,IF(E468=1.5,CU468*0.985,IF(E468=2.5,CU468*0.975,IF(E468=1.3,CU468*0.987,IF(E468=1,CU468*0.99,IF(E468=4,CU468*0.96,CU468*1))))))))))-Table1[[#This Row],[ComCheck+QuickPayFee]]</f>
        <v>650</v>
      </c>
      <c r="CY468" s="237">
        <f t="shared" si="209"/>
        <v>45.5</v>
      </c>
      <c r="CZ468" s="237">
        <f t="shared" si="210"/>
        <v>0</v>
      </c>
      <c r="DA468" s="263">
        <f>Table1[[#This Row],[OriginalDispatch]]-Table1[[#This Row],[QuickPayCharge]]</f>
        <v>45.5</v>
      </c>
      <c r="DB468" s="5">
        <v>0</v>
      </c>
      <c r="DC468" s="237" t="s">
        <v>133</v>
      </c>
      <c r="DD468" s="549">
        <f t="shared" si="211"/>
        <v>42524</v>
      </c>
      <c r="DE468" s="554">
        <f>MONTH(Table1[[#This Row],[Weekending]])</f>
        <v>6</v>
      </c>
      <c r="DF468" s="554">
        <f>YEAR(Table1[[#This Row],[Weekending]])</f>
        <v>2016</v>
      </c>
      <c r="DG468" s="235"/>
    </row>
    <row r="469" spans="1:111">
      <c r="A469" s="548" t="str">
        <f t="shared" si="193"/>
        <v>3098wn19</v>
      </c>
      <c r="B469" s="549">
        <v>42527</v>
      </c>
      <c r="C469" s="550">
        <v>203130730</v>
      </c>
      <c r="D469" s="548" t="s">
        <v>111</v>
      </c>
      <c r="E469" s="550">
        <v>2</v>
      </c>
      <c r="F469" s="551" t="str">
        <f>INDEX(BrokerTBL!$B:$B,MATCH(D469,BrokerTBL!$A:$A,0))</f>
        <v>P.O. Box 3474</v>
      </c>
      <c r="G469" s="550" t="str">
        <f>INDEX(BrokerTBL!$C:$C,MATCH(D469,BrokerTBL!$A:$A,0))</f>
        <v>Chicago</v>
      </c>
      <c r="H469" s="235" t="str">
        <f>INDEX(BrokerTBL!$D:$D,MATCH(D469,BrokerTBL!$A:$A,0))</f>
        <v>Il</v>
      </c>
      <c r="I469" s="235" t="str">
        <f>INDEX(BrokerTBL!$E:$E,MATCH(D469,BrokerTBL!$A:$A,0))</f>
        <v>US</v>
      </c>
      <c r="J469" s="235">
        <f>INDEX(BrokerTBL!$F:$F,MATCH(D469,BrokerTBL!$A:$A,0))</f>
        <v>60654</v>
      </c>
      <c r="K469" s="548" t="s">
        <v>2503</v>
      </c>
      <c r="L469" s="552">
        <v>1580698</v>
      </c>
      <c r="M469" s="549">
        <v>42524</v>
      </c>
      <c r="N469" s="550" t="s">
        <v>1041</v>
      </c>
      <c r="O469" s="550" t="s">
        <v>3064</v>
      </c>
      <c r="P469" s="548" t="s">
        <v>3065</v>
      </c>
      <c r="Q469" s="548" t="s">
        <v>2206</v>
      </c>
      <c r="R469" s="548">
        <v>90745</v>
      </c>
      <c r="S469" s="548" t="s">
        <v>2207</v>
      </c>
      <c r="T469" s="548" t="s">
        <v>123</v>
      </c>
      <c r="U469" s="548" t="s">
        <v>120</v>
      </c>
      <c r="V469" s="548">
        <v>53</v>
      </c>
      <c r="W469" s="548" t="s">
        <v>3066</v>
      </c>
      <c r="X469" s="553">
        <v>44000</v>
      </c>
      <c r="Y469" s="550" t="s">
        <v>2220</v>
      </c>
      <c r="Z469" s="548" t="s">
        <v>123</v>
      </c>
      <c r="AA469" s="548" t="s">
        <v>123</v>
      </c>
      <c r="AB469" s="548" t="s">
        <v>123</v>
      </c>
      <c r="AC469" s="548" t="s">
        <v>3067</v>
      </c>
      <c r="AD469" s="552" t="s">
        <v>1205</v>
      </c>
      <c r="AE469" s="549">
        <v>42527</v>
      </c>
      <c r="AF469" s="549" t="s">
        <v>2359</v>
      </c>
      <c r="AG469" s="548" t="s">
        <v>3068</v>
      </c>
      <c r="AH469" s="548" t="s">
        <v>2368</v>
      </c>
      <c r="AI469" s="548" t="s">
        <v>2206</v>
      </c>
      <c r="AJ469" s="548" t="s">
        <v>3069</v>
      </c>
      <c r="AK469" s="548" t="s">
        <v>2207</v>
      </c>
      <c r="AL469" s="548" t="s">
        <v>123</v>
      </c>
      <c r="AM469" s="554" t="str">
        <f>INDEX(CarrierDriverTBL!$B:$B,MATCH(Table1[[#This Row],[DriverID]],CarrierDriverTBL!$A:$A,0))</f>
        <v>UBTrucking</v>
      </c>
      <c r="AN469" s="10" t="s">
        <v>1409</v>
      </c>
      <c r="AO469" s="555" t="str">
        <f>INDEX(CarrierDriverTBL!$C:$C,MATCH(Table1[[#This Row],[DriverID]],CarrierDriverTBL!$A:$A,0))</f>
        <v>Miguel Jaime</v>
      </c>
      <c r="AP469" s="555" t="str">
        <f>INDEX(CarrierDriverTBL!$D:$D,MATCH(Table1[[#This Row],[DriverID]],CarrierDriverTBL!$A:$A,0))</f>
        <v>Martin Del Campo Velarca</v>
      </c>
      <c r="AQ469" s="555" t="str">
        <f>INDEX(CarrierDriverTBL!$X:$X,MATCH(Table1[[#This Row],[DriverID]],CarrierDriverTBL!$A:$A,0))</f>
        <v>D5179619</v>
      </c>
      <c r="AR469" s="556">
        <f>INDEX(CarrierDriverTBL!$Y:$Y,MATCH(Table1[[#This Row],[DriverID]],CarrierDriverTBL!$A:$A,0))</f>
        <v>43843</v>
      </c>
      <c r="AS469" s="554" t="str">
        <f t="shared" si="194"/>
        <v>GOOD</v>
      </c>
      <c r="AT469" s="556">
        <f>INDEX(CarrierDriverTBL!$E:$E,MATCH(Table1[[#This Row],[DriverID]],CarrierDriverTBL!$A:$A,0))</f>
        <v>21198</v>
      </c>
      <c r="AU469" s="557">
        <f ca="1">INDEX(CarrierDriverTBL!$F:$F,MATCH(Table1[[#This Row],[DriverID]],CarrierDriverTBL!$A:$A,0))</f>
        <v>58.56986301369863</v>
      </c>
      <c r="AV469" s="554" t="str">
        <f>INDEX(CarrierDriverTBL!$K:$K,MATCH(Table1[[#This Row],[DriverID]],CarrierDriverTBL!$A:$A,0))</f>
        <v>209-322-5231</v>
      </c>
      <c r="AW469" s="554" t="str">
        <f>INDEX(CarrierDriverTBL!$M:$M,MATCH(Table1[[#This Row],[DriverID]],CarrierDriverTBL!$A:$A,0))</f>
        <v>572 Predersen RD</v>
      </c>
      <c r="AX469" s="554" t="str">
        <f>INDEX(CarrierDriverTBL!$N:$N,MATCH(Table1[[#This Row],[DriverID]],CarrierDriverTBL!$A:$A,0))</f>
        <v>Oakdale</v>
      </c>
      <c r="AY469" s="554" t="str">
        <f>INDEX(CarrierDriverTBL!$O:$O,MATCH(Table1[[#This Row],[DriverID]],CarrierDriverTBL!$A:$A,0))</f>
        <v>CA</v>
      </c>
      <c r="AZ469" s="554">
        <f>INDEX(CarrierDriverTBL!$P:$P,MATCH(Table1[[#This Row],[DriverID]],CarrierDriverTBL!$A:$A,0))</f>
        <v>95361</v>
      </c>
      <c r="BA469" s="554" t="str">
        <f>INDEX(CarrierDriverTBL!$Q:$Q,MATCH(Table1[[#This Row],[DriverID]],CarrierDriverTBL!$A:$A,0))</f>
        <v>US</v>
      </c>
      <c r="BB469" s="554" t="str">
        <f>INDEX(CarrierDriverTBL!$R:$R,MATCH(Table1[[#This Row],[DriverID]],CarrierDriverTBL!$A:$A,0))</f>
        <v>Miguelmartin52@yahoo.com</v>
      </c>
      <c r="BC469" s="556">
        <f>INDEX(CarrierDriverTBL!$AB:$AB,MATCH(Table1[[#This Row],[DriverID]],CarrierDriverTBL!$A:$A,0))</f>
        <v>42334</v>
      </c>
      <c r="BD469" s="555" t="str">
        <f ca="1">INDEX(CarrierDriverTBL!$AD:$AD,MATCH(LoadMaster!$AN:$AN,CarrierDriverTBL!$A:$A,0))</f>
        <v>MISSING</v>
      </c>
      <c r="BE469" s="555">
        <f>INDEX(CarrierDriverTBL!$AE:$AE,MATCH(Table1[DriverID],CarrierDriverTBL!$A:$A,0))</f>
        <v>913971</v>
      </c>
      <c r="BF469" s="554">
        <f>INDEX(CarrierDriverTBL!$AF:$AF,MATCH(Table1[DriverID],CarrierDriverTBL!$A:$A,0))</f>
        <v>2627544</v>
      </c>
      <c r="BG469" s="236">
        <f>INDEX(CarrierDriverTBL!$AG:$AG,MATCH(Table1[DriverID],CarrierDriverTBL!$A:$A,0))</f>
        <v>466133</v>
      </c>
      <c r="BH469" s="554" t="str">
        <f>INDEX(CarrierDriverTBL!$AH:$AH,MATCH(Table1[DriverID],CarrierDriverTBL!$A:$A,0))</f>
        <v>GM Lawrence Ins</v>
      </c>
      <c r="BI469" s="554" t="str">
        <f>INDEX(CarrierDriverTBL!$AI:$AI,MATCH(Table1[DriverID],CarrierDriverTBL!$A:$A,0))</f>
        <v>DSK2842P160210</v>
      </c>
      <c r="BJ469" s="556">
        <f>INDEX(CarrierDriverTBL!$AJ:$AJ,MATCH(Table1[[#This Row],[DriverID]],CarrierDriverTBL!$A:$A,0))</f>
        <v>42778</v>
      </c>
      <c r="BK469" s="554">
        <f t="shared" si="195"/>
        <v>254</v>
      </c>
      <c r="BL469" s="558">
        <v>1000</v>
      </c>
      <c r="BM469" s="554">
        <v>353</v>
      </c>
      <c r="BN469" s="558">
        <f t="shared" si="212"/>
        <v>2.8328611898016995</v>
      </c>
      <c r="BO469" s="241">
        <f>0.982*Table1[[#This Row],[ChargeBroker]]</f>
        <v>982</v>
      </c>
      <c r="BP469" s="558">
        <f t="shared" si="213"/>
        <v>2.7818696883852692</v>
      </c>
      <c r="BQ469" s="558">
        <v>2.75</v>
      </c>
      <c r="BR469" s="559">
        <f t="shared" si="214"/>
        <v>0.14166666666666669</v>
      </c>
      <c r="BS469" s="558">
        <f t="shared" si="196"/>
        <v>2.6402030217186025</v>
      </c>
      <c r="BT469" s="558">
        <f t="shared" si="197"/>
        <v>50.00833333333334</v>
      </c>
      <c r="BU469" s="236" t="str">
        <f t="shared" si="198"/>
        <v>Ch Robinson</v>
      </c>
      <c r="BV469" s="554"/>
      <c r="BW469" s="236" t="str">
        <f>Table1[[#This Row],[BrokerAddress]]</f>
        <v>P.O. Box 3474</v>
      </c>
      <c r="BX469" s="236" t="str">
        <f t="shared" si="199"/>
        <v>Chicago</v>
      </c>
      <c r="BY469" s="269" t="str">
        <f t="shared" si="200"/>
        <v>Il</v>
      </c>
      <c r="BZ469" s="236">
        <f t="shared" si="201"/>
        <v>60654</v>
      </c>
      <c r="CA469" s="236" t="str">
        <f t="shared" si="202"/>
        <v>US</v>
      </c>
      <c r="CB469" s="15" t="s">
        <v>131</v>
      </c>
      <c r="CC469" s="561"/>
      <c r="CD469" s="15" t="s">
        <v>149</v>
      </c>
      <c r="CE469" s="64">
        <v>30</v>
      </c>
      <c r="CF469" s="4">
        <v>1.5</v>
      </c>
      <c r="CG469" s="132">
        <f t="shared" si="203"/>
        <v>45</v>
      </c>
      <c r="CH469" s="4" t="s">
        <v>132</v>
      </c>
      <c r="CI469" s="5">
        <v>0</v>
      </c>
      <c r="CJ469" s="4">
        <v>0</v>
      </c>
      <c r="CK469" s="132">
        <f t="shared" si="204"/>
        <v>0</v>
      </c>
      <c r="CL469" s="4" t="s">
        <v>132</v>
      </c>
      <c r="CM469" s="5">
        <v>0</v>
      </c>
      <c r="CN469" s="4">
        <v>0</v>
      </c>
      <c r="CO469" s="132">
        <f t="shared" si="205"/>
        <v>0</v>
      </c>
      <c r="CP469" s="4" t="s">
        <v>132</v>
      </c>
      <c r="CQ469" s="5">
        <v>0</v>
      </c>
      <c r="CR469" s="4">
        <v>0</v>
      </c>
      <c r="CS469" s="132">
        <f t="shared" si="206"/>
        <v>0</v>
      </c>
      <c r="CT469" s="132">
        <f t="shared" si="207"/>
        <v>45</v>
      </c>
      <c r="CU469" s="238">
        <f t="shared" si="208"/>
        <v>1045</v>
      </c>
      <c r="CV469" s="239">
        <f t="shared" si="191"/>
        <v>41.85</v>
      </c>
      <c r="CW469" s="240">
        <f>(BO469+CV469)-Table1[[#This Row],[TcheckPrePaid]]</f>
        <v>1023.85</v>
      </c>
      <c r="CX469" s="79">
        <f>IF(ISBLANK(E469),"AddQuickPay",IF(E469=2,CU469*0.98,IF(E469=2.4,CU469*0.976,IF(E469=3,CU469*0.97,IF(E469=5,CU469*0.95,IF(E469=1.5,CU469*0.985,IF(E469=2.5,CU469*0.975,IF(E469=1.3,CU469*0.987,IF(E469=1,CU469*0.99,IF(E469=4,CU469*0.96,CU469*1))))))))))-Table1[[#This Row],[ComCheck+QuickPayFee]]</f>
        <v>1024.0999999999999</v>
      </c>
      <c r="CY469" s="237">
        <f t="shared" si="209"/>
        <v>21.149999999999977</v>
      </c>
      <c r="CZ469" s="237">
        <f t="shared" si="210"/>
        <v>20.900000000000002</v>
      </c>
      <c r="DA469" s="263">
        <f>Table1[[#This Row],[OriginalDispatch]]-Table1[[#This Row],[QuickPayCharge]]</f>
        <v>0.24999999999997513</v>
      </c>
      <c r="DB469" s="5">
        <v>0</v>
      </c>
      <c r="DC469" s="237" t="s">
        <v>133</v>
      </c>
      <c r="DD469" s="549">
        <f t="shared" si="211"/>
        <v>42524</v>
      </c>
      <c r="DE469" s="554">
        <f>MONTH(Table1[[#This Row],[Weekending]])</f>
        <v>6</v>
      </c>
      <c r="DF469" s="554">
        <f>YEAR(Table1[[#This Row],[Weekending]])</f>
        <v>2016</v>
      </c>
      <c r="DG469" s="235"/>
    </row>
    <row r="470" spans="1:111">
      <c r="A470" s="548" t="str">
        <f t="shared" si="193"/>
        <v>46363649</v>
      </c>
      <c r="B470" s="549">
        <v>42527</v>
      </c>
      <c r="C470" s="550">
        <v>151846</v>
      </c>
      <c r="D470" s="548" t="s">
        <v>455</v>
      </c>
      <c r="E470" s="550">
        <v>3</v>
      </c>
      <c r="F470" s="551" t="str">
        <f>INDEX(BrokerTBL!$B:$B,MATCH(D470,BrokerTBL!$A:$A,0))</f>
        <v>5600 Headquarters Drive C2D11</v>
      </c>
      <c r="G470" s="550" t="str">
        <f>INDEX(BrokerTBL!$C:$C,MATCH(D470,BrokerTBL!$A:$A,0))</f>
        <v>Plano</v>
      </c>
      <c r="H470" s="235" t="str">
        <f>INDEX(BrokerTBL!$D:$D,MATCH(D470,BrokerTBL!$A:$A,0))</f>
        <v>Tx</v>
      </c>
      <c r="I470" s="235" t="str">
        <f>INDEX(BrokerTBL!$E:$E,MATCH(D470,BrokerTBL!$A:$A,0))</f>
        <v>US</v>
      </c>
      <c r="J470" s="235">
        <f>INDEX(BrokerTBL!$F:$F,MATCH(D470,BrokerTBL!$A:$A,0))</f>
        <v>75024</v>
      </c>
      <c r="K470" s="548" t="s">
        <v>3070</v>
      </c>
      <c r="L470" s="552">
        <v>2699436</v>
      </c>
      <c r="M470" s="549">
        <v>42527</v>
      </c>
      <c r="N470" s="550">
        <v>0.46597222222222223</v>
      </c>
      <c r="O470" s="550" t="s">
        <v>3071</v>
      </c>
      <c r="P470" s="548" t="s">
        <v>2451</v>
      </c>
      <c r="Q470" s="548" t="s">
        <v>2233</v>
      </c>
      <c r="R470" s="548">
        <v>89434</v>
      </c>
      <c r="S470" s="548" t="s">
        <v>2207</v>
      </c>
      <c r="T470" s="548" t="s">
        <v>3072</v>
      </c>
      <c r="U470" s="548" t="s">
        <v>120</v>
      </c>
      <c r="V470" s="548">
        <v>53</v>
      </c>
      <c r="W470" s="548" t="s">
        <v>2124</v>
      </c>
      <c r="X470" s="553">
        <v>22444</v>
      </c>
      <c r="Y470" s="550" t="s">
        <v>123</v>
      </c>
      <c r="Z470" s="548" t="s">
        <v>123</v>
      </c>
      <c r="AA470" s="548" t="s">
        <v>123</v>
      </c>
      <c r="AB470" s="548" t="s">
        <v>123</v>
      </c>
      <c r="AC470" s="548" t="s">
        <v>3073</v>
      </c>
      <c r="AD470" s="552">
        <v>2699436</v>
      </c>
      <c r="AE470" s="549">
        <v>42528</v>
      </c>
      <c r="AF470" s="549">
        <v>0.29166666666666669</v>
      </c>
      <c r="AG470" s="548" t="s">
        <v>3074</v>
      </c>
      <c r="AH470" s="548" t="s">
        <v>2625</v>
      </c>
      <c r="AI470" s="548" t="s">
        <v>2206</v>
      </c>
      <c r="AJ470" s="548">
        <v>94545</v>
      </c>
      <c r="AK470" s="548" t="s">
        <v>2207</v>
      </c>
      <c r="AL470" s="548" t="s">
        <v>123</v>
      </c>
      <c r="AM470" s="554" t="str">
        <f>INDEX(CarrierDriverTBL!$B:$B,MATCH(Table1[[#This Row],[DriverID]],CarrierDriverTBL!$A:$A,0))</f>
        <v>UBTrucking</v>
      </c>
      <c r="AN470" s="10" t="s">
        <v>192</v>
      </c>
      <c r="AO470" s="555" t="str">
        <f>INDEX(CarrierDriverTBL!$C:$C,MATCH(Table1[[#This Row],[DriverID]],CarrierDriverTBL!$A:$A,0))</f>
        <v>Albel</v>
      </c>
      <c r="AP470" s="555" t="str">
        <f>INDEX(CarrierDriverTBL!$D:$D,MATCH(Table1[[#This Row],[DriverID]],CarrierDriverTBL!$A:$A,0))</f>
        <v>Chahil</v>
      </c>
      <c r="AQ470" s="555" t="str">
        <f>INDEX(CarrierDriverTBL!$X:$X,MATCH(Table1[[#This Row],[DriverID]],CarrierDriverTBL!$A:$A,0))</f>
        <v>A8390649</v>
      </c>
      <c r="AR470" s="556">
        <f>INDEX(CarrierDriverTBL!$Y:$Y,MATCH(Table1[[#This Row],[DriverID]],CarrierDriverTBL!$A:$A,0))</f>
        <v>42402</v>
      </c>
      <c r="AS470" s="554" t="str">
        <f t="shared" si="194"/>
        <v>EXPIRED</v>
      </c>
      <c r="AT470" s="556">
        <f>INDEX(CarrierDriverTBL!$E:$E,MATCH(Table1[[#This Row],[DriverID]],CarrierDriverTBL!$A:$A,0))</f>
        <v>22314</v>
      </c>
      <c r="AU470" s="557">
        <f ca="1">INDEX(CarrierDriverTBL!$F:$F,MATCH(Table1[[#This Row],[DriverID]],CarrierDriverTBL!$A:$A,0))</f>
        <v>55.512328767123286</v>
      </c>
      <c r="AV470" s="554" t="str">
        <f>INDEX(CarrierDriverTBL!$K:$K,MATCH(Table1[[#This Row],[DriverID]],CarrierDriverTBL!$A:$A,0))</f>
        <v>510-773-9450</v>
      </c>
      <c r="AW470" s="554" t="str">
        <f>INDEX(CarrierDriverTBL!$M:$M,MATCH(Table1[[#This Row],[DriverID]],CarrierDriverTBL!$A:$A,0))</f>
        <v>3124 Cynthia CT</v>
      </c>
      <c r="AX470" s="554" t="str">
        <f>INDEX(CarrierDriverTBL!$N:$N,MATCH(Table1[[#This Row],[DriverID]],CarrierDriverTBL!$A:$A,0))</f>
        <v>Tracy</v>
      </c>
      <c r="AY470" s="554" t="str">
        <f>INDEX(CarrierDriverTBL!$O:$O,MATCH(Table1[[#This Row],[DriverID]],CarrierDriverTBL!$A:$A,0))</f>
        <v>CA</v>
      </c>
      <c r="AZ470" s="554">
        <f>INDEX(CarrierDriverTBL!$P:$P,MATCH(Table1[[#This Row],[DriverID]],CarrierDriverTBL!$A:$A,0))</f>
        <v>95377</v>
      </c>
      <c r="BA470" s="554" t="str">
        <f>INDEX(CarrierDriverTBL!$Q:$Q,MATCH(Table1[[#This Row],[DriverID]],CarrierDriverTBL!$A:$A,0))</f>
        <v>US</v>
      </c>
      <c r="BB470" s="554" t="str">
        <f>INDEX(CarrierDriverTBL!$R:$R,MATCH(Table1[[#This Row],[DriverID]],CarrierDriverTBL!$A:$A,0))</f>
        <v>ubgollc@gmail.com</v>
      </c>
      <c r="BC470" s="556">
        <f>INDEX(CarrierDriverTBL!$AB:$AB,MATCH(Table1[[#This Row],[DriverID]],CarrierDriverTBL!$A:$A,0))</f>
        <v>42167</v>
      </c>
      <c r="BD470" s="555" t="str">
        <f ca="1">INDEX(CarrierDriverTBL!$AD:$AD,MATCH(LoadMaster!$AN:$AN,CarrierDriverTBL!$A:$A,0))</f>
        <v>MISSING</v>
      </c>
      <c r="BE470" s="555">
        <f>INDEX(CarrierDriverTBL!$AE:$AE,MATCH(Table1[DriverID],CarrierDriverTBL!$A:$A,0))</f>
        <v>913971</v>
      </c>
      <c r="BF470" s="554">
        <f>INDEX(CarrierDriverTBL!$AF:$AF,MATCH(Table1[DriverID],CarrierDriverTBL!$A:$A,0))</f>
        <v>2627544</v>
      </c>
      <c r="BG470" s="236">
        <f>INDEX(CarrierDriverTBL!$AG:$AG,MATCH(Table1[DriverID],CarrierDriverTBL!$A:$A,0))</f>
        <v>466133</v>
      </c>
      <c r="BH470" s="554" t="str">
        <f>INDEX(CarrierDriverTBL!$AH:$AH,MATCH(Table1[DriverID],CarrierDriverTBL!$A:$A,0))</f>
        <v>GM Lawrence Ins</v>
      </c>
      <c r="BI470" s="554" t="str">
        <f>INDEX(CarrierDriverTBL!$AI:$AI,MATCH(Table1[DriverID],CarrierDriverTBL!$A:$A,0))</f>
        <v>DSK2842P160210</v>
      </c>
      <c r="BJ470" s="556">
        <f>INDEX(CarrierDriverTBL!$AJ:$AJ,MATCH(Table1[[#This Row],[DriverID]],CarrierDriverTBL!$A:$A,0))</f>
        <v>42778</v>
      </c>
      <c r="BK470" s="554">
        <f t="shared" si="195"/>
        <v>251</v>
      </c>
      <c r="BL470" s="558">
        <v>475</v>
      </c>
      <c r="BM470" s="554">
        <v>233</v>
      </c>
      <c r="BN470" s="558">
        <f t="shared" si="212"/>
        <v>2.0386266094420602</v>
      </c>
      <c r="BO470" s="241">
        <f>0.93*Table1[[#This Row],[ChargeBroker]]</f>
        <v>441.75</v>
      </c>
      <c r="BP470" s="558">
        <f t="shared" si="213"/>
        <v>1.8959227467811159</v>
      </c>
      <c r="BQ470" s="558">
        <v>2.75</v>
      </c>
      <c r="BR470" s="559">
        <f t="shared" si="214"/>
        <v>0.14166666666666669</v>
      </c>
      <c r="BS470" s="558">
        <f t="shared" si="196"/>
        <v>1.7542560801144493</v>
      </c>
      <c r="BT470" s="558">
        <f t="shared" si="197"/>
        <v>33.00833333333334</v>
      </c>
      <c r="BU470" s="236" t="str">
        <f t="shared" si="198"/>
        <v>Pepsi Logistics Company Inc</v>
      </c>
      <c r="BV470" s="554"/>
      <c r="BW470" s="236" t="str">
        <f>Table1[[#This Row],[BrokerAddress]]</f>
        <v>5600 Headquarters Drive C2D11</v>
      </c>
      <c r="BX470" s="236" t="str">
        <f t="shared" si="199"/>
        <v>Plano</v>
      </c>
      <c r="BY470" s="269" t="str">
        <f t="shared" si="200"/>
        <v>Tx</v>
      </c>
      <c r="BZ470" s="236">
        <f t="shared" si="201"/>
        <v>75024</v>
      </c>
      <c r="CA470" s="236" t="str">
        <f t="shared" si="202"/>
        <v>US</v>
      </c>
      <c r="CB470" s="15" t="s">
        <v>131</v>
      </c>
      <c r="CC470" s="561"/>
      <c r="CD470" s="15" t="s">
        <v>132</v>
      </c>
      <c r="CE470" s="64">
        <v>0</v>
      </c>
      <c r="CF470" s="4">
        <v>0</v>
      </c>
      <c r="CG470" s="132">
        <f t="shared" si="203"/>
        <v>0</v>
      </c>
      <c r="CH470" s="4" t="s">
        <v>132</v>
      </c>
      <c r="CI470" s="5">
        <v>0</v>
      </c>
      <c r="CJ470" s="4">
        <v>0</v>
      </c>
      <c r="CK470" s="132">
        <f t="shared" si="204"/>
        <v>0</v>
      </c>
      <c r="CL470" s="4" t="s">
        <v>132</v>
      </c>
      <c r="CM470" s="5">
        <v>0</v>
      </c>
      <c r="CN470" s="4">
        <v>0</v>
      </c>
      <c r="CO470" s="132">
        <f t="shared" si="205"/>
        <v>0</v>
      </c>
      <c r="CP470" s="4" t="s">
        <v>132</v>
      </c>
      <c r="CQ470" s="5">
        <v>0</v>
      </c>
      <c r="CR470" s="4">
        <v>0</v>
      </c>
      <c r="CS470" s="132">
        <f t="shared" si="206"/>
        <v>0</v>
      </c>
      <c r="CT470" s="132">
        <f t="shared" si="207"/>
        <v>0</v>
      </c>
      <c r="CU470" s="238">
        <f t="shared" si="208"/>
        <v>475</v>
      </c>
      <c r="CV470" s="239">
        <f t="shared" si="191"/>
        <v>0</v>
      </c>
      <c r="CW470" s="240">
        <f>(BO470+CV470)-Table1[[#This Row],[TcheckPrePaid]]</f>
        <v>441.75</v>
      </c>
      <c r="CX470" s="79">
        <f>IF(ISBLANK(E470),"AddQuickPay",IF(E470=2,CU470*0.98,IF(E470=2.4,CU470*0.976,IF(E470=3,CU470*0.97,IF(E470=5,CU470*0.95,IF(E470=1.5,CU470*0.985,IF(E470=2.5,CU470*0.975,IF(E470=1.3,CU470*0.987,IF(E470=1,CU470*0.99,IF(E470=4,CU470*0.96,CU470*1))))))))))-Table1[[#This Row],[ComCheck+QuickPayFee]]</f>
        <v>460.75</v>
      </c>
      <c r="CY470" s="237">
        <f t="shared" si="209"/>
        <v>33.25</v>
      </c>
      <c r="CZ470" s="237">
        <f t="shared" si="210"/>
        <v>14.25</v>
      </c>
      <c r="DA470" s="263">
        <f>Table1[[#This Row],[OriginalDispatch]]-Table1[[#This Row],[QuickPayCharge]]</f>
        <v>19</v>
      </c>
      <c r="DB470" s="5">
        <v>0</v>
      </c>
      <c r="DC470" s="237" t="s">
        <v>133</v>
      </c>
      <c r="DD470" s="549">
        <f t="shared" si="211"/>
        <v>42531</v>
      </c>
      <c r="DE470" s="554">
        <f>MONTH(Table1[[#This Row],[Weekending]])</f>
        <v>6</v>
      </c>
      <c r="DF470" s="554">
        <f>YEAR(Table1[[#This Row],[Weekending]])</f>
        <v>2016</v>
      </c>
      <c r="DG470" s="235"/>
    </row>
    <row r="471" spans="1:111">
      <c r="A471" s="548" t="str">
        <f t="shared" si="193"/>
        <v>47wnwn19</v>
      </c>
      <c r="B471" s="549">
        <v>42527</v>
      </c>
      <c r="C471" s="550">
        <v>7847847</v>
      </c>
      <c r="D471" s="548" t="s">
        <v>2185</v>
      </c>
      <c r="E471" s="550">
        <v>4</v>
      </c>
      <c r="F471" s="551" t="str">
        <f>INDEX(BrokerTBL!$B:$B,MATCH(D471,BrokerTBL!$A:$A,0))</f>
        <v>PO Box 6348</v>
      </c>
      <c r="G471" s="550" t="str">
        <f>INDEX(BrokerTBL!$C:$C,MATCH(D471,BrokerTBL!$A:$A,0))</f>
        <v>Scottsdale</v>
      </c>
      <c r="H471" s="235" t="str">
        <f>INDEX(BrokerTBL!$D:$D,MATCH(D471,BrokerTBL!$A:$A,0))</f>
        <v>Az</v>
      </c>
      <c r="I471" s="235" t="str">
        <f>INDEX(BrokerTBL!$E:$E,MATCH(D471,BrokerTBL!$A:$A,0))</f>
        <v>US</v>
      </c>
      <c r="J471" s="235">
        <f>INDEX(BrokerTBL!$F:$F,MATCH(D471,BrokerTBL!$A:$A,0))</f>
        <v>85258</v>
      </c>
      <c r="K471" s="548" t="s">
        <v>2374</v>
      </c>
      <c r="L471" s="552" t="s">
        <v>1205</v>
      </c>
      <c r="M471" s="549">
        <v>42527</v>
      </c>
      <c r="N471" s="550" t="s">
        <v>3075</v>
      </c>
      <c r="O471" s="550" t="s">
        <v>2375</v>
      </c>
      <c r="P471" s="548" t="s">
        <v>214</v>
      </c>
      <c r="Q471" s="548" t="s">
        <v>2206</v>
      </c>
      <c r="R471" s="548">
        <v>93725</v>
      </c>
      <c r="S471" s="548" t="s">
        <v>2207</v>
      </c>
      <c r="T471" s="548" t="s">
        <v>123</v>
      </c>
      <c r="U471" s="548" t="s">
        <v>120</v>
      </c>
      <c r="V471" s="548">
        <v>53</v>
      </c>
      <c r="W471" s="548" t="s">
        <v>2376</v>
      </c>
      <c r="X471" s="553">
        <v>44708</v>
      </c>
      <c r="Y471" s="550" t="s">
        <v>2220</v>
      </c>
      <c r="Z471" s="548">
        <v>1793</v>
      </c>
      <c r="AA471" s="548">
        <v>27</v>
      </c>
      <c r="AB471" s="548" t="s">
        <v>123</v>
      </c>
      <c r="AC471" s="548" t="s">
        <v>2377</v>
      </c>
      <c r="AD471" s="552" t="s">
        <v>1205</v>
      </c>
      <c r="AE471" s="549">
        <v>42528</v>
      </c>
      <c r="AF471" s="549" t="s">
        <v>2711</v>
      </c>
      <c r="AG471" s="548" t="s">
        <v>2378</v>
      </c>
      <c r="AH471" s="548" t="s">
        <v>2466</v>
      </c>
      <c r="AI471" s="548" t="s">
        <v>2233</v>
      </c>
      <c r="AJ471" s="548">
        <v>89502</v>
      </c>
      <c r="AK471" s="548" t="s">
        <v>2207</v>
      </c>
      <c r="AL471" s="548" t="s">
        <v>123</v>
      </c>
      <c r="AM471" s="554" t="str">
        <f>INDEX(CarrierDriverTBL!$B:$B,MATCH(Table1[[#This Row],[DriverID]],CarrierDriverTBL!$A:$A,0))</f>
        <v>UBTrucking</v>
      </c>
      <c r="AN471" s="10" t="s">
        <v>1409</v>
      </c>
      <c r="AO471" s="555" t="str">
        <f>INDEX(CarrierDriverTBL!$C:$C,MATCH(Table1[[#This Row],[DriverID]],CarrierDriverTBL!$A:$A,0))</f>
        <v>Miguel Jaime</v>
      </c>
      <c r="AP471" s="555" t="str">
        <f>INDEX(CarrierDriverTBL!$D:$D,MATCH(Table1[[#This Row],[DriverID]],CarrierDriverTBL!$A:$A,0))</f>
        <v>Martin Del Campo Velarca</v>
      </c>
      <c r="AQ471" s="555" t="str">
        <f>INDEX(CarrierDriverTBL!$X:$X,MATCH(Table1[[#This Row],[DriverID]],CarrierDriverTBL!$A:$A,0))</f>
        <v>D5179619</v>
      </c>
      <c r="AR471" s="556">
        <f>INDEX(CarrierDriverTBL!$Y:$Y,MATCH(Table1[[#This Row],[DriverID]],CarrierDriverTBL!$A:$A,0))</f>
        <v>43843</v>
      </c>
      <c r="AS471" s="554" t="str">
        <f t="shared" si="194"/>
        <v>GOOD</v>
      </c>
      <c r="AT471" s="556">
        <f>INDEX(CarrierDriverTBL!$E:$E,MATCH(Table1[[#This Row],[DriverID]],CarrierDriverTBL!$A:$A,0))</f>
        <v>21198</v>
      </c>
      <c r="AU471" s="557">
        <f ca="1">INDEX(CarrierDriverTBL!$F:$F,MATCH(Table1[[#This Row],[DriverID]],CarrierDriverTBL!$A:$A,0))</f>
        <v>58.56986301369863</v>
      </c>
      <c r="AV471" s="554" t="str">
        <f>INDEX(CarrierDriverTBL!$K:$K,MATCH(Table1[[#This Row],[DriverID]],CarrierDriverTBL!$A:$A,0))</f>
        <v>209-322-5231</v>
      </c>
      <c r="AW471" s="554" t="str">
        <f>INDEX(CarrierDriverTBL!$M:$M,MATCH(Table1[[#This Row],[DriverID]],CarrierDriverTBL!$A:$A,0))</f>
        <v>572 Predersen RD</v>
      </c>
      <c r="AX471" s="554" t="str">
        <f>INDEX(CarrierDriverTBL!$N:$N,MATCH(Table1[[#This Row],[DriverID]],CarrierDriverTBL!$A:$A,0))</f>
        <v>Oakdale</v>
      </c>
      <c r="AY471" s="554" t="str">
        <f>INDEX(CarrierDriverTBL!$O:$O,MATCH(Table1[[#This Row],[DriverID]],CarrierDriverTBL!$A:$A,0))</f>
        <v>CA</v>
      </c>
      <c r="AZ471" s="554">
        <f>INDEX(CarrierDriverTBL!$P:$P,MATCH(Table1[[#This Row],[DriverID]],CarrierDriverTBL!$A:$A,0))</f>
        <v>95361</v>
      </c>
      <c r="BA471" s="554" t="str">
        <f>INDEX(CarrierDriverTBL!$Q:$Q,MATCH(Table1[[#This Row],[DriverID]],CarrierDriverTBL!$A:$A,0))</f>
        <v>US</v>
      </c>
      <c r="BB471" s="554" t="str">
        <f>INDEX(CarrierDriverTBL!$R:$R,MATCH(Table1[[#This Row],[DriverID]],CarrierDriverTBL!$A:$A,0))</f>
        <v>Miguelmartin52@yahoo.com</v>
      </c>
      <c r="BC471" s="556">
        <f>INDEX(CarrierDriverTBL!$AB:$AB,MATCH(Table1[[#This Row],[DriverID]],CarrierDriverTBL!$A:$A,0))</f>
        <v>42334</v>
      </c>
      <c r="BD471" s="555" t="str">
        <f ca="1">INDEX(CarrierDriverTBL!$AD:$AD,MATCH(LoadMaster!$AN:$AN,CarrierDriverTBL!$A:$A,0))</f>
        <v>MISSING</v>
      </c>
      <c r="BE471" s="555">
        <f>INDEX(CarrierDriverTBL!$AE:$AE,MATCH(Table1[DriverID],CarrierDriverTBL!$A:$A,0))</f>
        <v>913971</v>
      </c>
      <c r="BF471" s="554">
        <f>INDEX(CarrierDriverTBL!$AF:$AF,MATCH(Table1[DriverID],CarrierDriverTBL!$A:$A,0))</f>
        <v>2627544</v>
      </c>
      <c r="BG471" s="236">
        <f>INDEX(CarrierDriverTBL!$AG:$AG,MATCH(Table1[DriverID],CarrierDriverTBL!$A:$A,0))</f>
        <v>466133</v>
      </c>
      <c r="BH471" s="554" t="str">
        <f>INDEX(CarrierDriverTBL!$AH:$AH,MATCH(Table1[DriverID],CarrierDriverTBL!$A:$A,0))</f>
        <v>GM Lawrence Ins</v>
      </c>
      <c r="BI471" s="554" t="str">
        <f>INDEX(CarrierDriverTBL!$AI:$AI,MATCH(Table1[DriverID],CarrierDriverTBL!$A:$A,0))</f>
        <v>DSK2842P160210</v>
      </c>
      <c r="BJ471" s="556">
        <f>INDEX(CarrierDriverTBL!$AJ:$AJ,MATCH(Table1[[#This Row],[DriverID]],CarrierDriverTBL!$A:$A,0))</f>
        <v>42778</v>
      </c>
      <c r="BK471" s="554">
        <f t="shared" si="195"/>
        <v>251</v>
      </c>
      <c r="BL471" s="558">
        <v>750</v>
      </c>
      <c r="BM471" s="554">
        <v>300.10000000000002</v>
      </c>
      <c r="BN471" s="558">
        <f t="shared" si="212"/>
        <v>2.4991669443518827</v>
      </c>
      <c r="BO471" s="241">
        <f>0.93*Table1[[#This Row],[ChargeBroker]]</f>
        <v>697.5</v>
      </c>
      <c r="BP471" s="558">
        <f t="shared" si="213"/>
        <v>2.3242252582472509</v>
      </c>
      <c r="BQ471" s="558">
        <v>2.75</v>
      </c>
      <c r="BR471" s="559">
        <f t="shared" si="214"/>
        <v>0.14166666666666669</v>
      </c>
      <c r="BS471" s="558">
        <f t="shared" si="196"/>
        <v>2.1825585915805843</v>
      </c>
      <c r="BT471" s="558">
        <f t="shared" si="197"/>
        <v>42.514166666666675</v>
      </c>
      <c r="BU471" s="236" t="str">
        <f t="shared" si="198"/>
        <v>Globaltranz</v>
      </c>
      <c r="BV471" s="554"/>
      <c r="BW471" s="236" t="str">
        <f>Table1[[#This Row],[BrokerAddress]]</f>
        <v>PO Box 6348</v>
      </c>
      <c r="BX471" s="236" t="str">
        <f t="shared" si="199"/>
        <v>Scottsdale</v>
      </c>
      <c r="BY471" s="269" t="str">
        <f t="shared" si="200"/>
        <v>Az</v>
      </c>
      <c r="BZ471" s="236">
        <f t="shared" si="201"/>
        <v>85258</v>
      </c>
      <c r="CA471" s="236" t="str">
        <f t="shared" si="202"/>
        <v>US</v>
      </c>
      <c r="CB471" s="15" t="s">
        <v>131</v>
      </c>
      <c r="CC471" s="561"/>
      <c r="CD471" s="15" t="s">
        <v>3076</v>
      </c>
      <c r="CE471" s="64">
        <v>-50</v>
      </c>
      <c r="CF471" s="4">
        <v>1</v>
      </c>
      <c r="CG471" s="132">
        <f t="shared" si="203"/>
        <v>-50</v>
      </c>
      <c r="CH471" s="4" t="s">
        <v>132</v>
      </c>
      <c r="CI471" s="5">
        <v>0</v>
      </c>
      <c r="CJ471" s="4">
        <v>0</v>
      </c>
      <c r="CK471" s="132">
        <f t="shared" si="204"/>
        <v>0</v>
      </c>
      <c r="CL471" s="4" t="s">
        <v>132</v>
      </c>
      <c r="CM471" s="5">
        <v>0</v>
      </c>
      <c r="CN471" s="4">
        <v>0</v>
      </c>
      <c r="CO471" s="132">
        <f t="shared" si="205"/>
        <v>0</v>
      </c>
      <c r="CP471" s="4" t="s">
        <v>132</v>
      </c>
      <c r="CQ471" s="5">
        <v>0</v>
      </c>
      <c r="CR471" s="4">
        <v>0</v>
      </c>
      <c r="CS471" s="132">
        <f t="shared" si="206"/>
        <v>0</v>
      </c>
      <c r="CT471" s="132">
        <f t="shared" si="207"/>
        <v>-50</v>
      </c>
      <c r="CU471" s="238">
        <f t="shared" si="208"/>
        <v>700</v>
      </c>
      <c r="CV471" s="239">
        <v>0</v>
      </c>
      <c r="CW471" s="240">
        <f>(BO471+CV471)-Table1[[#This Row],[TcheckPrePaid]]</f>
        <v>697.5</v>
      </c>
      <c r="CX471" s="79">
        <f>IF(ISBLANK(E471),"AddQuickPay",IF(E471=2,CU471*0.98,IF(E471=2.4,CU471*0.976,IF(E471=3,CU471*0.97,IF(E471=5,CU471*0.95,IF(E471=1.5,CU471*0.985,IF(E471=2.5,CU471*0.975,IF(E471=1.3,CU471*0.987,IF(E471=1,CU471*0.99,IF(E471=4,CU471*0.96,CU471*1))))))))))-Table1[[#This Row],[ComCheck+QuickPayFee]]</f>
        <v>672</v>
      </c>
      <c r="CY471" s="237">
        <f t="shared" si="209"/>
        <v>2.5</v>
      </c>
      <c r="CZ471" s="237">
        <f t="shared" si="210"/>
        <v>28</v>
      </c>
      <c r="DA471" s="263">
        <f>Table1[[#This Row],[OriginalDispatch]]-Table1[[#This Row],[QuickPayCharge]]</f>
        <v>-25.5</v>
      </c>
      <c r="DB471" s="5">
        <v>0</v>
      </c>
      <c r="DC471" s="237" t="s">
        <v>133</v>
      </c>
      <c r="DD471" s="549">
        <f t="shared" si="211"/>
        <v>42531</v>
      </c>
      <c r="DE471" s="554">
        <f>MONTH(Table1[[#This Row],[Weekending]])</f>
        <v>6</v>
      </c>
      <c r="DF471" s="554">
        <f>YEAR(Table1[[#This Row],[Weekending]])</f>
        <v>2016</v>
      </c>
      <c r="DG471" s="235"/>
    </row>
    <row r="472" spans="1:111">
      <c r="A472" s="548" t="str">
        <f t="shared" si="193"/>
        <v>68454549</v>
      </c>
      <c r="B472" s="549">
        <v>42535</v>
      </c>
      <c r="C472" s="550">
        <v>203553768</v>
      </c>
      <c r="D472" s="548" t="s">
        <v>111</v>
      </c>
      <c r="E472" s="550">
        <v>2</v>
      </c>
      <c r="F472" s="551" t="str">
        <f>INDEX(BrokerTBL!$B:$B,MATCH(D472,BrokerTBL!$A:$A,0))</f>
        <v>P.O. Box 3474</v>
      </c>
      <c r="G472" s="550" t="str">
        <f>INDEX(BrokerTBL!$C:$C,MATCH(D472,BrokerTBL!$A:$A,0))</f>
        <v>Chicago</v>
      </c>
      <c r="H472" s="235" t="str">
        <f>INDEX(BrokerTBL!$D:$D,MATCH(D472,BrokerTBL!$A:$A,0))</f>
        <v>Il</v>
      </c>
      <c r="I472" s="235" t="str">
        <f>INDEX(BrokerTBL!$E:$E,MATCH(D472,BrokerTBL!$A:$A,0))</f>
        <v>US</v>
      </c>
      <c r="J472" s="235">
        <f>INDEX(BrokerTBL!$F:$F,MATCH(D472,BrokerTBL!$A:$A,0))</f>
        <v>60654</v>
      </c>
      <c r="K472" s="548" t="s">
        <v>3077</v>
      </c>
      <c r="L472" s="552">
        <v>3657928245</v>
      </c>
      <c r="M472" s="549">
        <v>42529</v>
      </c>
      <c r="N472" s="550" t="s">
        <v>1398</v>
      </c>
      <c r="O472" s="550" t="s">
        <v>3078</v>
      </c>
      <c r="P472" s="548" t="s">
        <v>2451</v>
      </c>
      <c r="Q472" s="548" t="s">
        <v>2233</v>
      </c>
      <c r="R472" s="548">
        <v>89434</v>
      </c>
      <c r="S472" s="548" t="s">
        <v>2207</v>
      </c>
      <c r="T472" s="548" t="s">
        <v>123</v>
      </c>
      <c r="U472" s="548" t="s">
        <v>120</v>
      </c>
      <c r="V472" s="548">
        <v>53</v>
      </c>
      <c r="W472" s="548" t="s">
        <v>3079</v>
      </c>
      <c r="X472" s="553">
        <v>37500</v>
      </c>
      <c r="Y472" s="550" t="s">
        <v>2220</v>
      </c>
      <c r="Z472" s="548" t="s">
        <v>123</v>
      </c>
      <c r="AA472" s="548" t="s">
        <v>123</v>
      </c>
      <c r="AB472" s="548" t="s">
        <v>123</v>
      </c>
      <c r="AC472" s="548" t="s">
        <v>3080</v>
      </c>
      <c r="AD472" s="552">
        <v>3657928245</v>
      </c>
      <c r="AE472" s="549">
        <v>42530</v>
      </c>
      <c r="AF472" s="549" t="s">
        <v>1045</v>
      </c>
      <c r="AG472" s="548" t="s">
        <v>3081</v>
      </c>
      <c r="AH472" s="548" t="s">
        <v>2639</v>
      </c>
      <c r="AI472" s="548" t="s">
        <v>2206</v>
      </c>
      <c r="AJ472" s="548">
        <v>94587</v>
      </c>
      <c r="AK472" s="548" t="s">
        <v>2207</v>
      </c>
      <c r="AL472" s="548" t="s">
        <v>123</v>
      </c>
      <c r="AM472" s="554" t="str">
        <f>INDEX(CarrierDriverTBL!$B:$B,MATCH(Table1[[#This Row],[DriverID]],CarrierDriverTBL!$A:$A,0))</f>
        <v>UBTrucking</v>
      </c>
      <c r="AN472" s="10" t="s">
        <v>192</v>
      </c>
      <c r="AO472" s="555" t="str">
        <f>INDEX(CarrierDriverTBL!$C:$C,MATCH(Table1[[#This Row],[DriverID]],CarrierDriverTBL!$A:$A,0))</f>
        <v>Albel</v>
      </c>
      <c r="AP472" s="555" t="str">
        <f>INDEX(CarrierDriverTBL!$D:$D,MATCH(Table1[[#This Row],[DriverID]],CarrierDriverTBL!$A:$A,0))</f>
        <v>Chahil</v>
      </c>
      <c r="AQ472" s="555" t="str">
        <f>INDEX(CarrierDriverTBL!$X:$X,MATCH(Table1[[#This Row],[DriverID]],CarrierDriverTBL!$A:$A,0))</f>
        <v>A8390649</v>
      </c>
      <c r="AR472" s="556">
        <f>INDEX(CarrierDriverTBL!$Y:$Y,MATCH(Table1[[#This Row],[DriverID]],CarrierDriverTBL!$A:$A,0))</f>
        <v>42402</v>
      </c>
      <c r="AS472" s="554" t="str">
        <f t="shared" si="194"/>
        <v>EXPIRED</v>
      </c>
      <c r="AT472" s="556">
        <f>INDEX(CarrierDriverTBL!$E:$E,MATCH(Table1[[#This Row],[DriverID]],CarrierDriverTBL!$A:$A,0))</f>
        <v>22314</v>
      </c>
      <c r="AU472" s="557">
        <f ca="1">INDEX(CarrierDriverTBL!$F:$F,MATCH(Table1[[#This Row],[DriverID]],CarrierDriverTBL!$A:$A,0))</f>
        <v>55.512328767123286</v>
      </c>
      <c r="AV472" s="554" t="str">
        <f>INDEX(CarrierDriverTBL!$K:$K,MATCH(Table1[[#This Row],[DriverID]],CarrierDriverTBL!$A:$A,0))</f>
        <v>510-773-9450</v>
      </c>
      <c r="AW472" s="554" t="str">
        <f>INDEX(CarrierDriverTBL!$M:$M,MATCH(Table1[[#This Row],[DriverID]],CarrierDriverTBL!$A:$A,0))</f>
        <v>3124 Cynthia CT</v>
      </c>
      <c r="AX472" s="554" t="str">
        <f>INDEX(CarrierDriverTBL!$N:$N,MATCH(Table1[[#This Row],[DriverID]],CarrierDriverTBL!$A:$A,0))</f>
        <v>Tracy</v>
      </c>
      <c r="AY472" s="554" t="str">
        <f>INDEX(CarrierDriverTBL!$O:$O,MATCH(Table1[[#This Row],[DriverID]],CarrierDriverTBL!$A:$A,0))</f>
        <v>CA</v>
      </c>
      <c r="AZ472" s="554">
        <f>INDEX(CarrierDriverTBL!$P:$P,MATCH(Table1[[#This Row],[DriverID]],CarrierDriverTBL!$A:$A,0))</f>
        <v>95377</v>
      </c>
      <c r="BA472" s="554" t="str">
        <f>INDEX(CarrierDriverTBL!$Q:$Q,MATCH(Table1[[#This Row],[DriverID]],CarrierDriverTBL!$A:$A,0))</f>
        <v>US</v>
      </c>
      <c r="BB472" s="554" t="str">
        <f>INDEX(CarrierDriverTBL!$R:$R,MATCH(Table1[[#This Row],[DriverID]],CarrierDriverTBL!$A:$A,0))</f>
        <v>ubgollc@gmail.com</v>
      </c>
      <c r="BC472" s="556">
        <f>INDEX(CarrierDriverTBL!$AB:$AB,MATCH(Table1[[#This Row],[DriverID]],CarrierDriverTBL!$A:$A,0))</f>
        <v>42167</v>
      </c>
      <c r="BD472" s="555" t="str">
        <f ca="1">INDEX(CarrierDriverTBL!$AD:$AD,MATCH(LoadMaster!$AN:$AN,CarrierDriverTBL!$A:$A,0))</f>
        <v>MISSING</v>
      </c>
      <c r="BE472" s="555">
        <f>INDEX(CarrierDriverTBL!$AE:$AE,MATCH(Table1[DriverID],CarrierDriverTBL!$A:$A,0))</f>
        <v>913971</v>
      </c>
      <c r="BF472" s="554">
        <f>INDEX(CarrierDriverTBL!$AF:$AF,MATCH(Table1[DriverID],CarrierDriverTBL!$A:$A,0))</f>
        <v>2627544</v>
      </c>
      <c r="BG472" s="236">
        <f>INDEX(CarrierDriverTBL!$AG:$AG,MATCH(Table1[DriverID],CarrierDriverTBL!$A:$A,0))</f>
        <v>466133</v>
      </c>
      <c r="BH472" s="554" t="str">
        <f>INDEX(CarrierDriverTBL!$AH:$AH,MATCH(Table1[DriverID],CarrierDriverTBL!$A:$A,0))</f>
        <v>GM Lawrence Ins</v>
      </c>
      <c r="BI472" s="554" t="str">
        <f>INDEX(CarrierDriverTBL!$AI:$AI,MATCH(Table1[DriverID],CarrierDriverTBL!$A:$A,0))</f>
        <v>DSK2842P160210</v>
      </c>
      <c r="BJ472" s="556">
        <f>INDEX(CarrierDriverTBL!$AJ:$AJ,MATCH(Table1[[#This Row],[DriverID]],CarrierDriverTBL!$A:$A,0))</f>
        <v>42778</v>
      </c>
      <c r="BK472" s="554">
        <f t="shared" si="195"/>
        <v>249</v>
      </c>
      <c r="BL472" s="558">
        <v>450</v>
      </c>
      <c r="BM472" s="554">
        <v>235.6</v>
      </c>
      <c r="BN472" s="558">
        <f t="shared" si="212"/>
        <v>1.9100169779286928</v>
      </c>
      <c r="BO472" s="241">
        <f>0.93*450</f>
        <v>418.5</v>
      </c>
      <c r="BP472" s="558">
        <f t="shared" si="213"/>
        <v>1.7763157894736843</v>
      </c>
      <c r="BQ472" s="558">
        <v>2.75</v>
      </c>
      <c r="BR472" s="559">
        <f t="shared" si="214"/>
        <v>0.14166666666666669</v>
      </c>
      <c r="BS472" s="558">
        <f t="shared" si="196"/>
        <v>1.6346491228070177</v>
      </c>
      <c r="BT472" s="558">
        <f t="shared" si="197"/>
        <v>33.376666666666672</v>
      </c>
      <c r="BU472" s="236" t="str">
        <f t="shared" si="198"/>
        <v>Ch Robinson</v>
      </c>
      <c r="BV472" s="554"/>
      <c r="BW472" s="236" t="str">
        <f>Table1[[#This Row],[BrokerAddress]]</f>
        <v>P.O. Box 3474</v>
      </c>
      <c r="BX472" s="236" t="str">
        <f t="shared" si="199"/>
        <v>Chicago</v>
      </c>
      <c r="BY472" s="269" t="str">
        <f t="shared" si="200"/>
        <v>Il</v>
      </c>
      <c r="BZ472" s="236">
        <f t="shared" si="201"/>
        <v>60654</v>
      </c>
      <c r="CA472" s="236" t="str">
        <f t="shared" si="202"/>
        <v>US</v>
      </c>
      <c r="CB472" s="15" t="s">
        <v>131</v>
      </c>
      <c r="CC472" s="561"/>
      <c r="CD472" s="15" t="s">
        <v>132</v>
      </c>
      <c r="CE472" s="64">
        <v>0</v>
      </c>
      <c r="CF472" s="4">
        <v>0</v>
      </c>
      <c r="CG472" s="132">
        <f t="shared" si="203"/>
        <v>0</v>
      </c>
      <c r="CH472" s="4" t="s">
        <v>132</v>
      </c>
      <c r="CI472" s="5">
        <v>0</v>
      </c>
      <c r="CJ472" s="4">
        <v>0</v>
      </c>
      <c r="CK472" s="132">
        <f t="shared" si="204"/>
        <v>0</v>
      </c>
      <c r="CL472" s="4" t="s">
        <v>132</v>
      </c>
      <c r="CM472" s="5">
        <v>0</v>
      </c>
      <c r="CN472" s="4">
        <v>0</v>
      </c>
      <c r="CO472" s="132">
        <f t="shared" si="205"/>
        <v>0</v>
      </c>
      <c r="CP472" s="4" t="s">
        <v>132</v>
      </c>
      <c r="CQ472" s="5">
        <v>0</v>
      </c>
      <c r="CR472" s="4">
        <v>0</v>
      </c>
      <c r="CS472" s="132">
        <f t="shared" si="206"/>
        <v>0</v>
      </c>
      <c r="CT472" s="132">
        <f t="shared" si="207"/>
        <v>0</v>
      </c>
      <c r="CU472" s="238">
        <f t="shared" si="208"/>
        <v>450</v>
      </c>
      <c r="CV472" s="239">
        <f t="shared" si="191"/>
        <v>0</v>
      </c>
      <c r="CW472" s="240">
        <f>(BO472+CV472)-Table1[[#This Row],[TcheckPrePaid]]</f>
        <v>418.5</v>
      </c>
      <c r="CX472" s="79">
        <f>IF(ISBLANK(E472),"AddQuickPay",IF(E472=2,CU472*0.98,IF(E472=2.4,CU472*0.976,IF(E472=3,CU472*0.97,IF(E472=5,CU472*0.95,IF(E472=1.5,CU472*0.985,IF(E472=2.5,CU472*0.975,IF(E472=1.3,CU472*0.987,IF(E472=1,CU472*0.99,IF(E472=4,CU472*0.96,CU472*1))))))))))-Table1[[#This Row],[ComCheck+QuickPayFee]]</f>
        <v>441</v>
      </c>
      <c r="CY472" s="237">
        <f t="shared" si="209"/>
        <v>31.5</v>
      </c>
      <c r="CZ472" s="237">
        <f t="shared" si="210"/>
        <v>9</v>
      </c>
      <c r="DA472" s="263">
        <f>Table1[[#This Row],[OriginalDispatch]]-Table1[[#This Row],[QuickPayCharge]]</f>
        <v>22.5</v>
      </c>
      <c r="DB472" s="5">
        <v>0</v>
      </c>
      <c r="DC472" s="237" t="s">
        <v>133</v>
      </c>
      <c r="DD472" s="549">
        <f t="shared" si="211"/>
        <v>42531</v>
      </c>
      <c r="DE472" s="554">
        <f>MONTH(Table1[[#This Row],[Weekending]])</f>
        <v>6</v>
      </c>
      <c r="DF472" s="554">
        <f>YEAR(Table1[[#This Row],[Weekending]])</f>
        <v>2016</v>
      </c>
      <c r="DG472" s="235"/>
    </row>
    <row r="473" spans="1:111">
      <c r="A473" s="548" t="str">
        <f t="shared" si="193"/>
        <v>05itwn19</v>
      </c>
      <c r="B473" s="549">
        <v>42535</v>
      </c>
      <c r="C473" s="550">
        <v>203468205</v>
      </c>
      <c r="D473" s="548" t="s">
        <v>111</v>
      </c>
      <c r="E473" s="550">
        <v>2</v>
      </c>
      <c r="F473" s="551" t="str">
        <f>INDEX(BrokerTBL!$B:$B,MATCH(D473,BrokerTBL!$A:$A,0))</f>
        <v>P.O. Box 3474</v>
      </c>
      <c r="G473" s="550" t="str">
        <f>INDEX(BrokerTBL!$C:$C,MATCH(D473,BrokerTBL!$A:$A,0))</f>
        <v>Chicago</v>
      </c>
      <c r="H473" s="235" t="str">
        <f>INDEX(BrokerTBL!$D:$D,MATCH(D473,BrokerTBL!$A:$A,0))</f>
        <v>Il</v>
      </c>
      <c r="I473" s="235" t="str">
        <f>INDEX(BrokerTBL!$E:$E,MATCH(D473,BrokerTBL!$A:$A,0))</f>
        <v>US</v>
      </c>
      <c r="J473" s="235">
        <f>INDEX(BrokerTBL!$F:$F,MATCH(D473,BrokerTBL!$A:$A,0))</f>
        <v>60654</v>
      </c>
      <c r="K473" s="548" t="s">
        <v>3082</v>
      </c>
      <c r="L473" s="552" t="s">
        <v>3083</v>
      </c>
      <c r="M473" s="549">
        <v>42528</v>
      </c>
      <c r="N473" s="550" t="s">
        <v>1055</v>
      </c>
      <c r="O473" s="550" t="s">
        <v>3084</v>
      </c>
      <c r="P473" s="548" t="s">
        <v>738</v>
      </c>
      <c r="Q473" s="548" t="s">
        <v>2233</v>
      </c>
      <c r="R473" s="548" t="s">
        <v>3085</v>
      </c>
      <c r="S473" s="548" t="s">
        <v>2207</v>
      </c>
      <c r="T473" s="548" t="s">
        <v>123</v>
      </c>
      <c r="U473" s="548" t="s">
        <v>120</v>
      </c>
      <c r="V473" s="548">
        <v>53</v>
      </c>
      <c r="W473" s="548" t="s">
        <v>3086</v>
      </c>
      <c r="X473" s="553">
        <v>6375</v>
      </c>
      <c r="Y473" s="550" t="s">
        <v>2220</v>
      </c>
      <c r="Z473" s="548" t="s">
        <v>123</v>
      </c>
      <c r="AA473" s="548" t="s">
        <v>123</v>
      </c>
      <c r="AB473" s="548" t="s">
        <v>123</v>
      </c>
      <c r="AC473" s="548" t="s">
        <v>3087</v>
      </c>
      <c r="AD473" s="552" t="s">
        <v>1205</v>
      </c>
      <c r="AE473" s="549">
        <v>42529</v>
      </c>
      <c r="AF473" s="549" t="s">
        <v>1150</v>
      </c>
      <c r="AG473" s="548" t="s">
        <v>3088</v>
      </c>
      <c r="AH473" s="548" t="s">
        <v>335</v>
      </c>
      <c r="AI473" s="548" t="s">
        <v>2206</v>
      </c>
      <c r="AJ473" s="548">
        <v>94559</v>
      </c>
      <c r="AK473" s="548" t="s">
        <v>2207</v>
      </c>
      <c r="AL473" s="548" t="s">
        <v>123</v>
      </c>
      <c r="AM473" s="554" t="str">
        <f>INDEX(CarrierDriverTBL!$B:$B,MATCH(Table1[[#This Row],[DriverID]],CarrierDriverTBL!$A:$A,0))</f>
        <v>UBTrucking</v>
      </c>
      <c r="AN473" s="10" t="s">
        <v>1409</v>
      </c>
      <c r="AO473" s="555" t="str">
        <f>INDEX(CarrierDriverTBL!$C:$C,MATCH(Table1[[#This Row],[DriverID]],CarrierDriverTBL!$A:$A,0))</f>
        <v>Miguel Jaime</v>
      </c>
      <c r="AP473" s="555" t="str">
        <f>INDEX(CarrierDriverTBL!$D:$D,MATCH(Table1[[#This Row],[DriverID]],CarrierDriverTBL!$A:$A,0))</f>
        <v>Martin Del Campo Velarca</v>
      </c>
      <c r="AQ473" s="555" t="str">
        <f>INDEX(CarrierDriverTBL!$X:$X,MATCH(Table1[[#This Row],[DriverID]],CarrierDriverTBL!$A:$A,0))</f>
        <v>D5179619</v>
      </c>
      <c r="AR473" s="556">
        <f>INDEX(CarrierDriverTBL!$Y:$Y,MATCH(Table1[[#This Row],[DriverID]],CarrierDriverTBL!$A:$A,0))</f>
        <v>43843</v>
      </c>
      <c r="AS473" s="554" t="str">
        <f t="shared" si="194"/>
        <v>GOOD</v>
      </c>
      <c r="AT473" s="556">
        <f>INDEX(CarrierDriverTBL!$E:$E,MATCH(Table1[[#This Row],[DriverID]],CarrierDriverTBL!$A:$A,0))</f>
        <v>21198</v>
      </c>
      <c r="AU473" s="557">
        <f ca="1">INDEX(CarrierDriverTBL!$F:$F,MATCH(Table1[[#This Row],[DriverID]],CarrierDriverTBL!$A:$A,0))</f>
        <v>58.56986301369863</v>
      </c>
      <c r="AV473" s="554" t="str">
        <f>INDEX(CarrierDriverTBL!$K:$K,MATCH(Table1[[#This Row],[DriverID]],CarrierDriverTBL!$A:$A,0))</f>
        <v>209-322-5231</v>
      </c>
      <c r="AW473" s="554" t="str">
        <f>INDEX(CarrierDriverTBL!$M:$M,MATCH(Table1[[#This Row],[DriverID]],CarrierDriverTBL!$A:$A,0))</f>
        <v>572 Predersen RD</v>
      </c>
      <c r="AX473" s="554" t="str">
        <f>INDEX(CarrierDriverTBL!$N:$N,MATCH(Table1[[#This Row],[DriverID]],CarrierDriverTBL!$A:$A,0))</f>
        <v>Oakdale</v>
      </c>
      <c r="AY473" s="554" t="str">
        <f>INDEX(CarrierDriverTBL!$O:$O,MATCH(Table1[[#This Row],[DriverID]],CarrierDriverTBL!$A:$A,0))</f>
        <v>CA</v>
      </c>
      <c r="AZ473" s="554">
        <f>INDEX(CarrierDriverTBL!$P:$P,MATCH(Table1[[#This Row],[DriverID]],CarrierDriverTBL!$A:$A,0))</f>
        <v>95361</v>
      </c>
      <c r="BA473" s="554" t="str">
        <f>INDEX(CarrierDriverTBL!$Q:$Q,MATCH(Table1[[#This Row],[DriverID]],CarrierDriverTBL!$A:$A,0))</f>
        <v>US</v>
      </c>
      <c r="BB473" s="554" t="str">
        <f>INDEX(CarrierDriverTBL!$R:$R,MATCH(Table1[[#This Row],[DriverID]],CarrierDriverTBL!$A:$A,0))</f>
        <v>Miguelmartin52@yahoo.com</v>
      </c>
      <c r="BC473" s="556">
        <f>INDEX(CarrierDriverTBL!$AB:$AB,MATCH(Table1[[#This Row],[DriverID]],CarrierDriverTBL!$A:$A,0))</f>
        <v>42334</v>
      </c>
      <c r="BD473" s="555" t="str">
        <f ca="1">INDEX(CarrierDriverTBL!$AD:$AD,MATCH(LoadMaster!$AN:$AN,CarrierDriverTBL!$A:$A,0))</f>
        <v>MISSING</v>
      </c>
      <c r="BE473" s="555">
        <f>INDEX(CarrierDriverTBL!$AE:$AE,MATCH(Table1[DriverID],CarrierDriverTBL!$A:$A,0))</f>
        <v>913971</v>
      </c>
      <c r="BF473" s="554">
        <f>INDEX(CarrierDriverTBL!$AF:$AF,MATCH(Table1[DriverID],CarrierDriverTBL!$A:$A,0))</f>
        <v>2627544</v>
      </c>
      <c r="BG473" s="236">
        <f>INDEX(CarrierDriverTBL!$AG:$AG,MATCH(Table1[DriverID],CarrierDriverTBL!$A:$A,0))</f>
        <v>466133</v>
      </c>
      <c r="BH473" s="554" t="str">
        <f>INDEX(CarrierDriverTBL!$AH:$AH,MATCH(Table1[DriverID],CarrierDriverTBL!$A:$A,0))</f>
        <v>GM Lawrence Ins</v>
      </c>
      <c r="BI473" s="554" t="str">
        <f>INDEX(CarrierDriverTBL!$AI:$AI,MATCH(Table1[DriverID],CarrierDriverTBL!$A:$A,0))</f>
        <v>DSK2842P160210</v>
      </c>
      <c r="BJ473" s="556">
        <f>INDEX(CarrierDriverTBL!$AJ:$AJ,MATCH(Table1[[#This Row],[DriverID]],CarrierDriverTBL!$A:$A,0))</f>
        <v>42778</v>
      </c>
      <c r="BK473" s="554">
        <f t="shared" si="195"/>
        <v>250</v>
      </c>
      <c r="BL473" s="558">
        <v>450</v>
      </c>
      <c r="BM473" s="554">
        <v>192</v>
      </c>
      <c r="BN473" s="558">
        <f t="shared" si="212"/>
        <v>2.34375</v>
      </c>
      <c r="BO473" s="241">
        <f>0.93*450</f>
        <v>418.5</v>
      </c>
      <c r="BP473" s="558">
        <f t="shared" si="213"/>
        <v>2.1796875</v>
      </c>
      <c r="BQ473" s="558">
        <v>2.75</v>
      </c>
      <c r="BR473" s="559">
        <f t="shared" si="214"/>
        <v>0.14166666666666669</v>
      </c>
      <c r="BS473" s="558">
        <f t="shared" si="196"/>
        <v>2.0380208333333334</v>
      </c>
      <c r="BT473" s="558">
        <f t="shared" si="197"/>
        <v>27.200000000000003</v>
      </c>
      <c r="BU473" s="236" t="str">
        <f t="shared" si="198"/>
        <v>Ch Robinson</v>
      </c>
      <c r="BV473" s="554"/>
      <c r="BW473" s="236" t="str">
        <f>Table1[[#This Row],[BrokerAddress]]</f>
        <v>P.O. Box 3474</v>
      </c>
      <c r="BX473" s="236" t="str">
        <f t="shared" si="199"/>
        <v>Chicago</v>
      </c>
      <c r="BY473" s="269" t="str">
        <f t="shared" si="200"/>
        <v>Il</v>
      </c>
      <c r="BZ473" s="236">
        <f t="shared" si="201"/>
        <v>60654</v>
      </c>
      <c r="CA473" s="236" t="str">
        <f t="shared" si="202"/>
        <v>US</v>
      </c>
      <c r="CB473" s="15" t="s">
        <v>131</v>
      </c>
      <c r="CC473" s="561"/>
      <c r="CD473" s="15" t="s">
        <v>132</v>
      </c>
      <c r="CE473" s="64">
        <v>0</v>
      </c>
      <c r="CF473" s="4">
        <v>0</v>
      </c>
      <c r="CG473" s="132">
        <f t="shared" si="203"/>
        <v>0</v>
      </c>
      <c r="CH473" s="4" t="s">
        <v>132</v>
      </c>
      <c r="CI473" s="5">
        <v>0</v>
      </c>
      <c r="CJ473" s="4">
        <v>0</v>
      </c>
      <c r="CK473" s="132">
        <f t="shared" si="204"/>
        <v>0</v>
      </c>
      <c r="CL473" s="4" t="s">
        <v>132</v>
      </c>
      <c r="CM473" s="5">
        <v>0</v>
      </c>
      <c r="CN473" s="4">
        <v>0</v>
      </c>
      <c r="CO473" s="132">
        <f t="shared" si="205"/>
        <v>0</v>
      </c>
      <c r="CP473" s="4" t="s">
        <v>132</v>
      </c>
      <c r="CQ473" s="5">
        <v>0</v>
      </c>
      <c r="CR473" s="4">
        <v>0</v>
      </c>
      <c r="CS473" s="132">
        <f t="shared" si="206"/>
        <v>0</v>
      </c>
      <c r="CT473" s="132">
        <f t="shared" si="207"/>
        <v>0</v>
      </c>
      <c r="CU473" s="238">
        <f t="shared" si="208"/>
        <v>450</v>
      </c>
      <c r="CV473" s="239">
        <f t="shared" si="191"/>
        <v>0</v>
      </c>
      <c r="CW473" s="240">
        <f>(BO473+CV473)-Table1[[#This Row],[TcheckPrePaid]]</f>
        <v>418.5</v>
      </c>
      <c r="CX473" s="79">
        <f>IF(ISBLANK(E473),"AddQuickPay",IF(E473=2,CU473*0.98,IF(E473=2.4,CU473*0.976,IF(E473=3,CU473*0.97,IF(E473=5,CU473*0.95,IF(E473=1.5,CU473*0.985,IF(E473=2.5,CU473*0.975,IF(E473=1.3,CU473*0.987,IF(E473=1,CU473*0.99,IF(E473=4,CU473*0.96,CU473*1))))))))))-Table1[[#This Row],[ComCheck+QuickPayFee]]</f>
        <v>441</v>
      </c>
      <c r="CY473" s="237">
        <f t="shared" si="209"/>
        <v>31.5</v>
      </c>
      <c r="CZ473" s="237">
        <f t="shared" si="210"/>
        <v>9</v>
      </c>
      <c r="DA473" s="263">
        <f>Table1[[#This Row],[OriginalDispatch]]-Table1[[#This Row],[QuickPayCharge]]</f>
        <v>22.5</v>
      </c>
      <c r="DB473" s="5">
        <v>0</v>
      </c>
      <c r="DC473" s="237" t="s">
        <v>133</v>
      </c>
      <c r="DD473" s="549">
        <f t="shared" si="211"/>
        <v>42531</v>
      </c>
      <c r="DE473" s="554">
        <f>MONTH(Table1[[#This Row],[Weekending]])</f>
        <v>6</v>
      </c>
      <c r="DF473" s="554">
        <f>YEAR(Table1[[#This Row],[Weekending]])</f>
        <v>2016</v>
      </c>
      <c r="DG473" s="235"/>
    </row>
    <row r="474" spans="1:111">
      <c r="A474" s="548" t="str">
        <f t="shared" si="193"/>
        <v>92wnwn19</v>
      </c>
      <c r="B474" s="549">
        <v>42535</v>
      </c>
      <c r="C474" s="550">
        <v>59492</v>
      </c>
      <c r="D474" s="548" t="s">
        <v>2050</v>
      </c>
      <c r="E474" s="550">
        <v>3</v>
      </c>
      <c r="F474" s="551" t="str">
        <f>INDEX(BrokerTBL!$B:$B,MATCH(D474,BrokerTBL!$A:$A,0))</f>
        <v xml:space="preserve">620 Spice Island Dr. </v>
      </c>
      <c r="G474" s="550" t="str">
        <f>INDEX(BrokerTBL!$C:$C,MATCH(D474,BrokerTBL!$A:$A,0))</f>
        <v>Sparks</v>
      </c>
      <c r="H474" s="235" t="str">
        <f>INDEX(BrokerTBL!$D:$D,MATCH(D474,BrokerTBL!$A:$A,0))</f>
        <v>Nv</v>
      </c>
      <c r="I474" s="235" t="str">
        <f>INDEX(BrokerTBL!$E:$E,MATCH(D474,BrokerTBL!$A:$A,0))</f>
        <v>US</v>
      </c>
      <c r="J474" s="235">
        <f>INDEX(BrokerTBL!$F:$F,MATCH(D474,BrokerTBL!$A:$A,0))</f>
        <v>89431</v>
      </c>
      <c r="K474" s="548" t="s">
        <v>3089</v>
      </c>
      <c r="L474" s="552" t="s">
        <v>1205</v>
      </c>
      <c r="M474" s="549">
        <v>42529</v>
      </c>
      <c r="N474" s="550" t="s">
        <v>3090</v>
      </c>
      <c r="O474" s="550" t="s">
        <v>3091</v>
      </c>
      <c r="P474" s="548" t="s">
        <v>2544</v>
      </c>
      <c r="Q474" s="548" t="s">
        <v>2206</v>
      </c>
      <c r="R474" s="548">
        <v>94603</v>
      </c>
      <c r="S474" s="548" t="s">
        <v>2207</v>
      </c>
      <c r="T474" s="548" t="s">
        <v>123</v>
      </c>
      <c r="U474" s="548" t="s">
        <v>120</v>
      </c>
      <c r="V474" s="548">
        <v>53</v>
      </c>
      <c r="W474" s="548" t="s">
        <v>3092</v>
      </c>
      <c r="X474" s="553">
        <v>20000</v>
      </c>
      <c r="Y474" s="550" t="s">
        <v>123</v>
      </c>
      <c r="Z474" s="548" t="s">
        <v>123</v>
      </c>
      <c r="AA474" s="548" t="s">
        <v>123</v>
      </c>
      <c r="AB474" s="548" t="s">
        <v>123</v>
      </c>
      <c r="AC474" s="548" t="s">
        <v>3093</v>
      </c>
      <c r="AD474" s="552" t="s">
        <v>1205</v>
      </c>
      <c r="AE474" s="549">
        <v>42530</v>
      </c>
      <c r="AF474" s="560">
        <v>0.29166666666666669</v>
      </c>
      <c r="AG474" s="548" t="s">
        <v>3094</v>
      </c>
      <c r="AH474" s="548" t="s">
        <v>2616</v>
      </c>
      <c r="AI474" s="548" t="s">
        <v>2233</v>
      </c>
      <c r="AJ474" s="548">
        <v>89408</v>
      </c>
      <c r="AK474" s="548" t="s">
        <v>2207</v>
      </c>
      <c r="AL474" s="548" t="s">
        <v>123</v>
      </c>
      <c r="AM474" s="554" t="str">
        <f>INDEX(CarrierDriverTBL!$B:$B,MATCH(Table1[[#This Row],[DriverID]],CarrierDriverTBL!$A:$A,0))</f>
        <v>UBTrucking</v>
      </c>
      <c r="AN474" s="10" t="s">
        <v>1409</v>
      </c>
      <c r="AO474" s="555" t="str">
        <f>INDEX(CarrierDriverTBL!$C:$C,MATCH(Table1[[#This Row],[DriverID]],CarrierDriverTBL!$A:$A,0))</f>
        <v>Miguel Jaime</v>
      </c>
      <c r="AP474" s="555" t="str">
        <f>INDEX(CarrierDriverTBL!$D:$D,MATCH(Table1[[#This Row],[DriverID]],CarrierDriverTBL!$A:$A,0))</f>
        <v>Martin Del Campo Velarca</v>
      </c>
      <c r="AQ474" s="555" t="str">
        <f>INDEX(CarrierDriverTBL!$X:$X,MATCH(Table1[[#This Row],[DriverID]],CarrierDriverTBL!$A:$A,0))</f>
        <v>D5179619</v>
      </c>
      <c r="AR474" s="556">
        <f>INDEX(CarrierDriverTBL!$Y:$Y,MATCH(Table1[[#This Row],[DriverID]],CarrierDriverTBL!$A:$A,0))</f>
        <v>43843</v>
      </c>
      <c r="AS474" s="554" t="str">
        <f t="shared" si="194"/>
        <v>GOOD</v>
      </c>
      <c r="AT474" s="556">
        <f>INDEX(CarrierDriverTBL!$E:$E,MATCH(Table1[[#This Row],[DriverID]],CarrierDriverTBL!$A:$A,0))</f>
        <v>21198</v>
      </c>
      <c r="AU474" s="557">
        <f ca="1">INDEX(CarrierDriverTBL!$F:$F,MATCH(Table1[[#This Row],[DriverID]],CarrierDriverTBL!$A:$A,0))</f>
        <v>58.56986301369863</v>
      </c>
      <c r="AV474" s="554" t="str">
        <f>INDEX(CarrierDriverTBL!$K:$K,MATCH(Table1[[#This Row],[DriverID]],CarrierDriverTBL!$A:$A,0))</f>
        <v>209-322-5231</v>
      </c>
      <c r="AW474" s="554" t="str">
        <f>INDEX(CarrierDriverTBL!$M:$M,MATCH(Table1[[#This Row],[DriverID]],CarrierDriverTBL!$A:$A,0))</f>
        <v>572 Predersen RD</v>
      </c>
      <c r="AX474" s="554" t="str">
        <f>INDEX(CarrierDriverTBL!$N:$N,MATCH(Table1[[#This Row],[DriverID]],CarrierDriverTBL!$A:$A,0))</f>
        <v>Oakdale</v>
      </c>
      <c r="AY474" s="554" t="str">
        <f>INDEX(CarrierDriverTBL!$O:$O,MATCH(Table1[[#This Row],[DriverID]],CarrierDriverTBL!$A:$A,0))</f>
        <v>CA</v>
      </c>
      <c r="AZ474" s="554">
        <f>INDEX(CarrierDriverTBL!$P:$P,MATCH(Table1[[#This Row],[DriverID]],CarrierDriverTBL!$A:$A,0))</f>
        <v>95361</v>
      </c>
      <c r="BA474" s="554" t="str">
        <f>INDEX(CarrierDriverTBL!$Q:$Q,MATCH(Table1[[#This Row],[DriverID]],CarrierDriverTBL!$A:$A,0))</f>
        <v>US</v>
      </c>
      <c r="BB474" s="554" t="str">
        <f>INDEX(CarrierDriverTBL!$R:$R,MATCH(Table1[[#This Row],[DriverID]],CarrierDriverTBL!$A:$A,0))</f>
        <v>Miguelmartin52@yahoo.com</v>
      </c>
      <c r="BC474" s="556">
        <f>INDEX(CarrierDriverTBL!$AB:$AB,MATCH(Table1[[#This Row],[DriverID]],CarrierDriverTBL!$A:$A,0))</f>
        <v>42334</v>
      </c>
      <c r="BD474" s="555" t="str">
        <f ca="1">INDEX(CarrierDriverTBL!$AD:$AD,MATCH(LoadMaster!$AN:$AN,CarrierDriverTBL!$A:$A,0))</f>
        <v>MISSING</v>
      </c>
      <c r="BE474" s="555">
        <f>INDEX(CarrierDriverTBL!$AE:$AE,MATCH(Table1[DriverID],CarrierDriverTBL!$A:$A,0))</f>
        <v>913971</v>
      </c>
      <c r="BF474" s="554">
        <f>INDEX(CarrierDriverTBL!$AF:$AF,MATCH(Table1[DriverID],CarrierDriverTBL!$A:$A,0))</f>
        <v>2627544</v>
      </c>
      <c r="BG474" s="236">
        <f>INDEX(CarrierDriverTBL!$AG:$AG,MATCH(Table1[DriverID],CarrierDriverTBL!$A:$A,0))</f>
        <v>466133</v>
      </c>
      <c r="BH474" s="554" t="str">
        <f>INDEX(CarrierDriverTBL!$AH:$AH,MATCH(Table1[DriverID],CarrierDriverTBL!$A:$A,0))</f>
        <v>GM Lawrence Ins</v>
      </c>
      <c r="BI474" s="554" t="str">
        <f>INDEX(CarrierDriverTBL!$AI:$AI,MATCH(Table1[DriverID],CarrierDriverTBL!$A:$A,0))</f>
        <v>DSK2842P160210</v>
      </c>
      <c r="BJ474" s="556">
        <f>INDEX(CarrierDriverTBL!$AJ:$AJ,MATCH(Table1[[#This Row],[DriverID]],CarrierDriverTBL!$A:$A,0))</f>
        <v>42778</v>
      </c>
      <c r="BK474" s="554">
        <f t="shared" si="195"/>
        <v>249</v>
      </c>
      <c r="BL474" s="558">
        <v>650</v>
      </c>
      <c r="BM474" s="554">
        <v>254</v>
      </c>
      <c r="BN474" s="558">
        <f t="shared" si="212"/>
        <v>2.5590551181102361</v>
      </c>
      <c r="BO474" s="241">
        <f>0.93*650</f>
        <v>604.5</v>
      </c>
      <c r="BP474" s="558">
        <f t="shared" si="213"/>
        <v>2.3799212598425199</v>
      </c>
      <c r="BQ474" s="558">
        <v>2.75</v>
      </c>
      <c r="BR474" s="559">
        <f t="shared" si="214"/>
        <v>0.14166666666666669</v>
      </c>
      <c r="BS474" s="558">
        <f t="shared" si="196"/>
        <v>2.2382545931758533</v>
      </c>
      <c r="BT474" s="558">
        <f t="shared" si="197"/>
        <v>35.983333333333341</v>
      </c>
      <c r="BU474" s="236" t="str">
        <f t="shared" si="198"/>
        <v xml:space="preserve">Its National </v>
      </c>
      <c r="BV474" s="554"/>
      <c r="BW474" s="236" t="str">
        <f>Table1[[#This Row],[BrokerAddress]]</f>
        <v xml:space="preserve">620 Spice Island Dr. </v>
      </c>
      <c r="BX474" s="236" t="str">
        <f t="shared" si="199"/>
        <v>Sparks</v>
      </c>
      <c r="BY474" s="269" t="str">
        <f t="shared" si="200"/>
        <v>Nv</v>
      </c>
      <c r="BZ474" s="236">
        <f t="shared" si="201"/>
        <v>89431</v>
      </c>
      <c r="CA474" s="236" t="str">
        <f t="shared" si="202"/>
        <v>US</v>
      </c>
      <c r="CB474" s="15" t="s">
        <v>131</v>
      </c>
      <c r="CC474" s="561"/>
      <c r="CD474" s="15" t="s">
        <v>132</v>
      </c>
      <c r="CE474" s="64">
        <v>0</v>
      </c>
      <c r="CF474" s="4">
        <v>0</v>
      </c>
      <c r="CG474" s="132">
        <f t="shared" si="203"/>
        <v>0</v>
      </c>
      <c r="CH474" s="4" t="s">
        <v>132</v>
      </c>
      <c r="CI474" s="5">
        <v>0</v>
      </c>
      <c r="CJ474" s="4">
        <v>0</v>
      </c>
      <c r="CK474" s="132">
        <f t="shared" si="204"/>
        <v>0</v>
      </c>
      <c r="CL474" s="4" t="s">
        <v>132</v>
      </c>
      <c r="CM474" s="5">
        <v>0</v>
      </c>
      <c r="CN474" s="4">
        <v>0</v>
      </c>
      <c r="CO474" s="132">
        <f t="shared" si="205"/>
        <v>0</v>
      </c>
      <c r="CP474" s="4" t="s">
        <v>132</v>
      </c>
      <c r="CQ474" s="5">
        <v>0</v>
      </c>
      <c r="CR474" s="4">
        <v>0</v>
      </c>
      <c r="CS474" s="132">
        <f t="shared" si="206"/>
        <v>0</v>
      </c>
      <c r="CT474" s="132">
        <f t="shared" si="207"/>
        <v>0</v>
      </c>
      <c r="CU474" s="238">
        <f t="shared" si="208"/>
        <v>650</v>
      </c>
      <c r="CV474" s="239">
        <f t="shared" si="191"/>
        <v>0</v>
      </c>
      <c r="CW474" s="240">
        <f>(BO474+CV474)-Table1[[#This Row],[TcheckPrePaid]]</f>
        <v>604.5</v>
      </c>
      <c r="CX474" s="79">
        <f>IF(ISBLANK(E474),"AddQuickPay",IF(E474=2,CU474*0.98,IF(E474=2.4,CU474*0.976,IF(E474=3,CU474*0.97,IF(E474=5,CU474*0.95,IF(E474=1.5,CU474*0.985,IF(E474=2.5,CU474*0.975,IF(E474=1.3,CU474*0.987,IF(E474=1,CU474*0.99,IF(E474=4,CU474*0.96,CU474*1))))))))))-Table1[[#This Row],[ComCheck+QuickPayFee]]</f>
        <v>630.5</v>
      </c>
      <c r="CY474" s="237">
        <f t="shared" si="209"/>
        <v>45.5</v>
      </c>
      <c r="CZ474" s="237">
        <f t="shared" si="210"/>
        <v>19.5</v>
      </c>
      <c r="DA474" s="263">
        <f>Table1[[#This Row],[OriginalDispatch]]-Table1[[#This Row],[QuickPayCharge]]</f>
        <v>26</v>
      </c>
      <c r="DB474" s="5">
        <v>0</v>
      </c>
      <c r="DC474" s="237" t="s">
        <v>133</v>
      </c>
      <c r="DD474" s="549">
        <f t="shared" si="211"/>
        <v>42531</v>
      </c>
      <c r="DE474" s="554">
        <f>MONTH(Table1[[#This Row],[Weekending]])</f>
        <v>6</v>
      </c>
      <c r="DF474" s="554">
        <f>YEAR(Table1[[#This Row],[Weekending]])</f>
        <v>2016</v>
      </c>
      <c r="DG474" s="235"/>
    </row>
    <row r="475" spans="1:111">
      <c r="A475" s="548" t="str">
        <f t="shared" si="193"/>
        <v>564Bwn49</v>
      </c>
      <c r="B475" s="549">
        <v>42535</v>
      </c>
      <c r="C475" s="550">
        <v>203701356</v>
      </c>
      <c r="D475" s="548" t="s">
        <v>111</v>
      </c>
      <c r="E475" s="550">
        <v>2</v>
      </c>
      <c r="F475" s="551" t="str">
        <f>INDEX(BrokerTBL!$B:$B,MATCH(D475,BrokerTBL!$A:$A,0))</f>
        <v>P.O. Box 3474</v>
      </c>
      <c r="G475" s="550" t="str">
        <f>INDEX(BrokerTBL!$C:$C,MATCH(D475,BrokerTBL!$A:$A,0))</f>
        <v>Chicago</v>
      </c>
      <c r="H475" s="235" t="str">
        <f>INDEX(BrokerTBL!$D:$D,MATCH(D475,BrokerTBL!$A:$A,0))</f>
        <v>Il</v>
      </c>
      <c r="I475" s="235" t="str">
        <f>INDEX(BrokerTBL!$E:$E,MATCH(D475,BrokerTBL!$A:$A,0))</f>
        <v>US</v>
      </c>
      <c r="J475" s="235">
        <f>INDEX(BrokerTBL!$F:$F,MATCH(D475,BrokerTBL!$A:$A,0))</f>
        <v>60654</v>
      </c>
      <c r="K475" s="548" t="s">
        <v>1394</v>
      </c>
      <c r="L475" s="552" t="s">
        <v>3095</v>
      </c>
      <c r="M475" s="549">
        <v>42530</v>
      </c>
      <c r="N475" s="550" t="s">
        <v>1226</v>
      </c>
      <c r="O475" s="550" t="s">
        <v>3096</v>
      </c>
      <c r="P475" s="548" t="s">
        <v>3097</v>
      </c>
      <c r="Q475" s="548" t="s">
        <v>2206</v>
      </c>
      <c r="R475" s="548" t="s">
        <v>3098</v>
      </c>
      <c r="S475" s="548" t="s">
        <v>2207</v>
      </c>
      <c r="T475" s="548" t="s">
        <v>123</v>
      </c>
      <c r="U475" s="548" t="s">
        <v>120</v>
      </c>
      <c r="V475" s="548">
        <v>53</v>
      </c>
      <c r="W475" s="548" t="s">
        <v>902</v>
      </c>
      <c r="X475" s="553">
        <v>21000</v>
      </c>
      <c r="Y475" s="550" t="s">
        <v>2458</v>
      </c>
      <c r="Z475" s="548" t="s">
        <v>123</v>
      </c>
      <c r="AA475" s="548" t="s">
        <v>123</v>
      </c>
      <c r="AB475" s="548" t="s">
        <v>123</v>
      </c>
      <c r="AC475" s="548" t="s">
        <v>3099</v>
      </c>
      <c r="AD475" s="552" t="s">
        <v>1205</v>
      </c>
      <c r="AE475" s="549">
        <v>42530</v>
      </c>
      <c r="AF475" s="549" t="s">
        <v>1453</v>
      </c>
      <c r="AG475" s="548" t="s">
        <v>3100</v>
      </c>
      <c r="AH475" s="548" t="s">
        <v>765</v>
      </c>
      <c r="AI475" s="548" t="s">
        <v>2206</v>
      </c>
      <c r="AJ475" s="548">
        <v>94538</v>
      </c>
      <c r="AK475" s="548" t="s">
        <v>2207</v>
      </c>
      <c r="AL475" s="548" t="s">
        <v>123</v>
      </c>
      <c r="AM475" s="554" t="str">
        <f>INDEX(CarrierDriverTBL!$B:$B,MATCH(Table1[[#This Row],[DriverID]],CarrierDriverTBL!$A:$A,0))</f>
        <v>UBTrucking</v>
      </c>
      <c r="AN475" s="10" t="s">
        <v>192</v>
      </c>
      <c r="AO475" s="555" t="str">
        <f>INDEX(CarrierDriverTBL!$C:$C,MATCH(Table1[[#This Row],[DriverID]],CarrierDriverTBL!$A:$A,0))</f>
        <v>Albel</v>
      </c>
      <c r="AP475" s="555" t="str">
        <f>INDEX(CarrierDriverTBL!$D:$D,MATCH(Table1[[#This Row],[DriverID]],CarrierDriverTBL!$A:$A,0))</f>
        <v>Chahil</v>
      </c>
      <c r="AQ475" s="555" t="str">
        <f>INDEX(CarrierDriverTBL!$X:$X,MATCH(Table1[[#This Row],[DriverID]],CarrierDriverTBL!$A:$A,0))</f>
        <v>A8390649</v>
      </c>
      <c r="AR475" s="556">
        <f>INDEX(CarrierDriverTBL!$Y:$Y,MATCH(Table1[[#This Row],[DriverID]],CarrierDriverTBL!$A:$A,0))</f>
        <v>42402</v>
      </c>
      <c r="AS475" s="554" t="str">
        <f t="shared" si="194"/>
        <v>EXPIRED</v>
      </c>
      <c r="AT475" s="556">
        <f>INDEX(CarrierDriverTBL!$E:$E,MATCH(Table1[[#This Row],[DriverID]],CarrierDriverTBL!$A:$A,0))</f>
        <v>22314</v>
      </c>
      <c r="AU475" s="557">
        <f ca="1">INDEX(CarrierDriverTBL!$F:$F,MATCH(Table1[[#This Row],[DriverID]],CarrierDriverTBL!$A:$A,0))</f>
        <v>55.512328767123286</v>
      </c>
      <c r="AV475" s="554" t="str">
        <f>INDEX(CarrierDriverTBL!$K:$K,MATCH(Table1[[#This Row],[DriverID]],CarrierDriverTBL!$A:$A,0))</f>
        <v>510-773-9450</v>
      </c>
      <c r="AW475" s="554" t="str">
        <f>INDEX(CarrierDriverTBL!$M:$M,MATCH(Table1[[#This Row],[DriverID]],CarrierDriverTBL!$A:$A,0))</f>
        <v>3124 Cynthia CT</v>
      </c>
      <c r="AX475" s="554" t="str">
        <f>INDEX(CarrierDriverTBL!$N:$N,MATCH(Table1[[#This Row],[DriverID]],CarrierDriverTBL!$A:$A,0))</f>
        <v>Tracy</v>
      </c>
      <c r="AY475" s="554" t="str">
        <f>INDEX(CarrierDriverTBL!$O:$O,MATCH(Table1[[#This Row],[DriverID]],CarrierDriverTBL!$A:$A,0))</f>
        <v>CA</v>
      </c>
      <c r="AZ475" s="554">
        <f>INDEX(CarrierDriverTBL!$P:$P,MATCH(Table1[[#This Row],[DriverID]],CarrierDriverTBL!$A:$A,0))</f>
        <v>95377</v>
      </c>
      <c r="BA475" s="554" t="str">
        <f>INDEX(CarrierDriverTBL!$Q:$Q,MATCH(Table1[[#This Row],[DriverID]],CarrierDriverTBL!$A:$A,0))</f>
        <v>US</v>
      </c>
      <c r="BB475" s="554" t="str">
        <f>INDEX(CarrierDriverTBL!$R:$R,MATCH(Table1[[#This Row],[DriverID]],CarrierDriverTBL!$A:$A,0))</f>
        <v>ubgollc@gmail.com</v>
      </c>
      <c r="BC475" s="556">
        <f>INDEX(CarrierDriverTBL!$AB:$AB,MATCH(Table1[[#This Row],[DriverID]],CarrierDriverTBL!$A:$A,0))</f>
        <v>42167</v>
      </c>
      <c r="BD475" s="555" t="str">
        <f ca="1">INDEX(CarrierDriverTBL!$AD:$AD,MATCH(LoadMaster!$AN:$AN,CarrierDriverTBL!$A:$A,0))</f>
        <v>MISSING</v>
      </c>
      <c r="BE475" s="555">
        <f>INDEX(CarrierDriverTBL!$AE:$AE,MATCH(Table1[DriverID],CarrierDriverTBL!$A:$A,0))</f>
        <v>913971</v>
      </c>
      <c r="BF475" s="554">
        <f>INDEX(CarrierDriverTBL!$AF:$AF,MATCH(Table1[DriverID],CarrierDriverTBL!$A:$A,0))</f>
        <v>2627544</v>
      </c>
      <c r="BG475" s="236">
        <f>INDEX(CarrierDriverTBL!$AG:$AG,MATCH(Table1[DriverID],CarrierDriverTBL!$A:$A,0))</f>
        <v>466133</v>
      </c>
      <c r="BH475" s="554" t="str">
        <f>INDEX(CarrierDriverTBL!$AH:$AH,MATCH(Table1[DriverID],CarrierDriverTBL!$A:$A,0))</f>
        <v>GM Lawrence Ins</v>
      </c>
      <c r="BI475" s="554" t="str">
        <f>INDEX(CarrierDriverTBL!$AI:$AI,MATCH(Table1[DriverID],CarrierDriverTBL!$A:$A,0))</f>
        <v>DSK2842P160210</v>
      </c>
      <c r="BJ475" s="556">
        <f>INDEX(CarrierDriverTBL!$AJ:$AJ,MATCH(Table1[[#This Row],[DriverID]],CarrierDriverTBL!$A:$A,0))</f>
        <v>42778</v>
      </c>
      <c r="BK475" s="554">
        <f t="shared" si="195"/>
        <v>248</v>
      </c>
      <c r="BL475" s="558">
        <v>325</v>
      </c>
      <c r="BM475" s="554">
        <v>39.700000000000003</v>
      </c>
      <c r="BN475" s="558">
        <f t="shared" si="212"/>
        <v>8.1863979848866499</v>
      </c>
      <c r="BO475" s="241">
        <f>0.93*325</f>
        <v>302.25</v>
      </c>
      <c r="BP475" s="558">
        <f t="shared" si="213"/>
        <v>7.6133501259445842</v>
      </c>
      <c r="BQ475" s="558">
        <v>2.75</v>
      </c>
      <c r="BR475" s="559">
        <f t="shared" si="214"/>
        <v>0.14166666666666669</v>
      </c>
      <c r="BS475" s="558">
        <f t="shared" si="196"/>
        <v>7.4716834592779175</v>
      </c>
      <c r="BT475" s="558">
        <f t="shared" si="197"/>
        <v>5.6241666666666683</v>
      </c>
      <c r="BU475" s="236" t="str">
        <f t="shared" si="198"/>
        <v>Ch Robinson</v>
      </c>
      <c r="BV475" s="554"/>
      <c r="BW475" s="236" t="str">
        <f>Table1[[#This Row],[BrokerAddress]]</f>
        <v>P.O. Box 3474</v>
      </c>
      <c r="BX475" s="236" t="str">
        <f t="shared" si="199"/>
        <v>Chicago</v>
      </c>
      <c r="BY475" s="269" t="str">
        <f t="shared" si="200"/>
        <v>Il</v>
      </c>
      <c r="BZ475" s="236">
        <f t="shared" si="201"/>
        <v>60654</v>
      </c>
      <c r="CA475" s="236" t="str">
        <f t="shared" si="202"/>
        <v>US</v>
      </c>
      <c r="CB475" s="15" t="s">
        <v>131</v>
      </c>
      <c r="CC475" s="561"/>
      <c r="CD475" s="15" t="s">
        <v>132</v>
      </c>
      <c r="CE475" s="64">
        <v>0</v>
      </c>
      <c r="CF475" s="4">
        <v>0</v>
      </c>
      <c r="CG475" s="132">
        <f t="shared" si="203"/>
        <v>0</v>
      </c>
      <c r="CH475" s="4" t="s">
        <v>132</v>
      </c>
      <c r="CI475" s="5">
        <v>0</v>
      </c>
      <c r="CJ475" s="4">
        <v>0</v>
      </c>
      <c r="CK475" s="132">
        <f t="shared" si="204"/>
        <v>0</v>
      </c>
      <c r="CL475" s="4" t="s">
        <v>132</v>
      </c>
      <c r="CM475" s="5">
        <v>0</v>
      </c>
      <c r="CN475" s="4">
        <v>0</v>
      </c>
      <c r="CO475" s="132">
        <f t="shared" si="205"/>
        <v>0</v>
      </c>
      <c r="CP475" s="4" t="s">
        <v>132</v>
      </c>
      <c r="CQ475" s="5">
        <v>0</v>
      </c>
      <c r="CR475" s="4">
        <v>0</v>
      </c>
      <c r="CS475" s="132">
        <f t="shared" si="206"/>
        <v>0</v>
      </c>
      <c r="CT475" s="132">
        <f t="shared" si="207"/>
        <v>0</v>
      </c>
      <c r="CU475" s="238">
        <f t="shared" si="208"/>
        <v>325</v>
      </c>
      <c r="CV475" s="239">
        <f t="shared" si="191"/>
        <v>0</v>
      </c>
      <c r="CW475" s="240">
        <f>(BO475+CV475)-Table1[[#This Row],[TcheckPrePaid]]</f>
        <v>302.25</v>
      </c>
      <c r="CX475" s="79">
        <f>IF(ISBLANK(E475),"AddQuickPay",IF(E475=2,CU475*0.98,IF(E475=2.4,CU475*0.976,IF(E475=3,CU475*0.97,IF(E475=5,CU475*0.95,IF(E475=1.5,CU475*0.985,IF(E475=2.5,CU475*0.975,IF(E475=1.3,CU475*0.987,IF(E475=1,CU475*0.99,IF(E475=4,CU475*0.96,CU475*1))))))))))-Table1[[#This Row],[ComCheck+QuickPayFee]]</f>
        <v>318.5</v>
      </c>
      <c r="CY475" s="237">
        <f t="shared" si="209"/>
        <v>22.75</v>
      </c>
      <c r="CZ475" s="237">
        <f t="shared" si="210"/>
        <v>6.5</v>
      </c>
      <c r="DA475" s="263">
        <f>Table1[[#This Row],[OriginalDispatch]]-Table1[[#This Row],[QuickPayCharge]]</f>
        <v>16.25</v>
      </c>
      <c r="DB475" s="5">
        <v>0</v>
      </c>
      <c r="DC475" s="237" t="s">
        <v>133</v>
      </c>
      <c r="DD475" s="549">
        <f t="shared" si="211"/>
        <v>42531</v>
      </c>
      <c r="DE475" s="554">
        <f>MONTH(Table1[[#This Row],[Weekending]])</f>
        <v>6</v>
      </c>
      <c r="DF475" s="554">
        <f>YEAR(Table1[[#This Row],[Weekending]])</f>
        <v>2016</v>
      </c>
      <c r="DG475" s="235"/>
    </row>
    <row r="476" spans="1:111">
      <c r="A476" s="548" t="str">
        <f t="shared" si="193"/>
        <v>25wnwn19</v>
      </c>
      <c r="B476" s="549">
        <v>42535</v>
      </c>
      <c r="C476" s="550" t="s">
        <v>3101</v>
      </c>
      <c r="D476" s="563" t="s">
        <v>3102</v>
      </c>
      <c r="E476" s="550">
        <v>0</v>
      </c>
      <c r="F476" s="551" t="str">
        <f>INDEX(BrokerTBL!$B:$B,MATCH(D476,BrokerTBL!$A:$A,0))</f>
        <v xml:space="preserve">25 Prospect Street </v>
      </c>
      <c r="G476" s="550" t="str">
        <f>INDEX(BrokerTBL!$C:$C,MATCH(D476,BrokerTBL!$A:$A,0))</f>
        <v>Leominster</v>
      </c>
      <c r="H476" s="235" t="str">
        <f>INDEX(BrokerTBL!$D:$D,MATCH(D476,BrokerTBL!$A:$A,0))</f>
        <v xml:space="preserve">MA </v>
      </c>
      <c r="I476" s="235" t="str">
        <f>INDEX(BrokerTBL!$E:$E,MATCH(D476,BrokerTBL!$A:$A,0))</f>
        <v>US</v>
      </c>
      <c r="J476" s="235">
        <f>INDEX(BrokerTBL!$F:$F,MATCH(D476,BrokerTBL!$A:$A,0))</f>
        <v>1453</v>
      </c>
      <c r="K476" s="548" t="s">
        <v>2427</v>
      </c>
      <c r="L476" s="552" t="s">
        <v>1205</v>
      </c>
      <c r="M476" s="549">
        <v>42530</v>
      </c>
      <c r="N476" s="15" t="s">
        <v>123</v>
      </c>
      <c r="O476" s="550" t="s">
        <v>1205</v>
      </c>
      <c r="P476" s="548" t="s">
        <v>2451</v>
      </c>
      <c r="Q476" s="548" t="s">
        <v>2233</v>
      </c>
      <c r="R476" s="548">
        <v>89019</v>
      </c>
      <c r="S476" s="548" t="s">
        <v>2207</v>
      </c>
      <c r="T476" s="548" t="s">
        <v>123</v>
      </c>
      <c r="U476" s="548" t="s">
        <v>120</v>
      </c>
      <c r="V476" s="548">
        <v>53</v>
      </c>
      <c r="W476" s="548" t="s">
        <v>3103</v>
      </c>
      <c r="X476" s="553">
        <v>40000</v>
      </c>
      <c r="Y476" s="550" t="s">
        <v>123</v>
      </c>
      <c r="Z476" s="548" t="s">
        <v>123</v>
      </c>
      <c r="AA476" s="548" t="s">
        <v>123</v>
      </c>
      <c r="AB476" s="548" t="s">
        <v>123</v>
      </c>
      <c r="AC476" s="548" t="s">
        <v>3104</v>
      </c>
      <c r="AD476" s="552" t="s">
        <v>1205</v>
      </c>
      <c r="AE476" s="549">
        <v>42531</v>
      </c>
      <c r="AF476" s="549" t="s">
        <v>2060</v>
      </c>
      <c r="AG476" s="548" t="s">
        <v>3105</v>
      </c>
      <c r="AH476" s="548" t="s">
        <v>3106</v>
      </c>
      <c r="AI476" s="548" t="s">
        <v>2206</v>
      </c>
      <c r="AJ476" s="548">
        <v>93901</v>
      </c>
      <c r="AK476" s="548" t="s">
        <v>2207</v>
      </c>
      <c r="AL476" s="548" t="s">
        <v>123</v>
      </c>
      <c r="AM476" s="554" t="str">
        <f>INDEX(CarrierDriverTBL!$B:$B,MATCH(Table1[[#This Row],[DriverID]],CarrierDriverTBL!$A:$A,0))</f>
        <v>UBTrucking</v>
      </c>
      <c r="AN476" s="10" t="s">
        <v>1409</v>
      </c>
      <c r="AO476" s="555" t="str">
        <f>INDEX(CarrierDriverTBL!$C:$C,MATCH(Table1[[#This Row],[DriverID]],CarrierDriverTBL!$A:$A,0))</f>
        <v>Miguel Jaime</v>
      </c>
      <c r="AP476" s="555" t="str">
        <f>INDEX(CarrierDriverTBL!$D:$D,MATCH(Table1[[#This Row],[DriverID]],CarrierDriverTBL!$A:$A,0))</f>
        <v>Martin Del Campo Velarca</v>
      </c>
      <c r="AQ476" s="555" t="str">
        <f>INDEX(CarrierDriverTBL!$X:$X,MATCH(Table1[[#This Row],[DriverID]],CarrierDriverTBL!$A:$A,0))</f>
        <v>D5179619</v>
      </c>
      <c r="AR476" s="556">
        <f>INDEX(CarrierDriverTBL!$Y:$Y,MATCH(Table1[[#This Row],[DriverID]],CarrierDriverTBL!$A:$A,0))</f>
        <v>43843</v>
      </c>
      <c r="AS476" s="554" t="str">
        <f t="shared" si="194"/>
        <v>GOOD</v>
      </c>
      <c r="AT476" s="556">
        <f>INDEX(CarrierDriverTBL!$E:$E,MATCH(Table1[[#This Row],[DriverID]],CarrierDriverTBL!$A:$A,0))</f>
        <v>21198</v>
      </c>
      <c r="AU476" s="557">
        <f ca="1">INDEX(CarrierDriverTBL!$F:$F,MATCH(Table1[[#This Row],[DriverID]],CarrierDriverTBL!$A:$A,0))</f>
        <v>58.56986301369863</v>
      </c>
      <c r="AV476" s="554" t="str">
        <f>INDEX(CarrierDriverTBL!$K:$K,MATCH(Table1[[#This Row],[DriverID]],CarrierDriverTBL!$A:$A,0))</f>
        <v>209-322-5231</v>
      </c>
      <c r="AW476" s="554" t="str">
        <f>INDEX(CarrierDriverTBL!$M:$M,MATCH(Table1[[#This Row],[DriverID]],CarrierDriverTBL!$A:$A,0))</f>
        <v>572 Predersen RD</v>
      </c>
      <c r="AX476" s="554" t="str">
        <f>INDEX(CarrierDriverTBL!$N:$N,MATCH(Table1[[#This Row],[DriverID]],CarrierDriverTBL!$A:$A,0))</f>
        <v>Oakdale</v>
      </c>
      <c r="AY476" s="554" t="str">
        <f>INDEX(CarrierDriverTBL!$O:$O,MATCH(Table1[[#This Row],[DriverID]],CarrierDriverTBL!$A:$A,0))</f>
        <v>CA</v>
      </c>
      <c r="AZ476" s="554">
        <f>INDEX(CarrierDriverTBL!$P:$P,MATCH(Table1[[#This Row],[DriverID]],CarrierDriverTBL!$A:$A,0))</f>
        <v>95361</v>
      </c>
      <c r="BA476" s="554" t="str">
        <f>INDEX(CarrierDriverTBL!$Q:$Q,MATCH(Table1[[#This Row],[DriverID]],CarrierDriverTBL!$A:$A,0))</f>
        <v>US</v>
      </c>
      <c r="BB476" s="554" t="str">
        <f>INDEX(CarrierDriverTBL!$R:$R,MATCH(Table1[[#This Row],[DriverID]],CarrierDriverTBL!$A:$A,0))</f>
        <v>Miguelmartin52@yahoo.com</v>
      </c>
      <c r="BC476" s="556">
        <f>INDEX(CarrierDriverTBL!$AB:$AB,MATCH(Table1[[#This Row],[DriverID]],CarrierDriverTBL!$A:$A,0))</f>
        <v>42334</v>
      </c>
      <c r="BD476" s="555" t="str">
        <f ca="1">INDEX(CarrierDriverTBL!$AD:$AD,MATCH(LoadMaster!$AN:$AN,CarrierDriverTBL!$A:$A,0))</f>
        <v>MISSING</v>
      </c>
      <c r="BE476" s="555">
        <f>INDEX(CarrierDriverTBL!$AE:$AE,MATCH(Table1[DriverID],CarrierDriverTBL!$A:$A,0))</f>
        <v>913971</v>
      </c>
      <c r="BF476" s="554">
        <f>INDEX(CarrierDriverTBL!$AF:$AF,MATCH(Table1[DriverID],CarrierDriverTBL!$A:$A,0))</f>
        <v>2627544</v>
      </c>
      <c r="BG476" s="236">
        <f>INDEX(CarrierDriverTBL!$AG:$AG,MATCH(Table1[DriverID],CarrierDriverTBL!$A:$A,0))</f>
        <v>466133</v>
      </c>
      <c r="BH476" s="554" t="str">
        <f>INDEX(CarrierDriverTBL!$AH:$AH,MATCH(Table1[DriverID],CarrierDriverTBL!$A:$A,0))</f>
        <v>GM Lawrence Ins</v>
      </c>
      <c r="BI476" s="554" t="str">
        <f>INDEX(CarrierDriverTBL!$AI:$AI,MATCH(Table1[DriverID],CarrierDriverTBL!$A:$A,0))</f>
        <v>DSK2842P160210</v>
      </c>
      <c r="BJ476" s="556">
        <f>INDEX(CarrierDriverTBL!$AJ:$AJ,MATCH(Table1[[#This Row],[DriverID]],CarrierDriverTBL!$A:$A,0))</f>
        <v>42778</v>
      </c>
      <c r="BK476" s="554">
        <f t="shared" si="195"/>
        <v>248</v>
      </c>
      <c r="BL476" s="558">
        <v>600</v>
      </c>
      <c r="BM476" s="554">
        <v>307.8</v>
      </c>
      <c r="BN476" s="558">
        <f t="shared" si="212"/>
        <v>1.9493177387914229</v>
      </c>
      <c r="BO476" s="241">
        <f>0.93*600</f>
        <v>558</v>
      </c>
      <c r="BP476" s="558">
        <f t="shared" si="213"/>
        <v>1.8128654970760234</v>
      </c>
      <c r="BQ476" s="558">
        <v>2.75</v>
      </c>
      <c r="BR476" s="559">
        <f t="shared" si="214"/>
        <v>0.14166666666666669</v>
      </c>
      <c r="BS476" s="558">
        <f t="shared" si="196"/>
        <v>1.6711988304093568</v>
      </c>
      <c r="BT476" s="558">
        <f t="shared" si="197"/>
        <v>43.605000000000011</v>
      </c>
      <c r="BU476" s="236" t="str">
        <f t="shared" si="198"/>
        <v>Carrier Nationwide Transportation System</v>
      </c>
      <c r="BV476" s="554"/>
      <c r="BW476" s="236" t="str">
        <f>Table1[[#This Row],[BrokerAddress]]</f>
        <v xml:space="preserve">25 Prospect Street </v>
      </c>
      <c r="BX476" s="236" t="str">
        <f t="shared" si="199"/>
        <v>Leominster</v>
      </c>
      <c r="BY476" s="269" t="str">
        <f t="shared" si="200"/>
        <v xml:space="preserve">MA </v>
      </c>
      <c r="BZ476" s="236">
        <f t="shared" si="201"/>
        <v>1453</v>
      </c>
      <c r="CA476" s="236" t="str">
        <f t="shared" si="202"/>
        <v>US</v>
      </c>
      <c r="CB476" s="15" t="s">
        <v>131</v>
      </c>
      <c r="CC476" s="561"/>
      <c r="CD476" s="15" t="s">
        <v>132</v>
      </c>
      <c r="CE476" s="64">
        <v>0</v>
      </c>
      <c r="CF476" s="4">
        <v>0</v>
      </c>
      <c r="CG476" s="132">
        <f t="shared" si="203"/>
        <v>0</v>
      </c>
      <c r="CH476" s="4" t="s">
        <v>132</v>
      </c>
      <c r="CI476" s="5">
        <v>0</v>
      </c>
      <c r="CJ476" s="4">
        <v>0</v>
      </c>
      <c r="CK476" s="132">
        <f t="shared" si="204"/>
        <v>0</v>
      </c>
      <c r="CL476" s="4" t="s">
        <v>132</v>
      </c>
      <c r="CM476" s="5">
        <v>0</v>
      </c>
      <c r="CN476" s="4">
        <v>0</v>
      </c>
      <c r="CO476" s="132">
        <f t="shared" si="205"/>
        <v>0</v>
      </c>
      <c r="CP476" s="4" t="s">
        <v>132</v>
      </c>
      <c r="CQ476" s="5">
        <v>0</v>
      </c>
      <c r="CR476" s="4">
        <v>0</v>
      </c>
      <c r="CS476" s="132">
        <f t="shared" si="206"/>
        <v>0</v>
      </c>
      <c r="CT476" s="132">
        <f t="shared" si="207"/>
        <v>0</v>
      </c>
      <c r="CU476" s="238">
        <f t="shared" si="208"/>
        <v>600</v>
      </c>
      <c r="CV476" s="239">
        <f t="shared" si="191"/>
        <v>0</v>
      </c>
      <c r="CW476" s="240">
        <f>(BO476+CV476)-Table1[[#This Row],[TcheckPrePaid]]</f>
        <v>558</v>
      </c>
      <c r="CX476" s="79">
        <f>IF(ISBLANK(E476),"AddQuickPay",IF(E476=2,CU476*0.98,IF(E476=2.4,CU476*0.976,IF(E476=3,CU476*0.97,IF(E476=5,CU476*0.95,IF(E476=1.5,CU476*0.985,IF(E476=2.5,CU476*0.975,IF(E476=1.3,CU476*0.987,IF(E476=1,CU476*0.99,IF(E476=4,CU476*0.96,CU476*1))))))))))-Table1[[#This Row],[ComCheck+QuickPayFee]]</f>
        <v>600</v>
      </c>
      <c r="CY476" s="237">
        <f t="shared" si="209"/>
        <v>42</v>
      </c>
      <c r="CZ476" s="237">
        <f t="shared" si="210"/>
        <v>0</v>
      </c>
      <c r="DA476" s="263">
        <f>Table1[[#This Row],[OriginalDispatch]]-Table1[[#This Row],[QuickPayCharge]]</f>
        <v>42</v>
      </c>
      <c r="DB476" s="5">
        <v>0</v>
      </c>
      <c r="DC476" s="237" t="s">
        <v>133</v>
      </c>
      <c r="DD476" s="549">
        <f t="shared" si="211"/>
        <v>42531</v>
      </c>
      <c r="DE476" s="554">
        <f>MONTH(Table1[[#This Row],[Weekending]])</f>
        <v>6</v>
      </c>
      <c r="DF476" s="554">
        <f>YEAR(Table1[[#This Row],[Weekending]])</f>
        <v>2016</v>
      </c>
      <c r="DG476" s="235"/>
    </row>
    <row r="477" spans="1:111">
      <c r="A477" s="548" t="str">
        <f t="shared" si="193"/>
        <v>60wnwn19</v>
      </c>
      <c r="B477" s="549">
        <v>42535</v>
      </c>
      <c r="C477" s="550">
        <v>695860</v>
      </c>
      <c r="D477" s="548" t="s">
        <v>2775</v>
      </c>
      <c r="E477" s="550">
        <v>0</v>
      </c>
      <c r="F477" s="551" t="str">
        <f>INDEX(BrokerTBL!$B:$B,MATCH(D477,BrokerTBL!$A:$A,0))</f>
        <v>25 Northpointe Parkway, Suite 200</v>
      </c>
      <c r="G477" s="550" t="str">
        <f>INDEX(BrokerTBL!$C:$C,MATCH(D477,BrokerTBL!$A:$A,0))</f>
        <v>Amherst</v>
      </c>
      <c r="H477" s="235" t="str">
        <f>INDEX(BrokerTBL!$D:$D,MATCH(D477,BrokerTBL!$A:$A,0))</f>
        <v>NY</v>
      </c>
      <c r="I477" s="235" t="str">
        <f>INDEX(BrokerTBL!$E:$E,MATCH(D477,BrokerTBL!$A:$A,0))</f>
        <v>US</v>
      </c>
      <c r="J477" s="235">
        <f>INDEX(BrokerTBL!$F:$F,MATCH(D477,BrokerTBL!$A:$A,0))</f>
        <v>14228</v>
      </c>
      <c r="K477" s="548" t="s">
        <v>2776</v>
      </c>
      <c r="L477" s="552" t="s">
        <v>1205</v>
      </c>
      <c r="M477" s="549">
        <v>42531</v>
      </c>
      <c r="N477" s="550" t="s">
        <v>3107</v>
      </c>
      <c r="O477" s="550" t="s">
        <v>2778</v>
      </c>
      <c r="P477" s="548" t="s">
        <v>2779</v>
      </c>
      <c r="Q477" s="548" t="s">
        <v>2206</v>
      </c>
      <c r="R477" s="548">
        <v>93611</v>
      </c>
      <c r="S477" s="548" t="s">
        <v>2207</v>
      </c>
      <c r="T477" s="548" t="s">
        <v>123</v>
      </c>
      <c r="U477" s="548" t="s">
        <v>120</v>
      </c>
      <c r="V477" s="548">
        <v>53</v>
      </c>
      <c r="W477" s="548" t="s">
        <v>2866</v>
      </c>
      <c r="X477" s="553">
        <v>35000</v>
      </c>
      <c r="Y477" s="550" t="s">
        <v>123</v>
      </c>
      <c r="Z477" s="548" t="s">
        <v>123</v>
      </c>
      <c r="AA477" s="548" t="s">
        <v>123</v>
      </c>
      <c r="AB477" s="548" t="s">
        <v>123</v>
      </c>
      <c r="AC477" s="548" t="s">
        <v>2782</v>
      </c>
      <c r="AD477" s="552" t="s">
        <v>1205</v>
      </c>
      <c r="AE477" s="549">
        <v>42534</v>
      </c>
      <c r="AF477" s="549" t="s">
        <v>2688</v>
      </c>
      <c r="AG477" s="548" t="s">
        <v>2783</v>
      </c>
      <c r="AH477" s="548" t="s">
        <v>2466</v>
      </c>
      <c r="AI477" s="548" t="s">
        <v>2233</v>
      </c>
      <c r="AJ477" s="548">
        <v>89512</v>
      </c>
      <c r="AK477" s="548" t="s">
        <v>2207</v>
      </c>
      <c r="AL477" s="548" t="s">
        <v>123</v>
      </c>
      <c r="AM477" s="554" t="str">
        <f>INDEX(CarrierDriverTBL!$B:$B,MATCH(Table1[[#This Row],[DriverID]],CarrierDriverTBL!$A:$A,0))</f>
        <v>UBTrucking</v>
      </c>
      <c r="AN477" s="10" t="s">
        <v>1409</v>
      </c>
      <c r="AO477" s="555" t="str">
        <f>INDEX(CarrierDriverTBL!$C:$C,MATCH(Table1[[#This Row],[DriverID]],CarrierDriverTBL!$A:$A,0))</f>
        <v>Miguel Jaime</v>
      </c>
      <c r="AP477" s="555" t="str">
        <f>INDEX(CarrierDriverTBL!$D:$D,MATCH(Table1[[#This Row],[DriverID]],CarrierDriverTBL!$A:$A,0))</f>
        <v>Martin Del Campo Velarca</v>
      </c>
      <c r="AQ477" s="555" t="str">
        <f>INDEX(CarrierDriverTBL!$X:$X,MATCH(Table1[[#This Row],[DriverID]],CarrierDriverTBL!$A:$A,0))</f>
        <v>D5179619</v>
      </c>
      <c r="AR477" s="556">
        <f>INDEX(CarrierDriverTBL!$Y:$Y,MATCH(Table1[[#This Row],[DriverID]],CarrierDriverTBL!$A:$A,0))</f>
        <v>43843</v>
      </c>
      <c r="AS477" s="554" t="str">
        <f t="shared" si="194"/>
        <v>GOOD</v>
      </c>
      <c r="AT477" s="556">
        <f>INDEX(CarrierDriverTBL!$E:$E,MATCH(Table1[[#This Row],[DriverID]],CarrierDriverTBL!$A:$A,0))</f>
        <v>21198</v>
      </c>
      <c r="AU477" s="557">
        <f ca="1">INDEX(CarrierDriverTBL!$F:$F,MATCH(Table1[[#This Row],[DriverID]],CarrierDriverTBL!$A:$A,0))</f>
        <v>58.56986301369863</v>
      </c>
      <c r="AV477" s="554" t="str">
        <f>INDEX(CarrierDriverTBL!$K:$K,MATCH(Table1[[#This Row],[DriverID]],CarrierDriverTBL!$A:$A,0))</f>
        <v>209-322-5231</v>
      </c>
      <c r="AW477" s="554" t="str">
        <f>INDEX(CarrierDriverTBL!$M:$M,MATCH(Table1[[#This Row],[DriverID]],CarrierDriverTBL!$A:$A,0))</f>
        <v>572 Predersen RD</v>
      </c>
      <c r="AX477" s="554" t="str">
        <f>INDEX(CarrierDriverTBL!$N:$N,MATCH(Table1[[#This Row],[DriverID]],CarrierDriverTBL!$A:$A,0))</f>
        <v>Oakdale</v>
      </c>
      <c r="AY477" s="554" t="str">
        <f>INDEX(CarrierDriverTBL!$O:$O,MATCH(Table1[[#This Row],[DriverID]],CarrierDriverTBL!$A:$A,0))</f>
        <v>CA</v>
      </c>
      <c r="AZ477" s="554">
        <f>INDEX(CarrierDriverTBL!$P:$P,MATCH(Table1[[#This Row],[DriverID]],CarrierDriverTBL!$A:$A,0))</f>
        <v>95361</v>
      </c>
      <c r="BA477" s="554" t="str">
        <f>INDEX(CarrierDriverTBL!$Q:$Q,MATCH(Table1[[#This Row],[DriverID]],CarrierDriverTBL!$A:$A,0))</f>
        <v>US</v>
      </c>
      <c r="BB477" s="554" t="str">
        <f>INDEX(CarrierDriverTBL!$R:$R,MATCH(Table1[[#This Row],[DriverID]],CarrierDriverTBL!$A:$A,0))</f>
        <v>Miguelmartin52@yahoo.com</v>
      </c>
      <c r="BC477" s="556">
        <f>INDEX(CarrierDriverTBL!$AB:$AB,MATCH(Table1[[#This Row],[DriverID]],CarrierDriverTBL!$A:$A,0))</f>
        <v>42334</v>
      </c>
      <c r="BD477" s="555" t="str">
        <f ca="1">INDEX(CarrierDriverTBL!$AD:$AD,MATCH(LoadMaster!$AN:$AN,CarrierDriverTBL!$A:$A,0))</f>
        <v>MISSING</v>
      </c>
      <c r="BE477" s="555">
        <f>INDEX(CarrierDriverTBL!$AE:$AE,MATCH(Table1[DriverID],CarrierDriverTBL!$A:$A,0))</f>
        <v>913971</v>
      </c>
      <c r="BF477" s="554">
        <f>INDEX(CarrierDriverTBL!$AF:$AF,MATCH(Table1[DriverID],CarrierDriverTBL!$A:$A,0))</f>
        <v>2627544</v>
      </c>
      <c r="BG477" s="236">
        <f>INDEX(CarrierDriverTBL!$AG:$AG,MATCH(Table1[DriverID],CarrierDriverTBL!$A:$A,0))</f>
        <v>466133</v>
      </c>
      <c r="BH477" s="554" t="str">
        <f>INDEX(CarrierDriverTBL!$AH:$AH,MATCH(Table1[DriverID],CarrierDriverTBL!$A:$A,0))</f>
        <v>GM Lawrence Ins</v>
      </c>
      <c r="BI477" s="554" t="str">
        <f>INDEX(CarrierDriverTBL!$AI:$AI,MATCH(Table1[DriverID],CarrierDriverTBL!$A:$A,0))</f>
        <v>DSK2842P160210</v>
      </c>
      <c r="BJ477" s="556">
        <f>INDEX(CarrierDriverTBL!$AJ:$AJ,MATCH(Table1[[#This Row],[DriverID]],CarrierDriverTBL!$A:$A,0))</f>
        <v>42778</v>
      </c>
      <c r="BK477" s="554">
        <f t="shared" si="195"/>
        <v>247</v>
      </c>
      <c r="BL477" s="558">
        <v>750</v>
      </c>
      <c r="BM477" s="554">
        <v>306.39999999999998</v>
      </c>
      <c r="BN477" s="558">
        <f t="shared" si="212"/>
        <v>2.4477806788511751</v>
      </c>
      <c r="BO477" s="241">
        <f>0.93*750</f>
        <v>697.5</v>
      </c>
      <c r="BP477" s="558">
        <f t="shared" si="213"/>
        <v>2.2764360313315928</v>
      </c>
      <c r="BQ477" s="558">
        <v>2.75</v>
      </c>
      <c r="BR477" s="559">
        <f t="shared" si="214"/>
        <v>0.14166666666666669</v>
      </c>
      <c r="BS477" s="558">
        <f t="shared" si="196"/>
        <v>2.1347693646649262</v>
      </c>
      <c r="BT477" s="558">
        <f t="shared" si="197"/>
        <v>43.406666666666673</v>
      </c>
      <c r="BU477" s="236" t="str">
        <f t="shared" si="198"/>
        <v>Fetch Logistics, Inc.</v>
      </c>
      <c r="BV477" s="554"/>
      <c r="BW477" s="236" t="str">
        <f>Table1[[#This Row],[BrokerAddress]]</f>
        <v>25 Northpointe Parkway, Suite 200</v>
      </c>
      <c r="BX477" s="236" t="str">
        <f t="shared" si="199"/>
        <v>Amherst</v>
      </c>
      <c r="BY477" s="269" t="str">
        <f t="shared" si="200"/>
        <v>NY</v>
      </c>
      <c r="BZ477" s="236">
        <f t="shared" si="201"/>
        <v>14228</v>
      </c>
      <c r="CA477" s="236" t="str">
        <f t="shared" si="202"/>
        <v>US</v>
      </c>
      <c r="CB477" s="15" t="s">
        <v>131</v>
      </c>
      <c r="CC477" s="561"/>
      <c r="CD477" s="15" t="s">
        <v>132</v>
      </c>
      <c r="CE477" s="64">
        <v>0</v>
      </c>
      <c r="CF477" s="4">
        <v>0</v>
      </c>
      <c r="CG477" s="132">
        <f t="shared" si="203"/>
        <v>0</v>
      </c>
      <c r="CH477" s="4" t="s">
        <v>132</v>
      </c>
      <c r="CI477" s="5">
        <v>0</v>
      </c>
      <c r="CJ477" s="4">
        <v>0</v>
      </c>
      <c r="CK477" s="132">
        <f t="shared" si="204"/>
        <v>0</v>
      </c>
      <c r="CL477" s="4" t="s">
        <v>132</v>
      </c>
      <c r="CM477" s="5">
        <v>0</v>
      </c>
      <c r="CN477" s="4">
        <v>0</v>
      </c>
      <c r="CO477" s="132">
        <f t="shared" si="205"/>
        <v>0</v>
      </c>
      <c r="CP477" s="4" t="s">
        <v>132</v>
      </c>
      <c r="CQ477" s="5">
        <v>0</v>
      </c>
      <c r="CR477" s="4">
        <v>0</v>
      </c>
      <c r="CS477" s="132">
        <f t="shared" si="206"/>
        <v>0</v>
      </c>
      <c r="CT477" s="132">
        <f t="shared" si="207"/>
        <v>0</v>
      </c>
      <c r="CU477" s="238">
        <f t="shared" si="208"/>
        <v>750</v>
      </c>
      <c r="CV477" s="239">
        <f t="shared" si="191"/>
        <v>0</v>
      </c>
      <c r="CW477" s="240">
        <f>(BO477+CV477)-Table1[[#This Row],[TcheckPrePaid]]</f>
        <v>697.5</v>
      </c>
      <c r="CX477" s="79">
        <f>IF(ISBLANK(E477),"AddQuickPay",IF(E477=2,CU477*0.98,IF(E477=2.4,CU477*0.976,IF(E477=3,CU477*0.97,IF(E477=5,CU477*0.95,IF(E477=1.5,CU477*0.985,IF(E477=2.5,CU477*0.975,IF(E477=1.3,CU477*0.987,IF(E477=1,CU477*0.99,IF(E477=4,CU477*0.96,CU477*1))))))))))-Table1[[#This Row],[ComCheck+QuickPayFee]]</f>
        <v>750</v>
      </c>
      <c r="CY477" s="237">
        <f t="shared" si="209"/>
        <v>52.5</v>
      </c>
      <c r="CZ477" s="237">
        <f t="shared" si="210"/>
        <v>0</v>
      </c>
      <c r="DA477" s="263">
        <f>Table1[[#This Row],[OriginalDispatch]]-Table1[[#This Row],[QuickPayCharge]]</f>
        <v>52.5</v>
      </c>
      <c r="DB477" s="5">
        <v>0</v>
      </c>
      <c r="DC477" s="237" t="s">
        <v>133</v>
      </c>
      <c r="DD477" s="549">
        <f t="shared" si="211"/>
        <v>42531</v>
      </c>
      <c r="DE477" s="554">
        <f>MONTH(Table1[[#This Row],[Weekending]])</f>
        <v>6</v>
      </c>
      <c r="DF477" s="554">
        <f>YEAR(Table1[[#This Row],[Weekending]])</f>
        <v>2016</v>
      </c>
      <c r="DG477" s="235"/>
    </row>
    <row r="478" spans="1:111">
      <c r="A478" s="548" t="str">
        <f t="shared" si="193"/>
        <v>4008wn49</v>
      </c>
      <c r="B478" s="549">
        <v>42535</v>
      </c>
      <c r="C478" s="550">
        <v>3063440</v>
      </c>
      <c r="D478" s="91" t="s">
        <v>3108</v>
      </c>
      <c r="E478" s="550">
        <v>3</v>
      </c>
      <c r="F478" s="551" t="str">
        <f>INDEX(BrokerTBL!$B:$B,MATCH(D478,BrokerTBL!$A:$A,0))</f>
        <v>P.O. BOX 1326</v>
      </c>
      <c r="G478" s="550" t="str">
        <f>INDEX(BrokerTBL!$C:$C,MATCH(D478,BrokerTBL!$A:$A,0))</f>
        <v>Van Buren</v>
      </c>
      <c r="H478" s="235" t="str">
        <f>INDEX(BrokerTBL!$D:$D,MATCH(D478,BrokerTBL!$A:$A,0))</f>
        <v>AR</v>
      </c>
      <c r="I478" s="235" t="str">
        <f>INDEX(BrokerTBL!$E:$E,MATCH(D478,BrokerTBL!$A:$A,0))</f>
        <v>US</v>
      </c>
      <c r="J478" s="235">
        <f>INDEX(BrokerTBL!$F:$F,MATCH(D478,BrokerTBL!$A:$A,0))</f>
        <v>72957</v>
      </c>
      <c r="K478" s="548" t="s">
        <v>3109</v>
      </c>
      <c r="L478" s="552">
        <v>10910603508</v>
      </c>
      <c r="M478" s="549">
        <v>42530</v>
      </c>
      <c r="N478" s="550" t="s">
        <v>3110</v>
      </c>
      <c r="O478" s="550" t="s">
        <v>3111</v>
      </c>
      <c r="P478" s="548" t="s">
        <v>3112</v>
      </c>
      <c r="Q478" s="548" t="s">
        <v>2206</v>
      </c>
      <c r="R478" s="548">
        <v>94577</v>
      </c>
      <c r="S478" s="548" t="s">
        <v>2207</v>
      </c>
      <c r="T478" s="548" t="s">
        <v>123</v>
      </c>
      <c r="U478" s="548" t="s">
        <v>120</v>
      </c>
      <c r="V478" s="548">
        <v>53</v>
      </c>
      <c r="W478" s="548" t="s">
        <v>3113</v>
      </c>
      <c r="X478" s="553">
        <v>44500</v>
      </c>
      <c r="Y478" s="550" t="s">
        <v>123</v>
      </c>
      <c r="Z478" s="548" t="s">
        <v>123</v>
      </c>
      <c r="AA478" s="548" t="s">
        <v>123</v>
      </c>
      <c r="AB478" s="548" t="s">
        <v>123</v>
      </c>
      <c r="AC478" s="548" t="s">
        <v>3114</v>
      </c>
      <c r="AD478" s="552" t="s">
        <v>1205</v>
      </c>
      <c r="AE478" s="549">
        <v>42531</v>
      </c>
      <c r="AF478" s="560">
        <v>0.3125</v>
      </c>
      <c r="AG478" s="548" t="s">
        <v>3115</v>
      </c>
      <c r="AH478" s="548" t="s">
        <v>2684</v>
      </c>
      <c r="AI478" s="548" t="s">
        <v>2206</v>
      </c>
      <c r="AJ478" s="548">
        <v>95240</v>
      </c>
      <c r="AK478" s="548" t="s">
        <v>2207</v>
      </c>
      <c r="AL478" s="548" t="s">
        <v>123</v>
      </c>
      <c r="AM478" s="554" t="str">
        <f>INDEX(CarrierDriverTBL!$B:$B,MATCH(Table1[[#This Row],[DriverID]],CarrierDriverTBL!$A:$A,0))</f>
        <v>UBTrucking</v>
      </c>
      <c r="AN478" s="10" t="s">
        <v>192</v>
      </c>
      <c r="AO478" s="555" t="str">
        <f>INDEX(CarrierDriverTBL!$C:$C,MATCH(Table1[[#This Row],[DriverID]],CarrierDriverTBL!$A:$A,0))</f>
        <v>Albel</v>
      </c>
      <c r="AP478" s="555" t="str">
        <f>INDEX(CarrierDriverTBL!$D:$D,MATCH(Table1[[#This Row],[DriverID]],CarrierDriverTBL!$A:$A,0))</f>
        <v>Chahil</v>
      </c>
      <c r="AQ478" s="555" t="str">
        <f>INDEX(CarrierDriverTBL!$X:$X,MATCH(Table1[[#This Row],[DriverID]],CarrierDriverTBL!$A:$A,0))</f>
        <v>A8390649</v>
      </c>
      <c r="AR478" s="556">
        <f>INDEX(CarrierDriverTBL!$Y:$Y,MATCH(Table1[[#This Row],[DriverID]],CarrierDriverTBL!$A:$A,0))</f>
        <v>42402</v>
      </c>
      <c r="AS478" s="554" t="str">
        <f t="shared" si="194"/>
        <v>EXPIRED</v>
      </c>
      <c r="AT478" s="556">
        <f>INDEX(CarrierDriverTBL!$E:$E,MATCH(Table1[[#This Row],[DriverID]],CarrierDriverTBL!$A:$A,0))</f>
        <v>22314</v>
      </c>
      <c r="AU478" s="557">
        <f ca="1">INDEX(CarrierDriverTBL!$F:$F,MATCH(Table1[[#This Row],[DriverID]],CarrierDriverTBL!$A:$A,0))</f>
        <v>55.512328767123286</v>
      </c>
      <c r="AV478" s="554" t="str">
        <f>INDEX(CarrierDriverTBL!$K:$K,MATCH(Table1[[#This Row],[DriverID]],CarrierDriverTBL!$A:$A,0))</f>
        <v>510-773-9450</v>
      </c>
      <c r="AW478" s="554" t="str">
        <f>INDEX(CarrierDriverTBL!$M:$M,MATCH(Table1[[#This Row],[DriverID]],CarrierDriverTBL!$A:$A,0))</f>
        <v>3124 Cynthia CT</v>
      </c>
      <c r="AX478" s="554" t="str">
        <f>INDEX(CarrierDriverTBL!$N:$N,MATCH(Table1[[#This Row],[DriverID]],CarrierDriverTBL!$A:$A,0))</f>
        <v>Tracy</v>
      </c>
      <c r="AY478" s="554" t="str">
        <f>INDEX(CarrierDriverTBL!$O:$O,MATCH(Table1[[#This Row],[DriverID]],CarrierDriverTBL!$A:$A,0))</f>
        <v>CA</v>
      </c>
      <c r="AZ478" s="554">
        <f>INDEX(CarrierDriverTBL!$P:$P,MATCH(Table1[[#This Row],[DriverID]],CarrierDriverTBL!$A:$A,0))</f>
        <v>95377</v>
      </c>
      <c r="BA478" s="554" t="str">
        <f>INDEX(CarrierDriverTBL!$Q:$Q,MATCH(Table1[[#This Row],[DriverID]],CarrierDriverTBL!$A:$A,0))</f>
        <v>US</v>
      </c>
      <c r="BB478" s="554" t="str">
        <f>INDEX(CarrierDriverTBL!$R:$R,MATCH(Table1[[#This Row],[DriverID]],CarrierDriverTBL!$A:$A,0))</f>
        <v>ubgollc@gmail.com</v>
      </c>
      <c r="BC478" s="556">
        <f>INDEX(CarrierDriverTBL!$AB:$AB,MATCH(Table1[[#This Row],[DriverID]],CarrierDriverTBL!$A:$A,0))</f>
        <v>42167</v>
      </c>
      <c r="BD478" s="555" t="str">
        <f ca="1">INDEX(CarrierDriverTBL!$AD:$AD,MATCH(LoadMaster!$AN:$AN,CarrierDriverTBL!$A:$A,0))</f>
        <v>MISSING</v>
      </c>
      <c r="BE478" s="555">
        <f>INDEX(CarrierDriverTBL!$AE:$AE,MATCH(Table1[DriverID],CarrierDriverTBL!$A:$A,0))</f>
        <v>913971</v>
      </c>
      <c r="BF478" s="554">
        <f>INDEX(CarrierDriverTBL!$AF:$AF,MATCH(Table1[DriverID],CarrierDriverTBL!$A:$A,0))</f>
        <v>2627544</v>
      </c>
      <c r="BG478" s="236">
        <f>INDEX(CarrierDriverTBL!$AG:$AG,MATCH(Table1[DriverID],CarrierDriverTBL!$A:$A,0))</f>
        <v>466133</v>
      </c>
      <c r="BH478" s="554" t="str">
        <f>INDEX(CarrierDriverTBL!$AH:$AH,MATCH(Table1[DriverID],CarrierDriverTBL!$A:$A,0))</f>
        <v>GM Lawrence Ins</v>
      </c>
      <c r="BI478" s="554" t="str">
        <f>INDEX(CarrierDriverTBL!$AI:$AI,MATCH(Table1[DriverID],CarrierDriverTBL!$A:$A,0))</f>
        <v>DSK2842P160210</v>
      </c>
      <c r="BJ478" s="556">
        <f>INDEX(CarrierDriverTBL!$AJ:$AJ,MATCH(Table1[[#This Row],[DriverID]],CarrierDriverTBL!$A:$A,0))</f>
        <v>42778</v>
      </c>
      <c r="BK478" s="554">
        <f t="shared" si="195"/>
        <v>248</v>
      </c>
      <c r="BL478" s="558">
        <v>387.5</v>
      </c>
      <c r="BM478" s="554">
        <v>81.8</v>
      </c>
      <c r="BN478" s="558">
        <f t="shared" si="212"/>
        <v>4.7371638141809296</v>
      </c>
      <c r="BO478" s="241">
        <f>0.93*387.5</f>
        <v>360.375</v>
      </c>
      <c r="BP478" s="558">
        <f t="shared" si="213"/>
        <v>4.4055623471882646</v>
      </c>
      <c r="BQ478" s="558">
        <v>2.75</v>
      </c>
      <c r="BR478" s="559">
        <f t="shared" si="214"/>
        <v>0.14166666666666669</v>
      </c>
      <c r="BS478" s="558">
        <f t="shared" si="196"/>
        <v>4.263895680521598</v>
      </c>
      <c r="BT478" s="558">
        <f t="shared" si="197"/>
        <v>11.588333333333335</v>
      </c>
      <c r="BU478" s="236" t="str">
        <f t="shared" si="198"/>
        <v>USAT Logistics</v>
      </c>
      <c r="BV478" s="554"/>
      <c r="BW478" s="236" t="str">
        <f>Table1[[#This Row],[BrokerAddress]]</f>
        <v>P.O. BOX 1326</v>
      </c>
      <c r="BX478" s="236" t="str">
        <f t="shared" si="199"/>
        <v>Van Buren</v>
      </c>
      <c r="BY478" s="269" t="str">
        <f t="shared" si="200"/>
        <v>AR</v>
      </c>
      <c r="BZ478" s="236">
        <f t="shared" si="201"/>
        <v>72957</v>
      </c>
      <c r="CA478" s="236" t="str">
        <f t="shared" si="202"/>
        <v>US</v>
      </c>
      <c r="CB478" s="15" t="s">
        <v>131</v>
      </c>
      <c r="CC478" s="561"/>
      <c r="CD478" s="15" t="s">
        <v>132</v>
      </c>
      <c r="CE478" s="64">
        <v>0</v>
      </c>
      <c r="CF478" s="4">
        <v>0</v>
      </c>
      <c r="CG478" s="132">
        <f t="shared" si="203"/>
        <v>0</v>
      </c>
      <c r="CH478" s="4" t="s">
        <v>132</v>
      </c>
      <c r="CI478" s="5">
        <v>0</v>
      </c>
      <c r="CJ478" s="4">
        <v>0</v>
      </c>
      <c r="CK478" s="132">
        <f t="shared" si="204"/>
        <v>0</v>
      </c>
      <c r="CL478" s="4" t="s">
        <v>132</v>
      </c>
      <c r="CM478" s="5">
        <v>0</v>
      </c>
      <c r="CN478" s="4">
        <v>0</v>
      </c>
      <c r="CO478" s="132">
        <f t="shared" si="205"/>
        <v>0</v>
      </c>
      <c r="CP478" s="4" t="s">
        <v>132</v>
      </c>
      <c r="CQ478" s="5">
        <v>0</v>
      </c>
      <c r="CR478" s="4">
        <v>0</v>
      </c>
      <c r="CS478" s="132">
        <f t="shared" si="206"/>
        <v>0</v>
      </c>
      <c r="CT478" s="132">
        <f t="shared" si="207"/>
        <v>0</v>
      </c>
      <c r="CU478" s="238">
        <f t="shared" si="208"/>
        <v>387.5</v>
      </c>
      <c r="CV478" s="239">
        <f t="shared" si="191"/>
        <v>0</v>
      </c>
      <c r="CW478" s="240">
        <f>(BO478+CV478)-Table1[[#This Row],[TcheckPrePaid]]</f>
        <v>360.375</v>
      </c>
      <c r="CX478" s="79">
        <f>IF(ISBLANK(E478),"AddQuickPay",IF(E478=2,CU478*0.98,IF(E478=2.4,CU478*0.976,IF(E478=3,CU478*0.97,IF(E478=5,CU478*0.95,IF(E478=1.5,CU478*0.985,IF(E478=2.5,CU478*0.975,IF(E478=1.3,CU478*0.987,IF(E478=1,CU478*0.99,IF(E478=4,CU478*0.96,CU478*1))))))))))-Table1[[#This Row],[ComCheck+QuickPayFee]]</f>
        <v>375.875</v>
      </c>
      <c r="CY478" s="237">
        <f t="shared" si="209"/>
        <v>27.125</v>
      </c>
      <c r="CZ478" s="237">
        <f t="shared" si="210"/>
        <v>11.625</v>
      </c>
      <c r="DA478" s="263">
        <f>Table1[[#This Row],[OriginalDispatch]]-Table1[[#This Row],[QuickPayCharge]]</f>
        <v>15.5</v>
      </c>
      <c r="DB478" s="5">
        <v>0</v>
      </c>
      <c r="DC478" s="237" t="s">
        <v>133</v>
      </c>
      <c r="DD478" s="549">
        <f t="shared" si="211"/>
        <v>42531</v>
      </c>
      <c r="DE478" s="554">
        <f>MONTH(Table1[[#This Row],[Weekending]])</f>
        <v>6</v>
      </c>
      <c r="DF478" s="554">
        <f>YEAR(Table1[[#This Row],[Weekending]])</f>
        <v>2016</v>
      </c>
      <c r="DG478" s="235"/>
    </row>
    <row r="479" spans="1:111">
      <c r="A479" s="548" t="str">
        <f t="shared" si="193"/>
        <v>86202093</v>
      </c>
      <c r="B479" s="549">
        <v>42535</v>
      </c>
      <c r="C479" s="550">
        <v>204009186</v>
      </c>
      <c r="D479" s="548" t="s">
        <v>111</v>
      </c>
      <c r="E479" s="550">
        <v>2</v>
      </c>
      <c r="F479" s="551" t="str">
        <f>INDEX(BrokerTBL!$B:$B,MATCH(D479,BrokerTBL!$A:$A,0))</f>
        <v>P.O. Box 3474</v>
      </c>
      <c r="G479" s="550" t="str">
        <f>INDEX(BrokerTBL!$C:$C,MATCH(D479,BrokerTBL!$A:$A,0))</f>
        <v>Chicago</v>
      </c>
      <c r="H479" s="235" t="str">
        <f>INDEX(BrokerTBL!$D:$D,MATCH(D479,BrokerTBL!$A:$A,0))</f>
        <v>Il</v>
      </c>
      <c r="I479" s="235" t="str">
        <f>INDEX(BrokerTBL!$E:$E,MATCH(D479,BrokerTBL!$A:$A,0))</f>
        <v>US</v>
      </c>
      <c r="J479" s="235">
        <f>INDEX(BrokerTBL!$F:$F,MATCH(D479,BrokerTBL!$A:$A,0))</f>
        <v>60654</v>
      </c>
      <c r="K479" s="548" t="s">
        <v>329</v>
      </c>
      <c r="L479" s="552" t="s">
        <v>3116</v>
      </c>
      <c r="M479" s="549">
        <v>42534</v>
      </c>
      <c r="N479" s="550" t="s">
        <v>1398</v>
      </c>
      <c r="O479" s="550" t="s">
        <v>3117</v>
      </c>
      <c r="P479" s="548" t="s">
        <v>184</v>
      </c>
      <c r="Q479" s="548" t="s">
        <v>2206</v>
      </c>
      <c r="R479" s="548">
        <v>95215</v>
      </c>
      <c r="S479" s="548" t="s">
        <v>2207</v>
      </c>
      <c r="T479" s="548" t="s">
        <v>123</v>
      </c>
      <c r="U479" s="548" t="s">
        <v>120</v>
      </c>
      <c r="V479" s="548">
        <v>53</v>
      </c>
      <c r="W479" s="548" t="s">
        <v>185</v>
      </c>
      <c r="X479" s="553">
        <v>44640</v>
      </c>
      <c r="Y479" s="550" t="s">
        <v>3024</v>
      </c>
      <c r="Z479" s="548">
        <v>1080</v>
      </c>
      <c r="AA479" s="548" t="s">
        <v>123</v>
      </c>
      <c r="AB479" s="548" t="s">
        <v>123</v>
      </c>
      <c r="AC479" s="548" t="s">
        <v>1215</v>
      </c>
      <c r="AD479" s="552" t="s">
        <v>3118</v>
      </c>
      <c r="AE479" s="549">
        <v>42534</v>
      </c>
      <c r="AF479" s="549" t="s">
        <v>3119</v>
      </c>
      <c r="AG479" s="548" t="s">
        <v>3120</v>
      </c>
      <c r="AH479" s="548" t="s">
        <v>138</v>
      </c>
      <c r="AI479" s="548" t="s">
        <v>2206</v>
      </c>
      <c r="AJ479" s="548" t="s">
        <v>3121</v>
      </c>
      <c r="AK479" s="548" t="s">
        <v>2207</v>
      </c>
      <c r="AL479" s="548" t="s">
        <v>3122</v>
      </c>
      <c r="AM479" s="554" t="str">
        <f>INDEX(CarrierDriverTBL!$B:$B,MATCH(Table1[[#This Row],[DriverID]],CarrierDriverTBL!$A:$A,0))</f>
        <v>UBTrucking</v>
      </c>
      <c r="AN479" s="10" t="s">
        <v>2234</v>
      </c>
      <c r="AO479" s="555" t="str">
        <f>INDEX(CarrierDriverTBL!$C:$C,MATCH(Table1[[#This Row],[DriverID]],CarrierDriverTBL!$A:$A,0))</f>
        <v>Arturo</v>
      </c>
      <c r="AP479" s="555" t="str">
        <f>INDEX(CarrierDriverTBL!$D:$D,MATCH(Table1[[#This Row],[DriverID]],CarrierDriverTBL!$A:$A,0))</f>
        <v>Carrillo</v>
      </c>
      <c r="AQ479" s="555" t="str">
        <f>INDEX(CarrierDriverTBL!$X:$X,MATCH(Table1[[#This Row],[DriverID]],CarrierDriverTBL!$A:$A,0))</f>
        <v>C7056793</v>
      </c>
      <c r="AR479" s="556">
        <f>INDEX(CarrierDriverTBL!$Y:$Y,MATCH(Table1[[#This Row],[DriverID]],CarrierDriverTBL!$A:$A,0))</f>
        <v>43410</v>
      </c>
      <c r="AS479" s="554" t="str">
        <f t="shared" si="194"/>
        <v>GOOD</v>
      </c>
      <c r="AT479" s="556">
        <f>INDEX(CarrierDriverTBL!$E:$E,MATCH(Table1[[#This Row],[DriverID]],CarrierDriverTBL!$A:$A,0))</f>
        <v>24782</v>
      </c>
      <c r="AU479" s="557">
        <f ca="1">INDEX(CarrierDriverTBL!$F:$F,MATCH(Table1[[#This Row],[DriverID]],CarrierDriverTBL!$A:$A,0))</f>
        <v>48.750684931506846</v>
      </c>
      <c r="AV479" s="554" t="str">
        <f>INDEX(CarrierDriverTBL!$K:$K,MATCH(Table1[[#This Row],[DriverID]],CarrierDriverTBL!$A:$A,0))</f>
        <v>209-276-9785</v>
      </c>
      <c r="AW479" s="554" t="str">
        <f>INDEX(CarrierDriverTBL!$M:$M,MATCH(Table1[[#This Row],[DriverID]],CarrierDriverTBL!$A:$A,0))</f>
        <v>1685 Winthrop Ln</v>
      </c>
      <c r="AX479" s="554" t="str">
        <f>INDEX(CarrierDriverTBL!$N:$N,MATCH(Table1[[#This Row],[DriverID]],CarrierDriverTBL!$A:$A,0))</f>
        <v>Ceres</v>
      </c>
      <c r="AY479" s="554" t="str">
        <f>INDEX(CarrierDriverTBL!$O:$O,MATCH(Table1[[#This Row],[DriverID]],CarrierDriverTBL!$A:$A,0))</f>
        <v>CA</v>
      </c>
      <c r="AZ479" s="554">
        <f>INDEX(CarrierDriverTBL!$P:$P,MATCH(Table1[[#This Row],[DriverID]],CarrierDriverTBL!$A:$A,0))</f>
        <v>95307</v>
      </c>
      <c r="BA479" s="554" t="str">
        <f>INDEX(CarrierDriverTBL!$Q:$Q,MATCH(Table1[[#This Row],[DriverID]],CarrierDriverTBL!$A:$A,0))</f>
        <v>US</v>
      </c>
      <c r="BB479" s="554" t="str">
        <f>INDEX(CarrierDriverTBL!$R:$R,MATCH(Table1[[#This Row],[DriverID]],CarrierDriverTBL!$A:$A,0))</f>
        <v>arturocarr777@gmail.com</v>
      </c>
      <c r="BC479" s="556">
        <f>INDEX(CarrierDriverTBL!$AB:$AB,MATCH(Table1[[#This Row],[DriverID]],CarrierDriverTBL!$A:$A,0))</f>
        <v>42418</v>
      </c>
      <c r="BD479" s="555" t="str">
        <f ca="1">INDEX(CarrierDriverTBL!$AD:$AD,MATCH(LoadMaster!$AN:$AN,CarrierDriverTBL!$A:$A,0))</f>
        <v>MISSING</v>
      </c>
      <c r="BE479" s="555">
        <f>INDEX(CarrierDriverTBL!$AE:$AE,MATCH(Table1[DriverID],CarrierDriverTBL!$A:$A,0))</f>
        <v>913971</v>
      </c>
      <c r="BF479" s="554">
        <f>INDEX(CarrierDriverTBL!$AF:$AF,MATCH(Table1[DriverID],CarrierDriverTBL!$A:$A,0))</f>
        <v>2627544</v>
      </c>
      <c r="BG479" s="236">
        <f>INDEX(CarrierDriverTBL!$AG:$AG,MATCH(Table1[DriverID],CarrierDriverTBL!$A:$A,0))</f>
        <v>466133</v>
      </c>
      <c r="BH479" s="554" t="str">
        <f>INDEX(CarrierDriverTBL!$AH:$AH,MATCH(Table1[DriverID],CarrierDriverTBL!$A:$A,0))</f>
        <v>GM Lawrence Ins</v>
      </c>
      <c r="BI479" s="554" t="str">
        <f>INDEX(CarrierDriverTBL!$AI:$AI,MATCH(Table1[DriverID],CarrierDriverTBL!$A:$A,0))</f>
        <v>DSK2842P160210</v>
      </c>
      <c r="BJ479" s="556">
        <f>INDEX(CarrierDriverTBL!$AJ:$AJ,MATCH(Table1[[#This Row],[DriverID]],CarrierDriverTBL!$A:$A,0))</f>
        <v>42778</v>
      </c>
      <c r="BK479" s="554">
        <f t="shared" si="195"/>
        <v>244</v>
      </c>
      <c r="BL479" s="558">
        <v>450</v>
      </c>
      <c r="BM479" s="554">
        <v>156.9</v>
      </c>
      <c r="BN479" s="558">
        <f t="shared" si="212"/>
        <v>2.8680688336520075</v>
      </c>
      <c r="BO479" s="241">
        <f>0.93*450</f>
        <v>418.5</v>
      </c>
      <c r="BP479" s="558">
        <f t="shared" si="213"/>
        <v>2.667304015296367</v>
      </c>
      <c r="BQ479" s="558">
        <v>2.75</v>
      </c>
      <c r="BR479" s="559">
        <f t="shared" si="214"/>
        <v>0.14166666666666669</v>
      </c>
      <c r="BS479" s="558">
        <f t="shared" si="196"/>
        <v>2.5256373486297004</v>
      </c>
      <c r="BT479" s="558">
        <f t="shared" si="197"/>
        <v>22.227500000000006</v>
      </c>
      <c r="BU479" s="236" t="str">
        <f t="shared" si="198"/>
        <v>Ch Robinson</v>
      </c>
      <c r="BV479" s="554"/>
      <c r="BW479" s="236" t="str">
        <f>Table1[[#This Row],[BrokerAddress]]</f>
        <v>P.O. Box 3474</v>
      </c>
      <c r="BX479" s="236" t="str">
        <f t="shared" si="199"/>
        <v>Chicago</v>
      </c>
      <c r="BY479" s="269" t="str">
        <f t="shared" si="200"/>
        <v>Il</v>
      </c>
      <c r="BZ479" s="236">
        <f t="shared" si="201"/>
        <v>60654</v>
      </c>
      <c r="CA479" s="236" t="str">
        <f t="shared" si="202"/>
        <v>US</v>
      </c>
      <c r="CB479" s="15" t="s">
        <v>131</v>
      </c>
      <c r="CC479" s="561"/>
      <c r="CD479" s="15" t="s">
        <v>149</v>
      </c>
      <c r="CE479" s="64">
        <v>50</v>
      </c>
      <c r="CF479" s="4">
        <v>1</v>
      </c>
      <c r="CG479" s="132">
        <f t="shared" si="203"/>
        <v>50</v>
      </c>
      <c r="CH479" s="4" t="s">
        <v>132</v>
      </c>
      <c r="CI479" s="5">
        <v>0</v>
      </c>
      <c r="CJ479" s="4">
        <v>0</v>
      </c>
      <c r="CK479" s="132">
        <f t="shared" si="204"/>
        <v>0</v>
      </c>
      <c r="CL479" s="4" t="s">
        <v>132</v>
      </c>
      <c r="CM479" s="5">
        <v>0</v>
      </c>
      <c r="CN479" s="4">
        <v>0</v>
      </c>
      <c r="CO479" s="132">
        <f t="shared" si="205"/>
        <v>0</v>
      </c>
      <c r="CP479" s="4" t="s">
        <v>132</v>
      </c>
      <c r="CQ479" s="5">
        <v>0</v>
      </c>
      <c r="CR479" s="4">
        <v>0</v>
      </c>
      <c r="CS479" s="132">
        <f t="shared" si="206"/>
        <v>0</v>
      </c>
      <c r="CT479" s="132">
        <f t="shared" si="207"/>
        <v>50</v>
      </c>
      <c r="CU479" s="238">
        <f t="shared" si="208"/>
        <v>500</v>
      </c>
      <c r="CV479" s="239">
        <f t="shared" si="191"/>
        <v>46.5</v>
      </c>
      <c r="CW479" s="240">
        <f>(BO479+CV479)-Table1[[#This Row],[TcheckPrePaid]]</f>
        <v>465</v>
      </c>
      <c r="CX479" s="79">
        <f>IF(ISBLANK(E479),"AddQuickPay",IF(E479=2,CU479*0.98,IF(E479=2.4,CU479*0.976,IF(E479=3,CU479*0.97,IF(E479=5,CU479*0.95,IF(E479=1.5,CU479*0.985,IF(E479=2.5,CU479*0.975,IF(E479=1.3,CU479*0.987,IF(E479=1,CU479*0.99,IF(E479=4,CU479*0.96,CU479*1))))))))))-Table1[[#This Row],[ComCheck+QuickPayFee]]</f>
        <v>490</v>
      </c>
      <c r="CY479" s="237">
        <f t="shared" si="209"/>
        <v>35</v>
      </c>
      <c r="CZ479" s="237">
        <f t="shared" si="210"/>
        <v>10</v>
      </c>
      <c r="DA479" s="263">
        <f>Table1[[#This Row],[OriginalDispatch]]-Table1[[#This Row],[QuickPayCharge]]</f>
        <v>25</v>
      </c>
      <c r="DB479" s="5">
        <v>0</v>
      </c>
      <c r="DC479" s="237" t="s">
        <v>133</v>
      </c>
      <c r="DD479" s="549">
        <f t="shared" si="211"/>
        <v>42538</v>
      </c>
      <c r="DE479" s="554">
        <f>MONTH(Table1[[#This Row],[Weekending]])</f>
        <v>6</v>
      </c>
      <c r="DF479" s="554">
        <f>YEAR(Table1[[#This Row],[Weekending]])</f>
        <v>2016</v>
      </c>
      <c r="DG479" s="235"/>
    </row>
    <row r="480" spans="1:111">
      <c r="A480" s="548" t="str">
        <f t="shared" si="193"/>
        <v>90959549</v>
      </c>
      <c r="B480" s="549">
        <v>42535</v>
      </c>
      <c r="C480" s="550">
        <v>7884490</v>
      </c>
      <c r="D480" s="548" t="s">
        <v>2185</v>
      </c>
      <c r="E480" s="550">
        <v>4</v>
      </c>
      <c r="F480" s="551" t="str">
        <f>INDEX(BrokerTBL!$B:$B,MATCH(D480,BrokerTBL!$A:$A,0))</f>
        <v>PO Box 6348</v>
      </c>
      <c r="G480" s="550" t="str">
        <f>INDEX(BrokerTBL!$C:$C,MATCH(D480,BrokerTBL!$A:$A,0))</f>
        <v>Scottsdale</v>
      </c>
      <c r="H480" s="235" t="str">
        <f>INDEX(BrokerTBL!$D:$D,MATCH(D480,BrokerTBL!$A:$A,0))</f>
        <v>Az</v>
      </c>
      <c r="I480" s="235" t="str">
        <f>INDEX(BrokerTBL!$E:$E,MATCH(D480,BrokerTBL!$A:$A,0))</f>
        <v>US</v>
      </c>
      <c r="J480" s="235">
        <f>INDEX(BrokerTBL!$F:$F,MATCH(D480,BrokerTBL!$A:$A,0))</f>
        <v>85258</v>
      </c>
      <c r="K480" s="548" t="s">
        <v>2374</v>
      </c>
      <c r="L480" s="552">
        <v>20210515495</v>
      </c>
      <c r="M480" s="549">
        <v>42535</v>
      </c>
      <c r="N480" s="560">
        <v>0.58333333333333337</v>
      </c>
      <c r="O480" s="550" t="s">
        <v>2375</v>
      </c>
      <c r="P480" s="548" t="s">
        <v>2277</v>
      </c>
      <c r="Q480" s="548" t="s">
        <v>2206</v>
      </c>
      <c r="R480" s="548">
        <v>93725</v>
      </c>
      <c r="S480" s="548" t="s">
        <v>2207</v>
      </c>
      <c r="T480" s="548" t="s">
        <v>123</v>
      </c>
      <c r="U480" s="548" t="s">
        <v>120</v>
      </c>
      <c r="V480" s="548">
        <v>53</v>
      </c>
      <c r="W480" s="548" t="s">
        <v>2376</v>
      </c>
      <c r="X480" s="553">
        <v>44875</v>
      </c>
      <c r="Y480" s="550" t="s">
        <v>2220</v>
      </c>
      <c r="Z480" s="548">
        <v>1080</v>
      </c>
      <c r="AA480" s="548">
        <v>27</v>
      </c>
      <c r="AB480" s="548" t="s">
        <v>123</v>
      </c>
      <c r="AC480" s="548" t="s">
        <v>2377</v>
      </c>
      <c r="AD480" s="552">
        <v>20210515495</v>
      </c>
      <c r="AE480" s="549">
        <v>42536</v>
      </c>
      <c r="AF480" s="560">
        <v>0.33333333333333331</v>
      </c>
      <c r="AG480" s="548" t="s">
        <v>2378</v>
      </c>
      <c r="AH480" s="548" t="s">
        <v>2466</v>
      </c>
      <c r="AI480" s="548" t="s">
        <v>2233</v>
      </c>
      <c r="AJ480" s="548">
        <v>89502</v>
      </c>
      <c r="AK480" s="548" t="s">
        <v>2207</v>
      </c>
      <c r="AL480" s="548" t="s">
        <v>123</v>
      </c>
      <c r="AM480" s="554" t="str">
        <f>INDEX(CarrierDriverTBL!$B:$B,MATCH(Table1[[#This Row],[DriverID]],CarrierDriverTBL!$A:$A,0))</f>
        <v>UBTrucking</v>
      </c>
      <c r="AN480" s="10" t="s">
        <v>192</v>
      </c>
      <c r="AO480" s="555" t="str">
        <f>INDEX(CarrierDriverTBL!$C:$C,MATCH(Table1[[#This Row],[DriverID]],CarrierDriverTBL!$A:$A,0))</f>
        <v>Albel</v>
      </c>
      <c r="AP480" s="555" t="str">
        <f>INDEX(CarrierDriverTBL!$D:$D,MATCH(Table1[[#This Row],[DriverID]],CarrierDriverTBL!$A:$A,0))</f>
        <v>Chahil</v>
      </c>
      <c r="AQ480" s="555" t="str">
        <f>INDEX(CarrierDriverTBL!$X:$X,MATCH(Table1[[#This Row],[DriverID]],CarrierDriverTBL!$A:$A,0))</f>
        <v>A8390649</v>
      </c>
      <c r="AR480" s="556">
        <f>INDEX(CarrierDriverTBL!$Y:$Y,MATCH(Table1[[#This Row],[DriverID]],CarrierDriverTBL!$A:$A,0))</f>
        <v>42402</v>
      </c>
      <c r="AS480" s="554" t="str">
        <f t="shared" si="194"/>
        <v>EXPIRED</v>
      </c>
      <c r="AT480" s="556">
        <f>INDEX(CarrierDriverTBL!$E:$E,MATCH(Table1[[#This Row],[DriverID]],CarrierDriverTBL!$A:$A,0))</f>
        <v>22314</v>
      </c>
      <c r="AU480" s="557">
        <f ca="1">INDEX(CarrierDriverTBL!$F:$F,MATCH(Table1[[#This Row],[DriverID]],CarrierDriverTBL!$A:$A,0))</f>
        <v>55.512328767123286</v>
      </c>
      <c r="AV480" s="554" t="str">
        <f>INDEX(CarrierDriverTBL!$K:$K,MATCH(Table1[[#This Row],[DriverID]],CarrierDriverTBL!$A:$A,0))</f>
        <v>510-773-9450</v>
      </c>
      <c r="AW480" s="554" t="str">
        <f>INDEX(CarrierDriverTBL!$M:$M,MATCH(Table1[[#This Row],[DriverID]],CarrierDriverTBL!$A:$A,0))</f>
        <v>3124 Cynthia CT</v>
      </c>
      <c r="AX480" s="554" t="str">
        <f>INDEX(CarrierDriverTBL!$N:$N,MATCH(Table1[[#This Row],[DriverID]],CarrierDriverTBL!$A:$A,0))</f>
        <v>Tracy</v>
      </c>
      <c r="AY480" s="554" t="str">
        <f>INDEX(CarrierDriverTBL!$O:$O,MATCH(Table1[[#This Row],[DriverID]],CarrierDriverTBL!$A:$A,0))</f>
        <v>CA</v>
      </c>
      <c r="AZ480" s="554">
        <f>INDEX(CarrierDriverTBL!$P:$P,MATCH(Table1[[#This Row],[DriverID]],CarrierDriverTBL!$A:$A,0))</f>
        <v>95377</v>
      </c>
      <c r="BA480" s="554" t="str">
        <f>INDEX(CarrierDriverTBL!$Q:$Q,MATCH(Table1[[#This Row],[DriverID]],CarrierDriverTBL!$A:$A,0))</f>
        <v>US</v>
      </c>
      <c r="BB480" s="554" t="str">
        <f>INDEX(CarrierDriverTBL!$R:$R,MATCH(Table1[[#This Row],[DriverID]],CarrierDriverTBL!$A:$A,0))</f>
        <v>ubgollc@gmail.com</v>
      </c>
      <c r="BC480" s="556">
        <f>INDEX(CarrierDriverTBL!$AB:$AB,MATCH(Table1[[#This Row],[DriverID]],CarrierDriverTBL!$A:$A,0))</f>
        <v>42167</v>
      </c>
      <c r="BD480" s="555" t="str">
        <f ca="1">INDEX(CarrierDriverTBL!$AD:$AD,MATCH(LoadMaster!$AN:$AN,CarrierDriverTBL!$A:$A,0))</f>
        <v>MISSING</v>
      </c>
      <c r="BE480" s="555">
        <f>INDEX(CarrierDriverTBL!$AE:$AE,MATCH(Table1[DriverID],CarrierDriverTBL!$A:$A,0))</f>
        <v>913971</v>
      </c>
      <c r="BF480" s="554">
        <f>INDEX(CarrierDriverTBL!$AF:$AF,MATCH(Table1[DriverID],CarrierDriverTBL!$A:$A,0))</f>
        <v>2627544</v>
      </c>
      <c r="BG480" s="236">
        <f>INDEX(CarrierDriverTBL!$AG:$AG,MATCH(Table1[DriverID],CarrierDriverTBL!$A:$A,0))</f>
        <v>466133</v>
      </c>
      <c r="BH480" s="554" t="str">
        <f>INDEX(CarrierDriverTBL!$AH:$AH,MATCH(Table1[DriverID],CarrierDriverTBL!$A:$A,0))</f>
        <v>GM Lawrence Ins</v>
      </c>
      <c r="BI480" s="554" t="str">
        <f>INDEX(CarrierDriverTBL!$AI:$AI,MATCH(Table1[DriverID],CarrierDriverTBL!$A:$A,0))</f>
        <v>DSK2842P160210</v>
      </c>
      <c r="BJ480" s="556">
        <f>INDEX(CarrierDriverTBL!$AJ:$AJ,MATCH(Table1[[#This Row],[DriverID]],CarrierDriverTBL!$A:$A,0))</f>
        <v>42778</v>
      </c>
      <c r="BK480" s="554">
        <f t="shared" si="195"/>
        <v>243</v>
      </c>
      <c r="BL480" s="558">
        <v>750</v>
      </c>
      <c r="BM480" s="554">
        <v>300.10000000000002</v>
      </c>
      <c r="BN480" s="558">
        <f t="shared" si="212"/>
        <v>2.4991669443518827</v>
      </c>
      <c r="BO480" s="241">
        <f>0.93*750</f>
        <v>697.5</v>
      </c>
      <c r="BP480" s="558">
        <f t="shared" si="213"/>
        <v>2.3242252582472509</v>
      </c>
      <c r="BQ480" s="558">
        <v>2.75</v>
      </c>
      <c r="BR480" s="559">
        <f t="shared" si="214"/>
        <v>0.14166666666666669</v>
      </c>
      <c r="BS480" s="558">
        <f t="shared" si="196"/>
        <v>2.1825585915805843</v>
      </c>
      <c r="BT480" s="558">
        <f t="shared" si="197"/>
        <v>42.514166666666675</v>
      </c>
      <c r="BU480" s="236" t="str">
        <f t="shared" si="198"/>
        <v>Globaltranz</v>
      </c>
      <c r="BV480" s="554"/>
      <c r="BW480" s="236" t="str">
        <f>Table1[[#This Row],[BrokerAddress]]</f>
        <v>PO Box 6348</v>
      </c>
      <c r="BX480" s="236" t="str">
        <f t="shared" si="199"/>
        <v>Scottsdale</v>
      </c>
      <c r="BY480" s="269" t="str">
        <f t="shared" si="200"/>
        <v>Az</v>
      </c>
      <c r="BZ480" s="236">
        <f t="shared" si="201"/>
        <v>85258</v>
      </c>
      <c r="CA480" s="236" t="str">
        <f t="shared" si="202"/>
        <v>US</v>
      </c>
      <c r="CB480" s="15" t="s">
        <v>131</v>
      </c>
      <c r="CC480" s="561"/>
      <c r="CD480" s="15" t="s">
        <v>132</v>
      </c>
      <c r="CE480" s="64">
        <v>0</v>
      </c>
      <c r="CF480" s="4">
        <v>0</v>
      </c>
      <c r="CG480" s="132">
        <f t="shared" si="203"/>
        <v>0</v>
      </c>
      <c r="CH480" s="4" t="s">
        <v>132</v>
      </c>
      <c r="CI480" s="5">
        <v>0</v>
      </c>
      <c r="CJ480" s="4">
        <v>0</v>
      </c>
      <c r="CK480" s="132">
        <f t="shared" si="204"/>
        <v>0</v>
      </c>
      <c r="CL480" s="4" t="s">
        <v>132</v>
      </c>
      <c r="CM480" s="5">
        <v>0</v>
      </c>
      <c r="CN480" s="4">
        <v>0</v>
      </c>
      <c r="CO480" s="132">
        <f t="shared" si="205"/>
        <v>0</v>
      </c>
      <c r="CP480" s="4" t="s">
        <v>132</v>
      </c>
      <c r="CQ480" s="5">
        <v>0</v>
      </c>
      <c r="CR480" s="4">
        <v>0</v>
      </c>
      <c r="CS480" s="132">
        <f t="shared" si="206"/>
        <v>0</v>
      </c>
      <c r="CT480" s="132">
        <f t="shared" si="207"/>
        <v>0</v>
      </c>
      <c r="CU480" s="238">
        <f t="shared" si="208"/>
        <v>750</v>
      </c>
      <c r="CV480" s="239">
        <f t="shared" si="191"/>
        <v>0</v>
      </c>
      <c r="CW480" s="240">
        <f>(BO480+CV480)-Table1[[#This Row],[TcheckPrePaid]]</f>
        <v>697.5</v>
      </c>
      <c r="CX480" s="79">
        <f>IF(ISBLANK(E480),"AddQuickPay",IF(E480=2,CU480*0.98,IF(E480=2.4,CU480*0.976,IF(E480=3,CU480*0.97,IF(E480=5,CU480*0.95,IF(E480=1.5,CU480*0.985,IF(E480=2.5,CU480*0.975,IF(E480=1.3,CU480*0.987,IF(E480=1,CU480*0.99,IF(E480=4,CU480*0.96,CU480*1))))))))))-Table1[[#This Row],[ComCheck+QuickPayFee]]</f>
        <v>720</v>
      </c>
      <c r="CY480" s="237">
        <f t="shared" si="209"/>
        <v>52.5</v>
      </c>
      <c r="CZ480" s="237">
        <f t="shared" si="210"/>
        <v>30</v>
      </c>
      <c r="DA480" s="263">
        <f>Table1[[#This Row],[OriginalDispatch]]-Table1[[#This Row],[QuickPayCharge]]</f>
        <v>22.5</v>
      </c>
      <c r="DB480" s="5">
        <v>0</v>
      </c>
      <c r="DC480" s="237" t="s">
        <v>133</v>
      </c>
      <c r="DD480" s="549">
        <f t="shared" si="211"/>
        <v>42538</v>
      </c>
      <c r="DE480" s="554">
        <f>MONTH(Table1[[#This Row],[Weekending]])</f>
        <v>6</v>
      </c>
      <c r="DF480" s="554">
        <f>YEAR(Table1[[#This Row],[Weekending]])</f>
        <v>2016</v>
      </c>
      <c r="DG480" s="235"/>
    </row>
    <row r="481" spans="1:111">
      <c r="A481" s="548" t="str">
        <f t="shared" si="193"/>
        <v>71-c8149</v>
      </c>
      <c r="B481" s="549">
        <v>42535</v>
      </c>
      <c r="C481" s="550">
        <v>24749471</v>
      </c>
      <c r="D481" s="548" t="s">
        <v>2703</v>
      </c>
      <c r="E481" s="550">
        <v>2</v>
      </c>
      <c r="F481" s="551" t="str">
        <f>INDEX(BrokerTBL!$B:$B,MATCH(D481,BrokerTBL!$A:$A,0))</f>
        <v>600 W. Chicago Ave., Ste. 725</v>
      </c>
      <c r="G481" s="550" t="str">
        <f>INDEX(BrokerTBL!$C:$C,MATCH(D481,BrokerTBL!$A:$A,0))</f>
        <v>Chicago</v>
      </c>
      <c r="H481" s="235" t="str">
        <f>INDEX(BrokerTBL!$D:$D,MATCH(D481,BrokerTBL!$A:$A,0))</f>
        <v>IL</v>
      </c>
      <c r="I481" s="235" t="str">
        <f>INDEX(BrokerTBL!$E:$E,MATCH(D481,BrokerTBL!$A:$A,0))</f>
        <v>US</v>
      </c>
      <c r="J481" s="235">
        <f>INDEX(BrokerTBL!$F:$F,MATCH(D481,BrokerTBL!$A:$A,0))</f>
        <v>60654</v>
      </c>
      <c r="K481" s="548" t="s">
        <v>3123</v>
      </c>
      <c r="L481" s="552" t="s">
        <v>3124</v>
      </c>
      <c r="M481" s="549">
        <v>42535</v>
      </c>
      <c r="N481" s="550" t="s">
        <v>1484</v>
      </c>
      <c r="O481" s="550" t="s">
        <v>3125</v>
      </c>
      <c r="P481" s="548" t="s">
        <v>3126</v>
      </c>
      <c r="Q481" s="548" t="s">
        <v>2206</v>
      </c>
      <c r="R481" s="548">
        <v>93722</v>
      </c>
      <c r="S481" s="548" t="s">
        <v>2207</v>
      </c>
      <c r="T481" s="548" t="s">
        <v>3127</v>
      </c>
      <c r="U481" s="548" t="s">
        <v>120</v>
      </c>
      <c r="V481" s="548">
        <v>53</v>
      </c>
      <c r="W481" s="548" t="s">
        <v>3128</v>
      </c>
      <c r="X481" s="553">
        <v>15000</v>
      </c>
      <c r="Y481" s="550" t="s">
        <v>26</v>
      </c>
      <c r="Z481" s="548" t="s">
        <v>123</v>
      </c>
      <c r="AA481" s="548">
        <v>7</v>
      </c>
      <c r="AB481" s="548" t="s">
        <v>123</v>
      </c>
      <c r="AC481" s="548" t="s">
        <v>3129</v>
      </c>
      <c r="AD481" s="552">
        <v>381</v>
      </c>
      <c r="AE481" s="549">
        <v>42535</v>
      </c>
      <c r="AF481" s="549" t="s">
        <v>1146</v>
      </c>
      <c r="AG481" s="548" t="s">
        <v>3130</v>
      </c>
      <c r="AH481" s="548" t="s">
        <v>2277</v>
      </c>
      <c r="AI481" s="548" t="s">
        <v>2206</v>
      </c>
      <c r="AJ481" s="548">
        <v>93722</v>
      </c>
      <c r="AK481" s="548" t="s">
        <v>2207</v>
      </c>
      <c r="AL481" s="548" t="s">
        <v>3131</v>
      </c>
      <c r="AM481" s="554" t="str">
        <f>INDEX(CarrierDriverTBL!$B:$B,MATCH(Table1[[#This Row],[DriverID]],CarrierDriverTBL!$A:$A,0))</f>
        <v>UBTrucking</v>
      </c>
      <c r="AN481" s="10" t="s">
        <v>192</v>
      </c>
      <c r="AO481" s="555" t="str">
        <f>INDEX(CarrierDriverTBL!$C:$C,MATCH(Table1[[#This Row],[DriverID]],CarrierDriverTBL!$A:$A,0))</f>
        <v>Albel</v>
      </c>
      <c r="AP481" s="555" t="str">
        <f>INDEX(CarrierDriverTBL!$D:$D,MATCH(Table1[[#This Row],[DriverID]],CarrierDriverTBL!$A:$A,0))</f>
        <v>Chahil</v>
      </c>
      <c r="AQ481" s="555" t="str">
        <f>INDEX(CarrierDriverTBL!$X:$X,MATCH(Table1[[#This Row],[DriverID]],CarrierDriverTBL!$A:$A,0))</f>
        <v>A8390649</v>
      </c>
      <c r="AR481" s="556">
        <f>INDEX(CarrierDriverTBL!$Y:$Y,MATCH(Table1[[#This Row],[DriverID]],CarrierDriverTBL!$A:$A,0))</f>
        <v>42402</v>
      </c>
      <c r="AS481" s="554" t="str">
        <f t="shared" si="194"/>
        <v>EXPIRED</v>
      </c>
      <c r="AT481" s="556">
        <f>INDEX(CarrierDriverTBL!$E:$E,MATCH(Table1[[#This Row],[DriverID]],CarrierDriverTBL!$A:$A,0))</f>
        <v>22314</v>
      </c>
      <c r="AU481" s="557">
        <f ca="1">INDEX(CarrierDriverTBL!$F:$F,MATCH(Table1[[#This Row],[DriverID]],CarrierDriverTBL!$A:$A,0))</f>
        <v>55.512328767123286</v>
      </c>
      <c r="AV481" s="554" t="str">
        <f>INDEX(CarrierDriverTBL!$K:$K,MATCH(Table1[[#This Row],[DriverID]],CarrierDriverTBL!$A:$A,0))</f>
        <v>510-773-9450</v>
      </c>
      <c r="AW481" s="554" t="str">
        <f>INDEX(CarrierDriverTBL!$M:$M,MATCH(Table1[[#This Row],[DriverID]],CarrierDriverTBL!$A:$A,0))</f>
        <v>3124 Cynthia CT</v>
      </c>
      <c r="AX481" s="554" t="str">
        <f>INDEX(CarrierDriverTBL!$N:$N,MATCH(Table1[[#This Row],[DriverID]],CarrierDriverTBL!$A:$A,0))</f>
        <v>Tracy</v>
      </c>
      <c r="AY481" s="554" t="str">
        <f>INDEX(CarrierDriverTBL!$O:$O,MATCH(Table1[[#This Row],[DriverID]],CarrierDriverTBL!$A:$A,0))</f>
        <v>CA</v>
      </c>
      <c r="AZ481" s="554">
        <f>INDEX(CarrierDriverTBL!$P:$P,MATCH(Table1[[#This Row],[DriverID]],CarrierDriverTBL!$A:$A,0))</f>
        <v>95377</v>
      </c>
      <c r="BA481" s="554" t="str">
        <f>INDEX(CarrierDriverTBL!$Q:$Q,MATCH(Table1[[#This Row],[DriverID]],CarrierDriverTBL!$A:$A,0))</f>
        <v>US</v>
      </c>
      <c r="BB481" s="554" t="str">
        <f>INDEX(CarrierDriverTBL!$R:$R,MATCH(Table1[[#This Row],[DriverID]],CarrierDriverTBL!$A:$A,0))</f>
        <v>ubgollc@gmail.com</v>
      </c>
      <c r="BC481" s="556">
        <f>INDEX(CarrierDriverTBL!$AB:$AB,MATCH(Table1[[#This Row],[DriverID]],CarrierDriverTBL!$A:$A,0))</f>
        <v>42167</v>
      </c>
      <c r="BD481" s="555" t="str">
        <f ca="1">INDEX(CarrierDriverTBL!$AD:$AD,MATCH(LoadMaster!$AN:$AN,CarrierDriverTBL!$A:$A,0))</f>
        <v>MISSING</v>
      </c>
      <c r="BE481" s="555">
        <f>INDEX(CarrierDriverTBL!$AE:$AE,MATCH(Table1[DriverID],CarrierDriverTBL!$A:$A,0))</f>
        <v>913971</v>
      </c>
      <c r="BF481" s="554">
        <f>INDEX(CarrierDriverTBL!$AF:$AF,MATCH(Table1[DriverID],CarrierDriverTBL!$A:$A,0))</f>
        <v>2627544</v>
      </c>
      <c r="BG481" s="236">
        <f>INDEX(CarrierDriverTBL!$AG:$AG,MATCH(Table1[DriverID],CarrierDriverTBL!$A:$A,0))</f>
        <v>466133</v>
      </c>
      <c r="BH481" s="554" t="str">
        <f>INDEX(CarrierDriverTBL!$AH:$AH,MATCH(Table1[DriverID],CarrierDriverTBL!$A:$A,0))</f>
        <v>GM Lawrence Ins</v>
      </c>
      <c r="BI481" s="554" t="str">
        <f>INDEX(CarrierDriverTBL!$AI:$AI,MATCH(Table1[DriverID],CarrierDriverTBL!$A:$A,0))</f>
        <v>DSK2842P160210</v>
      </c>
      <c r="BJ481" s="556">
        <f>INDEX(CarrierDriverTBL!$AJ:$AJ,MATCH(Table1[[#This Row],[DriverID]],CarrierDriverTBL!$A:$A,0))</f>
        <v>42778</v>
      </c>
      <c r="BK481" s="554">
        <f t="shared" si="195"/>
        <v>243</v>
      </c>
      <c r="BL481" s="558">
        <v>300</v>
      </c>
      <c r="BM481" s="554">
        <v>86.1</v>
      </c>
      <c r="BN481" s="558">
        <f t="shared" si="212"/>
        <v>3.4843205574912894</v>
      </c>
      <c r="BO481" s="241">
        <f>0.93*300</f>
        <v>279</v>
      </c>
      <c r="BP481" s="558">
        <f t="shared" si="213"/>
        <v>3.240418118466899</v>
      </c>
      <c r="BQ481" s="558">
        <v>2.75</v>
      </c>
      <c r="BR481" s="559">
        <f t="shared" si="214"/>
        <v>0.14166666666666669</v>
      </c>
      <c r="BS481" s="558">
        <f t="shared" si="196"/>
        <v>3.0987514518002324</v>
      </c>
      <c r="BT481" s="558">
        <f t="shared" si="197"/>
        <v>12.197500000000002</v>
      </c>
      <c r="BU481" s="236" t="str">
        <f t="shared" si="198"/>
        <v>Echo Global Logistics Inc.</v>
      </c>
      <c r="BV481" s="554"/>
      <c r="BW481" s="236" t="str">
        <f>Table1[[#This Row],[BrokerAddress]]</f>
        <v>600 W. Chicago Ave., Ste. 725</v>
      </c>
      <c r="BX481" s="236" t="str">
        <f t="shared" si="199"/>
        <v>Chicago</v>
      </c>
      <c r="BY481" s="269" t="str">
        <f t="shared" si="200"/>
        <v>IL</v>
      </c>
      <c r="BZ481" s="236">
        <f t="shared" si="201"/>
        <v>60654</v>
      </c>
      <c r="CA481" s="236" t="str">
        <f t="shared" si="202"/>
        <v>US</v>
      </c>
      <c r="CB481" s="15" t="s">
        <v>131</v>
      </c>
      <c r="CC481" s="561"/>
      <c r="CD481" s="15" t="s">
        <v>132</v>
      </c>
      <c r="CE481" s="64">
        <v>0</v>
      </c>
      <c r="CF481" s="4">
        <v>0</v>
      </c>
      <c r="CG481" s="132">
        <f t="shared" si="203"/>
        <v>0</v>
      </c>
      <c r="CH481" s="4" t="s">
        <v>132</v>
      </c>
      <c r="CI481" s="5">
        <v>0</v>
      </c>
      <c r="CJ481" s="4">
        <v>0</v>
      </c>
      <c r="CK481" s="132">
        <f t="shared" si="204"/>
        <v>0</v>
      </c>
      <c r="CL481" s="4" t="s">
        <v>132</v>
      </c>
      <c r="CM481" s="5">
        <v>0</v>
      </c>
      <c r="CN481" s="4">
        <v>0</v>
      </c>
      <c r="CO481" s="132">
        <f t="shared" si="205"/>
        <v>0</v>
      </c>
      <c r="CP481" s="4" t="s">
        <v>132</v>
      </c>
      <c r="CQ481" s="5">
        <v>0</v>
      </c>
      <c r="CR481" s="4">
        <v>0</v>
      </c>
      <c r="CS481" s="132">
        <f t="shared" si="206"/>
        <v>0</v>
      </c>
      <c r="CT481" s="132">
        <f t="shared" si="207"/>
        <v>0</v>
      </c>
      <c r="CU481" s="238">
        <f t="shared" si="208"/>
        <v>300</v>
      </c>
      <c r="CV481" s="239">
        <f t="shared" si="191"/>
        <v>0</v>
      </c>
      <c r="CW481" s="240">
        <f>(BO481+CV481)-Table1[[#This Row],[TcheckPrePaid]]</f>
        <v>279</v>
      </c>
      <c r="CX481" s="79">
        <f>IF(ISBLANK(E481),"AddQuickPay",IF(E481=2,CU481*0.98,IF(E481=2.4,CU481*0.976,IF(E481=3,CU481*0.97,IF(E481=5,CU481*0.95,IF(E481=1.5,CU481*0.985,IF(E481=2.5,CU481*0.975,IF(E481=1.3,CU481*0.987,IF(E481=1,CU481*0.99,IF(E481=4,CU481*0.96,CU481*1))))))))))-Table1[[#This Row],[ComCheck+QuickPayFee]]</f>
        <v>294</v>
      </c>
      <c r="CY481" s="237">
        <f t="shared" si="209"/>
        <v>21</v>
      </c>
      <c r="CZ481" s="237">
        <f t="shared" si="210"/>
        <v>6</v>
      </c>
      <c r="DA481" s="263">
        <f>Table1[[#This Row],[OriginalDispatch]]-Table1[[#This Row],[QuickPayCharge]]</f>
        <v>15</v>
      </c>
      <c r="DB481" s="5">
        <v>0</v>
      </c>
      <c r="DC481" s="237" t="s">
        <v>133</v>
      </c>
      <c r="DD481" s="549">
        <f t="shared" si="211"/>
        <v>42538</v>
      </c>
      <c r="DE481" s="554">
        <f>MONTH(Table1[[#This Row],[Weekending]])</f>
        <v>6</v>
      </c>
      <c r="DF481" s="554">
        <f>YEAR(Table1[[#This Row],[Weekending]])</f>
        <v>2016</v>
      </c>
      <c r="DG481" s="235"/>
    </row>
    <row r="482" spans="1:111">
      <c r="A482" s="548" t="str">
        <f t="shared" si="193"/>
        <v>0365wn93</v>
      </c>
      <c r="B482" s="549">
        <v>42535</v>
      </c>
      <c r="C482" s="550">
        <v>7889203</v>
      </c>
      <c r="D482" s="548" t="s">
        <v>2185</v>
      </c>
      <c r="E482" s="550">
        <v>4</v>
      </c>
      <c r="F482" s="551" t="str">
        <f>INDEX(BrokerTBL!$B:$B,MATCH(D482,BrokerTBL!$A:$A,0))</f>
        <v>PO Box 6348</v>
      </c>
      <c r="G482" s="550" t="str">
        <f>INDEX(BrokerTBL!$C:$C,MATCH(D482,BrokerTBL!$A:$A,0))</f>
        <v>Scottsdale</v>
      </c>
      <c r="H482" s="235" t="str">
        <f>INDEX(BrokerTBL!$D:$D,MATCH(D482,BrokerTBL!$A:$A,0))</f>
        <v>Az</v>
      </c>
      <c r="I482" s="235" t="str">
        <f>INDEX(BrokerTBL!$E:$E,MATCH(D482,BrokerTBL!$A:$A,0))</f>
        <v>US</v>
      </c>
      <c r="J482" s="235">
        <f>INDEX(BrokerTBL!$F:$F,MATCH(D482,BrokerTBL!$A:$A,0))</f>
        <v>85258</v>
      </c>
      <c r="K482" s="548" t="s">
        <v>3132</v>
      </c>
      <c r="L482" s="552">
        <v>853165</v>
      </c>
      <c r="M482" s="549">
        <v>42535</v>
      </c>
      <c r="N482" s="560">
        <v>0.5</v>
      </c>
      <c r="O482" s="550" t="s">
        <v>3133</v>
      </c>
      <c r="P482" s="548" t="s">
        <v>395</v>
      </c>
      <c r="Q482" s="548" t="s">
        <v>2206</v>
      </c>
      <c r="R482" s="548">
        <v>95354</v>
      </c>
      <c r="S482" s="548" t="s">
        <v>2207</v>
      </c>
      <c r="T482" s="548" t="s">
        <v>123</v>
      </c>
      <c r="U482" s="548" t="s">
        <v>120</v>
      </c>
      <c r="V482" s="548">
        <v>53</v>
      </c>
      <c r="W482" s="548" t="s">
        <v>3134</v>
      </c>
      <c r="X482" s="553">
        <v>12450</v>
      </c>
      <c r="Y482" s="550" t="s">
        <v>26</v>
      </c>
      <c r="Z482" s="548">
        <v>450</v>
      </c>
      <c r="AA482" s="548">
        <v>30</v>
      </c>
      <c r="AB482" s="548" t="s">
        <v>123</v>
      </c>
      <c r="AC482" s="548" t="s">
        <v>3135</v>
      </c>
      <c r="AD482" s="552" t="s">
        <v>1205</v>
      </c>
      <c r="AE482" s="549">
        <v>42536</v>
      </c>
      <c r="AF482" s="560">
        <v>0.29166666666666669</v>
      </c>
      <c r="AG482" s="548" t="s">
        <v>3136</v>
      </c>
      <c r="AH482" s="548" t="s">
        <v>2451</v>
      </c>
      <c r="AI482" s="548" t="s">
        <v>2233</v>
      </c>
      <c r="AJ482" s="548">
        <v>89431</v>
      </c>
      <c r="AK482" s="548" t="s">
        <v>2207</v>
      </c>
      <c r="AL482" s="548" t="s">
        <v>123</v>
      </c>
      <c r="AM482" s="554" t="str">
        <f>INDEX(CarrierDriverTBL!$B:$B,MATCH(Table1[[#This Row],[DriverID]],CarrierDriverTBL!$A:$A,0))</f>
        <v>UBTrucking</v>
      </c>
      <c r="AN482" s="10" t="s">
        <v>2234</v>
      </c>
      <c r="AO482" s="555" t="str">
        <f>INDEX(CarrierDriverTBL!$C:$C,MATCH(Table1[[#This Row],[DriverID]],CarrierDriverTBL!$A:$A,0))</f>
        <v>Arturo</v>
      </c>
      <c r="AP482" s="555" t="str">
        <f>INDEX(CarrierDriverTBL!$D:$D,MATCH(Table1[[#This Row],[DriverID]],CarrierDriverTBL!$A:$A,0))</f>
        <v>Carrillo</v>
      </c>
      <c r="AQ482" s="555" t="str">
        <f>INDEX(CarrierDriverTBL!$X:$X,MATCH(Table1[[#This Row],[DriverID]],CarrierDriverTBL!$A:$A,0))</f>
        <v>C7056793</v>
      </c>
      <c r="AR482" s="556">
        <f>INDEX(CarrierDriverTBL!$Y:$Y,MATCH(Table1[[#This Row],[DriverID]],CarrierDriverTBL!$A:$A,0))</f>
        <v>43410</v>
      </c>
      <c r="AS482" s="554" t="str">
        <f t="shared" si="194"/>
        <v>GOOD</v>
      </c>
      <c r="AT482" s="556">
        <f>INDEX(CarrierDriverTBL!$E:$E,MATCH(Table1[[#This Row],[DriverID]],CarrierDriverTBL!$A:$A,0))</f>
        <v>24782</v>
      </c>
      <c r="AU482" s="557">
        <f ca="1">INDEX(CarrierDriverTBL!$F:$F,MATCH(Table1[[#This Row],[DriverID]],CarrierDriverTBL!$A:$A,0))</f>
        <v>48.750684931506846</v>
      </c>
      <c r="AV482" s="554" t="str">
        <f>INDEX(CarrierDriverTBL!$K:$K,MATCH(Table1[[#This Row],[DriverID]],CarrierDriverTBL!$A:$A,0))</f>
        <v>209-276-9785</v>
      </c>
      <c r="AW482" s="554" t="str">
        <f>INDEX(CarrierDriverTBL!$M:$M,MATCH(Table1[[#This Row],[DriverID]],CarrierDriverTBL!$A:$A,0))</f>
        <v>1685 Winthrop Ln</v>
      </c>
      <c r="AX482" s="554" t="str">
        <f>INDEX(CarrierDriverTBL!$N:$N,MATCH(Table1[[#This Row],[DriverID]],CarrierDriverTBL!$A:$A,0))</f>
        <v>Ceres</v>
      </c>
      <c r="AY482" s="554" t="str">
        <f>INDEX(CarrierDriverTBL!$O:$O,MATCH(Table1[[#This Row],[DriverID]],CarrierDriverTBL!$A:$A,0))</f>
        <v>CA</v>
      </c>
      <c r="AZ482" s="554">
        <f>INDEX(CarrierDriverTBL!$P:$P,MATCH(Table1[[#This Row],[DriverID]],CarrierDriverTBL!$A:$A,0))</f>
        <v>95307</v>
      </c>
      <c r="BA482" s="554" t="str">
        <f>INDEX(CarrierDriverTBL!$Q:$Q,MATCH(Table1[[#This Row],[DriverID]],CarrierDriverTBL!$A:$A,0))</f>
        <v>US</v>
      </c>
      <c r="BB482" s="554" t="str">
        <f>INDEX(CarrierDriverTBL!$R:$R,MATCH(Table1[[#This Row],[DriverID]],CarrierDriverTBL!$A:$A,0))</f>
        <v>arturocarr777@gmail.com</v>
      </c>
      <c r="BC482" s="556">
        <f>INDEX(CarrierDriverTBL!$AB:$AB,MATCH(Table1[[#This Row],[DriverID]],CarrierDriverTBL!$A:$A,0))</f>
        <v>42418</v>
      </c>
      <c r="BD482" s="555" t="str">
        <f ca="1">INDEX(CarrierDriverTBL!$AD:$AD,MATCH(LoadMaster!$AN:$AN,CarrierDriverTBL!$A:$A,0))</f>
        <v>MISSING</v>
      </c>
      <c r="BE482" s="555">
        <f>INDEX(CarrierDriverTBL!$AE:$AE,MATCH(Table1[DriverID],CarrierDriverTBL!$A:$A,0))</f>
        <v>913971</v>
      </c>
      <c r="BF482" s="554">
        <f>INDEX(CarrierDriverTBL!$AF:$AF,MATCH(Table1[DriverID],CarrierDriverTBL!$A:$A,0))</f>
        <v>2627544</v>
      </c>
      <c r="BG482" s="236">
        <f>INDEX(CarrierDriverTBL!$AG:$AG,MATCH(Table1[DriverID],CarrierDriverTBL!$A:$A,0))</f>
        <v>466133</v>
      </c>
      <c r="BH482" s="554" t="str">
        <f>INDEX(CarrierDriverTBL!$AH:$AH,MATCH(Table1[DriverID],CarrierDriverTBL!$A:$A,0))</f>
        <v>GM Lawrence Ins</v>
      </c>
      <c r="BI482" s="554" t="str">
        <f>INDEX(CarrierDriverTBL!$AI:$AI,MATCH(Table1[DriverID],CarrierDriverTBL!$A:$A,0))</f>
        <v>DSK2842P160210</v>
      </c>
      <c r="BJ482" s="556">
        <f>INDEX(CarrierDriverTBL!$AJ:$AJ,MATCH(Table1[[#This Row],[DriverID]],CarrierDriverTBL!$A:$A,0))</f>
        <v>42778</v>
      </c>
      <c r="BK482" s="554">
        <f t="shared" si="195"/>
        <v>243</v>
      </c>
      <c r="BL482" s="558">
        <v>600</v>
      </c>
      <c r="BM482" s="554">
        <v>207.4</v>
      </c>
      <c r="BN482" s="558">
        <f t="shared" si="212"/>
        <v>2.892960462873674</v>
      </c>
      <c r="BO482" s="241">
        <f>0.93*600</f>
        <v>558</v>
      </c>
      <c r="BP482" s="558">
        <f t="shared" si="213"/>
        <v>2.6904532304725168</v>
      </c>
      <c r="BQ482" s="558">
        <v>2.75</v>
      </c>
      <c r="BR482" s="559">
        <f t="shared" si="214"/>
        <v>0.14166666666666669</v>
      </c>
      <c r="BS482" s="558">
        <f t="shared" si="196"/>
        <v>2.5487865638058502</v>
      </c>
      <c r="BT482" s="558">
        <f t="shared" si="197"/>
        <v>29.381666666666671</v>
      </c>
      <c r="BU482" s="236" t="str">
        <f t="shared" si="198"/>
        <v>Globaltranz</v>
      </c>
      <c r="BV482" s="554"/>
      <c r="BW482" s="236" t="str">
        <f>Table1[[#This Row],[BrokerAddress]]</f>
        <v>PO Box 6348</v>
      </c>
      <c r="BX482" s="236" t="str">
        <f t="shared" si="199"/>
        <v>Scottsdale</v>
      </c>
      <c r="BY482" s="269" t="str">
        <f t="shared" si="200"/>
        <v>Az</v>
      </c>
      <c r="BZ482" s="236">
        <f t="shared" si="201"/>
        <v>85258</v>
      </c>
      <c r="CA482" s="236" t="str">
        <f t="shared" si="202"/>
        <v>US</v>
      </c>
      <c r="CB482" s="15" t="s">
        <v>131</v>
      </c>
      <c r="CC482" s="561"/>
      <c r="CD482" s="15" t="s">
        <v>132</v>
      </c>
      <c r="CE482" s="64">
        <v>0</v>
      </c>
      <c r="CF482" s="4">
        <v>0</v>
      </c>
      <c r="CG482" s="132">
        <f t="shared" si="203"/>
        <v>0</v>
      </c>
      <c r="CH482" s="4" t="s">
        <v>132</v>
      </c>
      <c r="CI482" s="5">
        <v>0</v>
      </c>
      <c r="CJ482" s="4">
        <v>0</v>
      </c>
      <c r="CK482" s="132">
        <f t="shared" si="204"/>
        <v>0</v>
      </c>
      <c r="CL482" s="4" t="s">
        <v>132</v>
      </c>
      <c r="CM482" s="5">
        <v>0</v>
      </c>
      <c r="CN482" s="4">
        <v>0</v>
      </c>
      <c r="CO482" s="132">
        <f t="shared" si="205"/>
        <v>0</v>
      </c>
      <c r="CP482" s="4" t="s">
        <v>132</v>
      </c>
      <c r="CQ482" s="5">
        <v>0</v>
      </c>
      <c r="CR482" s="4">
        <v>0</v>
      </c>
      <c r="CS482" s="132">
        <f t="shared" si="206"/>
        <v>0</v>
      </c>
      <c r="CT482" s="132">
        <f t="shared" si="207"/>
        <v>0</v>
      </c>
      <c r="CU482" s="238">
        <f t="shared" si="208"/>
        <v>600</v>
      </c>
      <c r="CV482" s="239">
        <f t="shared" si="191"/>
        <v>0</v>
      </c>
      <c r="CW482" s="240">
        <f>(BO482+CV482)-Table1[[#This Row],[TcheckPrePaid]]</f>
        <v>558</v>
      </c>
      <c r="CX482" s="79">
        <f>IF(ISBLANK(E482),"AddQuickPay",IF(E482=2,CU482*0.98,IF(E482=2.4,CU482*0.976,IF(E482=3,CU482*0.97,IF(E482=5,CU482*0.95,IF(E482=1.5,CU482*0.985,IF(E482=2.5,CU482*0.975,IF(E482=1.3,CU482*0.987,IF(E482=1,CU482*0.99,IF(E482=4,CU482*0.96,CU482*1))))))))))-Table1[[#This Row],[ComCheck+QuickPayFee]]</f>
        <v>576</v>
      </c>
      <c r="CY482" s="237">
        <f t="shared" si="209"/>
        <v>42</v>
      </c>
      <c r="CZ482" s="237">
        <f t="shared" si="210"/>
        <v>24</v>
      </c>
      <c r="DA482" s="263">
        <f>Table1[[#This Row],[OriginalDispatch]]-Table1[[#This Row],[QuickPayCharge]]</f>
        <v>18</v>
      </c>
      <c r="DB482" s="5">
        <v>0</v>
      </c>
      <c r="DC482" s="237" t="s">
        <v>133</v>
      </c>
      <c r="DD482" s="549">
        <f t="shared" si="211"/>
        <v>42538</v>
      </c>
      <c r="DE482" s="554">
        <f>MONTH(Table1[[#This Row],[Weekending]])</f>
        <v>6</v>
      </c>
      <c r="DF482" s="554">
        <f>YEAR(Table1[[#This Row],[Weekending]])</f>
        <v>2016</v>
      </c>
      <c r="DG482" s="235"/>
    </row>
    <row r="483" spans="1:111">
      <c r="A483" s="548" t="str">
        <f t="shared" si="193"/>
        <v>14292919</v>
      </c>
      <c r="B483" s="549">
        <v>42535</v>
      </c>
      <c r="C483" s="550">
        <v>646114</v>
      </c>
      <c r="D483" s="548" t="s">
        <v>2426</v>
      </c>
      <c r="E483" s="550">
        <v>4</v>
      </c>
      <c r="F483" s="551" t="str">
        <f>INDEX(BrokerTBL!$B:$B,MATCH(D483,BrokerTBL!$A:$A,0))</f>
        <v>365 Northridge Road Suite 100</v>
      </c>
      <c r="G483" s="550" t="str">
        <f>INDEX(BrokerTBL!$C:$C,MATCH(D483,BrokerTBL!$A:$A,0))</f>
        <v>Atlanta</v>
      </c>
      <c r="H483" s="235" t="str">
        <f>INDEX(BrokerTBL!$D:$D,MATCH(D483,BrokerTBL!$A:$A,0))</f>
        <v>GA</v>
      </c>
      <c r="I483" s="235" t="str">
        <f>INDEX(BrokerTBL!$E:$E,MATCH(D483,BrokerTBL!$A:$A,0))</f>
        <v>US</v>
      </c>
      <c r="J483" s="235">
        <f>INDEX(BrokerTBL!$F:$F,MATCH(D483,BrokerTBL!$A:$A,0))</f>
        <v>30350</v>
      </c>
      <c r="K483" s="548" t="s">
        <v>3137</v>
      </c>
      <c r="L483" s="552">
        <v>110829</v>
      </c>
      <c r="M483" s="549">
        <v>42535</v>
      </c>
      <c r="N483" s="15" t="s">
        <v>123</v>
      </c>
      <c r="O483" s="550" t="s">
        <v>3138</v>
      </c>
      <c r="P483" s="548" t="s">
        <v>2451</v>
      </c>
      <c r="Q483" s="548" t="s">
        <v>2233</v>
      </c>
      <c r="R483" s="548">
        <v>89434</v>
      </c>
      <c r="S483" s="548" t="s">
        <v>2207</v>
      </c>
      <c r="T483" s="548" t="s">
        <v>123</v>
      </c>
      <c r="U483" s="548" t="s">
        <v>120</v>
      </c>
      <c r="V483" s="548">
        <v>53</v>
      </c>
      <c r="W483" s="548" t="s">
        <v>1205</v>
      </c>
      <c r="X483" s="225" t="s">
        <v>123</v>
      </c>
      <c r="Y483" s="550" t="s">
        <v>123</v>
      </c>
      <c r="Z483" s="548" t="s">
        <v>123</v>
      </c>
      <c r="AA483" s="548" t="s">
        <v>123</v>
      </c>
      <c r="AB483" s="548" t="s">
        <v>123</v>
      </c>
      <c r="AC483" s="548" t="s">
        <v>3139</v>
      </c>
      <c r="AD483" s="552">
        <v>110829</v>
      </c>
      <c r="AE483" s="549">
        <v>42536</v>
      </c>
      <c r="AF483" s="104" t="s">
        <v>123</v>
      </c>
      <c r="AG483" s="548" t="s">
        <v>3140</v>
      </c>
      <c r="AH483" s="548" t="s">
        <v>2368</v>
      </c>
      <c r="AI483" s="548" t="s">
        <v>2206</v>
      </c>
      <c r="AJ483" s="548">
        <v>95205</v>
      </c>
      <c r="AK483" s="548" t="s">
        <v>2207</v>
      </c>
      <c r="AL483" s="548" t="s">
        <v>123</v>
      </c>
      <c r="AM483" s="554" t="str">
        <f>INDEX(CarrierDriverTBL!$B:$B,MATCH(Table1[[#This Row],[DriverID]],CarrierDriverTBL!$A:$A,0))</f>
        <v>UBTrucking</v>
      </c>
      <c r="AN483" s="10" t="s">
        <v>1409</v>
      </c>
      <c r="AO483" s="555" t="str">
        <f>INDEX(CarrierDriverTBL!$C:$C,MATCH(Table1[[#This Row],[DriverID]],CarrierDriverTBL!$A:$A,0))</f>
        <v>Miguel Jaime</v>
      </c>
      <c r="AP483" s="555" t="str">
        <f>INDEX(CarrierDriverTBL!$D:$D,MATCH(Table1[[#This Row],[DriverID]],CarrierDriverTBL!$A:$A,0))</f>
        <v>Martin Del Campo Velarca</v>
      </c>
      <c r="AQ483" s="555" t="str">
        <f>INDEX(CarrierDriverTBL!$X:$X,MATCH(Table1[[#This Row],[DriverID]],CarrierDriverTBL!$A:$A,0))</f>
        <v>D5179619</v>
      </c>
      <c r="AR483" s="556">
        <f>INDEX(CarrierDriverTBL!$Y:$Y,MATCH(Table1[[#This Row],[DriverID]],CarrierDriverTBL!$A:$A,0))</f>
        <v>43843</v>
      </c>
      <c r="AS483" s="554" t="str">
        <f t="shared" si="194"/>
        <v>GOOD</v>
      </c>
      <c r="AT483" s="556">
        <f>INDEX(CarrierDriverTBL!$E:$E,MATCH(Table1[[#This Row],[DriverID]],CarrierDriverTBL!$A:$A,0))</f>
        <v>21198</v>
      </c>
      <c r="AU483" s="557">
        <f ca="1">INDEX(CarrierDriverTBL!$F:$F,MATCH(Table1[[#This Row],[DriverID]],CarrierDriverTBL!$A:$A,0))</f>
        <v>58.56986301369863</v>
      </c>
      <c r="AV483" s="554" t="str">
        <f>INDEX(CarrierDriverTBL!$K:$K,MATCH(Table1[[#This Row],[DriverID]],CarrierDriverTBL!$A:$A,0))</f>
        <v>209-322-5231</v>
      </c>
      <c r="AW483" s="554" t="str">
        <f>INDEX(CarrierDriverTBL!$M:$M,MATCH(Table1[[#This Row],[DriverID]],CarrierDriverTBL!$A:$A,0))</f>
        <v>572 Predersen RD</v>
      </c>
      <c r="AX483" s="554" t="str">
        <f>INDEX(CarrierDriverTBL!$N:$N,MATCH(Table1[[#This Row],[DriverID]],CarrierDriverTBL!$A:$A,0))</f>
        <v>Oakdale</v>
      </c>
      <c r="AY483" s="554" t="str">
        <f>INDEX(CarrierDriverTBL!$O:$O,MATCH(Table1[[#This Row],[DriverID]],CarrierDriverTBL!$A:$A,0))</f>
        <v>CA</v>
      </c>
      <c r="AZ483" s="554">
        <f>INDEX(CarrierDriverTBL!$P:$P,MATCH(Table1[[#This Row],[DriverID]],CarrierDriverTBL!$A:$A,0))</f>
        <v>95361</v>
      </c>
      <c r="BA483" s="554" t="str">
        <f>INDEX(CarrierDriverTBL!$Q:$Q,MATCH(Table1[[#This Row],[DriverID]],CarrierDriverTBL!$A:$A,0))</f>
        <v>US</v>
      </c>
      <c r="BB483" s="554" t="str">
        <f>INDEX(CarrierDriverTBL!$R:$R,MATCH(Table1[[#This Row],[DriverID]],CarrierDriverTBL!$A:$A,0))</f>
        <v>Miguelmartin52@yahoo.com</v>
      </c>
      <c r="BC483" s="556">
        <f>INDEX(CarrierDriverTBL!$AB:$AB,MATCH(Table1[[#This Row],[DriverID]],CarrierDriverTBL!$A:$A,0))</f>
        <v>42334</v>
      </c>
      <c r="BD483" s="555" t="str">
        <f ca="1">INDEX(CarrierDriverTBL!$AD:$AD,MATCH(LoadMaster!$AN:$AN,CarrierDriverTBL!$A:$A,0))</f>
        <v>MISSING</v>
      </c>
      <c r="BE483" s="555">
        <f>INDEX(CarrierDriverTBL!$AE:$AE,MATCH(Table1[DriverID],CarrierDriverTBL!$A:$A,0))</f>
        <v>913971</v>
      </c>
      <c r="BF483" s="554">
        <f>INDEX(CarrierDriverTBL!$AF:$AF,MATCH(Table1[DriverID],CarrierDriverTBL!$A:$A,0))</f>
        <v>2627544</v>
      </c>
      <c r="BG483" s="236">
        <f>INDEX(CarrierDriverTBL!$AG:$AG,MATCH(Table1[DriverID],CarrierDriverTBL!$A:$A,0))</f>
        <v>466133</v>
      </c>
      <c r="BH483" s="554" t="str">
        <f>INDEX(CarrierDriverTBL!$AH:$AH,MATCH(Table1[DriverID],CarrierDriverTBL!$A:$A,0))</f>
        <v>GM Lawrence Ins</v>
      </c>
      <c r="BI483" s="554" t="str">
        <f>INDEX(CarrierDriverTBL!$AI:$AI,MATCH(Table1[DriverID],CarrierDriverTBL!$A:$A,0))</f>
        <v>DSK2842P160210</v>
      </c>
      <c r="BJ483" s="556">
        <f>INDEX(CarrierDriverTBL!$AJ:$AJ,MATCH(Table1[[#This Row],[DriverID]],CarrierDriverTBL!$A:$A,0))</f>
        <v>42778</v>
      </c>
      <c r="BK483" s="554">
        <f t="shared" si="195"/>
        <v>243</v>
      </c>
      <c r="BL483" s="558">
        <v>400</v>
      </c>
      <c r="BM483" s="554">
        <v>182.2</v>
      </c>
      <c r="BN483" s="558">
        <f t="shared" si="212"/>
        <v>2.1953896816684964</v>
      </c>
      <c r="BO483" s="241">
        <f>0.93*400</f>
        <v>372</v>
      </c>
      <c r="BP483" s="558">
        <f t="shared" si="213"/>
        <v>2.0417124039517014</v>
      </c>
      <c r="BQ483" s="558">
        <v>2.75</v>
      </c>
      <c r="BR483" s="559">
        <f t="shared" si="214"/>
        <v>0.14166666666666669</v>
      </c>
      <c r="BS483" s="558">
        <f t="shared" si="196"/>
        <v>1.9000457372850348</v>
      </c>
      <c r="BT483" s="558">
        <f t="shared" si="197"/>
        <v>25.811666666666671</v>
      </c>
      <c r="BU483" s="236" t="str">
        <f t="shared" si="198"/>
        <v>Nolan Tranportation Group Inc.</v>
      </c>
      <c r="BV483" s="554"/>
      <c r="BW483" s="236" t="str">
        <f>Table1[[#This Row],[BrokerAddress]]</f>
        <v>365 Northridge Road Suite 100</v>
      </c>
      <c r="BX483" s="236" t="str">
        <f t="shared" si="199"/>
        <v>Atlanta</v>
      </c>
      <c r="BY483" s="269" t="str">
        <f t="shared" si="200"/>
        <v>GA</v>
      </c>
      <c r="BZ483" s="236">
        <f t="shared" si="201"/>
        <v>30350</v>
      </c>
      <c r="CA483" s="236" t="str">
        <f t="shared" si="202"/>
        <v>US</v>
      </c>
      <c r="CB483" s="15" t="s">
        <v>131</v>
      </c>
      <c r="CC483" s="561"/>
      <c r="CD483" s="15" t="s">
        <v>132</v>
      </c>
      <c r="CE483" s="64">
        <v>0</v>
      </c>
      <c r="CF483" s="4">
        <v>0</v>
      </c>
      <c r="CG483" s="132">
        <f t="shared" si="203"/>
        <v>0</v>
      </c>
      <c r="CH483" s="4" t="s">
        <v>132</v>
      </c>
      <c r="CI483" s="5">
        <v>0</v>
      </c>
      <c r="CJ483" s="4">
        <v>0</v>
      </c>
      <c r="CK483" s="132">
        <f t="shared" si="204"/>
        <v>0</v>
      </c>
      <c r="CL483" s="4" t="s">
        <v>132</v>
      </c>
      <c r="CM483" s="5">
        <v>0</v>
      </c>
      <c r="CN483" s="4">
        <v>0</v>
      </c>
      <c r="CO483" s="132">
        <f t="shared" si="205"/>
        <v>0</v>
      </c>
      <c r="CP483" s="4" t="s">
        <v>132</v>
      </c>
      <c r="CQ483" s="5">
        <v>0</v>
      </c>
      <c r="CR483" s="4">
        <v>0</v>
      </c>
      <c r="CS483" s="132">
        <f t="shared" si="206"/>
        <v>0</v>
      </c>
      <c r="CT483" s="132">
        <f t="shared" si="207"/>
        <v>0</v>
      </c>
      <c r="CU483" s="238">
        <f t="shared" si="208"/>
        <v>400</v>
      </c>
      <c r="CV483" s="239">
        <f t="shared" si="191"/>
        <v>0</v>
      </c>
      <c r="CW483" s="240">
        <f>(BO483+CV483)-Table1[[#This Row],[TcheckPrePaid]]</f>
        <v>372</v>
      </c>
      <c r="CX483" s="79">
        <f>IF(ISBLANK(E483),"AddQuickPay",IF(E483=2,CU483*0.98,IF(E483=2.4,CU483*0.976,IF(E483=3,CU483*0.97,IF(E483=5,CU483*0.95,IF(E483=1.5,CU483*0.985,IF(E483=2.5,CU483*0.975,IF(E483=1.3,CU483*0.987,IF(E483=1,CU483*0.99,IF(E483=4,CU483*0.96,CU483*1))))))))))-Table1[[#This Row],[ComCheck+QuickPayFee]]</f>
        <v>384</v>
      </c>
      <c r="CY483" s="237">
        <f t="shared" si="209"/>
        <v>28</v>
      </c>
      <c r="CZ483" s="237">
        <f t="shared" si="210"/>
        <v>16</v>
      </c>
      <c r="DA483" s="263">
        <f>Table1[[#This Row],[OriginalDispatch]]-Table1[[#This Row],[QuickPayCharge]]</f>
        <v>12</v>
      </c>
      <c r="DB483" s="5">
        <v>0</v>
      </c>
      <c r="DC483" s="237" t="s">
        <v>133</v>
      </c>
      <c r="DD483" s="549">
        <f t="shared" si="211"/>
        <v>42538</v>
      </c>
      <c r="DE483" s="554">
        <f>MONTH(Table1[[#This Row],[Weekending]])</f>
        <v>6</v>
      </c>
      <c r="DF483" s="554">
        <f>YEAR(Table1[[#This Row],[Weekending]])</f>
        <v>2016</v>
      </c>
      <c r="DG483" s="235"/>
    </row>
    <row r="484" spans="1:111">
      <c r="A484" s="548" t="str">
        <f t="shared" si="193"/>
        <v>04ngwn19</v>
      </c>
      <c r="B484" s="549">
        <v>42541</v>
      </c>
      <c r="C484" s="550">
        <v>204308204</v>
      </c>
      <c r="D484" s="548" t="s">
        <v>111</v>
      </c>
      <c r="E484" s="550">
        <v>2</v>
      </c>
      <c r="F484" s="551" t="str">
        <f>INDEX(BrokerTBL!$B:$B,MATCH(D484,BrokerTBL!$A:$A,0))</f>
        <v>P.O. Box 3474</v>
      </c>
      <c r="G484" s="550" t="str">
        <f>INDEX(BrokerTBL!$C:$C,MATCH(D484,BrokerTBL!$A:$A,0))</f>
        <v>Chicago</v>
      </c>
      <c r="H484" s="235" t="str">
        <f>INDEX(BrokerTBL!$D:$D,MATCH(D484,BrokerTBL!$A:$A,0))</f>
        <v>Il</v>
      </c>
      <c r="I484" s="235" t="str">
        <f>INDEX(BrokerTBL!$E:$E,MATCH(D484,BrokerTBL!$A:$A,0))</f>
        <v>US</v>
      </c>
      <c r="J484" s="235">
        <f>INDEX(BrokerTBL!$F:$F,MATCH(D484,BrokerTBL!$A:$A,0))</f>
        <v>60654</v>
      </c>
      <c r="K484" s="548" t="s">
        <v>3141</v>
      </c>
      <c r="L484" s="552" t="s">
        <v>1309</v>
      </c>
      <c r="M484" s="549">
        <v>42536</v>
      </c>
      <c r="N484" s="550" t="s">
        <v>1316</v>
      </c>
      <c r="O484" s="550" t="s">
        <v>3142</v>
      </c>
      <c r="P484" s="548" t="s">
        <v>3097</v>
      </c>
      <c r="Q484" s="548" t="s">
        <v>2206</v>
      </c>
      <c r="R484" s="548">
        <v>94805</v>
      </c>
      <c r="S484" s="548" t="s">
        <v>2207</v>
      </c>
      <c r="T484" s="548" t="s">
        <v>123</v>
      </c>
      <c r="U484" s="548" t="s">
        <v>120</v>
      </c>
      <c r="V484" s="548">
        <v>53</v>
      </c>
      <c r="W484" s="548" t="s">
        <v>3143</v>
      </c>
      <c r="X484" s="553">
        <v>22140</v>
      </c>
      <c r="Y484" s="550" t="s">
        <v>2220</v>
      </c>
      <c r="Z484" s="548">
        <v>10</v>
      </c>
      <c r="AA484" s="548" t="s">
        <v>123</v>
      </c>
      <c r="AB484" s="548" t="s">
        <v>123</v>
      </c>
      <c r="AC484" s="548" t="s">
        <v>3144</v>
      </c>
      <c r="AD484" s="552" t="s">
        <v>1205</v>
      </c>
      <c r="AE484" s="549">
        <v>42537</v>
      </c>
      <c r="AF484" s="104" t="s">
        <v>123</v>
      </c>
      <c r="AG484" s="548" t="s">
        <v>3145</v>
      </c>
      <c r="AH484" s="548" t="s">
        <v>2466</v>
      </c>
      <c r="AI484" s="548" t="s">
        <v>2233</v>
      </c>
      <c r="AJ484" s="548">
        <v>89512</v>
      </c>
      <c r="AK484" s="548" t="s">
        <v>2207</v>
      </c>
      <c r="AL484" s="548" t="s">
        <v>123</v>
      </c>
      <c r="AM484" s="554" t="str">
        <f>INDEX(CarrierDriverTBL!$B:$B,MATCH(Table1[[#This Row],[DriverID]],CarrierDriverTBL!$A:$A,0))</f>
        <v>UBTrucking</v>
      </c>
      <c r="AN484" s="10" t="s">
        <v>1409</v>
      </c>
      <c r="AO484" s="555" t="str">
        <f>INDEX(CarrierDriverTBL!$C:$C,MATCH(Table1[[#This Row],[DriverID]],CarrierDriverTBL!$A:$A,0))</f>
        <v>Miguel Jaime</v>
      </c>
      <c r="AP484" s="555" t="str">
        <f>INDEX(CarrierDriverTBL!$D:$D,MATCH(Table1[[#This Row],[DriverID]],CarrierDriverTBL!$A:$A,0))</f>
        <v>Martin Del Campo Velarca</v>
      </c>
      <c r="AQ484" s="555" t="str">
        <f>INDEX(CarrierDriverTBL!$X:$X,MATCH(Table1[[#This Row],[DriverID]],CarrierDriverTBL!$A:$A,0))</f>
        <v>D5179619</v>
      </c>
      <c r="AR484" s="556">
        <f>INDEX(CarrierDriverTBL!$Y:$Y,MATCH(Table1[[#This Row],[DriverID]],CarrierDriverTBL!$A:$A,0))</f>
        <v>43843</v>
      </c>
      <c r="AS484" s="554" t="str">
        <f t="shared" si="194"/>
        <v>GOOD</v>
      </c>
      <c r="AT484" s="556">
        <f>INDEX(CarrierDriverTBL!$E:$E,MATCH(Table1[[#This Row],[DriverID]],CarrierDriverTBL!$A:$A,0))</f>
        <v>21198</v>
      </c>
      <c r="AU484" s="557">
        <f ca="1">INDEX(CarrierDriverTBL!$F:$F,MATCH(Table1[[#This Row],[DriverID]],CarrierDriverTBL!$A:$A,0))</f>
        <v>58.56986301369863</v>
      </c>
      <c r="AV484" s="554" t="str">
        <f>INDEX(CarrierDriverTBL!$K:$K,MATCH(Table1[[#This Row],[DriverID]],CarrierDriverTBL!$A:$A,0))</f>
        <v>209-322-5231</v>
      </c>
      <c r="AW484" s="554" t="str">
        <f>INDEX(CarrierDriverTBL!$M:$M,MATCH(Table1[[#This Row],[DriverID]],CarrierDriverTBL!$A:$A,0))</f>
        <v>572 Predersen RD</v>
      </c>
      <c r="AX484" s="554" t="str">
        <f>INDEX(CarrierDriverTBL!$N:$N,MATCH(Table1[[#This Row],[DriverID]],CarrierDriverTBL!$A:$A,0))</f>
        <v>Oakdale</v>
      </c>
      <c r="AY484" s="554" t="str">
        <f>INDEX(CarrierDriverTBL!$O:$O,MATCH(Table1[[#This Row],[DriverID]],CarrierDriverTBL!$A:$A,0))</f>
        <v>CA</v>
      </c>
      <c r="AZ484" s="554">
        <f>INDEX(CarrierDriverTBL!$P:$P,MATCH(Table1[[#This Row],[DriverID]],CarrierDriverTBL!$A:$A,0))</f>
        <v>95361</v>
      </c>
      <c r="BA484" s="554" t="str">
        <f>INDEX(CarrierDriverTBL!$Q:$Q,MATCH(Table1[[#This Row],[DriverID]],CarrierDriverTBL!$A:$A,0))</f>
        <v>US</v>
      </c>
      <c r="BB484" s="554" t="str">
        <f>INDEX(CarrierDriverTBL!$R:$R,MATCH(Table1[[#This Row],[DriverID]],CarrierDriverTBL!$A:$A,0))</f>
        <v>Miguelmartin52@yahoo.com</v>
      </c>
      <c r="BC484" s="556">
        <f>INDEX(CarrierDriverTBL!$AB:$AB,MATCH(Table1[[#This Row],[DriverID]],CarrierDriverTBL!$A:$A,0))</f>
        <v>42334</v>
      </c>
      <c r="BD484" s="555" t="str">
        <f ca="1">INDEX(CarrierDriverTBL!$AD:$AD,MATCH(LoadMaster!$AN:$AN,CarrierDriverTBL!$A:$A,0))</f>
        <v>MISSING</v>
      </c>
      <c r="BE484" s="555">
        <f>INDEX(CarrierDriverTBL!$AE:$AE,MATCH(Table1[DriverID],CarrierDriverTBL!$A:$A,0))</f>
        <v>913971</v>
      </c>
      <c r="BF484" s="554">
        <f>INDEX(CarrierDriverTBL!$AF:$AF,MATCH(Table1[DriverID],CarrierDriverTBL!$A:$A,0))</f>
        <v>2627544</v>
      </c>
      <c r="BG484" s="236">
        <f>INDEX(CarrierDriverTBL!$AG:$AG,MATCH(Table1[DriverID],CarrierDriverTBL!$A:$A,0))</f>
        <v>466133</v>
      </c>
      <c r="BH484" s="554" t="str">
        <f>INDEX(CarrierDriverTBL!$AH:$AH,MATCH(Table1[DriverID],CarrierDriverTBL!$A:$A,0))</f>
        <v>GM Lawrence Ins</v>
      </c>
      <c r="BI484" s="554" t="str">
        <f>INDEX(CarrierDriverTBL!$AI:$AI,MATCH(Table1[DriverID],CarrierDriverTBL!$A:$A,0))</f>
        <v>DSK2842P160210</v>
      </c>
      <c r="BJ484" s="556">
        <f>INDEX(CarrierDriverTBL!$AJ:$AJ,MATCH(Table1[[#This Row],[DriverID]],CarrierDriverTBL!$A:$A,0))</f>
        <v>42778</v>
      </c>
      <c r="BK484" s="554">
        <f t="shared" si="195"/>
        <v>242</v>
      </c>
      <c r="BL484" s="558">
        <v>800</v>
      </c>
      <c r="BM484" s="554">
        <v>202.9</v>
      </c>
      <c r="BN484" s="558">
        <f t="shared" ref="BN484:BN495" si="215">BL484/BM484</f>
        <v>3.9428289797930014</v>
      </c>
      <c r="BO484" s="241">
        <f>0.93*800</f>
        <v>744</v>
      </c>
      <c r="BP484" s="558">
        <f t="shared" ref="BP484:BP495" si="216">BO484/BM484</f>
        <v>3.6668309512074915</v>
      </c>
      <c r="BQ484" s="558">
        <v>2.75</v>
      </c>
      <c r="BR484" s="559">
        <f t="shared" ref="BR484:BR495" si="217">(BQ484-1.9)/6</f>
        <v>0.14166666666666669</v>
      </c>
      <c r="BS484" s="558">
        <f t="shared" ref="BS484:BS495" si="218">BP484-BR484</f>
        <v>3.5251642845408249</v>
      </c>
      <c r="BT484" s="558">
        <f t="shared" ref="BT484:BT495" si="219">BM484*BR484</f>
        <v>28.744166666666672</v>
      </c>
      <c r="BU484" s="236" t="str">
        <f t="shared" si="198"/>
        <v>Ch Robinson</v>
      </c>
      <c r="BV484" s="554"/>
      <c r="BW484" s="236" t="str">
        <f>Table1[[#This Row],[BrokerAddress]]</f>
        <v>P.O. Box 3474</v>
      </c>
      <c r="BX484" s="236" t="str">
        <f t="shared" si="199"/>
        <v>Chicago</v>
      </c>
      <c r="BY484" s="269" t="str">
        <f t="shared" si="200"/>
        <v>Il</v>
      </c>
      <c r="BZ484" s="236">
        <f t="shared" si="201"/>
        <v>60654</v>
      </c>
      <c r="CA484" s="236" t="str">
        <f t="shared" si="202"/>
        <v>US</v>
      </c>
      <c r="CB484" s="15" t="s">
        <v>131</v>
      </c>
      <c r="CC484" s="561"/>
      <c r="CD484" s="15" t="s">
        <v>1299</v>
      </c>
      <c r="CE484" s="64">
        <v>50</v>
      </c>
      <c r="CF484" s="4">
        <v>1</v>
      </c>
      <c r="CG484" s="132">
        <f t="shared" ref="CG484" si="220">CE484*CF484</f>
        <v>50</v>
      </c>
      <c r="CH484" s="4" t="s">
        <v>132</v>
      </c>
      <c r="CI484" s="5">
        <v>0</v>
      </c>
      <c r="CJ484" s="4">
        <v>0</v>
      </c>
      <c r="CK484" s="132">
        <f t="shared" ref="CK484" si="221">CI484*CJ484</f>
        <v>0</v>
      </c>
      <c r="CL484" s="4" t="s">
        <v>132</v>
      </c>
      <c r="CM484" s="5">
        <v>0</v>
      </c>
      <c r="CN484" s="4">
        <v>0</v>
      </c>
      <c r="CO484" s="132">
        <f t="shared" ref="CO484" si="222">CM484*CN484</f>
        <v>0</v>
      </c>
      <c r="CP484" s="4" t="s">
        <v>132</v>
      </c>
      <c r="CQ484" s="5">
        <v>0</v>
      </c>
      <c r="CR484" s="4">
        <v>0</v>
      </c>
      <c r="CS484" s="132">
        <f t="shared" ref="CS484" si="223">CQ484*CR484</f>
        <v>0</v>
      </c>
      <c r="CT484" s="132">
        <f t="shared" ref="CT484" si="224">CG484+CK484+CO484+CS484</f>
        <v>50</v>
      </c>
      <c r="CU484" s="238">
        <f t="shared" ref="CU484:CU495" si="225">(CT484+BL484)-CC484</f>
        <v>850</v>
      </c>
      <c r="CV484" s="239">
        <f t="shared" ref="CV484:CV495" si="226">IF(AO484="Albel",(CT484*1),(CT484*0.93))</f>
        <v>46.5</v>
      </c>
      <c r="CW484" s="240">
        <f t="shared" ref="CW484:CW495" si="227">BO484+CV484</f>
        <v>790.5</v>
      </c>
      <c r="CX484" s="79">
        <f>IF(ISBLANK(E484),"AddQuickPay",IF(E484=2,CU484*0.98,IF(E484=2.4,CU484*0.976,IF(E484=3,CU484*0.97,IF(E484=5,CU484*0.95,IF(E484=1.5,CU484*0.985,IF(E484=2.5,CU484*0.975,IF(E484=1.3,CU484*0.987,IF(E484=1,CU484*0.99,IF(E484=4,CU484*0.96,CU484*1))))))))))-Table1[[#This Row],[ComCheck+QuickPayFee]]</f>
        <v>833</v>
      </c>
      <c r="CY484" s="237">
        <f t="shared" ref="CY484:CY495" si="228">CU484-CW484</f>
        <v>59.5</v>
      </c>
      <c r="CZ484" s="237">
        <f t="shared" si="210"/>
        <v>17</v>
      </c>
      <c r="DA484" s="263">
        <f>Table1[[#This Row],[OriginalDispatch]]-Table1[[#This Row],[QuickPayCharge]]</f>
        <v>42.5</v>
      </c>
      <c r="DB484" s="5">
        <v>0</v>
      </c>
      <c r="DC484" s="237" t="s">
        <v>133</v>
      </c>
      <c r="DD484" s="549">
        <f t="shared" si="211"/>
        <v>42538</v>
      </c>
      <c r="DE484" s="554">
        <f>MONTH(Table1[[#This Row],[Weekending]])</f>
        <v>6</v>
      </c>
      <c r="DF484" s="554">
        <f>YEAR(Table1[[#This Row],[Weekending]])</f>
        <v>2016</v>
      </c>
      <c r="DG484" s="235"/>
    </row>
    <row r="485" spans="1:111">
      <c r="A485" s="548" t="str">
        <f t="shared" si="193"/>
        <v>2137wn49</v>
      </c>
      <c r="B485" s="549">
        <v>42541</v>
      </c>
      <c r="C485" s="550">
        <v>3069621</v>
      </c>
      <c r="D485" s="548" t="s">
        <v>3108</v>
      </c>
      <c r="E485" s="550">
        <v>3</v>
      </c>
      <c r="F485" s="551" t="str">
        <f>INDEX(BrokerTBL!$B:$B,MATCH(D485,BrokerTBL!$A:$A,0))</f>
        <v>P.O. BOX 1326</v>
      </c>
      <c r="G485" s="550" t="str">
        <f>INDEX(BrokerTBL!$C:$C,MATCH(D485,BrokerTBL!$A:$A,0))</f>
        <v>Van Buren</v>
      </c>
      <c r="H485" s="235" t="str">
        <f>INDEX(BrokerTBL!$D:$D,MATCH(D485,BrokerTBL!$A:$A,0))</f>
        <v>AR</v>
      </c>
      <c r="I485" s="235" t="str">
        <f>INDEX(BrokerTBL!$E:$E,MATCH(D485,BrokerTBL!$A:$A,0))</f>
        <v>US</v>
      </c>
      <c r="J485" s="235">
        <f>INDEX(BrokerTBL!$F:$F,MATCH(D485,BrokerTBL!$A:$A,0))</f>
        <v>72957</v>
      </c>
      <c r="K485" s="548" t="s">
        <v>3109</v>
      </c>
      <c r="L485" s="552">
        <v>7807089837</v>
      </c>
      <c r="M485" s="549">
        <v>42537</v>
      </c>
      <c r="N485" s="560">
        <v>0.45833333333333331</v>
      </c>
      <c r="O485" s="550" t="s">
        <v>3111</v>
      </c>
      <c r="P485" s="548" t="s">
        <v>3112</v>
      </c>
      <c r="Q485" s="548" t="s">
        <v>2206</v>
      </c>
      <c r="R485" s="548">
        <v>94577</v>
      </c>
      <c r="S485" s="548" t="s">
        <v>2207</v>
      </c>
      <c r="T485" s="548" t="s">
        <v>123</v>
      </c>
      <c r="U485" s="548" t="s">
        <v>120</v>
      </c>
      <c r="V485" s="548">
        <v>53</v>
      </c>
      <c r="W485" s="548" t="s">
        <v>3146</v>
      </c>
      <c r="X485" s="553">
        <v>43698</v>
      </c>
      <c r="Y485" s="550" t="s">
        <v>123</v>
      </c>
      <c r="Z485" s="548" t="s">
        <v>123</v>
      </c>
      <c r="AA485" s="548" t="s">
        <v>123</v>
      </c>
      <c r="AB485" s="548" t="s">
        <v>123</v>
      </c>
      <c r="AC485" s="548" t="s">
        <v>3147</v>
      </c>
      <c r="AD485" s="552" t="s">
        <v>1205</v>
      </c>
      <c r="AE485" s="549">
        <v>42538</v>
      </c>
      <c r="AF485" s="560">
        <v>0.375</v>
      </c>
      <c r="AG485" s="548" t="s">
        <v>3148</v>
      </c>
      <c r="AH485" s="548" t="s">
        <v>3149</v>
      </c>
      <c r="AI485" s="548" t="s">
        <v>2206</v>
      </c>
      <c r="AJ485" s="548">
        <v>96001</v>
      </c>
      <c r="AK485" s="548" t="s">
        <v>2207</v>
      </c>
      <c r="AL485" s="548" t="s">
        <v>123</v>
      </c>
      <c r="AM485" s="554" t="str">
        <f>INDEX(CarrierDriverTBL!$B:$B,MATCH(Table1[[#This Row],[DriverID]],CarrierDriverTBL!$A:$A,0))</f>
        <v>UBTrucking</v>
      </c>
      <c r="AN485" s="10" t="s">
        <v>192</v>
      </c>
      <c r="AO485" s="555" t="str">
        <f>INDEX(CarrierDriverTBL!$C:$C,MATCH(Table1[[#This Row],[DriverID]],CarrierDriverTBL!$A:$A,0))</f>
        <v>Albel</v>
      </c>
      <c r="AP485" s="555" t="str">
        <f>INDEX(CarrierDriverTBL!$D:$D,MATCH(Table1[[#This Row],[DriverID]],CarrierDriverTBL!$A:$A,0))</f>
        <v>Chahil</v>
      </c>
      <c r="AQ485" s="555" t="str">
        <f>INDEX(CarrierDriverTBL!$X:$X,MATCH(Table1[[#This Row],[DriverID]],CarrierDriverTBL!$A:$A,0))</f>
        <v>A8390649</v>
      </c>
      <c r="AR485" s="556">
        <f>INDEX(CarrierDriverTBL!$Y:$Y,MATCH(Table1[[#This Row],[DriverID]],CarrierDriverTBL!$A:$A,0))</f>
        <v>42402</v>
      </c>
      <c r="AS485" s="554" t="str">
        <f t="shared" si="194"/>
        <v>EXPIRED</v>
      </c>
      <c r="AT485" s="556">
        <f>INDEX(CarrierDriverTBL!$E:$E,MATCH(Table1[[#This Row],[DriverID]],CarrierDriverTBL!$A:$A,0))</f>
        <v>22314</v>
      </c>
      <c r="AU485" s="557">
        <f ca="1">INDEX(CarrierDriverTBL!$F:$F,MATCH(Table1[[#This Row],[DriverID]],CarrierDriverTBL!$A:$A,0))</f>
        <v>55.512328767123286</v>
      </c>
      <c r="AV485" s="554" t="str">
        <f>INDEX(CarrierDriverTBL!$K:$K,MATCH(Table1[[#This Row],[DriverID]],CarrierDriverTBL!$A:$A,0))</f>
        <v>510-773-9450</v>
      </c>
      <c r="AW485" s="554" t="str">
        <f>INDEX(CarrierDriverTBL!$M:$M,MATCH(Table1[[#This Row],[DriverID]],CarrierDriverTBL!$A:$A,0))</f>
        <v>3124 Cynthia CT</v>
      </c>
      <c r="AX485" s="554" t="str">
        <f>INDEX(CarrierDriverTBL!$N:$N,MATCH(Table1[[#This Row],[DriverID]],CarrierDriverTBL!$A:$A,0))</f>
        <v>Tracy</v>
      </c>
      <c r="AY485" s="554" t="str">
        <f>INDEX(CarrierDriverTBL!$O:$O,MATCH(Table1[[#This Row],[DriverID]],CarrierDriverTBL!$A:$A,0))</f>
        <v>CA</v>
      </c>
      <c r="AZ485" s="554">
        <f>INDEX(CarrierDriverTBL!$P:$P,MATCH(Table1[[#This Row],[DriverID]],CarrierDriverTBL!$A:$A,0))</f>
        <v>95377</v>
      </c>
      <c r="BA485" s="554" t="str">
        <f>INDEX(CarrierDriverTBL!$Q:$Q,MATCH(Table1[[#This Row],[DriverID]],CarrierDriverTBL!$A:$A,0))</f>
        <v>US</v>
      </c>
      <c r="BB485" s="554" t="str">
        <f>INDEX(CarrierDriverTBL!$R:$R,MATCH(Table1[[#This Row],[DriverID]],CarrierDriverTBL!$A:$A,0))</f>
        <v>ubgollc@gmail.com</v>
      </c>
      <c r="BC485" s="556">
        <f>INDEX(CarrierDriverTBL!$AB:$AB,MATCH(Table1[[#This Row],[DriverID]],CarrierDriverTBL!$A:$A,0))</f>
        <v>42167</v>
      </c>
      <c r="BD485" s="555" t="str">
        <f ca="1">INDEX(CarrierDriverTBL!$AD:$AD,MATCH(LoadMaster!$AN:$AN,CarrierDriverTBL!$A:$A,0))</f>
        <v>MISSING</v>
      </c>
      <c r="BE485" s="555">
        <f>INDEX(CarrierDriverTBL!$AE:$AE,MATCH(Table1[DriverID],CarrierDriverTBL!$A:$A,0))</f>
        <v>913971</v>
      </c>
      <c r="BF485" s="554">
        <f>INDEX(CarrierDriverTBL!$AF:$AF,MATCH(Table1[DriverID],CarrierDriverTBL!$A:$A,0))</f>
        <v>2627544</v>
      </c>
      <c r="BG485" s="236">
        <f>INDEX(CarrierDriverTBL!$AG:$AG,MATCH(Table1[DriverID],CarrierDriverTBL!$A:$A,0))</f>
        <v>466133</v>
      </c>
      <c r="BH485" s="554" t="str">
        <f>INDEX(CarrierDriverTBL!$AH:$AH,MATCH(Table1[DriverID],CarrierDriverTBL!$A:$A,0))</f>
        <v>GM Lawrence Ins</v>
      </c>
      <c r="BI485" s="554" t="str">
        <f>INDEX(CarrierDriverTBL!$AI:$AI,MATCH(Table1[DriverID],CarrierDriverTBL!$A:$A,0))</f>
        <v>DSK2842P160210</v>
      </c>
      <c r="BJ485" s="556">
        <f>INDEX(CarrierDriverTBL!$AJ:$AJ,MATCH(Table1[[#This Row],[DriverID]],CarrierDriverTBL!$A:$A,0))</f>
        <v>42778</v>
      </c>
      <c r="BK485" s="554">
        <f t="shared" si="195"/>
        <v>241</v>
      </c>
      <c r="BL485" s="558">
        <v>600</v>
      </c>
      <c r="BM485" s="554">
        <v>221.4</v>
      </c>
      <c r="BN485" s="558">
        <f t="shared" si="215"/>
        <v>2.7100271002710028</v>
      </c>
      <c r="BO485" s="241">
        <f>0.93*600</f>
        <v>558</v>
      </c>
      <c r="BP485" s="558">
        <f t="shared" si="216"/>
        <v>2.5203252032520322</v>
      </c>
      <c r="BQ485" s="558">
        <v>2.75</v>
      </c>
      <c r="BR485" s="559">
        <f t="shared" si="217"/>
        <v>0.14166666666666669</v>
      </c>
      <c r="BS485" s="558">
        <f t="shared" si="218"/>
        <v>2.3786585365853656</v>
      </c>
      <c r="BT485" s="558">
        <f t="shared" si="219"/>
        <v>31.365000000000006</v>
      </c>
      <c r="BU485" s="236" t="str">
        <f t="shared" si="198"/>
        <v>USAT Logistics</v>
      </c>
      <c r="BV485" s="554"/>
      <c r="BW485" s="236" t="str">
        <f>Table1[[#This Row],[BrokerAddress]]</f>
        <v>P.O. BOX 1326</v>
      </c>
      <c r="BX485" s="236" t="str">
        <f t="shared" si="199"/>
        <v>Van Buren</v>
      </c>
      <c r="BY485" s="269" t="str">
        <f t="shared" si="200"/>
        <v>AR</v>
      </c>
      <c r="BZ485" s="236">
        <f t="shared" si="201"/>
        <v>72957</v>
      </c>
      <c r="CA485" s="236" t="str">
        <f t="shared" si="202"/>
        <v>US</v>
      </c>
      <c r="CB485" s="15" t="s">
        <v>131</v>
      </c>
      <c r="CC485" s="561"/>
      <c r="CD485" s="15" t="s">
        <v>149</v>
      </c>
      <c r="CE485" s="64">
        <v>52</v>
      </c>
      <c r="CF485" s="4">
        <v>1</v>
      </c>
      <c r="CG485" s="132">
        <f t="shared" ref="CG485" si="229">CE485*CF485</f>
        <v>52</v>
      </c>
      <c r="CH485" s="4" t="s">
        <v>132</v>
      </c>
      <c r="CI485" s="5">
        <v>0</v>
      </c>
      <c r="CJ485" s="4">
        <v>0</v>
      </c>
      <c r="CK485" s="132">
        <f t="shared" ref="CK485" si="230">CI485*CJ485</f>
        <v>0</v>
      </c>
      <c r="CL485" s="4" t="s">
        <v>132</v>
      </c>
      <c r="CM485" s="5">
        <v>0</v>
      </c>
      <c r="CN485" s="4">
        <v>0</v>
      </c>
      <c r="CO485" s="132">
        <f t="shared" ref="CO485" si="231">CM485*CN485</f>
        <v>0</v>
      </c>
      <c r="CP485" s="4" t="s">
        <v>132</v>
      </c>
      <c r="CQ485" s="5">
        <v>0</v>
      </c>
      <c r="CR485" s="4">
        <v>0</v>
      </c>
      <c r="CS485" s="132">
        <f t="shared" ref="CS485" si="232">CQ485*CR485</f>
        <v>0</v>
      </c>
      <c r="CT485" s="132">
        <f t="shared" ref="CT485" si="233">CG485+CK485+CO485+CS485</f>
        <v>52</v>
      </c>
      <c r="CU485" s="238">
        <f t="shared" si="225"/>
        <v>652</v>
      </c>
      <c r="CV485" s="239">
        <f t="shared" si="226"/>
        <v>52</v>
      </c>
      <c r="CW485" s="240">
        <f t="shared" si="227"/>
        <v>610</v>
      </c>
      <c r="CX485" s="79">
        <f>IF(ISBLANK(E485),"AddQuickPay",IF(E485=2,CU485*0.98,IF(E485=2.4,CU485*0.976,IF(E485=3,CU485*0.97,IF(E485=5,CU485*0.95,IF(E485=1.5,CU485*0.985,IF(E485=2.5,CU485*0.975,IF(E485=1.3,CU485*0.987,IF(E485=1,CU485*0.99,IF(E485=4,CU485*0.96,CU485*1))))))))))-Table1[[#This Row],[ComCheck+QuickPayFee]]</f>
        <v>632.43999999999994</v>
      </c>
      <c r="CY485" s="237">
        <f t="shared" si="228"/>
        <v>42</v>
      </c>
      <c r="CZ485" s="237">
        <f t="shared" si="210"/>
        <v>19.559999999999999</v>
      </c>
      <c r="DA485" s="263">
        <f>Table1[[#This Row],[OriginalDispatch]]-Table1[[#This Row],[QuickPayCharge]]</f>
        <v>22.44</v>
      </c>
      <c r="DB485" s="5">
        <v>0</v>
      </c>
      <c r="DC485" s="237" t="s">
        <v>133</v>
      </c>
      <c r="DD485" s="549">
        <f t="shared" si="211"/>
        <v>42538</v>
      </c>
      <c r="DE485" s="554">
        <f>MONTH(Table1[[#This Row],[Weekending]])</f>
        <v>6</v>
      </c>
      <c r="DF485" s="554">
        <f>YEAR(Table1[[#This Row],[Weekending]])</f>
        <v>2016</v>
      </c>
      <c r="DG485" s="235"/>
    </row>
    <row r="486" spans="1:111">
      <c r="A486" s="548" t="str">
        <f t="shared" si="193"/>
        <v>61290119</v>
      </c>
      <c r="B486" s="549">
        <v>42541</v>
      </c>
      <c r="C486" s="550">
        <v>155061</v>
      </c>
      <c r="D486" s="548" t="s">
        <v>455</v>
      </c>
      <c r="E486" s="550">
        <v>3</v>
      </c>
      <c r="F486" s="551" t="str">
        <f>INDEX(BrokerTBL!$B:$B,MATCH(D486,BrokerTBL!$A:$A,0))</f>
        <v>5600 Headquarters Drive C2D11</v>
      </c>
      <c r="G486" s="550" t="str">
        <f>INDEX(BrokerTBL!$C:$C,MATCH(D486,BrokerTBL!$A:$A,0))</f>
        <v>Plano</v>
      </c>
      <c r="H486" s="235" t="str">
        <f>INDEX(BrokerTBL!$D:$D,MATCH(D486,BrokerTBL!$A:$A,0))</f>
        <v>Tx</v>
      </c>
      <c r="I486" s="235" t="str">
        <f>INDEX(BrokerTBL!$E:$E,MATCH(D486,BrokerTBL!$A:$A,0))</f>
        <v>US</v>
      </c>
      <c r="J486" s="235">
        <f>INDEX(BrokerTBL!$F:$F,MATCH(D486,BrokerTBL!$A:$A,0))</f>
        <v>75024</v>
      </c>
      <c r="K486" s="548" t="s">
        <v>3150</v>
      </c>
      <c r="L486" s="552">
        <v>702829</v>
      </c>
      <c r="M486" s="549">
        <v>42537</v>
      </c>
      <c r="N486" s="560">
        <v>0.5625</v>
      </c>
      <c r="O486" s="550" t="s">
        <v>3151</v>
      </c>
      <c r="P486" s="548" t="s">
        <v>3152</v>
      </c>
      <c r="Q486" s="548" t="s">
        <v>2206</v>
      </c>
      <c r="R486" s="548">
        <v>95685</v>
      </c>
      <c r="S486" s="548" t="s">
        <v>2207</v>
      </c>
      <c r="T486" s="548" t="s">
        <v>3153</v>
      </c>
      <c r="U486" s="548" t="s">
        <v>120</v>
      </c>
      <c r="V486" s="548">
        <v>53</v>
      </c>
      <c r="W486" s="548" t="s">
        <v>3154</v>
      </c>
      <c r="X486" s="553">
        <v>45302</v>
      </c>
      <c r="Y486" s="550" t="s">
        <v>566</v>
      </c>
      <c r="Z486" s="548">
        <v>28</v>
      </c>
      <c r="AA486" s="548" t="s">
        <v>123</v>
      </c>
      <c r="AB486" s="548" t="s">
        <v>123</v>
      </c>
      <c r="AC486" s="548" t="s">
        <v>3155</v>
      </c>
      <c r="AD486" s="552">
        <v>3001</v>
      </c>
      <c r="AE486" s="549">
        <v>42538</v>
      </c>
      <c r="AF486" s="560">
        <v>0.46597222222222223</v>
      </c>
      <c r="AG486" s="548" t="s">
        <v>3156</v>
      </c>
      <c r="AH486" s="548" t="s">
        <v>3157</v>
      </c>
      <c r="AI486" s="548" t="s">
        <v>2206</v>
      </c>
      <c r="AJ486" s="548">
        <v>93227</v>
      </c>
      <c r="AK486" s="548" t="s">
        <v>2207</v>
      </c>
      <c r="AL486" s="548" t="s">
        <v>3158</v>
      </c>
      <c r="AM486" s="554" t="str">
        <f>INDEX(CarrierDriverTBL!$B:$B,MATCH(Table1[[#This Row],[DriverID]],CarrierDriverTBL!$A:$A,0))</f>
        <v>UBTrucking</v>
      </c>
      <c r="AN486" s="10" t="s">
        <v>1409</v>
      </c>
      <c r="AO486" s="555" t="str">
        <f>INDEX(CarrierDriverTBL!$C:$C,MATCH(Table1[[#This Row],[DriverID]],CarrierDriverTBL!$A:$A,0))</f>
        <v>Miguel Jaime</v>
      </c>
      <c r="AP486" s="555" t="str">
        <f>INDEX(CarrierDriverTBL!$D:$D,MATCH(Table1[[#This Row],[DriverID]],CarrierDriverTBL!$A:$A,0))</f>
        <v>Martin Del Campo Velarca</v>
      </c>
      <c r="AQ486" s="555" t="str">
        <f>INDEX(CarrierDriverTBL!$X:$X,MATCH(Table1[[#This Row],[DriverID]],CarrierDriverTBL!$A:$A,0))</f>
        <v>D5179619</v>
      </c>
      <c r="AR486" s="556">
        <f>INDEX(CarrierDriverTBL!$Y:$Y,MATCH(Table1[[#This Row],[DriverID]],CarrierDriverTBL!$A:$A,0))</f>
        <v>43843</v>
      </c>
      <c r="AS486" s="554" t="str">
        <f t="shared" si="194"/>
        <v>GOOD</v>
      </c>
      <c r="AT486" s="556">
        <f>INDEX(CarrierDriverTBL!$E:$E,MATCH(Table1[[#This Row],[DriverID]],CarrierDriverTBL!$A:$A,0))</f>
        <v>21198</v>
      </c>
      <c r="AU486" s="557">
        <f ca="1">INDEX(CarrierDriverTBL!$F:$F,MATCH(Table1[[#This Row],[DriverID]],CarrierDriverTBL!$A:$A,0))</f>
        <v>58.56986301369863</v>
      </c>
      <c r="AV486" s="554" t="str">
        <f>INDEX(CarrierDriverTBL!$K:$K,MATCH(Table1[[#This Row],[DriverID]],CarrierDriverTBL!$A:$A,0))</f>
        <v>209-322-5231</v>
      </c>
      <c r="AW486" s="554" t="str">
        <f>INDEX(CarrierDriverTBL!$M:$M,MATCH(Table1[[#This Row],[DriverID]],CarrierDriverTBL!$A:$A,0))</f>
        <v>572 Predersen RD</v>
      </c>
      <c r="AX486" s="554" t="str">
        <f>INDEX(CarrierDriverTBL!$N:$N,MATCH(Table1[[#This Row],[DriverID]],CarrierDriverTBL!$A:$A,0))</f>
        <v>Oakdale</v>
      </c>
      <c r="AY486" s="554" t="str">
        <f>INDEX(CarrierDriverTBL!$O:$O,MATCH(Table1[[#This Row],[DriverID]],CarrierDriverTBL!$A:$A,0))</f>
        <v>CA</v>
      </c>
      <c r="AZ486" s="554">
        <f>INDEX(CarrierDriverTBL!$P:$P,MATCH(Table1[[#This Row],[DriverID]],CarrierDriverTBL!$A:$A,0))</f>
        <v>95361</v>
      </c>
      <c r="BA486" s="554" t="str">
        <f>INDEX(CarrierDriverTBL!$Q:$Q,MATCH(Table1[[#This Row],[DriverID]],CarrierDriverTBL!$A:$A,0))</f>
        <v>US</v>
      </c>
      <c r="BB486" s="554" t="str">
        <f>INDEX(CarrierDriverTBL!$R:$R,MATCH(Table1[[#This Row],[DriverID]],CarrierDriverTBL!$A:$A,0))</f>
        <v>Miguelmartin52@yahoo.com</v>
      </c>
      <c r="BC486" s="556">
        <f>INDEX(CarrierDriverTBL!$AB:$AB,MATCH(Table1[[#This Row],[DriverID]],CarrierDriverTBL!$A:$A,0))</f>
        <v>42334</v>
      </c>
      <c r="BD486" s="555" t="str">
        <f ca="1">INDEX(CarrierDriverTBL!$AD:$AD,MATCH(LoadMaster!$AN:$AN,CarrierDriverTBL!$A:$A,0))</f>
        <v>MISSING</v>
      </c>
      <c r="BE486" s="555">
        <f>INDEX(CarrierDriverTBL!$AE:$AE,MATCH(Table1[DriverID],CarrierDriverTBL!$A:$A,0))</f>
        <v>913971</v>
      </c>
      <c r="BF486" s="554">
        <f>INDEX(CarrierDriverTBL!$AF:$AF,MATCH(Table1[DriverID],CarrierDriverTBL!$A:$A,0))</f>
        <v>2627544</v>
      </c>
      <c r="BG486" s="236">
        <f>INDEX(CarrierDriverTBL!$AG:$AG,MATCH(Table1[DriverID],CarrierDriverTBL!$A:$A,0))</f>
        <v>466133</v>
      </c>
      <c r="BH486" s="554" t="str">
        <f>INDEX(CarrierDriverTBL!$AH:$AH,MATCH(Table1[DriverID],CarrierDriverTBL!$A:$A,0))</f>
        <v>GM Lawrence Ins</v>
      </c>
      <c r="BI486" s="554" t="str">
        <f>INDEX(CarrierDriverTBL!$AI:$AI,MATCH(Table1[DriverID],CarrierDriverTBL!$A:$A,0))</f>
        <v>DSK2842P160210</v>
      </c>
      <c r="BJ486" s="556">
        <f>INDEX(CarrierDriverTBL!$AJ:$AJ,MATCH(Table1[[#This Row],[DriverID]],CarrierDriverTBL!$A:$A,0))</f>
        <v>42778</v>
      </c>
      <c r="BK486" s="554">
        <f t="shared" si="195"/>
        <v>241</v>
      </c>
      <c r="BL486" s="558">
        <v>525</v>
      </c>
      <c r="BM486" s="554">
        <v>199</v>
      </c>
      <c r="BN486" s="558">
        <f t="shared" si="215"/>
        <v>2.6381909547738696</v>
      </c>
      <c r="BO486" s="241">
        <f>0.93*525</f>
        <v>488.25</v>
      </c>
      <c r="BP486" s="558">
        <f t="shared" si="216"/>
        <v>2.4535175879396984</v>
      </c>
      <c r="BQ486" s="558">
        <v>2.75</v>
      </c>
      <c r="BR486" s="559">
        <f t="shared" si="217"/>
        <v>0.14166666666666669</v>
      </c>
      <c r="BS486" s="558">
        <f t="shared" si="218"/>
        <v>2.3118509212730318</v>
      </c>
      <c r="BT486" s="558">
        <f t="shared" si="219"/>
        <v>28.19166666666667</v>
      </c>
      <c r="BU486" s="236" t="str">
        <f t="shared" si="198"/>
        <v>Pepsi Logistics Company Inc</v>
      </c>
      <c r="BV486" s="554"/>
      <c r="BW486" s="236" t="str">
        <f>Table1[[#This Row],[BrokerAddress]]</f>
        <v>5600 Headquarters Drive C2D11</v>
      </c>
      <c r="BX486" s="236" t="str">
        <f t="shared" si="199"/>
        <v>Plano</v>
      </c>
      <c r="BY486" s="269" t="str">
        <f t="shared" si="200"/>
        <v>Tx</v>
      </c>
      <c r="BZ486" s="236">
        <f t="shared" si="201"/>
        <v>75024</v>
      </c>
      <c r="CA486" s="236" t="str">
        <f t="shared" si="202"/>
        <v>US</v>
      </c>
      <c r="CB486" s="15" t="s">
        <v>131</v>
      </c>
      <c r="CC486" s="561"/>
      <c r="CD486" s="15" t="s">
        <v>132</v>
      </c>
      <c r="CE486" s="64">
        <v>0</v>
      </c>
      <c r="CF486" s="4">
        <v>0</v>
      </c>
      <c r="CG486" s="132">
        <f t="shared" ref="CG486" si="234">CE486*CF486</f>
        <v>0</v>
      </c>
      <c r="CH486" s="4" t="s">
        <v>132</v>
      </c>
      <c r="CI486" s="5">
        <v>0</v>
      </c>
      <c r="CJ486" s="4">
        <v>0</v>
      </c>
      <c r="CK486" s="132">
        <f t="shared" ref="CK486" si="235">CI486*CJ486</f>
        <v>0</v>
      </c>
      <c r="CL486" s="4" t="s">
        <v>132</v>
      </c>
      <c r="CM486" s="5">
        <v>0</v>
      </c>
      <c r="CN486" s="4">
        <v>0</v>
      </c>
      <c r="CO486" s="132">
        <f t="shared" ref="CO486" si="236">CM486*CN486</f>
        <v>0</v>
      </c>
      <c r="CP486" s="4" t="s">
        <v>132</v>
      </c>
      <c r="CQ486" s="5">
        <v>0</v>
      </c>
      <c r="CR486" s="4">
        <v>0</v>
      </c>
      <c r="CS486" s="132">
        <f t="shared" ref="CS486" si="237">CQ486*CR486</f>
        <v>0</v>
      </c>
      <c r="CT486" s="132">
        <f t="shared" ref="CT486" si="238">CG486+CK486+CO486+CS486</f>
        <v>0</v>
      </c>
      <c r="CU486" s="238">
        <f t="shared" si="225"/>
        <v>525</v>
      </c>
      <c r="CV486" s="239">
        <f t="shared" si="226"/>
        <v>0</v>
      </c>
      <c r="CW486" s="240">
        <f t="shared" si="227"/>
        <v>488.25</v>
      </c>
      <c r="CX486" s="79">
        <f>IF(ISBLANK(E486),"AddQuickPay",IF(E486=2,CU486*0.98,IF(E486=2.4,CU486*0.976,IF(E486=3,CU486*0.97,IF(E486=5,CU486*0.95,IF(E486=1.5,CU486*0.985,IF(E486=2.5,CU486*0.975,IF(E486=1.3,CU486*0.987,IF(E486=1,CU486*0.99,IF(E486=4,CU486*0.96,CU486*1))))))))))-Table1[[#This Row],[ComCheck+QuickPayFee]]</f>
        <v>509.25</v>
      </c>
      <c r="CY486" s="237">
        <f t="shared" si="228"/>
        <v>36.75</v>
      </c>
      <c r="CZ486" s="237">
        <f t="shared" si="210"/>
        <v>15.75</v>
      </c>
      <c r="DA486" s="263">
        <f>Table1[[#This Row],[OriginalDispatch]]-Table1[[#This Row],[QuickPayCharge]]</f>
        <v>21</v>
      </c>
      <c r="DB486" s="5">
        <v>0</v>
      </c>
      <c r="DC486" s="237" t="s">
        <v>133</v>
      </c>
      <c r="DD486" s="549">
        <f t="shared" si="211"/>
        <v>42538</v>
      </c>
      <c r="DE486" s="554">
        <f>MONTH(Table1[[#This Row],[Weekending]])</f>
        <v>6</v>
      </c>
      <c r="DF486" s="554">
        <f>YEAR(Table1[[#This Row],[Weekending]])</f>
        <v>2016</v>
      </c>
      <c r="DG486" s="235"/>
    </row>
    <row r="487" spans="1:111">
      <c r="A487" s="548" t="str">
        <f t="shared" si="193"/>
        <v>59170093</v>
      </c>
      <c r="B487" s="549">
        <v>42541</v>
      </c>
      <c r="C487" s="550">
        <v>171559</v>
      </c>
      <c r="D487" s="548" t="s">
        <v>1917</v>
      </c>
      <c r="E487" s="550">
        <v>3</v>
      </c>
      <c r="F487" s="551" t="str">
        <f>INDEX(BrokerTBL!$B:$B,MATCH(D487,BrokerTBL!$A:$A,0))</f>
        <v>20002 N. 19Th Ave.</v>
      </c>
      <c r="G487" s="550" t="str">
        <f>INDEX(BrokerTBL!$C:$C,MATCH(D487,BrokerTBL!$A:$A,0))</f>
        <v>Phoenix</v>
      </c>
      <c r="H487" s="235" t="str">
        <f>INDEX(BrokerTBL!$D:$D,MATCH(D487,BrokerTBL!$A:$A,0))</f>
        <v>Az</v>
      </c>
      <c r="I487" s="235" t="str">
        <f>INDEX(BrokerTBL!$E:$E,MATCH(D487,BrokerTBL!$A:$A,0))</f>
        <v>US</v>
      </c>
      <c r="J487" s="235">
        <f>INDEX(BrokerTBL!$F:$F,MATCH(D487,BrokerTBL!$A:$A,0))</f>
        <v>85027</v>
      </c>
      <c r="K487" s="548" t="s">
        <v>3159</v>
      </c>
      <c r="L487" s="552">
        <v>39617</v>
      </c>
      <c r="M487" s="549">
        <v>42536</v>
      </c>
      <c r="N487" s="550" t="s">
        <v>1316</v>
      </c>
      <c r="O487" s="550" t="s">
        <v>3160</v>
      </c>
      <c r="P487" s="548" t="s">
        <v>2466</v>
      </c>
      <c r="Q487" s="548" t="s">
        <v>2233</v>
      </c>
      <c r="R487" s="548" t="s">
        <v>3161</v>
      </c>
      <c r="S487" s="548" t="s">
        <v>2207</v>
      </c>
      <c r="T487" s="548" t="s">
        <v>3162</v>
      </c>
      <c r="U487" s="548" t="s">
        <v>120</v>
      </c>
      <c r="V487" s="548">
        <v>53</v>
      </c>
      <c r="W487" s="548" t="s">
        <v>3163</v>
      </c>
      <c r="X487" s="553">
        <v>21000</v>
      </c>
      <c r="Y487" s="550" t="s">
        <v>123</v>
      </c>
      <c r="Z487" s="548" t="s">
        <v>123</v>
      </c>
      <c r="AA487" s="548" t="s">
        <v>123</v>
      </c>
      <c r="AB487" s="548" t="s">
        <v>123</v>
      </c>
      <c r="AC487" s="548" t="s">
        <v>3164</v>
      </c>
      <c r="AD487" s="552">
        <v>21000</v>
      </c>
      <c r="AE487" s="549">
        <v>42536</v>
      </c>
      <c r="AF487" s="549" t="s">
        <v>1045</v>
      </c>
      <c r="AG487" s="548" t="s">
        <v>3165</v>
      </c>
      <c r="AH487" s="548" t="s">
        <v>228</v>
      </c>
      <c r="AI487" s="548" t="s">
        <v>2206</v>
      </c>
      <c r="AJ487" s="548">
        <v>94545</v>
      </c>
      <c r="AK487" s="548" t="s">
        <v>2207</v>
      </c>
      <c r="AL487" s="548" t="s">
        <v>123</v>
      </c>
      <c r="AM487" s="554" t="str">
        <f>INDEX(CarrierDriverTBL!$B:$B,MATCH(Table1[[#This Row],[DriverID]],CarrierDriverTBL!$A:$A,0))</f>
        <v>UBTrucking</v>
      </c>
      <c r="AN487" s="10" t="s">
        <v>2234</v>
      </c>
      <c r="AO487" s="555" t="str">
        <f>INDEX(CarrierDriverTBL!$C:$C,MATCH(Table1[[#This Row],[DriverID]],CarrierDriverTBL!$A:$A,0))</f>
        <v>Arturo</v>
      </c>
      <c r="AP487" s="555" t="str">
        <f>INDEX(CarrierDriverTBL!$D:$D,MATCH(Table1[[#This Row],[DriverID]],CarrierDriverTBL!$A:$A,0))</f>
        <v>Carrillo</v>
      </c>
      <c r="AQ487" s="555" t="str">
        <f>INDEX(CarrierDriverTBL!$X:$X,MATCH(Table1[[#This Row],[DriverID]],CarrierDriverTBL!$A:$A,0))</f>
        <v>C7056793</v>
      </c>
      <c r="AR487" s="556">
        <f>INDEX(CarrierDriverTBL!$Y:$Y,MATCH(Table1[[#This Row],[DriverID]],CarrierDriverTBL!$A:$A,0))</f>
        <v>43410</v>
      </c>
      <c r="AS487" s="554" t="str">
        <f t="shared" si="194"/>
        <v>GOOD</v>
      </c>
      <c r="AT487" s="556">
        <f>INDEX(CarrierDriverTBL!$E:$E,MATCH(Table1[[#This Row],[DriverID]],CarrierDriverTBL!$A:$A,0))</f>
        <v>24782</v>
      </c>
      <c r="AU487" s="557">
        <f ca="1">INDEX(CarrierDriverTBL!$F:$F,MATCH(Table1[[#This Row],[DriverID]],CarrierDriverTBL!$A:$A,0))</f>
        <v>48.750684931506846</v>
      </c>
      <c r="AV487" s="554" t="str">
        <f>INDEX(CarrierDriverTBL!$K:$K,MATCH(Table1[[#This Row],[DriverID]],CarrierDriverTBL!$A:$A,0))</f>
        <v>209-276-9785</v>
      </c>
      <c r="AW487" s="554" t="str">
        <f>INDEX(CarrierDriverTBL!$M:$M,MATCH(Table1[[#This Row],[DriverID]],CarrierDriverTBL!$A:$A,0))</f>
        <v>1685 Winthrop Ln</v>
      </c>
      <c r="AX487" s="554" t="str">
        <f>INDEX(CarrierDriverTBL!$N:$N,MATCH(Table1[[#This Row],[DriverID]],CarrierDriverTBL!$A:$A,0))</f>
        <v>Ceres</v>
      </c>
      <c r="AY487" s="554" t="str">
        <f>INDEX(CarrierDriverTBL!$O:$O,MATCH(Table1[[#This Row],[DriverID]],CarrierDriverTBL!$A:$A,0))</f>
        <v>CA</v>
      </c>
      <c r="AZ487" s="554">
        <f>INDEX(CarrierDriverTBL!$P:$P,MATCH(Table1[[#This Row],[DriverID]],CarrierDriverTBL!$A:$A,0))</f>
        <v>95307</v>
      </c>
      <c r="BA487" s="554" t="str">
        <f>INDEX(CarrierDriverTBL!$Q:$Q,MATCH(Table1[[#This Row],[DriverID]],CarrierDriverTBL!$A:$A,0))</f>
        <v>US</v>
      </c>
      <c r="BB487" s="554" t="str">
        <f>INDEX(CarrierDriverTBL!$R:$R,MATCH(Table1[[#This Row],[DriverID]],CarrierDriverTBL!$A:$A,0))</f>
        <v>arturocarr777@gmail.com</v>
      </c>
      <c r="BC487" s="556">
        <f>INDEX(CarrierDriverTBL!$AB:$AB,MATCH(Table1[[#This Row],[DriverID]],CarrierDriverTBL!$A:$A,0))</f>
        <v>42418</v>
      </c>
      <c r="BD487" s="555" t="str">
        <f ca="1">INDEX(CarrierDriverTBL!$AD:$AD,MATCH(LoadMaster!$AN:$AN,CarrierDriverTBL!$A:$A,0))</f>
        <v>MISSING</v>
      </c>
      <c r="BE487" s="555">
        <f>INDEX(CarrierDriverTBL!$AE:$AE,MATCH(Table1[DriverID],CarrierDriverTBL!$A:$A,0))</f>
        <v>913971</v>
      </c>
      <c r="BF487" s="554">
        <f>INDEX(CarrierDriverTBL!$AF:$AF,MATCH(Table1[DriverID],CarrierDriverTBL!$A:$A,0))</f>
        <v>2627544</v>
      </c>
      <c r="BG487" s="236">
        <f>INDEX(CarrierDriverTBL!$AG:$AG,MATCH(Table1[DriverID],CarrierDriverTBL!$A:$A,0))</f>
        <v>466133</v>
      </c>
      <c r="BH487" s="554" t="str">
        <f>INDEX(CarrierDriverTBL!$AH:$AH,MATCH(Table1[DriverID],CarrierDriverTBL!$A:$A,0))</f>
        <v>GM Lawrence Ins</v>
      </c>
      <c r="BI487" s="554" t="str">
        <f>INDEX(CarrierDriverTBL!$AI:$AI,MATCH(Table1[DriverID],CarrierDriverTBL!$A:$A,0))</f>
        <v>DSK2842P160210</v>
      </c>
      <c r="BJ487" s="556">
        <f>INDEX(CarrierDriverTBL!$AJ:$AJ,MATCH(Table1[[#This Row],[DriverID]],CarrierDriverTBL!$A:$A,0))</f>
        <v>42778</v>
      </c>
      <c r="BK487" s="554">
        <f t="shared" si="195"/>
        <v>242</v>
      </c>
      <c r="BL487" s="558">
        <v>450</v>
      </c>
      <c r="BM487" s="554">
        <v>228.7</v>
      </c>
      <c r="BN487" s="558">
        <f t="shared" si="215"/>
        <v>1.9676432006996065</v>
      </c>
      <c r="BO487" s="241">
        <f>0.93*450</f>
        <v>418.5</v>
      </c>
      <c r="BP487" s="558">
        <f t="shared" si="216"/>
        <v>1.8299081766506342</v>
      </c>
      <c r="BQ487" s="558">
        <v>2.75</v>
      </c>
      <c r="BR487" s="559">
        <f t="shared" si="217"/>
        <v>0.14166666666666669</v>
      </c>
      <c r="BS487" s="558">
        <f t="shared" si="218"/>
        <v>1.6882415099839676</v>
      </c>
      <c r="BT487" s="558">
        <f t="shared" si="219"/>
        <v>32.399166666666673</v>
      </c>
      <c r="BU487" s="236" t="str">
        <f t="shared" si="198"/>
        <v>Knight Logistics Llc</v>
      </c>
      <c r="BV487" s="554"/>
      <c r="BW487" s="236" t="str">
        <f>Table1[[#This Row],[BrokerAddress]]</f>
        <v>20002 N. 19Th Ave.</v>
      </c>
      <c r="BX487" s="236" t="str">
        <f t="shared" si="199"/>
        <v>Phoenix</v>
      </c>
      <c r="BY487" s="269" t="str">
        <f t="shared" si="200"/>
        <v>Az</v>
      </c>
      <c r="BZ487" s="236">
        <f t="shared" si="201"/>
        <v>85027</v>
      </c>
      <c r="CA487" s="236" t="str">
        <f t="shared" si="202"/>
        <v>US</v>
      </c>
      <c r="CB487" s="15" t="s">
        <v>131</v>
      </c>
      <c r="CC487" s="561"/>
      <c r="CD487" s="15" t="s">
        <v>132</v>
      </c>
      <c r="CE487" s="64">
        <v>0</v>
      </c>
      <c r="CF487" s="4">
        <v>0</v>
      </c>
      <c r="CG487" s="132">
        <f t="shared" ref="CG487" si="239">CE487*CF487</f>
        <v>0</v>
      </c>
      <c r="CH487" s="4" t="s">
        <v>132</v>
      </c>
      <c r="CI487" s="5">
        <v>0</v>
      </c>
      <c r="CJ487" s="4">
        <v>0</v>
      </c>
      <c r="CK487" s="132">
        <f t="shared" ref="CK487" si="240">CI487*CJ487</f>
        <v>0</v>
      </c>
      <c r="CL487" s="4" t="s">
        <v>132</v>
      </c>
      <c r="CM487" s="5">
        <v>0</v>
      </c>
      <c r="CN487" s="4">
        <v>0</v>
      </c>
      <c r="CO487" s="132">
        <f t="shared" ref="CO487" si="241">CM487*CN487</f>
        <v>0</v>
      </c>
      <c r="CP487" s="4" t="s">
        <v>132</v>
      </c>
      <c r="CQ487" s="5">
        <v>0</v>
      </c>
      <c r="CR487" s="4">
        <v>0</v>
      </c>
      <c r="CS487" s="132">
        <f t="shared" ref="CS487" si="242">CQ487*CR487</f>
        <v>0</v>
      </c>
      <c r="CT487" s="132">
        <f t="shared" ref="CT487" si="243">CG487+CK487+CO487+CS487</f>
        <v>0</v>
      </c>
      <c r="CU487" s="238">
        <f t="shared" si="225"/>
        <v>450</v>
      </c>
      <c r="CV487" s="239">
        <f t="shared" si="226"/>
        <v>0</v>
      </c>
      <c r="CW487" s="240">
        <f t="shared" si="227"/>
        <v>418.5</v>
      </c>
      <c r="CX487" s="79">
        <f>IF(ISBLANK(E487),"AddQuickPay",IF(E487=2,CU487*0.98,IF(E487=2.4,CU487*0.976,IF(E487=3,CU487*0.97,IF(E487=5,CU487*0.95,IF(E487=1.5,CU487*0.985,IF(E487=2.5,CU487*0.975,IF(E487=1.3,CU487*0.987,IF(E487=1,CU487*0.99,IF(E487=4,CU487*0.96,CU487*1))))))))))-Table1[[#This Row],[ComCheck+QuickPayFee]]</f>
        <v>436.5</v>
      </c>
      <c r="CY487" s="237">
        <f t="shared" si="228"/>
        <v>31.5</v>
      </c>
      <c r="CZ487" s="237">
        <f t="shared" si="210"/>
        <v>13.5</v>
      </c>
      <c r="DA487" s="263">
        <f>Table1[[#This Row],[OriginalDispatch]]-Table1[[#This Row],[QuickPayCharge]]</f>
        <v>18</v>
      </c>
      <c r="DB487" s="5">
        <v>0</v>
      </c>
      <c r="DC487" s="237" t="s">
        <v>133</v>
      </c>
      <c r="DD487" s="549">
        <f t="shared" si="211"/>
        <v>42538</v>
      </c>
      <c r="DE487" s="554">
        <f>MONTH(Table1[[#This Row],[Weekending]])</f>
        <v>6</v>
      </c>
      <c r="DF487" s="554">
        <f>YEAR(Table1[[#This Row],[Weekending]])</f>
        <v>2016</v>
      </c>
      <c r="DG487" s="235"/>
    </row>
    <row r="488" spans="1:111">
      <c r="A488" s="548" t="str">
        <f t="shared" si="193"/>
        <v>02300049</v>
      </c>
      <c r="B488" s="549">
        <v>42541</v>
      </c>
      <c r="C488" s="550">
        <v>171502</v>
      </c>
      <c r="D488" s="548" t="s">
        <v>1917</v>
      </c>
      <c r="E488" s="550">
        <v>3</v>
      </c>
      <c r="F488" s="551" t="str">
        <f>INDEX(BrokerTBL!$B:$B,MATCH(D488,BrokerTBL!$A:$A,0))</f>
        <v>20002 N. 19Th Ave.</v>
      </c>
      <c r="G488" s="550" t="str">
        <f>INDEX(BrokerTBL!$C:$C,MATCH(D488,BrokerTBL!$A:$A,0))</f>
        <v>Phoenix</v>
      </c>
      <c r="H488" s="235" t="str">
        <f>INDEX(BrokerTBL!$D:$D,MATCH(D488,BrokerTBL!$A:$A,0))</f>
        <v>Az</v>
      </c>
      <c r="I488" s="235" t="str">
        <f>INDEX(BrokerTBL!$E:$E,MATCH(D488,BrokerTBL!$A:$A,0))</f>
        <v>US</v>
      </c>
      <c r="J488" s="235">
        <f>INDEX(BrokerTBL!$F:$F,MATCH(D488,BrokerTBL!$A:$A,0))</f>
        <v>85027</v>
      </c>
      <c r="K488" s="548" t="s">
        <v>3166</v>
      </c>
      <c r="L488" s="552">
        <v>4502627330</v>
      </c>
      <c r="M488" s="549">
        <v>42536</v>
      </c>
      <c r="N488" s="550" t="s">
        <v>1294</v>
      </c>
      <c r="O488" s="550" t="s">
        <v>3167</v>
      </c>
      <c r="P488" s="548" t="s">
        <v>2408</v>
      </c>
      <c r="Q488" s="548" t="s">
        <v>2233</v>
      </c>
      <c r="R488" s="548">
        <v>89701</v>
      </c>
      <c r="S488" s="548" t="s">
        <v>2207</v>
      </c>
      <c r="T488" s="548" t="s">
        <v>123</v>
      </c>
      <c r="U488" s="548" t="s">
        <v>120</v>
      </c>
      <c r="V488" s="548">
        <v>53</v>
      </c>
      <c r="W488" s="548" t="s">
        <v>2433</v>
      </c>
      <c r="X488" s="553">
        <v>15000</v>
      </c>
      <c r="Y488" s="550" t="s">
        <v>123</v>
      </c>
      <c r="Z488" s="548" t="s">
        <v>123</v>
      </c>
      <c r="AA488" s="548" t="s">
        <v>123</v>
      </c>
      <c r="AB488" s="548" t="s">
        <v>123</v>
      </c>
      <c r="AC488" s="548" t="s">
        <v>3168</v>
      </c>
      <c r="AD488" s="552">
        <v>15000</v>
      </c>
      <c r="AE488" s="549">
        <v>42537</v>
      </c>
      <c r="AF488" s="549" t="s">
        <v>1055</v>
      </c>
      <c r="AG488" s="548" t="s">
        <v>3169</v>
      </c>
      <c r="AH488" s="548" t="s">
        <v>299</v>
      </c>
      <c r="AI488" s="548" t="s">
        <v>2206</v>
      </c>
      <c r="AJ488" s="548">
        <v>94607</v>
      </c>
      <c r="AK488" s="548" t="s">
        <v>2207</v>
      </c>
      <c r="AL488" s="548" t="s">
        <v>123</v>
      </c>
      <c r="AM488" s="554" t="str">
        <f>INDEX(CarrierDriverTBL!$B:$B,MATCH(Table1[[#This Row],[DriverID]],CarrierDriverTBL!$A:$A,0))</f>
        <v>UBTrucking</v>
      </c>
      <c r="AN488" s="10" t="s">
        <v>192</v>
      </c>
      <c r="AO488" s="555" t="str">
        <f>INDEX(CarrierDriverTBL!$C:$C,MATCH(Table1[[#This Row],[DriverID]],CarrierDriverTBL!$A:$A,0))</f>
        <v>Albel</v>
      </c>
      <c r="AP488" s="555" t="str">
        <f>INDEX(CarrierDriverTBL!$D:$D,MATCH(Table1[[#This Row],[DriverID]],CarrierDriverTBL!$A:$A,0))</f>
        <v>Chahil</v>
      </c>
      <c r="AQ488" s="555" t="str">
        <f>INDEX(CarrierDriverTBL!$X:$X,MATCH(Table1[[#This Row],[DriverID]],CarrierDriverTBL!$A:$A,0))</f>
        <v>A8390649</v>
      </c>
      <c r="AR488" s="556">
        <f>INDEX(CarrierDriverTBL!$Y:$Y,MATCH(Table1[[#This Row],[DriverID]],CarrierDriverTBL!$A:$A,0))</f>
        <v>42402</v>
      </c>
      <c r="AS488" s="554" t="str">
        <f t="shared" si="194"/>
        <v>EXPIRED</v>
      </c>
      <c r="AT488" s="556">
        <f>INDEX(CarrierDriverTBL!$E:$E,MATCH(Table1[[#This Row],[DriverID]],CarrierDriverTBL!$A:$A,0))</f>
        <v>22314</v>
      </c>
      <c r="AU488" s="557">
        <f ca="1">INDEX(CarrierDriverTBL!$F:$F,MATCH(Table1[[#This Row],[DriverID]],CarrierDriverTBL!$A:$A,0))</f>
        <v>55.512328767123286</v>
      </c>
      <c r="AV488" s="554" t="str">
        <f>INDEX(CarrierDriverTBL!$K:$K,MATCH(Table1[[#This Row],[DriverID]],CarrierDriverTBL!$A:$A,0))</f>
        <v>510-773-9450</v>
      </c>
      <c r="AW488" s="554" t="str">
        <f>INDEX(CarrierDriverTBL!$M:$M,MATCH(Table1[[#This Row],[DriverID]],CarrierDriverTBL!$A:$A,0))</f>
        <v>3124 Cynthia CT</v>
      </c>
      <c r="AX488" s="554" t="str">
        <f>INDEX(CarrierDriverTBL!$N:$N,MATCH(Table1[[#This Row],[DriverID]],CarrierDriverTBL!$A:$A,0))</f>
        <v>Tracy</v>
      </c>
      <c r="AY488" s="554" t="str">
        <f>INDEX(CarrierDriverTBL!$O:$O,MATCH(Table1[[#This Row],[DriverID]],CarrierDriverTBL!$A:$A,0))</f>
        <v>CA</v>
      </c>
      <c r="AZ488" s="554">
        <f>INDEX(CarrierDriverTBL!$P:$P,MATCH(Table1[[#This Row],[DriverID]],CarrierDriverTBL!$A:$A,0))</f>
        <v>95377</v>
      </c>
      <c r="BA488" s="554" t="str">
        <f>INDEX(CarrierDriverTBL!$Q:$Q,MATCH(Table1[[#This Row],[DriverID]],CarrierDriverTBL!$A:$A,0))</f>
        <v>US</v>
      </c>
      <c r="BB488" s="554" t="str">
        <f>INDEX(CarrierDriverTBL!$R:$R,MATCH(Table1[[#This Row],[DriverID]],CarrierDriverTBL!$A:$A,0))</f>
        <v>ubgollc@gmail.com</v>
      </c>
      <c r="BC488" s="556">
        <f>INDEX(CarrierDriverTBL!$AB:$AB,MATCH(Table1[[#This Row],[DriverID]],CarrierDriverTBL!$A:$A,0))</f>
        <v>42167</v>
      </c>
      <c r="BD488" s="555" t="str">
        <f ca="1">INDEX(CarrierDriverTBL!$AD:$AD,MATCH(LoadMaster!$AN:$AN,CarrierDriverTBL!$A:$A,0))</f>
        <v>MISSING</v>
      </c>
      <c r="BE488" s="555">
        <f>INDEX(CarrierDriverTBL!$AE:$AE,MATCH(Table1[DriverID],CarrierDriverTBL!$A:$A,0))</f>
        <v>913971</v>
      </c>
      <c r="BF488" s="554">
        <f>INDEX(CarrierDriverTBL!$AF:$AF,MATCH(Table1[DriverID],CarrierDriverTBL!$A:$A,0))</f>
        <v>2627544</v>
      </c>
      <c r="BG488" s="236">
        <f>INDEX(CarrierDriverTBL!$AG:$AG,MATCH(Table1[DriverID],CarrierDriverTBL!$A:$A,0))</f>
        <v>466133</v>
      </c>
      <c r="BH488" s="554" t="str">
        <f>INDEX(CarrierDriverTBL!$AH:$AH,MATCH(Table1[DriverID],CarrierDriverTBL!$A:$A,0))</f>
        <v>GM Lawrence Ins</v>
      </c>
      <c r="BI488" s="554" t="str">
        <f>INDEX(CarrierDriverTBL!$AI:$AI,MATCH(Table1[DriverID],CarrierDriverTBL!$A:$A,0))</f>
        <v>DSK2842P160210</v>
      </c>
      <c r="BJ488" s="556">
        <f>INDEX(CarrierDriverTBL!$AJ:$AJ,MATCH(Table1[[#This Row],[DriverID]],CarrierDriverTBL!$A:$A,0))</f>
        <v>42778</v>
      </c>
      <c r="BK488" s="554">
        <f t="shared" si="195"/>
        <v>242</v>
      </c>
      <c r="BL488" s="558">
        <v>450</v>
      </c>
      <c r="BM488" s="554">
        <v>209.4</v>
      </c>
      <c r="BN488" s="558">
        <f t="shared" si="215"/>
        <v>2.1489971346704873</v>
      </c>
      <c r="BO488" s="241">
        <f>0.93*450</f>
        <v>418.5</v>
      </c>
      <c r="BP488" s="558">
        <f t="shared" si="216"/>
        <v>1.9985673352435529</v>
      </c>
      <c r="BQ488" s="558">
        <v>2.75</v>
      </c>
      <c r="BR488" s="559">
        <f t="shared" si="217"/>
        <v>0.14166666666666669</v>
      </c>
      <c r="BS488" s="558">
        <f t="shared" si="218"/>
        <v>1.8569006685768863</v>
      </c>
      <c r="BT488" s="558">
        <f t="shared" si="219"/>
        <v>29.665000000000006</v>
      </c>
      <c r="BU488" s="236" t="str">
        <f t="shared" si="198"/>
        <v>Knight Logistics Llc</v>
      </c>
      <c r="BV488" s="554"/>
      <c r="BW488" s="236" t="str">
        <f>Table1[[#This Row],[BrokerAddress]]</f>
        <v>20002 N. 19Th Ave.</v>
      </c>
      <c r="BX488" s="236" t="str">
        <f t="shared" si="199"/>
        <v>Phoenix</v>
      </c>
      <c r="BY488" s="269" t="str">
        <f t="shared" si="200"/>
        <v>Az</v>
      </c>
      <c r="BZ488" s="236">
        <f t="shared" si="201"/>
        <v>85027</v>
      </c>
      <c r="CA488" s="236" t="str">
        <f t="shared" si="202"/>
        <v>US</v>
      </c>
      <c r="CB488" s="15" t="s">
        <v>131</v>
      </c>
      <c r="CC488" s="561"/>
      <c r="CD488" s="15" t="s">
        <v>132</v>
      </c>
      <c r="CE488" s="64">
        <v>0</v>
      </c>
      <c r="CF488" s="4">
        <v>0</v>
      </c>
      <c r="CG488" s="132">
        <f t="shared" ref="CG488" si="244">CE488*CF488</f>
        <v>0</v>
      </c>
      <c r="CH488" s="4" t="s">
        <v>132</v>
      </c>
      <c r="CI488" s="5">
        <v>0</v>
      </c>
      <c r="CJ488" s="4">
        <v>0</v>
      </c>
      <c r="CK488" s="132">
        <f t="shared" ref="CK488" si="245">CI488*CJ488</f>
        <v>0</v>
      </c>
      <c r="CL488" s="4" t="s">
        <v>132</v>
      </c>
      <c r="CM488" s="5">
        <v>0</v>
      </c>
      <c r="CN488" s="4">
        <v>0</v>
      </c>
      <c r="CO488" s="132">
        <f t="shared" ref="CO488" si="246">CM488*CN488</f>
        <v>0</v>
      </c>
      <c r="CP488" s="4" t="s">
        <v>132</v>
      </c>
      <c r="CQ488" s="5">
        <v>0</v>
      </c>
      <c r="CR488" s="4">
        <v>0</v>
      </c>
      <c r="CS488" s="132">
        <f t="shared" ref="CS488" si="247">CQ488*CR488</f>
        <v>0</v>
      </c>
      <c r="CT488" s="132">
        <f t="shared" ref="CT488" si="248">CG488+CK488+CO488+CS488</f>
        <v>0</v>
      </c>
      <c r="CU488" s="238">
        <f t="shared" si="225"/>
        <v>450</v>
      </c>
      <c r="CV488" s="239">
        <f t="shared" si="226"/>
        <v>0</v>
      </c>
      <c r="CW488" s="240">
        <f t="shared" si="227"/>
        <v>418.5</v>
      </c>
      <c r="CX488" s="79">
        <f>IF(ISBLANK(E488),"AddQuickPay",IF(E488=2,CU488*0.98,IF(E488=2.4,CU488*0.976,IF(E488=3,CU488*0.97,IF(E488=5,CU488*0.95,IF(E488=1.5,CU488*0.985,IF(E488=2.5,CU488*0.975,IF(E488=1.3,CU488*0.987,IF(E488=1,CU488*0.99,IF(E488=4,CU488*0.96,CU488*1))))))))))-Table1[[#This Row],[ComCheck+QuickPayFee]]</f>
        <v>436.5</v>
      </c>
      <c r="CY488" s="237">
        <f t="shared" si="228"/>
        <v>31.5</v>
      </c>
      <c r="CZ488" s="237">
        <f t="shared" si="210"/>
        <v>13.5</v>
      </c>
      <c r="DA488" s="263">
        <f>Table1[[#This Row],[OriginalDispatch]]-Table1[[#This Row],[QuickPayCharge]]</f>
        <v>18</v>
      </c>
      <c r="DB488" s="5">
        <v>0</v>
      </c>
      <c r="DC488" s="237" t="s">
        <v>133</v>
      </c>
      <c r="DD488" s="549">
        <f t="shared" si="211"/>
        <v>42538</v>
      </c>
      <c r="DE488" s="554">
        <f>MONTH(Table1[[#This Row],[Weekending]])</f>
        <v>6</v>
      </c>
      <c r="DF488" s="554">
        <f>YEAR(Table1[[#This Row],[Weekending]])</f>
        <v>2016</v>
      </c>
      <c r="DG488" s="235"/>
    </row>
    <row r="489" spans="1:111">
      <c r="A489" s="548" t="str">
        <f t="shared" si="193"/>
        <v>53537793</v>
      </c>
      <c r="B489" s="549">
        <v>42541</v>
      </c>
      <c r="C489" s="550">
        <v>3543553</v>
      </c>
      <c r="D489" s="548" t="s">
        <v>3170</v>
      </c>
      <c r="E489" s="550">
        <v>0</v>
      </c>
      <c r="F489" s="551" t="str">
        <f>INDEX(BrokerTBL!$B:$B,MATCH(D489,BrokerTBL!$A:$A,0))</f>
        <v>P.O. BOX 171346</v>
      </c>
      <c r="G489" s="550" t="str">
        <f>INDEX(BrokerTBL!$C:$C,MATCH(D489,BrokerTBL!$A:$A,0))</f>
        <v>MEMPHIS</v>
      </c>
      <c r="H489" s="235" t="str">
        <f>INDEX(BrokerTBL!$D:$D,MATCH(D489,BrokerTBL!$A:$A,0))</f>
        <v>TN</v>
      </c>
      <c r="I489" s="235" t="str">
        <f>INDEX(BrokerTBL!$E:$E,MATCH(D489,BrokerTBL!$A:$A,0))</f>
        <v>US</v>
      </c>
      <c r="J489" s="235">
        <f>INDEX(BrokerTBL!$F:$F,MATCH(D489,BrokerTBL!$A:$A,0))</f>
        <v>38120</v>
      </c>
      <c r="K489" s="548" t="s">
        <v>3171</v>
      </c>
      <c r="L489" s="552">
        <v>3543553</v>
      </c>
      <c r="M489" s="549">
        <v>42537</v>
      </c>
      <c r="N489" s="550" t="s">
        <v>427</v>
      </c>
      <c r="O489" s="550" t="s">
        <v>3172</v>
      </c>
      <c r="P489" s="548" t="s">
        <v>2345</v>
      </c>
      <c r="Q489" s="548" t="s">
        <v>2206</v>
      </c>
      <c r="R489" s="548">
        <v>95358</v>
      </c>
      <c r="S489" s="548" t="s">
        <v>2207</v>
      </c>
      <c r="T489" s="548" t="s">
        <v>3173</v>
      </c>
      <c r="U489" s="548" t="s">
        <v>120</v>
      </c>
      <c r="V489" s="548">
        <v>53</v>
      </c>
      <c r="W489" s="548" t="s">
        <v>1205</v>
      </c>
      <c r="X489" s="553">
        <v>12680</v>
      </c>
      <c r="Y489" s="550" t="s">
        <v>123</v>
      </c>
      <c r="Z489" s="548" t="s">
        <v>123</v>
      </c>
      <c r="AA489" s="548" t="s">
        <v>123</v>
      </c>
      <c r="AB489" s="548" t="s">
        <v>123</v>
      </c>
      <c r="AC489" s="548" t="s">
        <v>3174</v>
      </c>
      <c r="AD489" s="552" t="s">
        <v>3175</v>
      </c>
      <c r="AE489" s="549">
        <v>42538</v>
      </c>
      <c r="AF489" s="549" t="s">
        <v>2844</v>
      </c>
      <c r="AG489" s="548" t="s">
        <v>3176</v>
      </c>
      <c r="AH489" s="548" t="s">
        <v>2443</v>
      </c>
      <c r="AI489" s="548" t="s">
        <v>2233</v>
      </c>
      <c r="AJ489" s="548">
        <v>89434</v>
      </c>
      <c r="AK489" s="548" t="s">
        <v>2207</v>
      </c>
      <c r="AL489" s="548" t="s">
        <v>3177</v>
      </c>
      <c r="AM489" s="554" t="str">
        <f>INDEX(CarrierDriverTBL!$B:$B,MATCH(Table1[[#This Row],[DriverID]],CarrierDriverTBL!$A:$A,0))</f>
        <v>UBTrucking</v>
      </c>
      <c r="AN489" s="10" t="s">
        <v>2234</v>
      </c>
      <c r="AO489" s="555" t="str">
        <f>INDEX(CarrierDriverTBL!$C:$C,MATCH(Table1[[#This Row],[DriverID]],CarrierDriverTBL!$A:$A,0))</f>
        <v>Arturo</v>
      </c>
      <c r="AP489" s="555" t="str">
        <f>INDEX(CarrierDriverTBL!$D:$D,MATCH(Table1[[#This Row],[DriverID]],CarrierDriverTBL!$A:$A,0))</f>
        <v>Carrillo</v>
      </c>
      <c r="AQ489" s="555" t="str">
        <f>INDEX(CarrierDriverTBL!$X:$X,MATCH(Table1[[#This Row],[DriverID]],CarrierDriverTBL!$A:$A,0))</f>
        <v>C7056793</v>
      </c>
      <c r="AR489" s="556">
        <f>INDEX(CarrierDriverTBL!$Y:$Y,MATCH(Table1[[#This Row],[DriverID]],CarrierDriverTBL!$A:$A,0))</f>
        <v>43410</v>
      </c>
      <c r="AS489" s="554" t="str">
        <f t="shared" si="194"/>
        <v>GOOD</v>
      </c>
      <c r="AT489" s="556">
        <f>INDEX(CarrierDriverTBL!$E:$E,MATCH(Table1[[#This Row],[DriverID]],CarrierDriverTBL!$A:$A,0))</f>
        <v>24782</v>
      </c>
      <c r="AU489" s="557">
        <f ca="1">INDEX(CarrierDriverTBL!$F:$F,MATCH(Table1[[#This Row],[DriverID]],CarrierDriverTBL!$A:$A,0))</f>
        <v>48.750684931506846</v>
      </c>
      <c r="AV489" s="554" t="str">
        <f>INDEX(CarrierDriverTBL!$K:$K,MATCH(Table1[[#This Row],[DriverID]],CarrierDriverTBL!$A:$A,0))</f>
        <v>209-276-9785</v>
      </c>
      <c r="AW489" s="554" t="str">
        <f>INDEX(CarrierDriverTBL!$M:$M,MATCH(Table1[[#This Row],[DriverID]],CarrierDriverTBL!$A:$A,0))</f>
        <v>1685 Winthrop Ln</v>
      </c>
      <c r="AX489" s="554" t="str">
        <f>INDEX(CarrierDriverTBL!$N:$N,MATCH(Table1[[#This Row],[DriverID]],CarrierDriverTBL!$A:$A,0))</f>
        <v>Ceres</v>
      </c>
      <c r="AY489" s="554" t="str">
        <f>INDEX(CarrierDriverTBL!$O:$O,MATCH(Table1[[#This Row],[DriverID]],CarrierDriverTBL!$A:$A,0))</f>
        <v>CA</v>
      </c>
      <c r="AZ489" s="554">
        <f>INDEX(CarrierDriverTBL!$P:$P,MATCH(Table1[[#This Row],[DriverID]],CarrierDriverTBL!$A:$A,0))</f>
        <v>95307</v>
      </c>
      <c r="BA489" s="554" t="str">
        <f>INDEX(CarrierDriverTBL!$Q:$Q,MATCH(Table1[[#This Row],[DriverID]],CarrierDriverTBL!$A:$A,0))</f>
        <v>US</v>
      </c>
      <c r="BB489" s="554" t="str">
        <f>INDEX(CarrierDriverTBL!$R:$R,MATCH(Table1[[#This Row],[DriverID]],CarrierDriverTBL!$A:$A,0))</f>
        <v>arturocarr777@gmail.com</v>
      </c>
      <c r="BC489" s="556">
        <f>INDEX(CarrierDriverTBL!$AB:$AB,MATCH(Table1[[#This Row],[DriverID]],CarrierDriverTBL!$A:$A,0))</f>
        <v>42418</v>
      </c>
      <c r="BD489" s="555" t="str">
        <f ca="1">INDEX(CarrierDriverTBL!$AD:$AD,MATCH(LoadMaster!$AN:$AN,CarrierDriverTBL!$A:$A,0))</f>
        <v>MISSING</v>
      </c>
      <c r="BE489" s="555">
        <f>INDEX(CarrierDriverTBL!$AE:$AE,MATCH(Table1[DriverID],CarrierDriverTBL!$A:$A,0))</f>
        <v>913971</v>
      </c>
      <c r="BF489" s="554">
        <f>INDEX(CarrierDriverTBL!$AF:$AF,MATCH(Table1[DriverID],CarrierDriverTBL!$A:$A,0))</f>
        <v>2627544</v>
      </c>
      <c r="BG489" s="236">
        <f>INDEX(CarrierDriverTBL!$AG:$AG,MATCH(Table1[DriverID],CarrierDriverTBL!$A:$A,0))</f>
        <v>466133</v>
      </c>
      <c r="BH489" s="554" t="str">
        <f>INDEX(CarrierDriverTBL!$AH:$AH,MATCH(Table1[DriverID],CarrierDriverTBL!$A:$A,0))</f>
        <v>GM Lawrence Ins</v>
      </c>
      <c r="BI489" s="554" t="str">
        <f>INDEX(CarrierDriverTBL!$AI:$AI,MATCH(Table1[DriverID],CarrierDriverTBL!$A:$A,0))</f>
        <v>DSK2842P160210</v>
      </c>
      <c r="BJ489" s="556">
        <f>INDEX(CarrierDriverTBL!$AJ:$AJ,MATCH(Table1[[#This Row],[DriverID]],CarrierDriverTBL!$A:$A,0))</f>
        <v>42778</v>
      </c>
      <c r="BK489" s="554">
        <f t="shared" si="195"/>
        <v>241</v>
      </c>
      <c r="BL489" s="558">
        <v>725</v>
      </c>
      <c r="BM489" s="554">
        <v>208</v>
      </c>
      <c r="BN489" s="558">
        <f t="shared" si="215"/>
        <v>3.4855769230769229</v>
      </c>
      <c r="BO489" s="241">
        <f>0.93*725</f>
        <v>674.25</v>
      </c>
      <c r="BP489" s="558">
        <f t="shared" si="216"/>
        <v>3.2415865384615383</v>
      </c>
      <c r="BQ489" s="558">
        <v>2.75</v>
      </c>
      <c r="BR489" s="559">
        <f t="shared" si="217"/>
        <v>0.14166666666666669</v>
      </c>
      <c r="BS489" s="558">
        <f t="shared" si="218"/>
        <v>3.0999198717948717</v>
      </c>
      <c r="BT489" s="558">
        <f t="shared" si="219"/>
        <v>29.466666666666672</v>
      </c>
      <c r="BU489" s="236" t="str">
        <f t="shared" si="198"/>
        <v>RE TRANSPORTATION</v>
      </c>
      <c r="BV489" s="554"/>
      <c r="BW489" s="236" t="str">
        <f>Table1[[#This Row],[BrokerAddress]]</f>
        <v>P.O. BOX 171346</v>
      </c>
      <c r="BX489" s="236" t="str">
        <f t="shared" si="199"/>
        <v>MEMPHIS</v>
      </c>
      <c r="BY489" s="269" t="str">
        <f t="shared" si="200"/>
        <v>TN</v>
      </c>
      <c r="BZ489" s="236">
        <f t="shared" si="201"/>
        <v>38120</v>
      </c>
      <c r="CA489" s="236" t="str">
        <f t="shared" si="202"/>
        <v>US</v>
      </c>
      <c r="CB489" s="15" t="s">
        <v>131</v>
      </c>
      <c r="CC489" s="561"/>
      <c r="CD489" s="15" t="s">
        <v>132</v>
      </c>
      <c r="CE489" s="64">
        <v>0</v>
      </c>
      <c r="CF489" s="4">
        <v>0</v>
      </c>
      <c r="CG489" s="132">
        <f t="shared" ref="CG489" si="249">CE489*CF489</f>
        <v>0</v>
      </c>
      <c r="CH489" s="4" t="s">
        <v>132</v>
      </c>
      <c r="CI489" s="5">
        <v>0</v>
      </c>
      <c r="CJ489" s="4">
        <v>0</v>
      </c>
      <c r="CK489" s="132">
        <f t="shared" ref="CK489" si="250">CI489*CJ489</f>
        <v>0</v>
      </c>
      <c r="CL489" s="4" t="s">
        <v>132</v>
      </c>
      <c r="CM489" s="5">
        <v>0</v>
      </c>
      <c r="CN489" s="4">
        <v>0</v>
      </c>
      <c r="CO489" s="132">
        <f t="shared" ref="CO489" si="251">CM489*CN489</f>
        <v>0</v>
      </c>
      <c r="CP489" s="4" t="s">
        <v>132</v>
      </c>
      <c r="CQ489" s="5">
        <v>0</v>
      </c>
      <c r="CR489" s="4">
        <v>0</v>
      </c>
      <c r="CS489" s="132">
        <f t="shared" ref="CS489" si="252">CQ489*CR489</f>
        <v>0</v>
      </c>
      <c r="CT489" s="132">
        <f t="shared" ref="CT489" si="253">CG489+CK489+CO489+CS489</f>
        <v>0</v>
      </c>
      <c r="CU489" s="238">
        <f t="shared" si="225"/>
        <v>725</v>
      </c>
      <c r="CV489" s="239">
        <f t="shared" si="226"/>
        <v>0</v>
      </c>
      <c r="CW489" s="240">
        <f t="shared" si="227"/>
        <v>674.25</v>
      </c>
      <c r="CX489" s="79">
        <f>IF(ISBLANK(E489),"AddQuickPay",IF(E489=2,CU489*0.98,IF(E489=2.4,CU489*0.976,IF(E489=3,CU489*0.97,IF(E489=5,CU489*0.95,IF(E489=1.5,CU489*0.985,IF(E489=2.5,CU489*0.975,IF(E489=1.3,CU489*0.987,IF(E489=1,CU489*0.99,IF(E489=4,CU489*0.96,CU489*1))))))))))-Table1[[#This Row],[ComCheck+QuickPayFee]]</f>
        <v>725</v>
      </c>
      <c r="CY489" s="237">
        <f t="shared" si="228"/>
        <v>50.75</v>
      </c>
      <c r="CZ489" s="237">
        <f t="shared" si="210"/>
        <v>0</v>
      </c>
      <c r="DA489" s="263">
        <f>Table1[[#This Row],[OriginalDispatch]]-Table1[[#This Row],[QuickPayCharge]]</f>
        <v>50.75</v>
      </c>
      <c r="DB489" s="5">
        <v>0</v>
      </c>
      <c r="DC489" s="237" t="s">
        <v>133</v>
      </c>
      <c r="DD489" s="549">
        <f t="shared" si="211"/>
        <v>42538</v>
      </c>
      <c r="DE489" s="554">
        <f>MONTH(Table1[[#This Row],[Weekending]])</f>
        <v>6</v>
      </c>
      <c r="DF489" s="554">
        <f>YEAR(Table1[[#This Row],[Weekending]])</f>
        <v>2016</v>
      </c>
      <c r="DG489" s="235"/>
    </row>
    <row r="490" spans="1:111">
      <c r="A490" s="548" t="str">
        <f t="shared" si="193"/>
        <v>81190719</v>
      </c>
      <c r="B490" s="549">
        <v>42541</v>
      </c>
      <c r="C490" s="550">
        <v>2085681</v>
      </c>
      <c r="D490" s="548" t="s">
        <v>2405</v>
      </c>
      <c r="E490" s="550">
        <v>3</v>
      </c>
      <c r="F490" s="551" t="str">
        <f>INDEX(BrokerTBL!$B:$B,MATCH(D490,BrokerTBL!$A:$A,0))</f>
        <v xml:space="preserve">303 E Wacker Dr. </v>
      </c>
      <c r="G490" s="550" t="str">
        <f>INDEX(BrokerTBL!$C:$C,MATCH(D490,BrokerTBL!$A:$A,0))</f>
        <v>Chicago</v>
      </c>
      <c r="H490" s="235" t="str">
        <f>INDEX(BrokerTBL!$D:$D,MATCH(D490,BrokerTBL!$A:$A,0))</f>
        <v>IL</v>
      </c>
      <c r="I490" s="235" t="str">
        <f>INDEX(BrokerTBL!$E:$E,MATCH(D490,BrokerTBL!$A:$A,0))</f>
        <v>US</v>
      </c>
      <c r="J490" s="235">
        <f>INDEX(BrokerTBL!$F:$F,MATCH(D490,BrokerTBL!$A:$A,0))</f>
        <v>60601</v>
      </c>
      <c r="K490" s="548" t="s">
        <v>3178</v>
      </c>
      <c r="L490" s="552">
        <v>38069419</v>
      </c>
      <c r="M490" s="549">
        <v>42538</v>
      </c>
      <c r="N490" s="560">
        <v>0.54166666666666663</v>
      </c>
      <c r="O490" s="550" t="s">
        <v>2375</v>
      </c>
      <c r="P490" s="548" t="s">
        <v>2277</v>
      </c>
      <c r="Q490" s="548" t="s">
        <v>2206</v>
      </c>
      <c r="R490" s="548">
        <v>93725</v>
      </c>
      <c r="S490" s="548" t="s">
        <v>2207</v>
      </c>
      <c r="T490" s="548" t="s">
        <v>123</v>
      </c>
      <c r="U490" s="548" t="s">
        <v>120</v>
      </c>
      <c r="V490" s="548">
        <v>53</v>
      </c>
      <c r="W490" s="548" t="s">
        <v>3038</v>
      </c>
      <c r="X490" s="553">
        <v>45297</v>
      </c>
      <c r="Y490" s="550" t="s">
        <v>123</v>
      </c>
      <c r="Z490" s="548" t="s">
        <v>123</v>
      </c>
      <c r="AA490" s="548" t="s">
        <v>123</v>
      </c>
      <c r="AB490" s="548" t="s">
        <v>123</v>
      </c>
      <c r="AC490" s="548" t="s">
        <v>3179</v>
      </c>
      <c r="AD490" s="552">
        <v>20210515907</v>
      </c>
      <c r="AE490" s="549">
        <v>42541</v>
      </c>
      <c r="AF490" s="560">
        <v>0.29166666666666669</v>
      </c>
      <c r="AG490" s="548" t="s">
        <v>2378</v>
      </c>
      <c r="AH490" s="548" t="s">
        <v>2466</v>
      </c>
      <c r="AI490" s="548" t="s">
        <v>2233</v>
      </c>
      <c r="AJ490" s="548">
        <v>89502</v>
      </c>
      <c r="AK490" s="548" t="s">
        <v>2207</v>
      </c>
      <c r="AL490" s="548" t="s">
        <v>123</v>
      </c>
      <c r="AM490" s="554" t="str">
        <f>INDEX(CarrierDriverTBL!$B:$B,MATCH(Table1[[#This Row],[DriverID]],CarrierDriverTBL!$A:$A,0))</f>
        <v>UBTrucking</v>
      </c>
      <c r="AN490" s="10" t="s">
        <v>1409</v>
      </c>
      <c r="AO490" s="555" t="str">
        <f>INDEX(CarrierDriverTBL!$C:$C,MATCH(Table1[[#This Row],[DriverID]],CarrierDriverTBL!$A:$A,0))</f>
        <v>Miguel Jaime</v>
      </c>
      <c r="AP490" s="555" t="str">
        <f>INDEX(CarrierDriverTBL!$D:$D,MATCH(Table1[[#This Row],[DriverID]],CarrierDriverTBL!$A:$A,0))</f>
        <v>Martin Del Campo Velarca</v>
      </c>
      <c r="AQ490" s="555" t="str">
        <f>INDEX(CarrierDriverTBL!$X:$X,MATCH(Table1[[#This Row],[DriverID]],CarrierDriverTBL!$A:$A,0))</f>
        <v>D5179619</v>
      </c>
      <c r="AR490" s="556">
        <f>INDEX(CarrierDriverTBL!$Y:$Y,MATCH(Table1[[#This Row],[DriverID]],CarrierDriverTBL!$A:$A,0))</f>
        <v>43843</v>
      </c>
      <c r="AS490" s="554" t="str">
        <f t="shared" si="194"/>
        <v>GOOD</v>
      </c>
      <c r="AT490" s="556">
        <f>INDEX(CarrierDriverTBL!$E:$E,MATCH(Table1[[#This Row],[DriverID]],CarrierDriverTBL!$A:$A,0))</f>
        <v>21198</v>
      </c>
      <c r="AU490" s="557">
        <f ca="1">INDEX(CarrierDriverTBL!$F:$F,MATCH(Table1[[#This Row],[DriverID]],CarrierDriverTBL!$A:$A,0))</f>
        <v>58.56986301369863</v>
      </c>
      <c r="AV490" s="554" t="str">
        <f>INDEX(CarrierDriverTBL!$K:$K,MATCH(Table1[[#This Row],[DriverID]],CarrierDriverTBL!$A:$A,0))</f>
        <v>209-322-5231</v>
      </c>
      <c r="AW490" s="554" t="str">
        <f>INDEX(CarrierDriverTBL!$M:$M,MATCH(Table1[[#This Row],[DriverID]],CarrierDriverTBL!$A:$A,0))</f>
        <v>572 Predersen RD</v>
      </c>
      <c r="AX490" s="554" t="str">
        <f>INDEX(CarrierDriverTBL!$N:$N,MATCH(Table1[[#This Row],[DriverID]],CarrierDriverTBL!$A:$A,0))</f>
        <v>Oakdale</v>
      </c>
      <c r="AY490" s="554" t="str">
        <f>INDEX(CarrierDriverTBL!$O:$O,MATCH(Table1[[#This Row],[DriverID]],CarrierDriverTBL!$A:$A,0))</f>
        <v>CA</v>
      </c>
      <c r="AZ490" s="554">
        <f>INDEX(CarrierDriverTBL!$P:$P,MATCH(Table1[[#This Row],[DriverID]],CarrierDriverTBL!$A:$A,0))</f>
        <v>95361</v>
      </c>
      <c r="BA490" s="554" t="str">
        <f>INDEX(CarrierDriverTBL!$Q:$Q,MATCH(Table1[[#This Row],[DriverID]],CarrierDriverTBL!$A:$A,0))</f>
        <v>US</v>
      </c>
      <c r="BB490" s="554" t="str">
        <f>INDEX(CarrierDriverTBL!$R:$R,MATCH(Table1[[#This Row],[DriverID]],CarrierDriverTBL!$A:$A,0))</f>
        <v>Miguelmartin52@yahoo.com</v>
      </c>
      <c r="BC490" s="556">
        <f>INDEX(CarrierDriverTBL!$AB:$AB,MATCH(Table1[[#This Row],[DriverID]],CarrierDriverTBL!$A:$A,0))</f>
        <v>42334</v>
      </c>
      <c r="BD490" s="555" t="str">
        <f ca="1">INDEX(CarrierDriverTBL!$AD:$AD,MATCH(LoadMaster!$AN:$AN,CarrierDriverTBL!$A:$A,0))</f>
        <v>MISSING</v>
      </c>
      <c r="BE490" s="555">
        <f>INDEX(CarrierDriverTBL!$AE:$AE,MATCH(Table1[DriverID],CarrierDriverTBL!$A:$A,0))</f>
        <v>913971</v>
      </c>
      <c r="BF490" s="554">
        <f>INDEX(CarrierDriverTBL!$AF:$AF,MATCH(Table1[DriverID],CarrierDriverTBL!$A:$A,0))</f>
        <v>2627544</v>
      </c>
      <c r="BG490" s="236">
        <f>INDEX(CarrierDriverTBL!$AG:$AG,MATCH(Table1[DriverID],CarrierDriverTBL!$A:$A,0))</f>
        <v>466133</v>
      </c>
      <c r="BH490" s="554" t="str">
        <f>INDEX(CarrierDriverTBL!$AH:$AH,MATCH(Table1[DriverID],CarrierDriverTBL!$A:$A,0))</f>
        <v>GM Lawrence Ins</v>
      </c>
      <c r="BI490" s="554" t="str">
        <f>INDEX(CarrierDriverTBL!$AI:$AI,MATCH(Table1[DriverID],CarrierDriverTBL!$A:$A,0))</f>
        <v>DSK2842P160210</v>
      </c>
      <c r="BJ490" s="556">
        <f>INDEX(CarrierDriverTBL!$AJ:$AJ,MATCH(Table1[[#This Row],[DriverID]],CarrierDriverTBL!$A:$A,0))</f>
        <v>42778</v>
      </c>
      <c r="BK490" s="554">
        <f t="shared" si="195"/>
        <v>240</v>
      </c>
      <c r="BL490" s="558">
        <v>900</v>
      </c>
      <c r="BM490" s="554">
        <v>300.10000000000002</v>
      </c>
      <c r="BN490" s="558">
        <f t="shared" si="215"/>
        <v>2.9990003332222592</v>
      </c>
      <c r="BO490" s="241">
        <f>0.93*900</f>
        <v>837</v>
      </c>
      <c r="BP490" s="558">
        <f t="shared" si="216"/>
        <v>2.7890703098967009</v>
      </c>
      <c r="BQ490" s="558">
        <v>2.75</v>
      </c>
      <c r="BR490" s="559">
        <f t="shared" si="217"/>
        <v>0.14166666666666669</v>
      </c>
      <c r="BS490" s="558">
        <f t="shared" si="218"/>
        <v>2.6474036432300343</v>
      </c>
      <c r="BT490" s="558">
        <f t="shared" si="219"/>
        <v>42.514166666666675</v>
      </c>
      <c r="BU490" s="236" t="str">
        <f t="shared" si="198"/>
        <v>XPOLogistics</v>
      </c>
      <c r="BV490" s="554"/>
      <c r="BW490" s="236" t="str">
        <f>Table1[[#This Row],[BrokerAddress]]</f>
        <v xml:space="preserve">303 E Wacker Dr. </v>
      </c>
      <c r="BX490" s="236" t="str">
        <f t="shared" si="199"/>
        <v>Chicago</v>
      </c>
      <c r="BY490" s="269" t="str">
        <f t="shared" si="200"/>
        <v>IL</v>
      </c>
      <c r="BZ490" s="236">
        <f t="shared" si="201"/>
        <v>60601</v>
      </c>
      <c r="CA490" s="236" t="str">
        <f t="shared" si="202"/>
        <v>US</v>
      </c>
      <c r="CB490" s="15" t="s">
        <v>131</v>
      </c>
      <c r="CC490" s="561"/>
      <c r="CD490" s="15" t="s">
        <v>132</v>
      </c>
      <c r="CE490" s="64">
        <v>0</v>
      </c>
      <c r="CF490" s="4">
        <v>0</v>
      </c>
      <c r="CG490" s="132">
        <f t="shared" ref="CG490" si="254">CE490*CF490</f>
        <v>0</v>
      </c>
      <c r="CH490" s="4" t="s">
        <v>132</v>
      </c>
      <c r="CI490" s="5">
        <v>0</v>
      </c>
      <c r="CJ490" s="4">
        <v>0</v>
      </c>
      <c r="CK490" s="132">
        <f t="shared" ref="CK490" si="255">CI490*CJ490</f>
        <v>0</v>
      </c>
      <c r="CL490" s="4" t="s">
        <v>132</v>
      </c>
      <c r="CM490" s="5">
        <v>0</v>
      </c>
      <c r="CN490" s="4">
        <v>0</v>
      </c>
      <c r="CO490" s="132">
        <f t="shared" ref="CO490" si="256">CM490*CN490</f>
        <v>0</v>
      </c>
      <c r="CP490" s="4" t="s">
        <v>132</v>
      </c>
      <c r="CQ490" s="5">
        <v>0</v>
      </c>
      <c r="CR490" s="4">
        <v>0</v>
      </c>
      <c r="CS490" s="132">
        <f t="shared" ref="CS490" si="257">CQ490*CR490</f>
        <v>0</v>
      </c>
      <c r="CT490" s="132">
        <f t="shared" ref="CT490" si="258">CG490+CK490+CO490+CS490</f>
        <v>0</v>
      </c>
      <c r="CU490" s="238">
        <f t="shared" si="225"/>
        <v>900</v>
      </c>
      <c r="CV490" s="239">
        <f t="shared" si="226"/>
        <v>0</v>
      </c>
      <c r="CW490" s="240">
        <f t="shared" si="227"/>
        <v>837</v>
      </c>
      <c r="CX490" s="79">
        <f>IF(ISBLANK(E490),"AddQuickPay",IF(E490=2,CU490*0.98,IF(E490=2.4,CU490*0.976,IF(E490=3,CU490*0.97,IF(E490=5,CU490*0.95,IF(E490=1.5,CU490*0.985,IF(E490=2.5,CU490*0.975,IF(E490=1.3,CU490*0.987,IF(E490=1,CU490*0.99,IF(E490=4,CU490*0.96,CU490*1))))))))))-Table1[[#This Row],[ComCheck+QuickPayFee]]</f>
        <v>873</v>
      </c>
      <c r="CY490" s="237">
        <f t="shared" si="228"/>
        <v>63</v>
      </c>
      <c r="CZ490" s="237">
        <f t="shared" si="210"/>
        <v>27</v>
      </c>
      <c r="DA490" s="263">
        <f>Table1[[#This Row],[OriginalDispatch]]-Table1[[#This Row],[QuickPayCharge]]</f>
        <v>36</v>
      </c>
      <c r="DB490" s="5">
        <v>0</v>
      </c>
      <c r="DC490" s="237" t="s">
        <v>133</v>
      </c>
      <c r="DD490" s="549">
        <f t="shared" si="211"/>
        <v>42538</v>
      </c>
      <c r="DE490" s="554">
        <f>MONTH(Table1[[#This Row],[Weekending]])</f>
        <v>6</v>
      </c>
      <c r="DF490" s="554">
        <f>YEAR(Table1[[#This Row],[Weekending]])</f>
        <v>2016</v>
      </c>
      <c r="DG490" s="235"/>
    </row>
    <row r="491" spans="1:111">
      <c r="A491" s="548" t="str">
        <f t="shared" si="193"/>
        <v>7332wn19</v>
      </c>
      <c r="B491" s="549">
        <v>42541</v>
      </c>
      <c r="C491" s="550">
        <v>155073</v>
      </c>
      <c r="D491" s="548" t="s">
        <v>455</v>
      </c>
      <c r="E491" s="550">
        <v>3</v>
      </c>
      <c r="F491" s="551" t="str">
        <f>INDEX(BrokerTBL!$B:$B,MATCH(D491,BrokerTBL!$A:$A,0))</f>
        <v>5600 Headquarters Drive C2D11</v>
      </c>
      <c r="G491" s="550" t="str">
        <f>INDEX(BrokerTBL!$C:$C,MATCH(D491,BrokerTBL!$A:$A,0))</f>
        <v>Plano</v>
      </c>
      <c r="H491" s="235" t="str">
        <f>INDEX(BrokerTBL!$D:$D,MATCH(D491,BrokerTBL!$A:$A,0))</f>
        <v>Tx</v>
      </c>
      <c r="I491" s="235" t="str">
        <f>INDEX(BrokerTBL!$E:$E,MATCH(D491,BrokerTBL!$A:$A,0))</f>
        <v>US</v>
      </c>
      <c r="J491" s="235">
        <f>INDEX(BrokerTBL!$F:$F,MATCH(D491,BrokerTBL!$A:$A,0))</f>
        <v>75024</v>
      </c>
      <c r="K491" s="548" t="s">
        <v>3150</v>
      </c>
      <c r="L491" s="552">
        <v>702832</v>
      </c>
      <c r="M491" s="549">
        <v>42541</v>
      </c>
      <c r="N491" s="560">
        <v>0.5625</v>
      </c>
      <c r="O491" s="550" t="s">
        <v>3151</v>
      </c>
      <c r="P491" s="548" t="s">
        <v>3152</v>
      </c>
      <c r="Q491" s="548" t="s">
        <v>2206</v>
      </c>
      <c r="R491" s="548">
        <v>95685</v>
      </c>
      <c r="S491" s="548" t="s">
        <v>2207</v>
      </c>
      <c r="T491" s="548" t="s">
        <v>3153</v>
      </c>
      <c r="U491" s="548" t="s">
        <v>120</v>
      </c>
      <c r="V491" s="548">
        <v>53</v>
      </c>
      <c r="W491" s="548" t="s">
        <v>3154</v>
      </c>
      <c r="X491" s="553">
        <v>45302</v>
      </c>
      <c r="Y491" s="550" t="s">
        <v>123</v>
      </c>
      <c r="Z491" s="548" t="s">
        <v>123</v>
      </c>
      <c r="AA491" s="548" t="s">
        <v>123</v>
      </c>
      <c r="AB491" s="548" t="s">
        <v>123</v>
      </c>
      <c r="AC491" s="548" t="s">
        <v>3155</v>
      </c>
      <c r="AD491" s="552" t="s">
        <v>1205</v>
      </c>
      <c r="AE491" s="549">
        <v>42542</v>
      </c>
      <c r="AF491" s="560">
        <v>0.46597222222222223</v>
      </c>
      <c r="AG491" s="548" t="s">
        <v>3156</v>
      </c>
      <c r="AH491" s="548" t="s">
        <v>3157</v>
      </c>
      <c r="AI491" s="548" t="s">
        <v>2206</v>
      </c>
      <c r="AJ491" s="548">
        <v>93227</v>
      </c>
      <c r="AK491" s="548" t="s">
        <v>2207</v>
      </c>
      <c r="AL491" s="548" t="s">
        <v>3158</v>
      </c>
      <c r="AM491" s="554" t="str">
        <f>INDEX(CarrierDriverTBL!$B:$B,MATCH(Table1[[#This Row],[DriverID]],CarrierDriverTBL!$A:$A,0))</f>
        <v>UBTrucking</v>
      </c>
      <c r="AN491" s="10" t="s">
        <v>1409</v>
      </c>
      <c r="AO491" s="555" t="str">
        <f>INDEX(CarrierDriverTBL!$C:$C,MATCH(Table1[[#This Row],[DriverID]],CarrierDriverTBL!$A:$A,0))</f>
        <v>Miguel Jaime</v>
      </c>
      <c r="AP491" s="555" t="str">
        <f>INDEX(CarrierDriverTBL!$D:$D,MATCH(Table1[[#This Row],[DriverID]],CarrierDriverTBL!$A:$A,0))</f>
        <v>Martin Del Campo Velarca</v>
      </c>
      <c r="AQ491" s="555" t="str">
        <f>INDEX(CarrierDriverTBL!$X:$X,MATCH(Table1[[#This Row],[DriverID]],CarrierDriverTBL!$A:$A,0))</f>
        <v>D5179619</v>
      </c>
      <c r="AR491" s="556">
        <f>INDEX(CarrierDriverTBL!$Y:$Y,MATCH(Table1[[#This Row],[DriverID]],CarrierDriverTBL!$A:$A,0))</f>
        <v>43843</v>
      </c>
      <c r="AS491" s="554" t="str">
        <f t="shared" si="194"/>
        <v>GOOD</v>
      </c>
      <c r="AT491" s="556">
        <f>INDEX(CarrierDriverTBL!$E:$E,MATCH(Table1[[#This Row],[DriverID]],CarrierDriverTBL!$A:$A,0))</f>
        <v>21198</v>
      </c>
      <c r="AU491" s="557">
        <f ca="1">INDEX(CarrierDriverTBL!$F:$F,MATCH(Table1[[#This Row],[DriverID]],CarrierDriverTBL!$A:$A,0))</f>
        <v>58.56986301369863</v>
      </c>
      <c r="AV491" s="554" t="str">
        <f>INDEX(CarrierDriverTBL!$K:$K,MATCH(Table1[[#This Row],[DriverID]],CarrierDriverTBL!$A:$A,0))</f>
        <v>209-322-5231</v>
      </c>
      <c r="AW491" s="554" t="str">
        <f>INDEX(CarrierDriverTBL!$M:$M,MATCH(Table1[[#This Row],[DriverID]],CarrierDriverTBL!$A:$A,0))</f>
        <v>572 Predersen RD</v>
      </c>
      <c r="AX491" s="554" t="str">
        <f>INDEX(CarrierDriverTBL!$N:$N,MATCH(Table1[[#This Row],[DriverID]],CarrierDriverTBL!$A:$A,0))</f>
        <v>Oakdale</v>
      </c>
      <c r="AY491" s="554" t="str">
        <f>INDEX(CarrierDriverTBL!$O:$O,MATCH(Table1[[#This Row],[DriverID]],CarrierDriverTBL!$A:$A,0))</f>
        <v>CA</v>
      </c>
      <c r="AZ491" s="554">
        <f>INDEX(CarrierDriverTBL!$P:$P,MATCH(Table1[[#This Row],[DriverID]],CarrierDriverTBL!$A:$A,0))</f>
        <v>95361</v>
      </c>
      <c r="BA491" s="554" t="str">
        <f>INDEX(CarrierDriverTBL!$Q:$Q,MATCH(Table1[[#This Row],[DriverID]],CarrierDriverTBL!$A:$A,0))</f>
        <v>US</v>
      </c>
      <c r="BB491" s="554" t="str">
        <f>INDEX(CarrierDriverTBL!$R:$R,MATCH(Table1[[#This Row],[DriverID]],CarrierDriverTBL!$A:$A,0))</f>
        <v>Miguelmartin52@yahoo.com</v>
      </c>
      <c r="BC491" s="556">
        <f>INDEX(CarrierDriverTBL!$AB:$AB,MATCH(Table1[[#This Row],[DriverID]],CarrierDriverTBL!$A:$A,0))</f>
        <v>42334</v>
      </c>
      <c r="BD491" s="555" t="str">
        <f ca="1">INDEX(CarrierDriverTBL!$AD:$AD,MATCH(LoadMaster!$AN:$AN,CarrierDriverTBL!$A:$A,0))</f>
        <v>MISSING</v>
      </c>
      <c r="BE491" s="555">
        <f>INDEX(CarrierDriverTBL!$AE:$AE,MATCH(Table1[DriverID],CarrierDriverTBL!$A:$A,0))</f>
        <v>913971</v>
      </c>
      <c r="BF491" s="554">
        <f>INDEX(CarrierDriverTBL!$AF:$AF,MATCH(Table1[DriverID],CarrierDriverTBL!$A:$A,0))</f>
        <v>2627544</v>
      </c>
      <c r="BG491" s="236">
        <f>INDEX(CarrierDriverTBL!$AG:$AG,MATCH(Table1[DriverID],CarrierDriverTBL!$A:$A,0))</f>
        <v>466133</v>
      </c>
      <c r="BH491" s="554" t="str">
        <f>INDEX(CarrierDriverTBL!$AH:$AH,MATCH(Table1[DriverID],CarrierDriverTBL!$A:$A,0))</f>
        <v>GM Lawrence Ins</v>
      </c>
      <c r="BI491" s="554" t="str">
        <f>INDEX(CarrierDriverTBL!$AI:$AI,MATCH(Table1[DriverID],CarrierDriverTBL!$A:$A,0))</f>
        <v>DSK2842P160210</v>
      </c>
      <c r="BJ491" s="556">
        <f>INDEX(CarrierDriverTBL!$AJ:$AJ,MATCH(Table1[[#This Row],[DriverID]],CarrierDriverTBL!$A:$A,0))</f>
        <v>42778</v>
      </c>
      <c r="BK491" s="554">
        <f t="shared" si="195"/>
        <v>237</v>
      </c>
      <c r="BL491" s="558">
        <v>525</v>
      </c>
      <c r="BM491" s="554">
        <v>199</v>
      </c>
      <c r="BN491" s="558">
        <f t="shared" si="215"/>
        <v>2.6381909547738696</v>
      </c>
      <c r="BO491" s="241">
        <f>0.93*525</f>
        <v>488.25</v>
      </c>
      <c r="BP491" s="558">
        <f t="shared" si="216"/>
        <v>2.4535175879396984</v>
      </c>
      <c r="BQ491" s="558">
        <v>2.75</v>
      </c>
      <c r="BR491" s="559">
        <f t="shared" si="217"/>
        <v>0.14166666666666669</v>
      </c>
      <c r="BS491" s="558">
        <f t="shared" si="218"/>
        <v>2.3118509212730318</v>
      </c>
      <c r="BT491" s="558">
        <f t="shared" si="219"/>
        <v>28.19166666666667</v>
      </c>
      <c r="BU491" s="236" t="str">
        <f t="shared" si="198"/>
        <v>Pepsi Logistics Company Inc</v>
      </c>
      <c r="BV491" s="554"/>
      <c r="BW491" s="236" t="str">
        <f>Table1[[#This Row],[BrokerAddress]]</f>
        <v>5600 Headquarters Drive C2D11</v>
      </c>
      <c r="BX491" s="236" t="str">
        <f t="shared" si="199"/>
        <v>Plano</v>
      </c>
      <c r="BY491" s="269" t="str">
        <f t="shared" si="200"/>
        <v>Tx</v>
      </c>
      <c r="BZ491" s="236">
        <f t="shared" si="201"/>
        <v>75024</v>
      </c>
      <c r="CA491" s="236" t="str">
        <f t="shared" si="202"/>
        <v>US</v>
      </c>
      <c r="CB491" s="15" t="s">
        <v>131</v>
      </c>
      <c r="CC491" s="561"/>
      <c r="CD491" s="15" t="s">
        <v>132</v>
      </c>
      <c r="CE491" s="64">
        <v>0</v>
      </c>
      <c r="CF491" s="4">
        <v>0</v>
      </c>
      <c r="CG491" s="132">
        <f t="shared" ref="CG491" si="259">CE491*CF491</f>
        <v>0</v>
      </c>
      <c r="CH491" s="4" t="s">
        <v>132</v>
      </c>
      <c r="CI491" s="5">
        <v>0</v>
      </c>
      <c r="CJ491" s="4">
        <v>0</v>
      </c>
      <c r="CK491" s="132">
        <f t="shared" ref="CK491" si="260">CI491*CJ491</f>
        <v>0</v>
      </c>
      <c r="CL491" s="4" t="s">
        <v>132</v>
      </c>
      <c r="CM491" s="5">
        <v>0</v>
      </c>
      <c r="CN491" s="4">
        <v>0</v>
      </c>
      <c r="CO491" s="132">
        <f t="shared" ref="CO491" si="261">CM491*CN491</f>
        <v>0</v>
      </c>
      <c r="CP491" s="4" t="s">
        <v>132</v>
      </c>
      <c r="CQ491" s="5">
        <v>0</v>
      </c>
      <c r="CR491" s="4">
        <v>0</v>
      </c>
      <c r="CS491" s="132">
        <f t="shared" ref="CS491" si="262">CQ491*CR491</f>
        <v>0</v>
      </c>
      <c r="CT491" s="132">
        <f t="shared" ref="CT491" si="263">CG491+CK491+CO491+CS491</f>
        <v>0</v>
      </c>
      <c r="CU491" s="238">
        <f t="shared" si="225"/>
        <v>525</v>
      </c>
      <c r="CV491" s="239">
        <f t="shared" si="226"/>
        <v>0</v>
      </c>
      <c r="CW491" s="240">
        <f t="shared" si="227"/>
        <v>488.25</v>
      </c>
      <c r="CX491" s="79">
        <f>IF(ISBLANK(E491),"AddQuickPay",IF(E491=2,CU491*0.98,IF(E491=2.4,CU491*0.976,IF(E491=3,CU491*0.97,IF(E491=5,CU491*0.95,IF(E491=1.5,CU491*0.985,IF(E491=2.5,CU491*0.975,IF(E491=1.3,CU491*0.987,IF(E491=1,CU491*0.99,IF(E491=4,CU491*0.96,CU491*1))))))))))-Table1[[#This Row],[ComCheck+QuickPayFee]]</f>
        <v>509.25</v>
      </c>
      <c r="CY491" s="237">
        <f t="shared" si="228"/>
        <v>36.75</v>
      </c>
      <c r="CZ491" s="237">
        <f t="shared" si="210"/>
        <v>15.75</v>
      </c>
      <c r="DA491" s="263">
        <f>Table1[[#This Row],[OriginalDispatch]]-Table1[[#This Row],[QuickPayCharge]]</f>
        <v>21</v>
      </c>
      <c r="DB491" s="5">
        <v>0</v>
      </c>
      <c r="DC491" s="237" t="s">
        <v>133</v>
      </c>
      <c r="DD491" s="549">
        <f t="shared" si="211"/>
        <v>42545</v>
      </c>
      <c r="DE491" s="554">
        <f>MONTH(Table1[[#This Row],[Weekending]])</f>
        <v>6</v>
      </c>
      <c r="DF491" s="554">
        <f>YEAR(Table1[[#This Row],[Weekending]])</f>
        <v>2016</v>
      </c>
      <c r="DG491" s="235"/>
    </row>
    <row r="492" spans="1:111">
      <c r="A492" s="548" t="str">
        <f t="shared" si="193"/>
        <v>7112wn49</v>
      </c>
      <c r="B492" s="549">
        <v>42541</v>
      </c>
      <c r="C492" s="550">
        <v>204184471</v>
      </c>
      <c r="D492" s="548" t="s">
        <v>111</v>
      </c>
      <c r="E492" s="550">
        <v>2</v>
      </c>
      <c r="F492" s="551" t="str">
        <f>INDEX(BrokerTBL!$B:$B,MATCH(D492,BrokerTBL!$A:$A,0))</f>
        <v>P.O. Box 3474</v>
      </c>
      <c r="G492" s="550" t="str">
        <f>INDEX(BrokerTBL!$C:$C,MATCH(D492,BrokerTBL!$A:$A,0))</f>
        <v>Chicago</v>
      </c>
      <c r="H492" s="235" t="str">
        <f>INDEX(BrokerTBL!$D:$D,MATCH(D492,BrokerTBL!$A:$A,0))</f>
        <v>Il</v>
      </c>
      <c r="I492" s="235" t="str">
        <f>INDEX(BrokerTBL!$E:$E,MATCH(D492,BrokerTBL!$A:$A,0))</f>
        <v>US</v>
      </c>
      <c r="J492" s="235">
        <f>INDEX(BrokerTBL!$F:$F,MATCH(D492,BrokerTBL!$A:$A,0))</f>
        <v>60654</v>
      </c>
      <c r="K492" s="548" t="s">
        <v>3180</v>
      </c>
      <c r="L492" s="552" t="s">
        <v>3181</v>
      </c>
      <c r="M492" s="549">
        <v>42538</v>
      </c>
      <c r="N492" s="550" t="s">
        <v>1453</v>
      </c>
      <c r="O492" s="550" t="s">
        <v>3182</v>
      </c>
      <c r="P492" s="548" t="s">
        <v>2909</v>
      </c>
      <c r="Q492" s="548" t="s">
        <v>2206</v>
      </c>
      <c r="R492" s="548">
        <v>96021</v>
      </c>
      <c r="S492" s="548" t="s">
        <v>2207</v>
      </c>
      <c r="T492" s="548" t="s">
        <v>123</v>
      </c>
      <c r="U492" s="548" t="s">
        <v>120</v>
      </c>
      <c r="V492" s="548">
        <v>53</v>
      </c>
      <c r="W492" s="548" t="s">
        <v>3183</v>
      </c>
      <c r="X492" s="553">
        <v>44379</v>
      </c>
      <c r="Y492" s="550" t="s">
        <v>2220</v>
      </c>
      <c r="Z492" s="548">
        <v>3191</v>
      </c>
      <c r="AA492" s="548">
        <v>24</v>
      </c>
      <c r="AB492" s="548" t="s">
        <v>123</v>
      </c>
      <c r="AC492" s="548" t="s">
        <v>3184</v>
      </c>
      <c r="AD492" s="552" t="s">
        <v>1205</v>
      </c>
      <c r="AE492" s="549">
        <v>42541</v>
      </c>
      <c r="AF492" s="560">
        <v>0.29166666666666669</v>
      </c>
      <c r="AG492" s="548" t="s">
        <v>3185</v>
      </c>
      <c r="AH492" s="548" t="s">
        <v>605</v>
      </c>
      <c r="AI492" s="548" t="s">
        <v>2206</v>
      </c>
      <c r="AJ492" s="548">
        <v>95330</v>
      </c>
      <c r="AK492" s="548" t="s">
        <v>2207</v>
      </c>
      <c r="AL492" s="548" t="s">
        <v>123</v>
      </c>
      <c r="AM492" s="554" t="str">
        <f>INDEX(CarrierDriverTBL!$B:$B,MATCH(Table1[[#This Row],[DriverID]],CarrierDriverTBL!$A:$A,0))</f>
        <v>UBTrucking</v>
      </c>
      <c r="AN492" s="10" t="s">
        <v>192</v>
      </c>
      <c r="AO492" s="555" t="str">
        <f>INDEX(CarrierDriverTBL!$C:$C,MATCH(Table1[[#This Row],[DriverID]],CarrierDriverTBL!$A:$A,0))</f>
        <v>Albel</v>
      </c>
      <c r="AP492" s="555" t="str">
        <f>INDEX(CarrierDriverTBL!$D:$D,MATCH(Table1[[#This Row],[DriverID]],CarrierDriverTBL!$A:$A,0))</f>
        <v>Chahil</v>
      </c>
      <c r="AQ492" s="555" t="str">
        <f>INDEX(CarrierDriverTBL!$X:$X,MATCH(Table1[[#This Row],[DriverID]],CarrierDriverTBL!$A:$A,0))</f>
        <v>A8390649</v>
      </c>
      <c r="AR492" s="556">
        <f>INDEX(CarrierDriverTBL!$Y:$Y,MATCH(Table1[[#This Row],[DriverID]],CarrierDriverTBL!$A:$A,0))</f>
        <v>42402</v>
      </c>
      <c r="AS492" s="554" t="str">
        <f t="shared" si="194"/>
        <v>EXPIRED</v>
      </c>
      <c r="AT492" s="556">
        <f>INDEX(CarrierDriverTBL!$E:$E,MATCH(Table1[[#This Row],[DriverID]],CarrierDriverTBL!$A:$A,0))</f>
        <v>22314</v>
      </c>
      <c r="AU492" s="557">
        <f ca="1">INDEX(CarrierDriverTBL!$F:$F,MATCH(Table1[[#This Row],[DriverID]],CarrierDriverTBL!$A:$A,0))</f>
        <v>55.512328767123286</v>
      </c>
      <c r="AV492" s="554" t="str">
        <f>INDEX(CarrierDriverTBL!$K:$K,MATCH(Table1[[#This Row],[DriverID]],CarrierDriverTBL!$A:$A,0))</f>
        <v>510-773-9450</v>
      </c>
      <c r="AW492" s="554" t="str">
        <f>INDEX(CarrierDriverTBL!$M:$M,MATCH(Table1[[#This Row],[DriverID]],CarrierDriverTBL!$A:$A,0))</f>
        <v>3124 Cynthia CT</v>
      </c>
      <c r="AX492" s="554" t="str">
        <f>INDEX(CarrierDriverTBL!$N:$N,MATCH(Table1[[#This Row],[DriverID]],CarrierDriverTBL!$A:$A,0))</f>
        <v>Tracy</v>
      </c>
      <c r="AY492" s="554" t="str">
        <f>INDEX(CarrierDriverTBL!$O:$O,MATCH(Table1[[#This Row],[DriverID]],CarrierDriverTBL!$A:$A,0))</f>
        <v>CA</v>
      </c>
      <c r="AZ492" s="554">
        <f>INDEX(CarrierDriverTBL!$P:$P,MATCH(Table1[[#This Row],[DriverID]],CarrierDriverTBL!$A:$A,0))</f>
        <v>95377</v>
      </c>
      <c r="BA492" s="554" t="str">
        <f>INDEX(CarrierDriverTBL!$Q:$Q,MATCH(Table1[[#This Row],[DriverID]],CarrierDriverTBL!$A:$A,0))</f>
        <v>US</v>
      </c>
      <c r="BB492" s="554" t="str">
        <f>INDEX(CarrierDriverTBL!$R:$R,MATCH(Table1[[#This Row],[DriverID]],CarrierDriverTBL!$A:$A,0))</f>
        <v>ubgollc@gmail.com</v>
      </c>
      <c r="BC492" s="556">
        <f>INDEX(CarrierDriverTBL!$AB:$AB,MATCH(Table1[[#This Row],[DriverID]],CarrierDriverTBL!$A:$A,0))</f>
        <v>42167</v>
      </c>
      <c r="BD492" s="555" t="str">
        <f ca="1">INDEX(CarrierDriverTBL!$AD:$AD,MATCH(LoadMaster!$AN:$AN,CarrierDriverTBL!$A:$A,0))</f>
        <v>MISSING</v>
      </c>
      <c r="BE492" s="555">
        <f>INDEX(CarrierDriverTBL!$AE:$AE,MATCH(Table1[DriverID],CarrierDriverTBL!$A:$A,0))</f>
        <v>913971</v>
      </c>
      <c r="BF492" s="554">
        <f>INDEX(CarrierDriverTBL!$AF:$AF,MATCH(Table1[DriverID],CarrierDriverTBL!$A:$A,0))</f>
        <v>2627544</v>
      </c>
      <c r="BG492" s="236">
        <f>INDEX(CarrierDriverTBL!$AG:$AG,MATCH(Table1[DriverID],CarrierDriverTBL!$A:$A,0))</f>
        <v>466133</v>
      </c>
      <c r="BH492" s="554" t="str">
        <f>INDEX(CarrierDriverTBL!$AH:$AH,MATCH(Table1[DriverID],CarrierDriverTBL!$A:$A,0))</f>
        <v>GM Lawrence Ins</v>
      </c>
      <c r="BI492" s="554" t="str">
        <f>INDEX(CarrierDriverTBL!$AI:$AI,MATCH(Table1[DriverID],CarrierDriverTBL!$A:$A,0))</f>
        <v>DSK2842P160210</v>
      </c>
      <c r="BJ492" s="556">
        <f>INDEX(CarrierDriverTBL!$AJ:$AJ,MATCH(Table1[[#This Row],[DriverID]],CarrierDriverTBL!$A:$A,0))</f>
        <v>42778</v>
      </c>
      <c r="BK492" s="554">
        <f t="shared" si="195"/>
        <v>240</v>
      </c>
      <c r="BL492" s="558">
        <v>549</v>
      </c>
      <c r="BM492" s="554">
        <v>170.7</v>
      </c>
      <c r="BN492" s="558">
        <f t="shared" si="215"/>
        <v>3.2161687170474518</v>
      </c>
      <c r="BO492" s="241">
        <f>0.93*549</f>
        <v>510.57000000000005</v>
      </c>
      <c r="BP492" s="558">
        <f t="shared" si="216"/>
        <v>2.9910369068541307</v>
      </c>
      <c r="BQ492" s="558">
        <v>2.75</v>
      </c>
      <c r="BR492" s="559">
        <f t="shared" si="217"/>
        <v>0.14166666666666669</v>
      </c>
      <c r="BS492" s="558">
        <f t="shared" si="218"/>
        <v>2.8493702401874641</v>
      </c>
      <c r="BT492" s="558">
        <f t="shared" si="219"/>
        <v>24.182500000000001</v>
      </c>
      <c r="BU492" s="236" t="str">
        <f t="shared" si="198"/>
        <v>Ch Robinson</v>
      </c>
      <c r="BV492" s="554"/>
      <c r="BW492" s="236" t="str">
        <f>Table1[[#This Row],[BrokerAddress]]</f>
        <v>P.O. Box 3474</v>
      </c>
      <c r="BX492" s="236" t="str">
        <f t="shared" si="199"/>
        <v>Chicago</v>
      </c>
      <c r="BY492" s="269" t="str">
        <f t="shared" si="200"/>
        <v>Il</v>
      </c>
      <c r="BZ492" s="236">
        <f t="shared" si="201"/>
        <v>60654</v>
      </c>
      <c r="CA492" s="236" t="str">
        <f t="shared" si="202"/>
        <v>US</v>
      </c>
      <c r="CB492" s="15" t="s">
        <v>131</v>
      </c>
      <c r="CC492" s="561"/>
      <c r="CD492" s="15" t="s">
        <v>132</v>
      </c>
      <c r="CE492" s="64">
        <v>0</v>
      </c>
      <c r="CF492" s="4">
        <v>0</v>
      </c>
      <c r="CG492" s="132">
        <f t="shared" ref="CG492" si="264">CE492*CF492</f>
        <v>0</v>
      </c>
      <c r="CH492" s="4" t="s">
        <v>132</v>
      </c>
      <c r="CI492" s="5">
        <v>0</v>
      </c>
      <c r="CJ492" s="4">
        <v>0</v>
      </c>
      <c r="CK492" s="132">
        <f t="shared" ref="CK492" si="265">CI492*CJ492</f>
        <v>0</v>
      </c>
      <c r="CL492" s="4" t="s">
        <v>132</v>
      </c>
      <c r="CM492" s="5">
        <v>0</v>
      </c>
      <c r="CN492" s="4">
        <v>0</v>
      </c>
      <c r="CO492" s="132">
        <f t="shared" ref="CO492" si="266">CM492*CN492</f>
        <v>0</v>
      </c>
      <c r="CP492" s="4" t="s">
        <v>132</v>
      </c>
      <c r="CQ492" s="5">
        <v>0</v>
      </c>
      <c r="CR492" s="4">
        <v>0</v>
      </c>
      <c r="CS492" s="132">
        <f t="shared" ref="CS492" si="267">CQ492*CR492</f>
        <v>0</v>
      </c>
      <c r="CT492" s="132">
        <f t="shared" ref="CT492" si="268">CG492+CK492+CO492+CS492</f>
        <v>0</v>
      </c>
      <c r="CU492" s="238">
        <f t="shared" si="225"/>
        <v>549</v>
      </c>
      <c r="CV492" s="239">
        <f t="shared" si="226"/>
        <v>0</v>
      </c>
      <c r="CW492" s="240">
        <f t="shared" si="227"/>
        <v>510.57000000000005</v>
      </c>
      <c r="CX492" s="79">
        <f>IF(ISBLANK(E492),"AddQuickPay",IF(E492=2,CU492*0.98,IF(E492=2.4,CU492*0.976,IF(E492=3,CU492*0.97,IF(E492=5,CU492*0.95,IF(E492=1.5,CU492*0.985,IF(E492=2.5,CU492*0.975,IF(E492=1.3,CU492*0.987,IF(E492=1,CU492*0.99,IF(E492=4,CU492*0.96,CU492*1))))))))))-Table1[[#This Row],[ComCheck+QuickPayFee]]</f>
        <v>538.02</v>
      </c>
      <c r="CY492" s="237">
        <f t="shared" si="228"/>
        <v>38.42999999999995</v>
      </c>
      <c r="CZ492" s="237">
        <f t="shared" si="210"/>
        <v>10.98</v>
      </c>
      <c r="DA492" s="263">
        <f>Table1[[#This Row],[OriginalDispatch]]-Table1[[#This Row],[QuickPayCharge]]</f>
        <v>27.44999999999995</v>
      </c>
      <c r="DB492" s="5">
        <v>0</v>
      </c>
      <c r="DC492" s="237" t="s">
        <v>133</v>
      </c>
      <c r="DD492" s="549">
        <f t="shared" si="211"/>
        <v>42538</v>
      </c>
      <c r="DE492" s="554">
        <f>MONTH(Table1[[#This Row],[Weekending]])</f>
        <v>6</v>
      </c>
      <c r="DF492" s="554">
        <f>YEAR(Table1[[#This Row],[Weekending]])</f>
        <v>2016</v>
      </c>
      <c r="DG492" s="235"/>
    </row>
    <row r="493" spans="1:111">
      <c r="A493" s="548" t="str">
        <f t="shared" si="193"/>
        <v>3206wn93</v>
      </c>
      <c r="B493" s="549">
        <v>42541</v>
      </c>
      <c r="C493" s="550">
        <v>3071532</v>
      </c>
      <c r="D493" s="548" t="s">
        <v>3108</v>
      </c>
      <c r="E493" s="550">
        <v>3</v>
      </c>
      <c r="F493" s="551" t="str">
        <f>INDEX(BrokerTBL!$B:$B,MATCH(D493,BrokerTBL!$A:$A,0))</f>
        <v>P.O. BOX 1326</v>
      </c>
      <c r="G493" s="550" t="str">
        <f>INDEX(BrokerTBL!$C:$C,MATCH(D493,BrokerTBL!$A:$A,0))</f>
        <v>Van Buren</v>
      </c>
      <c r="H493" s="235" t="str">
        <f>INDEX(BrokerTBL!$D:$D,MATCH(D493,BrokerTBL!$A:$A,0))</f>
        <v>AR</v>
      </c>
      <c r="I493" s="235" t="str">
        <f>INDEX(BrokerTBL!$E:$E,MATCH(D493,BrokerTBL!$A:$A,0))</f>
        <v>US</v>
      </c>
      <c r="J493" s="235">
        <f>INDEX(BrokerTBL!$F:$F,MATCH(D493,BrokerTBL!$A:$A,0))</f>
        <v>72957</v>
      </c>
      <c r="K493" s="548" t="s">
        <v>3186</v>
      </c>
      <c r="L493" s="552">
        <v>106773406</v>
      </c>
      <c r="M493" s="549">
        <v>42541</v>
      </c>
      <c r="N493" s="560">
        <v>0.60416666666666663</v>
      </c>
      <c r="O493" s="550" t="s">
        <v>3187</v>
      </c>
      <c r="P493" s="548" t="s">
        <v>3188</v>
      </c>
      <c r="Q493" s="548" t="s">
        <v>2206</v>
      </c>
      <c r="R493" s="548">
        <v>95661</v>
      </c>
      <c r="S493" s="548" t="s">
        <v>2207</v>
      </c>
      <c r="T493" s="548" t="s">
        <v>3189</v>
      </c>
      <c r="U493" s="548" t="s">
        <v>120</v>
      </c>
      <c r="V493" s="548">
        <v>53</v>
      </c>
      <c r="W493" s="548" t="s">
        <v>3146</v>
      </c>
      <c r="X493" s="553">
        <v>45716.4</v>
      </c>
      <c r="Y493" s="550" t="s">
        <v>123</v>
      </c>
      <c r="Z493" s="548" t="s">
        <v>123</v>
      </c>
      <c r="AA493" s="548" t="s">
        <v>123</v>
      </c>
      <c r="AB493" s="548" t="s">
        <v>123</v>
      </c>
      <c r="AC493" s="548" t="s">
        <v>3147</v>
      </c>
      <c r="AD493" s="552" t="s">
        <v>1205</v>
      </c>
      <c r="AE493" s="549">
        <v>42542</v>
      </c>
      <c r="AF493" s="104" t="s">
        <v>123</v>
      </c>
      <c r="AG493" s="548" t="s">
        <v>3190</v>
      </c>
      <c r="AH493" s="548" t="s">
        <v>2435</v>
      </c>
      <c r="AI493" s="548" t="s">
        <v>2206</v>
      </c>
      <c r="AJ493" s="548">
        <v>95101</v>
      </c>
      <c r="AK493" s="548" t="s">
        <v>2207</v>
      </c>
      <c r="AL493" s="548" t="s">
        <v>3191</v>
      </c>
      <c r="AM493" s="554" t="str">
        <f>INDEX(CarrierDriverTBL!$B:$B,MATCH(Table1[[#This Row],[DriverID]],CarrierDriverTBL!$A:$A,0))</f>
        <v>UBTrucking</v>
      </c>
      <c r="AN493" s="10" t="s">
        <v>2234</v>
      </c>
      <c r="AO493" s="555" t="str">
        <f>INDEX(CarrierDriverTBL!$C:$C,MATCH(Table1[[#This Row],[DriverID]],CarrierDriverTBL!$A:$A,0))</f>
        <v>Arturo</v>
      </c>
      <c r="AP493" s="555" t="str">
        <f>INDEX(CarrierDriverTBL!$D:$D,MATCH(Table1[[#This Row],[DriverID]],CarrierDriverTBL!$A:$A,0))</f>
        <v>Carrillo</v>
      </c>
      <c r="AQ493" s="555" t="str">
        <f>INDEX(CarrierDriverTBL!$X:$X,MATCH(Table1[[#This Row],[DriverID]],CarrierDriverTBL!$A:$A,0))</f>
        <v>C7056793</v>
      </c>
      <c r="AR493" s="556">
        <f>INDEX(CarrierDriverTBL!$Y:$Y,MATCH(Table1[[#This Row],[DriverID]],CarrierDriverTBL!$A:$A,0))</f>
        <v>43410</v>
      </c>
      <c r="AS493" s="554" t="str">
        <f t="shared" si="194"/>
        <v>GOOD</v>
      </c>
      <c r="AT493" s="556">
        <f>INDEX(CarrierDriverTBL!$E:$E,MATCH(Table1[[#This Row],[DriverID]],CarrierDriverTBL!$A:$A,0))</f>
        <v>24782</v>
      </c>
      <c r="AU493" s="557">
        <f ca="1">INDEX(CarrierDriverTBL!$F:$F,MATCH(Table1[[#This Row],[DriverID]],CarrierDriverTBL!$A:$A,0))</f>
        <v>48.750684931506846</v>
      </c>
      <c r="AV493" s="554" t="str">
        <f>INDEX(CarrierDriverTBL!$K:$K,MATCH(Table1[[#This Row],[DriverID]],CarrierDriverTBL!$A:$A,0))</f>
        <v>209-276-9785</v>
      </c>
      <c r="AW493" s="554" t="str">
        <f>INDEX(CarrierDriverTBL!$M:$M,MATCH(Table1[[#This Row],[DriverID]],CarrierDriverTBL!$A:$A,0))</f>
        <v>1685 Winthrop Ln</v>
      </c>
      <c r="AX493" s="554" t="str">
        <f>INDEX(CarrierDriverTBL!$N:$N,MATCH(Table1[[#This Row],[DriverID]],CarrierDriverTBL!$A:$A,0))</f>
        <v>Ceres</v>
      </c>
      <c r="AY493" s="554" t="str">
        <f>INDEX(CarrierDriverTBL!$O:$O,MATCH(Table1[[#This Row],[DriverID]],CarrierDriverTBL!$A:$A,0))</f>
        <v>CA</v>
      </c>
      <c r="AZ493" s="554">
        <f>INDEX(CarrierDriverTBL!$P:$P,MATCH(Table1[[#This Row],[DriverID]],CarrierDriverTBL!$A:$A,0))</f>
        <v>95307</v>
      </c>
      <c r="BA493" s="554" t="str">
        <f>INDEX(CarrierDriverTBL!$Q:$Q,MATCH(Table1[[#This Row],[DriverID]],CarrierDriverTBL!$A:$A,0))</f>
        <v>US</v>
      </c>
      <c r="BB493" s="554" t="str">
        <f>INDEX(CarrierDriverTBL!$R:$R,MATCH(Table1[[#This Row],[DriverID]],CarrierDriverTBL!$A:$A,0))</f>
        <v>arturocarr777@gmail.com</v>
      </c>
      <c r="BC493" s="556">
        <f>INDEX(CarrierDriverTBL!$AB:$AB,MATCH(Table1[[#This Row],[DriverID]],CarrierDriverTBL!$A:$A,0))</f>
        <v>42418</v>
      </c>
      <c r="BD493" s="555" t="str">
        <f ca="1">INDEX(CarrierDriverTBL!$AD:$AD,MATCH(LoadMaster!$AN:$AN,CarrierDriverTBL!$A:$A,0))</f>
        <v>MISSING</v>
      </c>
      <c r="BE493" s="555">
        <f>INDEX(CarrierDriverTBL!$AE:$AE,MATCH(Table1[DriverID],CarrierDriverTBL!$A:$A,0))</f>
        <v>913971</v>
      </c>
      <c r="BF493" s="554">
        <f>INDEX(CarrierDriverTBL!$AF:$AF,MATCH(Table1[DriverID],CarrierDriverTBL!$A:$A,0))</f>
        <v>2627544</v>
      </c>
      <c r="BG493" s="236">
        <f>INDEX(CarrierDriverTBL!$AG:$AG,MATCH(Table1[DriverID],CarrierDriverTBL!$A:$A,0))</f>
        <v>466133</v>
      </c>
      <c r="BH493" s="554" t="str">
        <f>INDEX(CarrierDriverTBL!$AH:$AH,MATCH(Table1[DriverID],CarrierDriverTBL!$A:$A,0))</f>
        <v>GM Lawrence Ins</v>
      </c>
      <c r="BI493" s="554" t="str">
        <f>INDEX(CarrierDriverTBL!$AI:$AI,MATCH(Table1[DriverID],CarrierDriverTBL!$A:$A,0))</f>
        <v>DSK2842P160210</v>
      </c>
      <c r="BJ493" s="556">
        <f>INDEX(CarrierDriverTBL!$AJ:$AJ,MATCH(Table1[[#This Row],[DriverID]],CarrierDriverTBL!$A:$A,0))</f>
        <v>42778</v>
      </c>
      <c r="BK493" s="554">
        <f t="shared" si="195"/>
        <v>237</v>
      </c>
      <c r="BL493" s="558">
        <v>425</v>
      </c>
      <c r="BM493" s="554">
        <v>137.80000000000001</v>
      </c>
      <c r="BN493" s="558">
        <f t="shared" si="215"/>
        <v>3.0841799709724236</v>
      </c>
      <c r="BO493" s="241">
        <f>0.93*425</f>
        <v>395.25</v>
      </c>
      <c r="BP493" s="558">
        <f t="shared" si="216"/>
        <v>2.8682873730043541</v>
      </c>
      <c r="BQ493" s="558">
        <v>2.75</v>
      </c>
      <c r="BR493" s="559">
        <f t="shared" si="217"/>
        <v>0.14166666666666669</v>
      </c>
      <c r="BS493" s="558">
        <f t="shared" si="218"/>
        <v>2.7266207063376875</v>
      </c>
      <c r="BT493" s="558">
        <f t="shared" si="219"/>
        <v>19.521666666666672</v>
      </c>
      <c r="BU493" s="236" t="str">
        <f t="shared" si="198"/>
        <v>USAT Logistics</v>
      </c>
      <c r="BV493" s="554"/>
      <c r="BW493" s="236" t="str">
        <f>Table1[[#This Row],[BrokerAddress]]</f>
        <v>P.O. BOX 1326</v>
      </c>
      <c r="BX493" s="236" t="str">
        <f t="shared" si="199"/>
        <v>Van Buren</v>
      </c>
      <c r="BY493" s="269" t="str">
        <f t="shared" si="200"/>
        <v>AR</v>
      </c>
      <c r="BZ493" s="236">
        <f t="shared" si="201"/>
        <v>72957</v>
      </c>
      <c r="CA493" s="236" t="str">
        <f t="shared" si="202"/>
        <v>US</v>
      </c>
      <c r="CB493" s="15" t="s">
        <v>131</v>
      </c>
      <c r="CC493" s="561"/>
      <c r="CD493" s="15" t="s">
        <v>132</v>
      </c>
      <c r="CE493" s="64">
        <v>0</v>
      </c>
      <c r="CF493" s="4">
        <v>0</v>
      </c>
      <c r="CG493" s="132">
        <f t="shared" ref="CG493" si="269">CE493*CF493</f>
        <v>0</v>
      </c>
      <c r="CH493" s="4" t="s">
        <v>132</v>
      </c>
      <c r="CI493" s="5">
        <v>0</v>
      </c>
      <c r="CJ493" s="4">
        <v>0</v>
      </c>
      <c r="CK493" s="132">
        <f t="shared" ref="CK493" si="270">CI493*CJ493</f>
        <v>0</v>
      </c>
      <c r="CL493" s="4" t="s">
        <v>132</v>
      </c>
      <c r="CM493" s="5">
        <v>0</v>
      </c>
      <c r="CN493" s="4">
        <v>0</v>
      </c>
      <c r="CO493" s="132">
        <f t="shared" ref="CO493" si="271">CM493*CN493</f>
        <v>0</v>
      </c>
      <c r="CP493" s="4" t="s">
        <v>132</v>
      </c>
      <c r="CQ493" s="5">
        <v>0</v>
      </c>
      <c r="CR493" s="4">
        <v>0</v>
      </c>
      <c r="CS493" s="132">
        <f t="shared" ref="CS493" si="272">CQ493*CR493</f>
        <v>0</v>
      </c>
      <c r="CT493" s="132">
        <f t="shared" ref="CT493" si="273">CG493+CK493+CO493+CS493</f>
        <v>0</v>
      </c>
      <c r="CU493" s="238">
        <f t="shared" si="225"/>
        <v>425</v>
      </c>
      <c r="CV493" s="239">
        <f t="shared" si="226"/>
        <v>0</v>
      </c>
      <c r="CW493" s="240">
        <f t="shared" si="227"/>
        <v>395.25</v>
      </c>
      <c r="CX493" s="79">
        <f>IF(ISBLANK(E493),"AddQuickPay",IF(E493=2,CU493*0.98,IF(E493=2.4,CU493*0.976,IF(E493=3,CU493*0.97,IF(E493=5,CU493*0.95,IF(E493=1.5,CU493*0.985,IF(E493=2.5,CU493*0.975,IF(E493=1.3,CU493*0.987,IF(E493=1,CU493*0.99,IF(E493=4,CU493*0.96,CU493*1))))))))))-Table1[[#This Row],[ComCheck+QuickPayFee]]</f>
        <v>412.25</v>
      </c>
      <c r="CY493" s="237">
        <f t="shared" si="228"/>
        <v>29.75</v>
      </c>
      <c r="CZ493" s="237">
        <f t="shared" si="210"/>
        <v>12.75</v>
      </c>
      <c r="DA493" s="263">
        <f>Table1[[#This Row],[OriginalDispatch]]-Table1[[#This Row],[QuickPayCharge]]</f>
        <v>17</v>
      </c>
      <c r="DB493" s="5">
        <v>0</v>
      </c>
      <c r="DC493" s="237" t="s">
        <v>133</v>
      </c>
      <c r="DD493" s="549">
        <f t="shared" si="211"/>
        <v>42545</v>
      </c>
      <c r="DE493" s="554">
        <f>MONTH(Table1[[#This Row],[Weekending]])</f>
        <v>6</v>
      </c>
      <c r="DF493" s="554">
        <f>YEAR(Table1[[#This Row],[Weekending]])</f>
        <v>2016</v>
      </c>
      <c r="DG493" s="235"/>
    </row>
    <row r="494" spans="1:111">
      <c r="A494" s="548" t="str">
        <f t="shared" si="193"/>
        <v>1338wn93</v>
      </c>
      <c r="B494" s="549">
        <v>42541</v>
      </c>
      <c r="C494" s="550">
        <v>166713</v>
      </c>
      <c r="D494" s="548" t="s">
        <v>1917</v>
      </c>
      <c r="E494" s="550">
        <v>3</v>
      </c>
      <c r="F494" s="551" t="str">
        <f>INDEX(BrokerTBL!$B:$B,MATCH(D494,BrokerTBL!$A:$A,0))</f>
        <v>20002 N. 19Th Ave.</v>
      </c>
      <c r="G494" s="550" t="str">
        <f>INDEX(BrokerTBL!$C:$C,MATCH(D494,BrokerTBL!$A:$A,0))</f>
        <v>Phoenix</v>
      </c>
      <c r="H494" s="235" t="str">
        <f>INDEX(BrokerTBL!$D:$D,MATCH(D494,BrokerTBL!$A:$A,0))</f>
        <v>Az</v>
      </c>
      <c r="I494" s="235" t="str">
        <f>INDEX(BrokerTBL!$E:$E,MATCH(D494,BrokerTBL!$A:$A,0))</f>
        <v>US</v>
      </c>
      <c r="J494" s="235">
        <f>INDEX(BrokerTBL!$F:$F,MATCH(D494,BrokerTBL!$A:$A,0))</f>
        <v>85027</v>
      </c>
      <c r="K494" s="548" t="s">
        <v>3192</v>
      </c>
      <c r="L494" s="552" t="s">
        <v>3193</v>
      </c>
      <c r="M494" s="549">
        <v>42541</v>
      </c>
      <c r="N494" s="560">
        <v>0.35416666666666669</v>
      </c>
      <c r="O494" s="550" t="s">
        <v>3194</v>
      </c>
      <c r="P494" s="548" t="s">
        <v>900</v>
      </c>
      <c r="Q494" s="548" t="s">
        <v>2206</v>
      </c>
      <c r="R494" s="548">
        <v>95348</v>
      </c>
      <c r="S494" s="548" t="s">
        <v>2207</v>
      </c>
      <c r="T494" s="548" t="s">
        <v>123</v>
      </c>
      <c r="U494" s="548" t="s">
        <v>120</v>
      </c>
      <c r="V494" s="548">
        <v>53</v>
      </c>
      <c r="W494" s="548" t="s">
        <v>1205</v>
      </c>
      <c r="X494" s="225" t="s">
        <v>123</v>
      </c>
      <c r="Y494" s="550" t="s">
        <v>123</v>
      </c>
      <c r="Z494" s="548" t="s">
        <v>123</v>
      </c>
      <c r="AA494" s="548" t="s">
        <v>123</v>
      </c>
      <c r="AB494" s="548" t="s">
        <v>123</v>
      </c>
      <c r="AC494" s="548" t="s">
        <v>3195</v>
      </c>
      <c r="AD494" s="552" t="s">
        <v>1205</v>
      </c>
      <c r="AE494" s="549">
        <v>42541</v>
      </c>
      <c r="AF494" s="560">
        <v>0.5625</v>
      </c>
      <c r="AG494" s="548" t="s">
        <v>3196</v>
      </c>
      <c r="AH494" s="548" t="s">
        <v>208</v>
      </c>
      <c r="AI494" s="548" t="s">
        <v>2206</v>
      </c>
      <c r="AJ494" s="548">
        <v>95816</v>
      </c>
      <c r="AK494" s="548" t="s">
        <v>2207</v>
      </c>
      <c r="AL494" s="548" t="s">
        <v>123</v>
      </c>
      <c r="AM494" s="554" t="str">
        <f>INDEX(CarrierDriverTBL!$B:$B,MATCH(Table1[[#This Row],[DriverID]],CarrierDriverTBL!$A:$A,0))</f>
        <v>UBTrucking</v>
      </c>
      <c r="AN494" s="10" t="s">
        <v>2234</v>
      </c>
      <c r="AO494" s="555" t="str">
        <f>INDEX(CarrierDriverTBL!$C:$C,MATCH(Table1[[#This Row],[DriverID]],CarrierDriverTBL!$A:$A,0))</f>
        <v>Arturo</v>
      </c>
      <c r="AP494" s="555" t="str">
        <f>INDEX(CarrierDriverTBL!$D:$D,MATCH(Table1[[#This Row],[DriverID]],CarrierDriverTBL!$A:$A,0))</f>
        <v>Carrillo</v>
      </c>
      <c r="AQ494" s="555" t="str">
        <f>INDEX(CarrierDriverTBL!$X:$X,MATCH(Table1[[#This Row],[DriverID]],CarrierDriverTBL!$A:$A,0))</f>
        <v>C7056793</v>
      </c>
      <c r="AR494" s="556">
        <f>INDEX(CarrierDriverTBL!$Y:$Y,MATCH(Table1[[#This Row],[DriverID]],CarrierDriverTBL!$A:$A,0))</f>
        <v>43410</v>
      </c>
      <c r="AS494" s="554" t="str">
        <f t="shared" si="194"/>
        <v>GOOD</v>
      </c>
      <c r="AT494" s="556">
        <f>INDEX(CarrierDriverTBL!$E:$E,MATCH(Table1[[#This Row],[DriverID]],CarrierDriverTBL!$A:$A,0))</f>
        <v>24782</v>
      </c>
      <c r="AU494" s="557">
        <f ca="1">INDEX(CarrierDriverTBL!$F:$F,MATCH(Table1[[#This Row],[DriverID]],CarrierDriverTBL!$A:$A,0))</f>
        <v>48.750684931506846</v>
      </c>
      <c r="AV494" s="554" t="str">
        <f>INDEX(CarrierDriverTBL!$K:$K,MATCH(Table1[[#This Row],[DriverID]],CarrierDriverTBL!$A:$A,0))</f>
        <v>209-276-9785</v>
      </c>
      <c r="AW494" s="554" t="str">
        <f>INDEX(CarrierDriverTBL!$M:$M,MATCH(Table1[[#This Row],[DriverID]],CarrierDriverTBL!$A:$A,0))</f>
        <v>1685 Winthrop Ln</v>
      </c>
      <c r="AX494" s="554" t="str">
        <f>INDEX(CarrierDriverTBL!$N:$N,MATCH(Table1[[#This Row],[DriverID]],CarrierDriverTBL!$A:$A,0))</f>
        <v>Ceres</v>
      </c>
      <c r="AY494" s="554" t="str">
        <f>INDEX(CarrierDriverTBL!$O:$O,MATCH(Table1[[#This Row],[DriverID]],CarrierDriverTBL!$A:$A,0))</f>
        <v>CA</v>
      </c>
      <c r="AZ494" s="554">
        <f>INDEX(CarrierDriverTBL!$P:$P,MATCH(Table1[[#This Row],[DriverID]],CarrierDriverTBL!$A:$A,0))</f>
        <v>95307</v>
      </c>
      <c r="BA494" s="554" t="str">
        <f>INDEX(CarrierDriverTBL!$Q:$Q,MATCH(Table1[[#This Row],[DriverID]],CarrierDriverTBL!$A:$A,0))</f>
        <v>US</v>
      </c>
      <c r="BB494" s="554" t="str">
        <f>INDEX(CarrierDriverTBL!$R:$R,MATCH(Table1[[#This Row],[DriverID]],CarrierDriverTBL!$A:$A,0))</f>
        <v>arturocarr777@gmail.com</v>
      </c>
      <c r="BC494" s="556">
        <f>INDEX(CarrierDriverTBL!$AB:$AB,MATCH(Table1[[#This Row],[DriverID]],CarrierDriverTBL!$A:$A,0))</f>
        <v>42418</v>
      </c>
      <c r="BD494" s="555" t="str">
        <f ca="1">INDEX(CarrierDriverTBL!$AD:$AD,MATCH(LoadMaster!$AN:$AN,CarrierDriverTBL!$A:$A,0))</f>
        <v>MISSING</v>
      </c>
      <c r="BE494" s="555">
        <f>INDEX(CarrierDriverTBL!$AE:$AE,MATCH(Table1[DriverID],CarrierDriverTBL!$A:$A,0))</f>
        <v>913971</v>
      </c>
      <c r="BF494" s="554">
        <f>INDEX(CarrierDriverTBL!$AF:$AF,MATCH(Table1[DriverID],CarrierDriverTBL!$A:$A,0))</f>
        <v>2627544</v>
      </c>
      <c r="BG494" s="236">
        <f>INDEX(CarrierDriverTBL!$AG:$AG,MATCH(Table1[DriverID],CarrierDriverTBL!$A:$A,0))</f>
        <v>466133</v>
      </c>
      <c r="BH494" s="554" t="str">
        <f>INDEX(CarrierDriverTBL!$AH:$AH,MATCH(Table1[DriverID],CarrierDriverTBL!$A:$A,0))</f>
        <v>GM Lawrence Ins</v>
      </c>
      <c r="BI494" s="554" t="str">
        <f>INDEX(CarrierDriverTBL!$AI:$AI,MATCH(Table1[DriverID],CarrierDriverTBL!$A:$A,0))</f>
        <v>DSK2842P160210</v>
      </c>
      <c r="BJ494" s="556">
        <f>INDEX(CarrierDriverTBL!$AJ:$AJ,MATCH(Table1[[#This Row],[DriverID]],CarrierDriverTBL!$A:$A,0))</f>
        <v>42778</v>
      </c>
      <c r="BK494" s="554">
        <f t="shared" si="195"/>
        <v>237</v>
      </c>
      <c r="BL494" s="558">
        <v>350</v>
      </c>
      <c r="BM494" s="554">
        <v>118.3</v>
      </c>
      <c r="BN494" s="558">
        <f t="shared" si="215"/>
        <v>2.9585798816568047</v>
      </c>
      <c r="BO494" s="241">
        <f>0.93*350</f>
        <v>325.5</v>
      </c>
      <c r="BP494" s="558">
        <f t="shared" si="216"/>
        <v>2.7514792899408285</v>
      </c>
      <c r="BQ494" s="558">
        <v>2.75</v>
      </c>
      <c r="BR494" s="559">
        <f t="shared" si="217"/>
        <v>0.14166666666666669</v>
      </c>
      <c r="BS494" s="558">
        <f t="shared" si="218"/>
        <v>2.6098126232741619</v>
      </c>
      <c r="BT494" s="558">
        <f t="shared" si="219"/>
        <v>16.759166666666669</v>
      </c>
      <c r="BU494" s="236" t="str">
        <f t="shared" si="198"/>
        <v>Knight Logistics Llc</v>
      </c>
      <c r="BV494" s="554"/>
      <c r="BW494" s="236" t="str">
        <f>Table1[[#This Row],[BrokerAddress]]</f>
        <v>20002 N. 19Th Ave.</v>
      </c>
      <c r="BX494" s="236" t="str">
        <f t="shared" si="199"/>
        <v>Phoenix</v>
      </c>
      <c r="BY494" s="269" t="str">
        <f t="shared" si="200"/>
        <v>Az</v>
      </c>
      <c r="BZ494" s="236">
        <f t="shared" si="201"/>
        <v>85027</v>
      </c>
      <c r="CA494" s="236" t="str">
        <f t="shared" si="202"/>
        <v>US</v>
      </c>
      <c r="CB494" s="15" t="s">
        <v>131</v>
      </c>
      <c r="CC494" s="561"/>
      <c r="CD494" s="15" t="s">
        <v>132</v>
      </c>
      <c r="CE494" s="64">
        <v>0</v>
      </c>
      <c r="CF494" s="4">
        <v>0</v>
      </c>
      <c r="CG494" s="132">
        <f t="shared" ref="CG494" si="274">CE494*CF494</f>
        <v>0</v>
      </c>
      <c r="CH494" s="4" t="s">
        <v>132</v>
      </c>
      <c r="CI494" s="5">
        <v>0</v>
      </c>
      <c r="CJ494" s="4">
        <v>0</v>
      </c>
      <c r="CK494" s="132">
        <f t="shared" ref="CK494" si="275">CI494*CJ494</f>
        <v>0</v>
      </c>
      <c r="CL494" s="4" t="s">
        <v>132</v>
      </c>
      <c r="CM494" s="5">
        <v>0</v>
      </c>
      <c r="CN494" s="4">
        <v>0</v>
      </c>
      <c r="CO494" s="132">
        <f t="shared" ref="CO494" si="276">CM494*CN494</f>
        <v>0</v>
      </c>
      <c r="CP494" s="4" t="s">
        <v>132</v>
      </c>
      <c r="CQ494" s="5">
        <v>0</v>
      </c>
      <c r="CR494" s="4">
        <v>0</v>
      </c>
      <c r="CS494" s="132">
        <f t="shared" ref="CS494" si="277">CQ494*CR494</f>
        <v>0</v>
      </c>
      <c r="CT494" s="132">
        <f t="shared" ref="CT494" si="278">CG494+CK494+CO494+CS494</f>
        <v>0</v>
      </c>
      <c r="CU494" s="238">
        <f t="shared" si="225"/>
        <v>350</v>
      </c>
      <c r="CV494" s="239">
        <f t="shared" si="226"/>
        <v>0</v>
      </c>
      <c r="CW494" s="240">
        <f t="shared" si="227"/>
        <v>325.5</v>
      </c>
      <c r="CX494" s="79">
        <f>IF(ISBLANK(E494),"AddQuickPay",IF(E494=2,CU494*0.98,IF(E494=2.4,CU494*0.976,IF(E494=3,CU494*0.97,IF(E494=5,CU494*0.95,IF(E494=1.5,CU494*0.985,IF(E494=2.5,CU494*0.975,IF(E494=1.3,CU494*0.987,IF(E494=1,CU494*0.99,IF(E494=4,CU494*0.96,CU494*1))))))))))-Table1[[#This Row],[ComCheck+QuickPayFee]]</f>
        <v>339.5</v>
      </c>
      <c r="CY494" s="237">
        <f t="shared" si="228"/>
        <v>24.5</v>
      </c>
      <c r="CZ494" s="237">
        <f t="shared" si="210"/>
        <v>10.5</v>
      </c>
      <c r="DA494" s="263">
        <f>Table1[[#This Row],[OriginalDispatch]]-Table1[[#This Row],[QuickPayCharge]]</f>
        <v>14</v>
      </c>
      <c r="DB494" s="5">
        <v>0</v>
      </c>
      <c r="DC494" s="237" t="s">
        <v>133</v>
      </c>
      <c r="DD494" s="549">
        <f t="shared" si="211"/>
        <v>42545</v>
      </c>
      <c r="DE494" s="554">
        <f>MONTH(Table1[[#This Row],[Weekending]])</f>
        <v>6</v>
      </c>
      <c r="DF494" s="554">
        <f>YEAR(Table1[[#This Row],[Weekending]])</f>
        <v>2016</v>
      </c>
      <c r="DG494" s="235"/>
    </row>
    <row r="495" spans="1:111">
      <c r="A495" s="548" t="str">
        <f t="shared" si="193"/>
        <v>98790449</v>
      </c>
      <c r="B495" s="549">
        <v>42541</v>
      </c>
      <c r="C495" s="550" t="s">
        <v>3197</v>
      </c>
      <c r="D495" s="548" t="s">
        <v>3198</v>
      </c>
      <c r="E495" s="550">
        <v>3</v>
      </c>
      <c r="F495" s="551" t="str">
        <f>INDEX(BrokerTBL!$B:$B,MATCH(D495,BrokerTBL!$A:$A,0))</f>
        <v>PO BOX 365</v>
      </c>
      <c r="G495" s="550" t="str">
        <f>INDEX(BrokerTBL!$C:$C,MATCH(D495,BrokerTBL!$A:$A,0))</f>
        <v>RIPON</v>
      </c>
      <c r="H495" s="235" t="str">
        <f>INDEX(BrokerTBL!$D:$D,MATCH(D495,BrokerTBL!$A:$A,0))</f>
        <v>CA</v>
      </c>
      <c r="I495" s="235" t="str">
        <f>INDEX(BrokerTBL!$E:$E,MATCH(D495,BrokerTBL!$A:$A,0))</f>
        <v>US</v>
      </c>
      <c r="J495" s="235">
        <f>INDEX(BrokerTBL!$F:$F,MATCH(D495,BrokerTBL!$A:$A,0))</f>
        <v>95366</v>
      </c>
      <c r="K495" s="548" t="s">
        <v>3199</v>
      </c>
      <c r="L495" s="552">
        <v>22668979</v>
      </c>
      <c r="M495" s="549">
        <v>42541</v>
      </c>
      <c r="N495" s="560">
        <v>0.5</v>
      </c>
      <c r="O495" s="550" t="s">
        <v>3200</v>
      </c>
      <c r="P495" s="548" t="s">
        <v>184</v>
      </c>
      <c r="Q495" s="548" t="s">
        <v>2206</v>
      </c>
      <c r="R495" s="548">
        <v>95206</v>
      </c>
      <c r="S495" s="548" t="s">
        <v>2207</v>
      </c>
      <c r="T495" s="548" t="s">
        <v>123</v>
      </c>
      <c r="U495" s="548" t="s">
        <v>120</v>
      </c>
      <c r="V495" s="548">
        <v>53</v>
      </c>
      <c r="W495" s="548" t="s">
        <v>1205</v>
      </c>
      <c r="X495" s="553">
        <v>44278.52</v>
      </c>
      <c r="Y495" s="550" t="s">
        <v>566</v>
      </c>
      <c r="Z495" s="548">
        <v>1596</v>
      </c>
      <c r="AA495" s="548" t="s">
        <v>123</v>
      </c>
      <c r="AB495" s="548" t="s">
        <v>123</v>
      </c>
      <c r="AC495" s="548" t="s">
        <v>3201</v>
      </c>
      <c r="AD495" s="552">
        <v>6166004</v>
      </c>
      <c r="AE495" s="549">
        <v>42542</v>
      </c>
      <c r="AF495" s="560">
        <v>0.375</v>
      </c>
      <c r="AG495" s="548" t="s">
        <v>3202</v>
      </c>
      <c r="AH495" s="548" t="s">
        <v>2451</v>
      </c>
      <c r="AI495" s="548" t="s">
        <v>2233</v>
      </c>
      <c r="AJ495" s="548">
        <v>89431</v>
      </c>
      <c r="AK495" s="548" t="s">
        <v>2207</v>
      </c>
      <c r="AL495" s="548" t="s">
        <v>3203</v>
      </c>
      <c r="AM495" s="554" t="str">
        <f>INDEX(CarrierDriverTBL!$B:$B,MATCH(Table1[[#This Row],[DriverID]],CarrierDriverTBL!$A:$A,0))</f>
        <v>UBTrucking</v>
      </c>
      <c r="AN495" s="10" t="s">
        <v>192</v>
      </c>
      <c r="AO495" s="555" t="str">
        <f>INDEX(CarrierDriverTBL!$C:$C,MATCH(Table1[[#This Row],[DriverID]],CarrierDriverTBL!$A:$A,0))</f>
        <v>Albel</v>
      </c>
      <c r="AP495" s="555" t="str">
        <f>INDEX(CarrierDriverTBL!$D:$D,MATCH(Table1[[#This Row],[DriverID]],CarrierDriverTBL!$A:$A,0))</f>
        <v>Chahil</v>
      </c>
      <c r="AQ495" s="555" t="str">
        <f>INDEX(CarrierDriverTBL!$X:$X,MATCH(Table1[[#This Row],[DriverID]],CarrierDriverTBL!$A:$A,0))</f>
        <v>A8390649</v>
      </c>
      <c r="AR495" s="556">
        <f>INDEX(CarrierDriverTBL!$Y:$Y,MATCH(Table1[[#This Row],[DriverID]],CarrierDriverTBL!$A:$A,0))</f>
        <v>42402</v>
      </c>
      <c r="AS495" s="554" t="str">
        <f t="shared" si="194"/>
        <v>EXPIRED</v>
      </c>
      <c r="AT495" s="556">
        <f>INDEX(CarrierDriverTBL!$E:$E,MATCH(Table1[[#This Row],[DriverID]],CarrierDriverTBL!$A:$A,0))</f>
        <v>22314</v>
      </c>
      <c r="AU495" s="557">
        <f ca="1">INDEX(CarrierDriverTBL!$F:$F,MATCH(Table1[[#This Row],[DriverID]],CarrierDriverTBL!$A:$A,0))</f>
        <v>55.512328767123286</v>
      </c>
      <c r="AV495" s="554" t="str">
        <f>INDEX(CarrierDriverTBL!$K:$K,MATCH(Table1[[#This Row],[DriverID]],CarrierDriverTBL!$A:$A,0))</f>
        <v>510-773-9450</v>
      </c>
      <c r="AW495" s="554" t="str">
        <f>INDEX(CarrierDriverTBL!$M:$M,MATCH(Table1[[#This Row],[DriverID]],CarrierDriverTBL!$A:$A,0))</f>
        <v>3124 Cynthia CT</v>
      </c>
      <c r="AX495" s="554" t="str">
        <f>INDEX(CarrierDriverTBL!$N:$N,MATCH(Table1[[#This Row],[DriverID]],CarrierDriverTBL!$A:$A,0))</f>
        <v>Tracy</v>
      </c>
      <c r="AY495" s="554" t="str">
        <f>INDEX(CarrierDriverTBL!$O:$O,MATCH(Table1[[#This Row],[DriverID]],CarrierDriverTBL!$A:$A,0))</f>
        <v>CA</v>
      </c>
      <c r="AZ495" s="554">
        <f>INDEX(CarrierDriverTBL!$P:$P,MATCH(Table1[[#This Row],[DriverID]],CarrierDriverTBL!$A:$A,0))</f>
        <v>95377</v>
      </c>
      <c r="BA495" s="554" t="str">
        <f>INDEX(CarrierDriverTBL!$Q:$Q,MATCH(Table1[[#This Row],[DriverID]],CarrierDriverTBL!$A:$A,0))</f>
        <v>US</v>
      </c>
      <c r="BB495" s="554" t="str">
        <f>INDEX(CarrierDriverTBL!$R:$R,MATCH(Table1[[#This Row],[DriverID]],CarrierDriverTBL!$A:$A,0))</f>
        <v>ubgollc@gmail.com</v>
      </c>
      <c r="BC495" s="556">
        <f>INDEX(CarrierDriverTBL!$AB:$AB,MATCH(Table1[[#This Row],[DriverID]],CarrierDriverTBL!$A:$A,0))</f>
        <v>42167</v>
      </c>
      <c r="BD495" s="555" t="str">
        <f ca="1">INDEX(CarrierDriverTBL!$AD:$AD,MATCH(LoadMaster!$AN:$AN,CarrierDriverTBL!$A:$A,0))</f>
        <v>MISSING</v>
      </c>
      <c r="BE495" s="555">
        <f>INDEX(CarrierDriverTBL!$AE:$AE,MATCH(Table1[DriverID],CarrierDriverTBL!$A:$A,0))</f>
        <v>913971</v>
      </c>
      <c r="BF495" s="554">
        <f>INDEX(CarrierDriverTBL!$AF:$AF,MATCH(Table1[DriverID],CarrierDriverTBL!$A:$A,0))</f>
        <v>2627544</v>
      </c>
      <c r="BG495" s="236">
        <f>INDEX(CarrierDriverTBL!$AG:$AG,MATCH(Table1[DriverID],CarrierDriverTBL!$A:$A,0))</f>
        <v>466133</v>
      </c>
      <c r="BH495" s="554" t="str">
        <f>INDEX(CarrierDriverTBL!$AH:$AH,MATCH(Table1[DriverID],CarrierDriverTBL!$A:$A,0))</f>
        <v>GM Lawrence Ins</v>
      </c>
      <c r="BI495" s="554" t="str">
        <f>INDEX(CarrierDriverTBL!$AI:$AI,MATCH(Table1[DriverID],CarrierDriverTBL!$A:$A,0))</f>
        <v>DSK2842P160210</v>
      </c>
      <c r="BJ495" s="556">
        <f>INDEX(CarrierDriverTBL!$AJ:$AJ,MATCH(Table1[[#This Row],[DriverID]],CarrierDriverTBL!$A:$A,0))</f>
        <v>42778</v>
      </c>
      <c r="BK495" s="554">
        <f t="shared" si="195"/>
        <v>237</v>
      </c>
      <c r="BL495" s="558">
        <v>700</v>
      </c>
      <c r="BM495" s="554">
        <v>186</v>
      </c>
      <c r="BN495" s="558">
        <f t="shared" si="215"/>
        <v>3.763440860215054</v>
      </c>
      <c r="BO495" s="241">
        <f>0.93*700</f>
        <v>651</v>
      </c>
      <c r="BP495" s="558">
        <f t="shared" si="216"/>
        <v>3.5</v>
      </c>
      <c r="BQ495" s="558">
        <v>2.75</v>
      </c>
      <c r="BR495" s="559">
        <f t="shared" si="217"/>
        <v>0.14166666666666669</v>
      </c>
      <c r="BS495" s="558">
        <f t="shared" si="218"/>
        <v>3.3583333333333334</v>
      </c>
      <c r="BT495" s="558">
        <f t="shared" si="219"/>
        <v>26.350000000000005</v>
      </c>
      <c r="BU495" s="236" t="str">
        <f t="shared" si="198"/>
        <v>CAL FREIGHT</v>
      </c>
      <c r="BV495" s="554"/>
      <c r="BW495" s="236" t="str">
        <f>Table1[[#This Row],[BrokerAddress]]</f>
        <v>PO BOX 365</v>
      </c>
      <c r="BX495" s="236" t="str">
        <f t="shared" si="199"/>
        <v>RIPON</v>
      </c>
      <c r="BY495" s="269" t="str">
        <f t="shared" si="200"/>
        <v>CA</v>
      </c>
      <c r="BZ495" s="236">
        <f t="shared" si="201"/>
        <v>95366</v>
      </c>
      <c r="CA495" s="236" t="str">
        <f t="shared" si="202"/>
        <v>US</v>
      </c>
      <c r="CB495" s="15" t="s">
        <v>131</v>
      </c>
      <c r="CC495" s="561"/>
      <c r="CD495" s="15" t="s">
        <v>132</v>
      </c>
      <c r="CE495" s="64">
        <v>0</v>
      </c>
      <c r="CF495" s="4">
        <v>0</v>
      </c>
      <c r="CG495" s="132">
        <f t="shared" ref="CG495" si="279">CE495*CF495</f>
        <v>0</v>
      </c>
      <c r="CH495" s="4" t="s">
        <v>132</v>
      </c>
      <c r="CI495" s="5">
        <v>0</v>
      </c>
      <c r="CJ495" s="4">
        <v>0</v>
      </c>
      <c r="CK495" s="132">
        <f t="shared" ref="CK495" si="280">CI495*CJ495</f>
        <v>0</v>
      </c>
      <c r="CL495" s="4" t="s">
        <v>132</v>
      </c>
      <c r="CM495" s="5">
        <v>0</v>
      </c>
      <c r="CN495" s="4">
        <v>0</v>
      </c>
      <c r="CO495" s="132">
        <f t="shared" ref="CO495" si="281">CM495*CN495</f>
        <v>0</v>
      </c>
      <c r="CP495" s="4" t="s">
        <v>132</v>
      </c>
      <c r="CQ495" s="5">
        <v>0</v>
      </c>
      <c r="CR495" s="4">
        <v>0</v>
      </c>
      <c r="CS495" s="132">
        <f t="shared" ref="CS495" si="282">CQ495*CR495</f>
        <v>0</v>
      </c>
      <c r="CT495" s="132">
        <f t="shared" ref="CT495" si="283">CG495+CK495+CO495+CS495</f>
        <v>0</v>
      </c>
      <c r="CU495" s="238">
        <f t="shared" si="225"/>
        <v>700</v>
      </c>
      <c r="CV495" s="239">
        <f t="shared" si="226"/>
        <v>0</v>
      </c>
      <c r="CW495" s="240">
        <f t="shared" si="227"/>
        <v>651</v>
      </c>
      <c r="CX495" s="79">
        <f>IF(ISBLANK(E495),"AddQuickPay",IF(E495=2,CU495*0.98,IF(E495=2.4,CU495*0.976,IF(E495=3,CU495*0.97,IF(E495=5,CU495*0.95,IF(E495=1.5,CU495*0.985,IF(E495=2.5,CU495*0.975,IF(E495=1.3,CU495*0.987,IF(E495=1,CU495*0.99,IF(E495=4,CU495*0.96,CU495*1))))))))))-Table1[[#This Row],[ComCheck+QuickPayFee]]</f>
        <v>679</v>
      </c>
      <c r="CY495" s="237">
        <f t="shared" si="228"/>
        <v>49</v>
      </c>
      <c r="CZ495" s="237">
        <f t="shared" si="210"/>
        <v>21</v>
      </c>
      <c r="DA495" s="263">
        <f>Table1[[#This Row],[OriginalDispatch]]-Table1[[#This Row],[QuickPayCharge]]</f>
        <v>28</v>
      </c>
      <c r="DB495" s="5">
        <v>0</v>
      </c>
      <c r="DC495" s="237" t="s">
        <v>133</v>
      </c>
      <c r="DD495" s="549">
        <f t="shared" si="211"/>
        <v>42545</v>
      </c>
      <c r="DE495" s="554">
        <f>MONTH(Table1[[#This Row],[Weekending]])</f>
        <v>6</v>
      </c>
      <c r="DF495" s="554">
        <f>YEAR(Table1[[#This Row],[Weekending]])</f>
        <v>2016</v>
      </c>
      <c r="DG495" s="235"/>
    </row>
    <row r="496" spans="1:111">
      <c r="A496" s="548" t="str">
        <f t="shared" si="193"/>
        <v>84511249</v>
      </c>
      <c r="B496" s="549">
        <v>42543</v>
      </c>
      <c r="C496" s="550">
        <v>7847284</v>
      </c>
      <c r="D496" s="548" t="s">
        <v>2185</v>
      </c>
      <c r="E496" s="550">
        <v>4</v>
      </c>
      <c r="F496" s="551" t="str">
        <f>INDEX(BrokerTBL!$B:$B,MATCH(D496,BrokerTBL!$A:$A,0))</f>
        <v>PO Box 6348</v>
      </c>
      <c r="G496" s="550" t="str">
        <f>INDEX(BrokerTBL!$C:$C,MATCH(D496,BrokerTBL!$A:$A,0))</f>
        <v>Scottsdale</v>
      </c>
      <c r="H496" s="235" t="str">
        <f>INDEX(BrokerTBL!$D:$D,MATCH(D496,BrokerTBL!$A:$A,0))</f>
        <v>Az</v>
      </c>
      <c r="I496" s="235" t="str">
        <f>INDEX(BrokerTBL!$E:$E,MATCH(D496,BrokerTBL!$A:$A,0))</f>
        <v>US</v>
      </c>
      <c r="J496" s="235">
        <f>INDEX(BrokerTBL!$F:$F,MATCH(D496,BrokerTBL!$A:$A,0))</f>
        <v>85258</v>
      </c>
      <c r="K496" s="548" t="s">
        <v>3204</v>
      </c>
      <c r="L496" s="552">
        <v>135951</v>
      </c>
      <c r="M496" s="549">
        <v>42541</v>
      </c>
      <c r="N496" s="15" t="s">
        <v>123</v>
      </c>
      <c r="O496" s="550" t="s">
        <v>3205</v>
      </c>
      <c r="P496" s="548" t="s">
        <v>2544</v>
      </c>
      <c r="Q496" s="548" t="s">
        <v>2206</v>
      </c>
      <c r="R496" s="548">
        <v>94621</v>
      </c>
      <c r="S496" s="548" t="s">
        <v>2207</v>
      </c>
      <c r="T496" s="548" t="s">
        <v>123</v>
      </c>
      <c r="U496" s="548" t="s">
        <v>120</v>
      </c>
      <c r="V496" s="548">
        <v>53</v>
      </c>
      <c r="W496" s="548" t="s">
        <v>121</v>
      </c>
      <c r="X496" s="553">
        <v>42654</v>
      </c>
      <c r="Y496" s="550" t="s">
        <v>566</v>
      </c>
      <c r="Z496" s="548">
        <v>1490</v>
      </c>
      <c r="AA496" s="548">
        <v>0</v>
      </c>
      <c r="AB496" s="548" t="s">
        <v>123</v>
      </c>
      <c r="AC496" s="548" t="s">
        <v>3206</v>
      </c>
      <c r="AD496" s="552">
        <v>4301030612</v>
      </c>
      <c r="AE496" s="549">
        <v>42529</v>
      </c>
      <c r="AF496" s="104" t="s">
        <v>123</v>
      </c>
      <c r="AG496" s="548" t="s">
        <v>2465</v>
      </c>
      <c r="AH496" s="548" t="s">
        <v>2466</v>
      </c>
      <c r="AI496" s="548" t="s">
        <v>2233</v>
      </c>
      <c r="AJ496" s="548">
        <v>89502</v>
      </c>
      <c r="AK496" s="548" t="s">
        <v>2207</v>
      </c>
      <c r="AL496" s="548" t="s">
        <v>123</v>
      </c>
      <c r="AM496" s="554" t="str">
        <f>INDEX(CarrierDriverTBL!$B:$B,MATCH(Table1[[#This Row],[DriverID]],CarrierDriverTBL!$A:$A,0))</f>
        <v>UBTrucking</v>
      </c>
      <c r="AN496" s="10" t="s">
        <v>192</v>
      </c>
      <c r="AO496" s="555" t="str">
        <f>INDEX(CarrierDriverTBL!$C:$C,MATCH(Table1[[#This Row],[DriverID]],CarrierDriverTBL!$A:$A,0))</f>
        <v>Albel</v>
      </c>
      <c r="AP496" s="555" t="str">
        <f>INDEX(CarrierDriverTBL!$D:$D,MATCH(Table1[[#This Row],[DriverID]],CarrierDriverTBL!$A:$A,0))</f>
        <v>Chahil</v>
      </c>
      <c r="AQ496" s="555" t="str">
        <f>INDEX(CarrierDriverTBL!$X:$X,MATCH(Table1[[#This Row],[DriverID]],CarrierDriverTBL!$A:$A,0))</f>
        <v>A8390649</v>
      </c>
      <c r="AR496" s="556">
        <f>INDEX(CarrierDriverTBL!$Y:$Y,MATCH(Table1[[#This Row],[DriverID]],CarrierDriverTBL!$A:$A,0))</f>
        <v>42402</v>
      </c>
      <c r="AS496" s="554" t="str">
        <f t="shared" si="194"/>
        <v>EXPIRED</v>
      </c>
      <c r="AT496" s="556">
        <f>INDEX(CarrierDriverTBL!$E:$E,MATCH(Table1[[#This Row],[DriverID]],CarrierDriverTBL!$A:$A,0))</f>
        <v>22314</v>
      </c>
      <c r="AU496" s="557">
        <f ca="1">INDEX(CarrierDriverTBL!$F:$F,MATCH(Table1[[#This Row],[DriverID]],CarrierDriverTBL!$A:$A,0))</f>
        <v>55.512328767123286</v>
      </c>
      <c r="AV496" s="554" t="str">
        <f>INDEX(CarrierDriverTBL!$K:$K,MATCH(Table1[[#This Row],[DriverID]],CarrierDriverTBL!$A:$A,0))</f>
        <v>510-773-9450</v>
      </c>
      <c r="AW496" s="554" t="str">
        <f>INDEX(CarrierDriverTBL!$M:$M,MATCH(Table1[[#This Row],[DriverID]],CarrierDriverTBL!$A:$A,0))</f>
        <v>3124 Cynthia CT</v>
      </c>
      <c r="AX496" s="554" t="str">
        <f>INDEX(CarrierDriverTBL!$N:$N,MATCH(Table1[[#This Row],[DriverID]],CarrierDriverTBL!$A:$A,0))</f>
        <v>Tracy</v>
      </c>
      <c r="AY496" s="554" t="str">
        <f>INDEX(CarrierDriverTBL!$O:$O,MATCH(Table1[[#This Row],[DriverID]],CarrierDriverTBL!$A:$A,0))</f>
        <v>CA</v>
      </c>
      <c r="AZ496" s="554">
        <f>INDEX(CarrierDriverTBL!$P:$P,MATCH(Table1[[#This Row],[DriverID]],CarrierDriverTBL!$A:$A,0))</f>
        <v>95377</v>
      </c>
      <c r="BA496" s="554" t="str">
        <f>INDEX(CarrierDriverTBL!$Q:$Q,MATCH(Table1[[#This Row],[DriverID]],CarrierDriverTBL!$A:$A,0))</f>
        <v>US</v>
      </c>
      <c r="BB496" s="554" t="str">
        <f>INDEX(CarrierDriverTBL!$R:$R,MATCH(Table1[[#This Row],[DriverID]],CarrierDriverTBL!$A:$A,0))</f>
        <v>ubgollc@gmail.com</v>
      </c>
      <c r="BC496" s="556">
        <f>INDEX(CarrierDriverTBL!$AB:$AB,MATCH(Table1[[#This Row],[DriverID]],CarrierDriverTBL!$A:$A,0))</f>
        <v>42167</v>
      </c>
      <c r="BD496" s="555" t="str">
        <f ca="1">INDEX(CarrierDriverTBL!$AD:$AD,MATCH(LoadMaster!$AN:$AN,CarrierDriverTBL!$A:$A,0))</f>
        <v>MISSING</v>
      </c>
      <c r="BE496" s="555">
        <f>INDEX(CarrierDriverTBL!$AE:$AE,MATCH(Table1[DriverID],CarrierDriverTBL!$A:$A,0))</f>
        <v>913971</v>
      </c>
      <c r="BF496" s="554">
        <f>INDEX(CarrierDriverTBL!$AF:$AF,MATCH(Table1[DriverID],CarrierDriverTBL!$A:$A,0))</f>
        <v>2627544</v>
      </c>
      <c r="BG496" s="236">
        <f>INDEX(CarrierDriverTBL!$AG:$AG,MATCH(Table1[DriverID],CarrierDriverTBL!$A:$A,0))</f>
        <v>466133</v>
      </c>
      <c r="BH496" s="554" t="str">
        <f>INDEX(CarrierDriverTBL!$AH:$AH,MATCH(Table1[DriverID],CarrierDriverTBL!$A:$A,0))</f>
        <v>GM Lawrence Ins</v>
      </c>
      <c r="BI496" s="554" t="str">
        <f>INDEX(CarrierDriverTBL!$AI:$AI,MATCH(Table1[DriverID],CarrierDriverTBL!$A:$A,0))</f>
        <v>DSK2842P160210</v>
      </c>
      <c r="BJ496" s="556">
        <f>INDEX(CarrierDriverTBL!$AJ:$AJ,MATCH(Table1[[#This Row],[DriverID]],CarrierDriverTBL!$A:$A,0))</f>
        <v>42778</v>
      </c>
      <c r="BK496" s="554">
        <f t="shared" si="195"/>
        <v>237</v>
      </c>
      <c r="BL496" s="558">
        <v>650</v>
      </c>
      <c r="BM496" s="554">
        <v>236</v>
      </c>
      <c r="BN496" s="558">
        <f t="shared" ref="BN496:BN506" si="284">BL496/BM496</f>
        <v>2.7542372881355934</v>
      </c>
      <c r="BO496" s="241">
        <f>0.93*650</f>
        <v>604.5</v>
      </c>
      <c r="BP496" s="558">
        <f t="shared" ref="BP496:BP506" si="285">BO496/BM496</f>
        <v>2.5614406779661016</v>
      </c>
      <c r="BQ496" s="558">
        <v>2.75</v>
      </c>
      <c r="BR496" s="559">
        <f t="shared" ref="BR496:BR506" si="286">(BQ496-1.9)/6</f>
        <v>0.14166666666666669</v>
      </c>
      <c r="BS496" s="558">
        <f t="shared" ref="BS496:BS506" si="287">BP496-BR496</f>
        <v>2.419774011299435</v>
      </c>
      <c r="BT496" s="558">
        <f t="shared" ref="BT496:BT506" si="288">BM496*BR496</f>
        <v>33.433333333333337</v>
      </c>
      <c r="BU496" s="236" t="str">
        <f t="shared" si="198"/>
        <v>Globaltranz</v>
      </c>
      <c r="BV496" s="554"/>
      <c r="BW496" s="236" t="str">
        <f>Table1[[#This Row],[BrokerAddress]]</f>
        <v>PO Box 6348</v>
      </c>
      <c r="BX496" s="236" t="str">
        <f t="shared" si="199"/>
        <v>Scottsdale</v>
      </c>
      <c r="BY496" s="269" t="str">
        <f t="shared" si="200"/>
        <v>Az</v>
      </c>
      <c r="BZ496" s="236">
        <f t="shared" si="201"/>
        <v>85258</v>
      </c>
      <c r="CA496" s="236" t="str">
        <f t="shared" si="202"/>
        <v>US</v>
      </c>
      <c r="CB496" s="15" t="s">
        <v>131</v>
      </c>
      <c r="CC496" s="561"/>
      <c r="CD496" s="15" t="s">
        <v>132</v>
      </c>
      <c r="CE496" s="64">
        <v>0</v>
      </c>
      <c r="CF496" s="4">
        <v>0</v>
      </c>
      <c r="CG496" s="132">
        <f t="shared" ref="CG496" si="289">CE496*CF496</f>
        <v>0</v>
      </c>
      <c r="CH496" s="4" t="s">
        <v>132</v>
      </c>
      <c r="CI496" s="5">
        <v>0</v>
      </c>
      <c r="CJ496" s="4">
        <v>0</v>
      </c>
      <c r="CK496" s="132">
        <f t="shared" ref="CK496" si="290">CI496*CJ496</f>
        <v>0</v>
      </c>
      <c r="CL496" s="4" t="s">
        <v>132</v>
      </c>
      <c r="CM496" s="5">
        <v>0</v>
      </c>
      <c r="CN496" s="4">
        <v>0</v>
      </c>
      <c r="CO496" s="132">
        <f t="shared" ref="CO496" si="291">CM496*CN496</f>
        <v>0</v>
      </c>
      <c r="CP496" s="4" t="s">
        <v>132</v>
      </c>
      <c r="CQ496" s="5">
        <v>0</v>
      </c>
      <c r="CR496" s="4">
        <v>0</v>
      </c>
      <c r="CS496" s="132">
        <f t="shared" ref="CS496" si="292">CQ496*CR496</f>
        <v>0</v>
      </c>
      <c r="CT496" s="132">
        <f t="shared" ref="CT496" si="293">CG496+CK496+CO496+CS496</f>
        <v>0</v>
      </c>
      <c r="CU496" s="238">
        <f t="shared" ref="CU496:CU506" si="294">(CT496+BL496)-CC496</f>
        <v>650</v>
      </c>
      <c r="CV496" s="239">
        <f t="shared" ref="CV496:CV506" si="295">IF(AO496="Albel",(CT496*1),(CT496*0.93))</f>
        <v>0</v>
      </c>
      <c r="CW496" s="240">
        <f t="shared" ref="CW496:CW506" si="296">BO496+CV496</f>
        <v>604.5</v>
      </c>
      <c r="CX496" s="79">
        <f>IF(ISBLANK(E496),"AddQuickPay",IF(E496=2,CU496*0.98,IF(E496=2.4,CU496*0.976,IF(E496=3,CU496*0.97,IF(E496=5,CU496*0.95,IF(E496=1.5,CU496*0.985,IF(E496=2.5,CU496*0.975,IF(E496=1.3,CU496*0.987,IF(E496=1,CU496*0.99,IF(E496=4,CU496*0.96,CU496*1))))))))))-Table1[[#This Row],[ComCheck+QuickPayFee]]</f>
        <v>624</v>
      </c>
      <c r="CY496" s="237">
        <f t="shared" ref="CY496:CY506" si="297">CU496-CW496</f>
        <v>45.5</v>
      </c>
      <c r="CZ496" s="237">
        <f t="shared" si="210"/>
        <v>26</v>
      </c>
      <c r="DA496" s="263">
        <f>Table1[[#This Row],[OriginalDispatch]]-Table1[[#This Row],[QuickPayCharge]]</f>
        <v>19.5</v>
      </c>
      <c r="DB496" s="5">
        <v>0</v>
      </c>
      <c r="DC496" s="237" t="s">
        <v>133</v>
      </c>
      <c r="DD496" s="549">
        <f t="shared" si="211"/>
        <v>42545</v>
      </c>
      <c r="DE496" s="554">
        <f>MONTH(Table1[[#This Row],[Weekending]])</f>
        <v>6</v>
      </c>
      <c r="DF496" s="554">
        <f>YEAR(Table1[[#This Row],[Weekending]])</f>
        <v>2016</v>
      </c>
      <c r="DG496" s="235"/>
    </row>
    <row r="497" spans="1:111">
      <c r="A497" s="416" t="str">
        <f t="shared" si="193"/>
        <v>60ngwn93</v>
      </c>
      <c r="B497" s="549">
        <v>42543</v>
      </c>
      <c r="C497" s="415">
        <v>23460</v>
      </c>
      <c r="D497" s="416" t="s">
        <v>3207</v>
      </c>
      <c r="E497" s="15">
        <v>0</v>
      </c>
      <c r="F497" s="144" t="str">
        <f>INDEX(BrokerTBL!$B:$B,MATCH(D497,BrokerTBL!$A:$A,0))</f>
        <v>65 Orville Drive</v>
      </c>
      <c r="G497" s="15" t="str">
        <f>INDEX(BrokerTBL!$C:$C,MATCH(D497,BrokerTBL!$A:$A,0))</f>
        <v>Bohemia</v>
      </c>
      <c r="H497" s="4" t="str">
        <f>INDEX(BrokerTBL!$D:$D,MATCH(D497,BrokerTBL!$A:$A,0))</f>
        <v>NY</v>
      </c>
      <c r="I497" s="4" t="str">
        <f>INDEX(BrokerTBL!$E:$E,MATCH(D497,BrokerTBL!$A:$A,0))</f>
        <v>US</v>
      </c>
      <c r="J497" s="4">
        <f>INDEX(BrokerTBL!$F:$F,MATCH(D497,BrokerTBL!$A:$A,0))</f>
        <v>11716</v>
      </c>
      <c r="K497" s="416" t="s">
        <v>3208</v>
      </c>
      <c r="L497" s="81" t="s">
        <v>1309</v>
      </c>
      <c r="M497" s="104">
        <v>42538</v>
      </c>
      <c r="N497" s="15" t="s">
        <v>123</v>
      </c>
      <c r="O497" s="384" t="s">
        <v>3209</v>
      </c>
      <c r="P497" s="384" t="s">
        <v>2451</v>
      </c>
      <c r="Q497" s="416" t="s">
        <v>2233</v>
      </c>
      <c r="R497" s="416">
        <v>89431</v>
      </c>
      <c r="S497" s="416" t="s">
        <v>2207</v>
      </c>
      <c r="T497" s="416" t="s">
        <v>123</v>
      </c>
      <c r="U497" s="416" t="s">
        <v>120</v>
      </c>
      <c r="V497" s="416">
        <v>53</v>
      </c>
      <c r="W497" s="416" t="s">
        <v>1205</v>
      </c>
      <c r="X497" s="225" t="s">
        <v>123</v>
      </c>
      <c r="Y497" s="15" t="s">
        <v>123</v>
      </c>
      <c r="Z497" s="416" t="s">
        <v>123</v>
      </c>
      <c r="AA497" s="416" t="s">
        <v>123</v>
      </c>
      <c r="AB497" s="416" t="s">
        <v>123</v>
      </c>
      <c r="AC497" s="384" t="s">
        <v>3210</v>
      </c>
      <c r="AD497" s="81" t="s">
        <v>1205</v>
      </c>
      <c r="AE497" s="386">
        <v>42538</v>
      </c>
      <c r="AF497" s="104" t="s">
        <v>123</v>
      </c>
      <c r="AG497" s="384" t="s">
        <v>3211</v>
      </c>
      <c r="AH497" s="416" t="s">
        <v>3212</v>
      </c>
      <c r="AI497" s="416" t="s">
        <v>2206</v>
      </c>
      <c r="AJ497" s="416">
        <v>95380</v>
      </c>
      <c r="AK497" s="416" t="s">
        <v>2207</v>
      </c>
      <c r="AL497" s="416" t="s">
        <v>123</v>
      </c>
      <c r="AM497" s="171" t="str">
        <f>INDEX(CarrierDriverTBL!$B:$B,MATCH(Table1[[#This Row],[DriverID]],CarrierDriverTBL!$A:$A,0))</f>
        <v>UBTrucking</v>
      </c>
      <c r="AN497" s="10" t="s">
        <v>2234</v>
      </c>
      <c r="AO497" s="2" t="str">
        <f>INDEX(CarrierDriverTBL!$C:$C,MATCH(Table1[[#This Row],[DriverID]],CarrierDriverTBL!$A:$A,0))</f>
        <v>Arturo</v>
      </c>
      <c r="AP497" s="2" t="str">
        <f>INDEX(CarrierDriverTBL!$D:$D,MATCH(Table1[[#This Row],[DriverID]],CarrierDriverTBL!$A:$A,0))</f>
        <v>Carrillo</v>
      </c>
      <c r="AQ497" s="2" t="str">
        <f>INDEX(CarrierDriverTBL!$X:$X,MATCH(Table1[[#This Row],[DriverID]],CarrierDriverTBL!$A:$A,0))</f>
        <v>C7056793</v>
      </c>
      <c r="AR497" s="172">
        <f>INDEX(CarrierDriverTBL!$Y:$Y,MATCH(Table1[[#This Row],[DriverID]],CarrierDriverTBL!$A:$A,0))</f>
        <v>43410</v>
      </c>
      <c r="AS497" s="171" t="str">
        <f t="shared" si="194"/>
        <v>GOOD</v>
      </c>
      <c r="AT497" s="172">
        <f>INDEX(CarrierDriverTBL!$E:$E,MATCH(Table1[[#This Row],[DriverID]],CarrierDriverTBL!$A:$A,0))</f>
        <v>24782</v>
      </c>
      <c r="AU497" s="277">
        <f ca="1">INDEX(CarrierDriverTBL!$F:$F,MATCH(Table1[[#This Row],[DriverID]],CarrierDriverTBL!$A:$A,0))</f>
        <v>48.750684931506846</v>
      </c>
      <c r="AV497" s="171" t="str">
        <f>INDEX(CarrierDriverTBL!$K:$K,MATCH(Table1[[#This Row],[DriverID]],CarrierDriverTBL!$A:$A,0))</f>
        <v>209-276-9785</v>
      </c>
      <c r="AW497" s="171" t="str">
        <f>INDEX(CarrierDriverTBL!$M:$M,MATCH(Table1[[#This Row],[DriverID]],CarrierDriverTBL!$A:$A,0))</f>
        <v>1685 Winthrop Ln</v>
      </c>
      <c r="AX497" s="171" t="str">
        <f>INDEX(CarrierDriverTBL!$N:$N,MATCH(Table1[[#This Row],[DriverID]],CarrierDriverTBL!$A:$A,0))</f>
        <v>Ceres</v>
      </c>
      <c r="AY497" s="171" t="str">
        <f>INDEX(CarrierDriverTBL!$O:$O,MATCH(Table1[[#This Row],[DriverID]],CarrierDriverTBL!$A:$A,0))</f>
        <v>CA</v>
      </c>
      <c r="AZ497" s="171">
        <f>INDEX(CarrierDriverTBL!$P:$P,MATCH(Table1[[#This Row],[DriverID]],CarrierDriverTBL!$A:$A,0))</f>
        <v>95307</v>
      </c>
      <c r="BA497" s="171" t="str">
        <f>INDEX(CarrierDriverTBL!$Q:$Q,MATCH(Table1[[#This Row],[DriverID]],CarrierDriverTBL!$A:$A,0))</f>
        <v>US</v>
      </c>
      <c r="BB497" s="171" t="str">
        <f>INDEX(CarrierDriverTBL!$R:$R,MATCH(Table1[[#This Row],[DriverID]],CarrierDriverTBL!$A:$A,0))</f>
        <v>arturocarr777@gmail.com</v>
      </c>
      <c r="BC497" s="172">
        <f>INDEX(CarrierDriverTBL!$AB:$AB,MATCH(Table1[[#This Row],[DriverID]],CarrierDriverTBL!$A:$A,0))</f>
        <v>42418</v>
      </c>
      <c r="BD497" s="2" t="str">
        <f ca="1">INDEX(CarrierDriverTBL!$AD:$AD,MATCH(LoadMaster!$AN:$AN,CarrierDriverTBL!$A:$A,0))</f>
        <v>MISSING</v>
      </c>
      <c r="BE497" s="2">
        <f>INDEX(CarrierDriverTBL!$AE:$AE,MATCH(Table1[DriverID],CarrierDriverTBL!$A:$A,0))</f>
        <v>913971</v>
      </c>
      <c r="BF497" s="171">
        <f>INDEX(CarrierDriverTBL!$AF:$AF,MATCH(Table1[DriverID],CarrierDriverTBL!$A:$A,0))</f>
        <v>2627544</v>
      </c>
      <c r="BG497" s="10">
        <f>INDEX(CarrierDriverTBL!$AG:$AG,MATCH(Table1[DriverID],CarrierDriverTBL!$A:$A,0))</f>
        <v>466133</v>
      </c>
      <c r="BH497" s="171" t="str">
        <f>INDEX(CarrierDriverTBL!$AH:$AH,MATCH(Table1[DriverID],CarrierDriverTBL!$A:$A,0))</f>
        <v>GM Lawrence Ins</v>
      </c>
      <c r="BI497" s="171" t="str">
        <f>INDEX(CarrierDriverTBL!$AI:$AI,MATCH(Table1[DriverID],CarrierDriverTBL!$A:$A,0))</f>
        <v>DSK2842P160210</v>
      </c>
      <c r="BJ497" s="172">
        <f>INDEX(CarrierDriverTBL!$AJ:$AJ,MATCH(Table1[[#This Row],[DriverID]],CarrierDriverTBL!$A:$A,0))</f>
        <v>42778</v>
      </c>
      <c r="BK497" s="171">
        <f t="shared" si="195"/>
        <v>240</v>
      </c>
      <c r="BL497" s="133">
        <v>450</v>
      </c>
      <c r="BM497" s="171">
        <v>218</v>
      </c>
      <c r="BN497" s="133">
        <f t="shared" si="284"/>
        <v>2.0642201834862384</v>
      </c>
      <c r="BO497" s="134">
        <f>0.93*450</f>
        <v>418.5</v>
      </c>
      <c r="BP497" s="133">
        <f t="shared" si="285"/>
        <v>1.9197247706422018</v>
      </c>
      <c r="BQ497" s="558">
        <v>2.75</v>
      </c>
      <c r="BR497" s="215">
        <f t="shared" si="286"/>
        <v>0.14166666666666669</v>
      </c>
      <c r="BS497" s="133">
        <f t="shared" si="287"/>
        <v>1.7780581039755352</v>
      </c>
      <c r="BT497" s="133">
        <f t="shared" si="288"/>
        <v>30.88333333333334</v>
      </c>
      <c r="BU497" s="10" t="str">
        <f t="shared" si="198"/>
        <v>GMGTRANSWEST</v>
      </c>
      <c r="BV497" s="171"/>
      <c r="BW497" s="10" t="str">
        <f>Table1[[#This Row],[BrokerAddress]]</f>
        <v>65 Orville Drive</v>
      </c>
      <c r="BX497" s="10" t="str">
        <f t="shared" si="199"/>
        <v>Bohemia</v>
      </c>
      <c r="BY497" s="278" t="str">
        <f t="shared" si="200"/>
        <v>NY</v>
      </c>
      <c r="BZ497" s="10">
        <f t="shared" si="201"/>
        <v>11716</v>
      </c>
      <c r="CA497" s="10" t="str">
        <f t="shared" si="202"/>
        <v>US</v>
      </c>
      <c r="CB497" s="15" t="s">
        <v>131</v>
      </c>
      <c r="CC497" s="561"/>
      <c r="CD497" s="15" t="s">
        <v>132</v>
      </c>
      <c r="CE497" s="64">
        <v>0</v>
      </c>
      <c r="CF497" s="4">
        <v>0</v>
      </c>
      <c r="CG497" s="132">
        <f t="shared" ref="CG497" si="298">CE497*CF497</f>
        <v>0</v>
      </c>
      <c r="CH497" s="4" t="s">
        <v>132</v>
      </c>
      <c r="CI497" s="5">
        <v>0</v>
      </c>
      <c r="CJ497" s="4">
        <v>0</v>
      </c>
      <c r="CK497" s="132">
        <f t="shared" ref="CK497" si="299">CI497*CJ497</f>
        <v>0</v>
      </c>
      <c r="CL497" s="4" t="s">
        <v>132</v>
      </c>
      <c r="CM497" s="5">
        <v>0</v>
      </c>
      <c r="CN497" s="4">
        <v>0</v>
      </c>
      <c r="CO497" s="132">
        <f t="shared" ref="CO497" si="300">CM497*CN497</f>
        <v>0</v>
      </c>
      <c r="CP497" s="4" t="s">
        <v>132</v>
      </c>
      <c r="CQ497" s="5">
        <v>0</v>
      </c>
      <c r="CR497" s="4">
        <v>0</v>
      </c>
      <c r="CS497" s="132">
        <f t="shared" ref="CS497" si="301">CQ497*CR497</f>
        <v>0</v>
      </c>
      <c r="CT497" s="132">
        <f t="shared" ref="CT497" si="302">CG497+CK497+CO497+CS497</f>
        <v>0</v>
      </c>
      <c r="CU497" s="168">
        <f t="shared" si="294"/>
        <v>450</v>
      </c>
      <c r="CV497" s="177">
        <f t="shared" si="295"/>
        <v>0</v>
      </c>
      <c r="CW497" s="82">
        <f t="shared" si="296"/>
        <v>418.5</v>
      </c>
      <c r="CX497" s="79">
        <f>IF(ISBLANK(E497),"AddQuickPay",IF(E497=2,CU497*0.98,IF(E497=2.4,CU497*0.976,IF(E497=3,CU497*0.97,IF(E497=5,CU497*0.95,IF(E497=1.5,CU497*0.985,IF(E497=2.5,CU497*0.975,IF(E497=1.3,CU497*0.987,IF(E497=1,CU497*0.99,IF(E497=4,CU497*0.96,CU497*1))))))))))-Table1[[#This Row],[ComCheck+QuickPayFee]]</f>
        <v>450</v>
      </c>
      <c r="CY497" s="5">
        <f t="shared" si="297"/>
        <v>31.5</v>
      </c>
      <c r="CZ497" s="5">
        <f t="shared" si="210"/>
        <v>0</v>
      </c>
      <c r="DA497" s="258">
        <f>Table1[[#This Row],[OriginalDispatch]]-Table1[[#This Row],[QuickPayCharge]]</f>
        <v>31.5</v>
      </c>
      <c r="DB497" s="5">
        <v>0</v>
      </c>
      <c r="DC497" s="237" t="s">
        <v>133</v>
      </c>
      <c r="DD497" s="104">
        <f t="shared" si="211"/>
        <v>42538</v>
      </c>
      <c r="DE497" s="171">
        <f>MONTH(Table1[[#This Row],[Weekending]])</f>
        <v>6</v>
      </c>
      <c r="DF497" s="171">
        <f>YEAR(Table1[[#This Row],[Weekending]])</f>
        <v>2016</v>
      </c>
      <c r="DG497" s="4"/>
    </row>
    <row r="498" spans="1:111">
      <c r="A498" s="548" t="str">
        <f t="shared" si="193"/>
        <v>2688wn93</v>
      </c>
      <c r="B498" s="549">
        <v>42547</v>
      </c>
      <c r="C498" s="561">
        <v>291214766930126</v>
      </c>
      <c r="D498" s="548" t="s">
        <v>951</v>
      </c>
      <c r="E498" s="550">
        <v>2</v>
      </c>
      <c r="F498" s="551" t="str">
        <f>INDEX(BrokerTBL!$B:$B,MATCH(D498,BrokerTBL!$A:$A,0))</f>
        <v>2000 Clearwater Drive</v>
      </c>
      <c r="G498" s="550" t="str">
        <f>INDEX(BrokerTBL!$C:$C,MATCH(D498,BrokerTBL!$A:$A,0))</f>
        <v>Oak Brook</v>
      </c>
      <c r="H498" s="235" t="str">
        <f>INDEX(BrokerTBL!$D:$D,MATCH(D498,BrokerTBL!$A:$A,0))</f>
        <v>Il</v>
      </c>
      <c r="I498" s="235" t="str">
        <f>INDEX(BrokerTBL!$E:$E,MATCH(D498,BrokerTBL!$A:$A,0))</f>
        <v>US</v>
      </c>
      <c r="J498" s="235">
        <f>INDEX(BrokerTBL!$F:$F,MATCH(D498,BrokerTBL!$A:$A,0))</f>
        <v>60523</v>
      </c>
      <c r="K498" s="548" t="s">
        <v>3213</v>
      </c>
      <c r="L498" s="552">
        <v>85085588</v>
      </c>
      <c r="M498" s="549">
        <v>42542</v>
      </c>
      <c r="N498" s="560" t="s">
        <v>3214</v>
      </c>
      <c r="O498" s="550" t="s">
        <v>3215</v>
      </c>
      <c r="P498" s="548" t="s">
        <v>2625</v>
      </c>
      <c r="Q498" s="548" t="s">
        <v>2206</v>
      </c>
      <c r="R498" s="548">
        <v>94545</v>
      </c>
      <c r="S498" s="548" t="s">
        <v>2207</v>
      </c>
      <c r="T498" s="548" t="s">
        <v>3216</v>
      </c>
      <c r="U498" s="548" t="s">
        <v>120</v>
      </c>
      <c r="V498" s="548">
        <v>53</v>
      </c>
      <c r="W498" s="548" t="s">
        <v>3217</v>
      </c>
      <c r="X498" s="553">
        <v>38262</v>
      </c>
      <c r="Y498" s="550" t="s">
        <v>566</v>
      </c>
      <c r="Z498" s="548">
        <v>6</v>
      </c>
      <c r="AA498" s="548" t="s">
        <v>123</v>
      </c>
      <c r="AB498" s="548" t="s">
        <v>123</v>
      </c>
      <c r="AC498" s="548" t="s">
        <v>3218</v>
      </c>
      <c r="AD498" s="552" t="s">
        <v>1205</v>
      </c>
      <c r="AE498" s="549">
        <v>42543</v>
      </c>
      <c r="AF498" s="549" t="s">
        <v>2643</v>
      </c>
      <c r="AG498" s="548" t="s">
        <v>3219</v>
      </c>
      <c r="AH498" s="548" t="s">
        <v>2466</v>
      </c>
      <c r="AI498" s="548" t="s">
        <v>2233</v>
      </c>
      <c r="AJ498" s="548">
        <v>89506</v>
      </c>
      <c r="AK498" s="548" t="s">
        <v>2207</v>
      </c>
      <c r="AL498" s="548" t="s">
        <v>3220</v>
      </c>
      <c r="AM498" s="554" t="str">
        <f>INDEX(CarrierDriverTBL!$B:$B,MATCH(Table1[[#This Row],[DriverID]],CarrierDriverTBL!$A:$A,0))</f>
        <v>UBTrucking</v>
      </c>
      <c r="AN498" s="10" t="s">
        <v>2234</v>
      </c>
      <c r="AO498" s="555" t="str">
        <f>INDEX(CarrierDriverTBL!$C:$C,MATCH(Table1[[#This Row],[DriverID]],CarrierDriverTBL!$A:$A,0))</f>
        <v>Arturo</v>
      </c>
      <c r="AP498" s="555" t="str">
        <f>INDEX(CarrierDriverTBL!$D:$D,MATCH(Table1[[#This Row],[DriverID]],CarrierDriverTBL!$A:$A,0))</f>
        <v>Carrillo</v>
      </c>
      <c r="AQ498" s="555" t="str">
        <f>INDEX(CarrierDriverTBL!$X:$X,MATCH(Table1[[#This Row],[DriverID]],CarrierDriverTBL!$A:$A,0))</f>
        <v>C7056793</v>
      </c>
      <c r="AR498" s="556">
        <f>INDEX(CarrierDriverTBL!$Y:$Y,MATCH(Table1[[#This Row],[DriverID]],CarrierDriverTBL!$A:$A,0))</f>
        <v>43410</v>
      </c>
      <c r="AS498" s="554" t="str">
        <f t="shared" si="194"/>
        <v>GOOD</v>
      </c>
      <c r="AT498" s="556">
        <f>INDEX(CarrierDriverTBL!$E:$E,MATCH(Table1[[#This Row],[DriverID]],CarrierDriverTBL!$A:$A,0))</f>
        <v>24782</v>
      </c>
      <c r="AU498" s="557">
        <f ca="1">INDEX(CarrierDriverTBL!$F:$F,MATCH(Table1[[#This Row],[DriverID]],CarrierDriverTBL!$A:$A,0))</f>
        <v>48.750684931506846</v>
      </c>
      <c r="AV498" s="554" t="str">
        <f>INDEX(CarrierDriverTBL!$K:$K,MATCH(Table1[[#This Row],[DriverID]],CarrierDriverTBL!$A:$A,0))</f>
        <v>209-276-9785</v>
      </c>
      <c r="AW498" s="554" t="str">
        <f>INDEX(CarrierDriverTBL!$M:$M,MATCH(Table1[[#This Row],[DriverID]],CarrierDriverTBL!$A:$A,0))</f>
        <v>1685 Winthrop Ln</v>
      </c>
      <c r="AX498" s="554" t="str">
        <f>INDEX(CarrierDriverTBL!$N:$N,MATCH(Table1[[#This Row],[DriverID]],CarrierDriverTBL!$A:$A,0))</f>
        <v>Ceres</v>
      </c>
      <c r="AY498" s="554" t="str">
        <f>INDEX(CarrierDriverTBL!$O:$O,MATCH(Table1[[#This Row],[DriverID]],CarrierDriverTBL!$A:$A,0))</f>
        <v>CA</v>
      </c>
      <c r="AZ498" s="554">
        <f>INDEX(CarrierDriverTBL!$P:$P,MATCH(Table1[[#This Row],[DriverID]],CarrierDriverTBL!$A:$A,0))</f>
        <v>95307</v>
      </c>
      <c r="BA498" s="554" t="str">
        <f>INDEX(CarrierDriverTBL!$Q:$Q,MATCH(Table1[[#This Row],[DriverID]],CarrierDriverTBL!$A:$A,0))</f>
        <v>US</v>
      </c>
      <c r="BB498" s="554" t="str">
        <f>INDEX(CarrierDriverTBL!$R:$R,MATCH(Table1[[#This Row],[DriverID]],CarrierDriverTBL!$A:$A,0))</f>
        <v>arturocarr777@gmail.com</v>
      </c>
      <c r="BC498" s="556">
        <f>INDEX(CarrierDriverTBL!$AB:$AB,MATCH(Table1[[#This Row],[DriverID]],CarrierDriverTBL!$A:$A,0))</f>
        <v>42418</v>
      </c>
      <c r="BD498" s="555" t="str">
        <f ca="1">INDEX(CarrierDriverTBL!$AD:$AD,MATCH(LoadMaster!$AN:$AN,CarrierDriverTBL!$A:$A,0))</f>
        <v>MISSING</v>
      </c>
      <c r="BE498" s="555">
        <f>INDEX(CarrierDriverTBL!$AE:$AE,MATCH(Table1[DriverID],CarrierDriverTBL!$A:$A,0))</f>
        <v>913971</v>
      </c>
      <c r="BF498" s="554">
        <f>INDEX(CarrierDriverTBL!$AF:$AF,MATCH(Table1[DriverID],CarrierDriverTBL!$A:$A,0))</f>
        <v>2627544</v>
      </c>
      <c r="BG498" s="236">
        <f>INDEX(CarrierDriverTBL!$AG:$AG,MATCH(Table1[DriverID],CarrierDriverTBL!$A:$A,0))</f>
        <v>466133</v>
      </c>
      <c r="BH498" s="554" t="str">
        <f>INDEX(CarrierDriverTBL!$AH:$AH,MATCH(Table1[DriverID],CarrierDriverTBL!$A:$A,0))</f>
        <v>GM Lawrence Ins</v>
      </c>
      <c r="BI498" s="554" t="str">
        <f>INDEX(CarrierDriverTBL!$AI:$AI,MATCH(Table1[DriverID],CarrierDriverTBL!$A:$A,0))</f>
        <v>DSK2842P160210</v>
      </c>
      <c r="BJ498" s="556">
        <f>INDEX(CarrierDriverTBL!$AJ:$AJ,MATCH(Table1[[#This Row],[DriverID]],CarrierDriverTBL!$A:$A,0))</f>
        <v>42778</v>
      </c>
      <c r="BK498" s="554">
        <f t="shared" si="195"/>
        <v>236</v>
      </c>
      <c r="BL498" s="558">
        <v>800</v>
      </c>
      <c r="BM498" s="554">
        <v>226.8</v>
      </c>
      <c r="BN498" s="558">
        <f t="shared" si="284"/>
        <v>3.5273368606701938</v>
      </c>
      <c r="BO498" s="241">
        <f>0.93*800</f>
        <v>744</v>
      </c>
      <c r="BP498" s="558">
        <f t="shared" si="285"/>
        <v>3.2804232804232805</v>
      </c>
      <c r="BQ498" s="558">
        <v>2.75</v>
      </c>
      <c r="BR498" s="559">
        <f t="shared" si="286"/>
        <v>0.14166666666666669</v>
      </c>
      <c r="BS498" s="558">
        <f t="shared" si="287"/>
        <v>3.1387566137566139</v>
      </c>
      <c r="BT498" s="558">
        <f t="shared" si="288"/>
        <v>32.13000000000001</v>
      </c>
      <c r="BU498" s="236" t="str">
        <f t="shared" si="198"/>
        <v>Hub Group Inc</v>
      </c>
      <c r="BV498" s="554"/>
      <c r="BW498" s="236" t="str">
        <f>Table1[[#This Row],[BrokerAddress]]</f>
        <v>2000 Clearwater Drive</v>
      </c>
      <c r="BX498" s="236" t="str">
        <f t="shared" si="199"/>
        <v>Oak Brook</v>
      </c>
      <c r="BY498" s="269" t="str">
        <f t="shared" si="200"/>
        <v>Il</v>
      </c>
      <c r="BZ498" s="236">
        <f t="shared" si="201"/>
        <v>60523</v>
      </c>
      <c r="CA498" s="236" t="str">
        <f t="shared" si="202"/>
        <v>US</v>
      </c>
      <c r="CB498" s="15" t="s">
        <v>131</v>
      </c>
      <c r="CC498" s="561"/>
      <c r="CD498" s="15" t="s">
        <v>132</v>
      </c>
      <c r="CE498" s="64">
        <v>0</v>
      </c>
      <c r="CF498" s="4">
        <v>0</v>
      </c>
      <c r="CG498" s="132">
        <f t="shared" ref="CG498" si="303">CE498*CF498</f>
        <v>0</v>
      </c>
      <c r="CH498" s="4" t="s">
        <v>132</v>
      </c>
      <c r="CI498" s="5">
        <v>0</v>
      </c>
      <c r="CJ498" s="4">
        <v>0</v>
      </c>
      <c r="CK498" s="132">
        <f t="shared" ref="CK498" si="304">CI498*CJ498</f>
        <v>0</v>
      </c>
      <c r="CL498" s="4" t="s">
        <v>132</v>
      </c>
      <c r="CM498" s="5">
        <v>0</v>
      </c>
      <c r="CN498" s="4">
        <v>0</v>
      </c>
      <c r="CO498" s="132">
        <f t="shared" ref="CO498" si="305">CM498*CN498</f>
        <v>0</v>
      </c>
      <c r="CP498" s="4" t="s">
        <v>132</v>
      </c>
      <c r="CQ498" s="5">
        <v>0</v>
      </c>
      <c r="CR498" s="4">
        <v>0</v>
      </c>
      <c r="CS498" s="132">
        <f t="shared" ref="CS498" si="306">CQ498*CR498</f>
        <v>0</v>
      </c>
      <c r="CT498" s="132">
        <f t="shared" ref="CT498" si="307">CG498+CK498+CO498+CS498</f>
        <v>0</v>
      </c>
      <c r="CU498" s="238">
        <f t="shared" si="294"/>
        <v>800</v>
      </c>
      <c r="CV498" s="239">
        <f t="shared" si="295"/>
        <v>0</v>
      </c>
      <c r="CW498" s="240">
        <f t="shared" si="296"/>
        <v>744</v>
      </c>
      <c r="CX498" s="79">
        <f>IF(ISBLANK(E498),"AddQuickPay",IF(E498=2,CU498*0.98,IF(E498=2.4,CU498*0.976,IF(E498=3,CU498*0.97,IF(E498=5,CU498*0.95,IF(E498=1.5,CU498*0.985,IF(E498=2.5,CU498*0.975,IF(E498=1.3,CU498*0.987,IF(E498=1,CU498*0.99,IF(E498=4,CU498*0.96,CU498*1))))))))))-Table1[[#This Row],[ComCheck+QuickPayFee]]</f>
        <v>784</v>
      </c>
      <c r="CY498" s="237">
        <f t="shared" si="297"/>
        <v>56</v>
      </c>
      <c r="CZ498" s="237">
        <f t="shared" si="210"/>
        <v>16</v>
      </c>
      <c r="DA498" s="263">
        <f>Table1[[#This Row],[OriginalDispatch]]-Table1[[#This Row],[QuickPayCharge]]</f>
        <v>40</v>
      </c>
      <c r="DB498" s="5">
        <v>0</v>
      </c>
      <c r="DC498" s="237" t="s">
        <v>133</v>
      </c>
      <c r="DD498" s="549">
        <f t="shared" si="211"/>
        <v>42545</v>
      </c>
      <c r="DE498" s="554">
        <f>MONTH(Table1[[#This Row],[Weekending]])</f>
        <v>6</v>
      </c>
      <c r="DF498" s="554">
        <f>YEAR(Table1[[#This Row],[Weekending]])</f>
        <v>2016</v>
      </c>
      <c r="DG498" s="235"/>
    </row>
    <row r="499" spans="1:111">
      <c r="A499" s="548" t="str">
        <f t="shared" si="193"/>
        <v>53181849</v>
      </c>
      <c r="B499" s="549">
        <v>42547</v>
      </c>
      <c r="C499" s="550">
        <v>24813553</v>
      </c>
      <c r="D499" s="548" t="s">
        <v>2703</v>
      </c>
      <c r="E499" s="550">
        <v>2</v>
      </c>
      <c r="F499" s="551" t="str">
        <f>INDEX(BrokerTBL!$B:$B,MATCH(D499,BrokerTBL!$A:$A,0))</f>
        <v>600 W. Chicago Ave., Ste. 725</v>
      </c>
      <c r="G499" s="550" t="str">
        <f>INDEX(BrokerTBL!$C:$C,MATCH(D499,BrokerTBL!$A:$A,0))</f>
        <v>Chicago</v>
      </c>
      <c r="H499" s="235" t="str">
        <f>INDEX(BrokerTBL!$D:$D,MATCH(D499,BrokerTBL!$A:$A,0))</f>
        <v>IL</v>
      </c>
      <c r="I499" s="235" t="str">
        <f>INDEX(BrokerTBL!$E:$E,MATCH(D499,BrokerTBL!$A:$A,0))</f>
        <v>US</v>
      </c>
      <c r="J499" s="235">
        <f>INDEX(BrokerTBL!$F:$F,MATCH(D499,BrokerTBL!$A:$A,0))</f>
        <v>60654</v>
      </c>
      <c r="K499" s="548" t="s">
        <v>3221</v>
      </c>
      <c r="L499" s="552" t="s">
        <v>3222</v>
      </c>
      <c r="M499" s="549">
        <v>42542</v>
      </c>
      <c r="N499" s="560">
        <v>0.45833333333333331</v>
      </c>
      <c r="O499" s="550" t="s">
        <v>3223</v>
      </c>
      <c r="P499" s="548" t="s">
        <v>2616</v>
      </c>
      <c r="Q499" s="548" t="s">
        <v>2233</v>
      </c>
      <c r="R499" s="548">
        <v>89408</v>
      </c>
      <c r="S499" s="548" t="s">
        <v>2207</v>
      </c>
      <c r="T499" s="548">
        <v>8002649315</v>
      </c>
      <c r="U499" s="548" t="s">
        <v>120</v>
      </c>
      <c r="V499" s="548">
        <v>53</v>
      </c>
      <c r="W499" s="548" t="s">
        <v>3224</v>
      </c>
      <c r="X499" s="553">
        <v>43600</v>
      </c>
      <c r="Y499" s="550" t="s">
        <v>26</v>
      </c>
      <c r="Z499" s="548">
        <v>1722</v>
      </c>
      <c r="AA499" s="548" t="s">
        <v>123</v>
      </c>
      <c r="AB499" s="548" t="s">
        <v>123</v>
      </c>
      <c r="AC499" s="548" t="s">
        <v>3225</v>
      </c>
      <c r="AD499" s="552" t="s">
        <v>3222</v>
      </c>
      <c r="AE499" s="549">
        <v>42543</v>
      </c>
      <c r="AF499" s="549" t="s">
        <v>427</v>
      </c>
      <c r="AG499" s="548" t="s">
        <v>3226</v>
      </c>
      <c r="AH499" s="548" t="s">
        <v>3097</v>
      </c>
      <c r="AI499" s="548" t="s">
        <v>2206</v>
      </c>
      <c r="AJ499" s="548">
        <v>94804</v>
      </c>
      <c r="AK499" s="548" t="s">
        <v>2207</v>
      </c>
      <c r="AL499" s="548">
        <v>5102367424</v>
      </c>
      <c r="AM499" s="554" t="str">
        <f>INDEX(CarrierDriverTBL!$B:$B,MATCH(Table1[[#This Row],[DriverID]],CarrierDriverTBL!$A:$A,0))</f>
        <v>UBTrucking</v>
      </c>
      <c r="AN499" s="10" t="s">
        <v>192</v>
      </c>
      <c r="AO499" s="555" t="str">
        <f>INDEX(CarrierDriverTBL!$C:$C,MATCH(Table1[[#This Row],[DriverID]],CarrierDriverTBL!$A:$A,0))</f>
        <v>Albel</v>
      </c>
      <c r="AP499" s="555" t="str">
        <f>INDEX(CarrierDriverTBL!$D:$D,MATCH(Table1[[#This Row],[DriverID]],CarrierDriverTBL!$A:$A,0))</f>
        <v>Chahil</v>
      </c>
      <c r="AQ499" s="555" t="str">
        <f>INDEX(CarrierDriverTBL!$X:$X,MATCH(Table1[[#This Row],[DriverID]],CarrierDriverTBL!$A:$A,0))</f>
        <v>A8390649</v>
      </c>
      <c r="AR499" s="556">
        <f>INDEX(CarrierDriverTBL!$Y:$Y,MATCH(Table1[[#This Row],[DriverID]],CarrierDriverTBL!$A:$A,0))</f>
        <v>42402</v>
      </c>
      <c r="AS499" s="554" t="str">
        <f t="shared" si="194"/>
        <v>EXPIRED</v>
      </c>
      <c r="AT499" s="556">
        <f>INDEX(CarrierDriverTBL!$E:$E,MATCH(Table1[[#This Row],[DriverID]],CarrierDriverTBL!$A:$A,0))</f>
        <v>22314</v>
      </c>
      <c r="AU499" s="557">
        <f ca="1">INDEX(CarrierDriverTBL!$F:$F,MATCH(Table1[[#This Row],[DriverID]],CarrierDriverTBL!$A:$A,0))</f>
        <v>55.512328767123286</v>
      </c>
      <c r="AV499" s="554" t="str">
        <f>INDEX(CarrierDriverTBL!$K:$K,MATCH(Table1[[#This Row],[DriverID]],CarrierDriverTBL!$A:$A,0))</f>
        <v>510-773-9450</v>
      </c>
      <c r="AW499" s="554" t="str">
        <f>INDEX(CarrierDriverTBL!$M:$M,MATCH(Table1[[#This Row],[DriverID]],CarrierDriverTBL!$A:$A,0))</f>
        <v>3124 Cynthia CT</v>
      </c>
      <c r="AX499" s="554" t="str">
        <f>INDEX(CarrierDriverTBL!$N:$N,MATCH(Table1[[#This Row],[DriverID]],CarrierDriverTBL!$A:$A,0))</f>
        <v>Tracy</v>
      </c>
      <c r="AY499" s="554" t="str">
        <f>INDEX(CarrierDriverTBL!$O:$O,MATCH(Table1[[#This Row],[DriverID]],CarrierDriverTBL!$A:$A,0))</f>
        <v>CA</v>
      </c>
      <c r="AZ499" s="554">
        <f>INDEX(CarrierDriverTBL!$P:$P,MATCH(Table1[[#This Row],[DriverID]],CarrierDriverTBL!$A:$A,0))</f>
        <v>95377</v>
      </c>
      <c r="BA499" s="554" t="str">
        <f>INDEX(CarrierDriverTBL!$Q:$Q,MATCH(Table1[[#This Row],[DriverID]],CarrierDriverTBL!$A:$A,0))</f>
        <v>US</v>
      </c>
      <c r="BB499" s="554" t="str">
        <f>INDEX(CarrierDriverTBL!$R:$R,MATCH(Table1[[#This Row],[DriverID]],CarrierDriverTBL!$A:$A,0))</f>
        <v>ubgollc@gmail.com</v>
      </c>
      <c r="BC499" s="556">
        <f>INDEX(CarrierDriverTBL!$AB:$AB,MATCH(Table1[[#This Row],[DriverID]],CarrierDriverTBL!$A:$A,0))</f>
        <v>42167</v>
      </c>
      <c r="BD499" s="555" t="str">
        <f ca="1">INDEX(CarrierDriverTBL!$AD:$AD,MATCH(LoadMaster!$AN:$AN,CarrierDriverTBL!$A:$A,0))</f>
        <v>MISSING</v>
      </c>
      <c r="BE499" s="555">
        <f>INDEX(CarrierDriverTBL!$AE:$AE,MATCH(Table1[DriverID],CarrierDriverTBL!$A:$A,0))</f>
        <v>913971</v>
      </c>
      <c r="BF499" s="554">
        <f>INDEX(CarrierDriverTBL!$AF:$AF,MATCH(Table1[DriverID],CarrierDriverTBL!$A:$A,0))</f>
        <v>2627544</v>
      </c>
      <c r="BG499" s="236">
        <f>INDEX(CarrierDriverTBL!$AG:$AG,MATCH(Table1[DriverID],CarrierDriverTBL!$A:$A,0))</f>
        <v>466133</v>
      </c>
      <c r="BH499" s="554" t="str">
        <f>INDEX(CarrierDriverTBL!$AH:$AH,MATCH(Table1[DriverID],CarrierDriverTBL!$A:$A,0))</f>
        <v>GM Lawrence Ins</v>
      </c>
      <c r="BI499" s="554" t="str">
        <f>INDEX(CarrierDriverTBL!$AI:$AI,MATCH(Table1[DriverID],CarrierDriverTBL!$A:$A,0))</f>
        <v>DSK2842P160210</v>
      </c>
      <c r="BJ499" s="556">
        <f>INDEX(CarrierDriverTBL!$AJ:$AJ,MATCH(Table1[[#This Row],[DriverID]],CarrierDriverTBL!$A:$A,0))</f>
        <v>42778</v>
      </c>
      <c r="BK499" s="554">
        <f t="shared" si="195"/>
        <v>236</v>
      </c>
      <c r="BL499" s="558">
        <v>450</v>
      </c>
      <c r="BM499" s="554">
        <v>236.5</v>
      </c>
      <c r="BN499" s="558">
        <f t="shared" si="284"/>
        <v>1.9027484143763214</v>
      </c>
      <c r="BO499" s="241">
        <f>0.93*450</f>
        <v>418.5</v>
      </c>
      <c r="BP499" s="558">
        <f t="shared" si="285"/>
        <v>1.7695560253699789</v>
      </c>
      <c r="BQ499" s="558">
        <v>2.75</v>
      </c>
      <c r="BR499" s="559">
        <f t="shared" si="286"/>
        <v>0.14166666666666669</v>
      </c>
      <c r="BS499" s="558">
        <f t="shared" si="287"/>
        <v>1.6278893587033123</v>
      </c>
      <c r="BT499" s="558">
        <f t="shared" si="288"/>
        <v>33.50416666666667</v>
      </c>
      <c r="BU499" s="236" t="str">
        <f t="shared" si="198"/>
        <v>Echo Global Logistics Inc.</v>
      </c>
      <c r="BV499" s="554"/>
      <c r="BW499" s="236" t="str">
        <f>Table1[[#This Row],[BrokerAddress]]</f>
        <v>600 W. Chicago Ave., Ste. 725</v>
      </c>
      <c r="BX499" s="236" t="str">
        <f t="shared" si="199"/>
        <v>Chicago</v>
      </c>
      <c r="BY499" s="269" t="str">
        <f t="shared" si="200"/>
        <v>IL</v>
      </c>
      <c r="BZ499" s="236">
        <f t="shared" si="201"/>
        <v>60654</v>
      </c>
      <c r="CA499" s="236" t="str">
        <f t="shared" si="202"/>
        <v>US</v>
      </c>
      <c r="CB499" s="15" t="s">
        <v>131</v>
      </c>
      <c r="CC499" s="561"/>
      <c r="CD499" s="15" t="s">
        <v>132</v>
      </c>
      <c r="CE499" s="64">
        <v>0</v>
      </c>
      <c r="CF499" s="4">
        <v>0</v>
      </c>
      <c r="CG499" s="132">
        <f t="shared" ref="CG499" si="308">CE499*CF499</f>
        <v>0</v>
      </c>
      <c r="CH499" s="4" t="s">
        <v>132</v>
      </c>
      <c r="CI499" s="5">
        <v>0</v>
      </c>
      <c r="CJ499" s="4">
        <v>0</v>
      </c>
      <c r="CK499" s="132">
        <f t="shared" ref="CK499" si="309">CI499*CJ499</f>
        <v>0</v>
      </c>
      <c r="CL499" s="4" t="s">
        <v>132</v>
      </c>
      <c r="CM499" s="5">
        <v>0</v>
      </c>
      <c r="CN499" s="4">
        <v>0</v>
      </c>
      <c r="CO499" s="132">
        <f t="shared" ref="CO499" si="310">CM499*CN499</f>
        <v>0</v>
      </c>
      <c r="CP499" s="4" t="s">
        <v>132</v>
      </c>
      <c r="CQ499" s="5">
        <v>0</v>
      </c>
      <c r="CR499" s="4">
        <v>0</v>
      </c>
      <c r="CS499" s="132">
        <f t="shared" ref="CS499" si="311">CQ499*CR499</f>
        <v>0</v>
      </c>
      <c r="CT499" s="132">
        <f t="shared" ref="CT499" si="312">CG499+CK499+CO499+CS499</f>
        <v>0</v>
      </c>
      <c r="CU499" s="238">
        <f t="shared" si="294"/>
        <v>450</v>
      </c>
      <c r="CV499" s="239">
        <f t="shared" si="295"/>
        <v>0</v>
      </c>
      <c r="CW499" s="240">
        <f t="shared" si="296"/>
        <v>418.5</v>
      </c>
      <c r="CX499" s="79">
        <f>IF(ISBLANK(E499),"AddQuickPay",IF(E499=2,CU499*0.98,IF(E499=2.4,CU499*0.976,IF(E499=3,CU499*0.97,IF(E499=5,CU499*0.95,IF(E499=1.5,CU499*0.985,IF(E499=2.5,CU499*0.975,IF(E499=1.3,CU499*0.987,IF(E499=1,CU499*0.99,IF(E499=4,CU499*0.96,CU499*1))))))))))-Table1[[#This Row],[ComCheck+QuickPayFee]]</f>
        <v>441</v>
      </c>
      <c r="CY499" s="237">
        <f t="shared" si="297"/>
        <v>31.5</v>
      </c>
      <c r="CZ499" s="237">
        <f t="shared" si="210"/>
        <v>9</v>
      </c>
      <c r="DA499" s="263">
        <f>Table1[[#This Row],[OriginalDispatch]]-Table1[[#This Row],[QuickPayCharge]]</f>
        <v>22.5</v>
      </c>
      <c r="DB499" s="5">
        <v>0</v>
      </c>
      <c r="DC499" s="237" t="s">
        <v>133</v>
      </c>
      <c r="DD499" s="549">
        <f t="shared" si="211"/>
        <v>42545</v>
      </c>
      <c r="DE499" s="554">
        <f>MONTH(Table1[[#This Row],[Weekending]])</f>
        <v>6</v>
      </c>
      <c r="DF499" s="554">
        <f>YEAR(Table1[[#This Row],[Weekending]])</f>
        <v>2016</v>
      </c>
      <c r="DG499" s="235"/>
    </row>
    <row r="500" spans="1:111">
      <c r="A500" s="548" t="str">
        <f t="shared" si="193"/>
        <v>06ngwn19</v>
      </c>
      <c r="B500" s="549">
        <v>42547</v>
      </c>
      <c r="C500" s="550">
        <v>697806</v>
      </c>
      <c r="D500" s="548" t="s">
        <v>2775</v>
      </c>
      <c r="E500" s="550">
        <v>0</v>
      </c>
      <c r="F500" s="551" t="str">
        <f>INDEX(BrokerTBL!$B:$B,MATCH(D500,BrokerTBL!$A:$A,0))</f>
        <v>25 Northpointe Parkway, Suite 200</v>
      </c>
      <c r="G500" s="550" t="str">
        <f>INDEX(BrokerTBL!$C:$C,MATCH(D500,BrokerTBL!$A:$A,0))</f>
        <v>Amherst</v>
      </c>
      <c r="H500" s="235" t="str">
        <f>INDEX(BrokerTBL!$D:$D,MATCH(D500,BrokerTBL!$A:$A,0))</f>
        <v>NY</v>
      </c>
      <c r="I500" s="235" t="str">
        <f>INDEX(BrokerTBL!$E:$E,MATCH(D500,BrokerTBL!$A:$A,0))</f>
        <v>US</v>
      </c>
      <c r="J500" s="235">
        <f>INDEX(BrokerTBL!$F:$F,MATCH(D500,BrokerTBL!$A:$A,0))</f>
        <v>14228</v>
      </c>
      <c r="K500" s="548" t="s">
        <v>2776</v>
      </c>
      <c r="L500" s="81" t="s">
        <v>1309</v>
      </c>
      <c r="M500" s="549">
        <v>42542</v>
      </c>
      <c r="N500" s="550" t="s">
        <v>1055</v>
      </c>
      <c r="O500" s="550" t="s">
        <v>2778</v>
      </c>
      <c r="P500" s="548" t="s">
        <v>2779</v>
      </c>
      <c r="Q500" s="548" t="s">
        <v>2206</v>
      </c>
      <c r="R500" s="548">
        <v>93611</v>
      </c>
      <c r="S500" s="548" t="s">
        <v>2207</v>
      </c>
      <c r="T500" s="548" t="s">
        <v>2780</v>
      </c>
      <c r="U500" s="548" t="s">
        <v>120</v>
      </c>
      <c r="V500" s="548">
        <v>53</v>
      </c>
      <c r="W500" s="548" t="s">
        <v>2866</v>
      </c>
      <c r="X500" s="553">
        <v>35000</v>
      </c>
      <c r="Y500" s="550" t="s">
        <v>123</v>
      </c>
      <c r="Z500" s="548" t="s">
        <v>123</v>
      </c>
      <c r="AA500" s="548" t="s">
        <v>123</v>
      </c>
      <c r="AB500" s="548" t="s">
        <v>123</v>
      </c>
      <c r="AC500" s="548" t="s">
        <v>2782</v>
      </c>
      <c r="AD500" s="552" t="s">
        <v>1205</v>
      </c>
      <c r="AE500" s="549">
        <v>42543</v>
      </c>
      <c r="AF500" s="549" t="s">
        <v>1010</v>
      </c>
      <c r="AG500" s="548" t="s">
        <v>2783</v>
      </c>
      <c r="AH500" s="548" t="s">
        <v>2466</v>
      </c>
      <c r="AI500" s="548" t="s">
        <v>2206</v>
      </c>
      <c r="AJ500" s="548">
        <v>89512</v>
      </c>
      <c r="AK500" s="548" t="s">
        <v>2207</v>
      </c>
      <c r="AL500" s="548" t="s">
        <v>2784</v>
      </c>
      <c r="AM500" s="554" t="str">
        <f>INDEX(CarrierDriverTBL!$B:$B,MATCH(Table1[[#This Row],[DriverID]],CarrierDriverTBL!$A:$A,0))</f>
        <v>UBTrucking</v>
      </c>
      <c r="AN500" s="10" t="s">
        <v>1409</v>
      </c>
      <c r="AO500" s="555" t="str">
        <f>INDEX(CarrierDriverTBL!$C:$C,MATCH(Table1[[#This Row],[DriverID]],CarrierDriverTBL!$A:$A,0))</f>
        <v>Miguel Jaime</v>
      </c>
      <c r="AP500" s="555" t="str">
        <f>INDEX(CarrierDriverTBL!$D:$D,MATCH(Table1[[#This Row],[DriverID]],CarrierDriverTBL!$A:$A,0))</f>
        <v>Martin Del Campo Velarca</v>
      </c>
      <c r="AQ500" s="555" t="str">
        <f>INDEX(CarrierDriverTBL!$X:$X,MATCH(Table1[[#This Row],[DriverID]],CarrierDriverTBL!$A:$A,0))</f>
        <v>D5179619</v>
      </c>
      <c r="AR500" s="556">
        <f>INDEX(CarrierDriverTBL!$Y:$Y,MATCH(Table1[[#This Row],[DriverID]],CarrierDriverTBL!$A:$A,0))</f>
        <v>43843</v>
      </c>
      <c r="AS500" s="554" t="str">
        <f t="shared" si="194"/>
        <v>GOOD</v>
      </c>
      <c r="AT500" s="556">
        <f>INDEX(CarrierDriverTBL!$E:$E,MATCH(Table1[[#This Row],[DriverID]],CarrierDriverTBL!$A:$A,0))</f>
        <v>21198</v>
      </c>
      <c r="AU500" s="557">
        <f ca="1">INDEX(CarrierDriverTBL!$F:$F,MATCH(Table1[[#This Row],[DriverID]],CarrierDriverTBL!$A:$A,0))</f>
        <v>58.56986301369863</v>
      </c>
      <c r="AV500" s="554" t="str">
        <f>INDEX(CarrierDriverTBL!$K:$K,MATCH(Table1[[#This Row],[DriverID]],CarrierDriverTBL!$A:$A,0))</f>
        <v>209-322-5231</v>
      </c>
      <c r="AW500" s="554" t="str">
        <f>INDEX(CarrierDriverTBL!$M:$M,MATCH(Table1[[#This Row],[DriverID]],CarrierDriverTBL!$A:$A,0))</f>
        <v>572 Predersen RD</v>
      </c>
      <c r="AX500" s="554" t="str">
        <f>INDEX(CarrierDriverTBL!$N:$N,MATCH(Table1[[#This Row],[DriverID]],CarrierDriverTBL!$A:$A,0))</f>
        <v>Oakdale</v>
      </c>
      <c r="AY500" s="554" t="str">
        <f>INDEX(CarrierDriverTBL!$O:$O,MATCH(Table1[[#This Row],[DriverID]],CarrierDriverTBL!$A:$A,0))</f>
        <v>CA</v>
      </c>
      <c r="AZ500" s="554">
        <f>INDEX(CarrierDriverTBL!$P:$P,MATCH(Table1[[#This Row],[DriverID]],CarrierDriverTBL!$A:$A,0))</f>
        <v>95361</v>
      </c>
      <c r="BA500" s="554" t="str">
        <f>INDEX(CarrierDriverTBL!$Q:$Q,MATCH(Table1[[#This Row],[DriverID]],CarrierDriverTBL!$A:$A,0))</f>
        <v>US</v>
      </c>
      <c r="BB500" s="554" t="str">
        <f>INDEX(CarrierDriverTBL!$R:$R,MATCH(Table1[[#This Row],[DriverID]],CarrierDriverTBL!$A:$A,0))</f>
        <v>Miguelmartin52@yahoo.com</v>
      </c>
      <c r="BC500" s="556">
        <f>INDEX(CarrierDriverTBL!$AB:$AB,MATCH(Table1[[#This Row],[DriverID]],CarrierDriverTBL!$A:$A,0))</f>
        <v>42334</v>
      </c>
      <c r="BD500" s="555" t="str">
        <f ca="1">INDEX(CarrierDriverTBL!$AD:$AD,MATCH(LoadMaster!$AN:$AN,CarrierDriverTBL!$A:$A,0))</f>
        <v>MISSING</v>
      </c>
      <c r="BE500" s="555">
        <f>INDEX(CarrierDriverTBL!$AE:$AE,MATCH(Table1[DriverID],CarrierDriverTBL!$A:$A,0))</f>
        <v>913971</v>
      </c>
      <c r="BF500" s="554">
        <f>INDEX(CarrierDriverTBL!$AF:$AF,MATCH(Table1[DriverID],CarrierDriverTBL!$A:$A,0))</f>
        <v>2627544</v>
      </c>
      <c r="BG500" s="236">
        <f>INDEX(CarrierDriverTBL!$AG:$AG,MATCH(Table1[DriverID],CarrierDriverTBL!$A:$A,0))</f>
        <v>466133</v>
      </c>
      <c r="BH500" s="554" t="str">
        <f>INDEX(CarrierDriverTBL!$AH:$AH,MATCH(Table1[DriverID],CarrierDriverTBL!$A:$A,0))</f>
        <v>GM Lawrence Ins</v>
      </c>
      <c r="BI500" s="554" t="str">
        <f>INDEX(CarrierDriverTBL!$AI:$AI,MATCH(Table1[DriverID],CarrierDriverTBL!$A:$A,0))</f>
        <v>DSK2842P160210</v>
      </c>
      <c r="BJ500" s="556">
        <f>INDEX(CarrierDriverTBL!$AJ:$AJ,MATCH(Table1[[#This Row],[DriverID]],CarrierDriverTBL!$A:$A,0))</f>
        <v>42778</v>
      </c>
      <c r="BK500" s="554">
        <f t="shared" si="195"/>
        <v>236</v>
      </c>
      <c r="BL500" s="558">
        <v>900</v>
      </c>
      <c r="BM500" s="554">
        <v>306.39999999999998</v>
      </c>
      <c r="BN500" s="558">
        <f t="shared" si="284"/>
        <v>2.9373368146214101</v>
      </c>
      <c r="BO500" s="241">
        <f>0.93*900</f>
        <v>837</v>
      </c>
      <c r="BP500" s="558">
        <f t="shared" si="285"/>
        <v>2.7317232375979112</v>
      </c>
      <c r="BQ500" s="558">
        <v>2.75</v>
      </c>
      <c r="BR500" s="559">
        <f t="shared" si="286"/>
        <v>0.14166666666666669</v>
      </c>
      <c r="BS500" s="558">
        <f t="shared" si="287"/>
        <v>2.5900565709312446</v>
      </c>
      <c r="BT500" s="558">
        <f t="shared" si="288"/>
        <v>43.406666666666673</v>
      </c>
      <c r="BU500" s="236" t="str">
        <f t="shared" si="198"/>
        <v>Fetch Logistics, Inc.</v>
      </c>
      <c r="BV500" s="554"/>
      <c r="BW500" s="236" t="str">
        <f>Table1[[#This Row],[BrokerAddress]]</f>
        <v>25 Northpointe Parkway, Suite 200</v>
      </c>
      <c r="BX500" s="236" t="str">
        <f t="shared" si="199"/>
        <v>Amherst</v>
      </c>
      <c r="BY500" s="269" t="str">
        <f t="shared" si="200"/>
        <v>NY</v>
      </c>
      <c r="BZ500" s="236">
        <f t="shared" si="201"/>
        <v>14228</v>
      </c>
      <c r="CA500" s="236" t="str">
        <f t="shared" si="202"/>
        <v>US</v>
      </c>
      <c r="CB500" s="15" t="s">
        <v>131</v>
      </c>
      <c r="CC500" s="561"/>
      <c r="CD500" s="15" t="s">
        <v>132</v>
      </c>
      <c r="CE500" s="64">
        <v>0</v>
      </c>
      <c r="CF500" s="4">
        <v>0</v>
      </c>
      <c r="CG500" s="132">
        <f t="shared" ref="CG500" si="313">CE500*CF500</f>
        <v>0</v>
      </c>
      <c r="CH500" s="4" t="s">
        <v>132</v>
      </c>
      <c r="CI500" s="5">
        <v>0</v>
      </c>
      <c r="CJ500" s="4">
        <v>0</v>
      </c>
      <c r="CK500" s="132">
        <f t="shared" ref="CK500" si="314">CI500*CJ500</f>
        <v>0</v>
      </c>
      <c r="CL500" s="4" t="s">
        <v>132</v>
      </c>
      <c r="CM500" s="5">
        <v>0</v>
      </c>
      <c r="CN500" s="4">
        <v>0</v>
      </c>
      <c r="CO500" s="132">
        <f t="shared" ref="CO500" si="315">CM500*CN500</f>
        <v>0</v>
      </c>
      <c r="CP500" s="4" t="s">
        <v>132</v>
      </c>
      <c r="CQ500" s="5">
        <v>0</v>
      </c>
      <c r="CR500" s="4">
        <v>0</v>
      </c>
      <c r="CS500" s="132">
        <f t="shared" ref="CS500" si="316">CQ500*CR500</f>
        <v>0</v>
      </c>
      <c r="CT500" s="132">
        <f t="shared" ref="CT500" si="317">CG500+CK500+CO500+CS500</f>
        <v>0</v>
      </c>
      <c r="CU500" s="238">
        <f t="shared" si="294"/>
        <v>900</v>
      </c>
      <c r="CV500" s="239">
        <f t="shared" si="295"/>
        <v>0</v>
      </c>
      <c r="CW500" s="240">
        <f t="shared" si="296"/>
        <v>837</v>
      </c>
      <c r="CX500" s="79">
        <f>IF(ISBLANK(E500),"AddQuickPay",IF(E500=2,CU500*0.98,IF(E500=2.4,CU500*0.976,IF(E500=3,CU500*0.97,IF(E500=5,CU500*0.95,IF(E500=1.5,CU500*0.985,IF(E500=2.5,CU500*0.975,IF(E500=1.3,CU500*0.987,IF(E500=1,CU500*0.99,IF(E500=4,CU500*0.96,CU500*1))))))))))-Table1[[#This Row],[ComCheck+QuickPayFee]]</f>
        <v>900</v>
      </c>
      <c r="CY500" s="237">
        <f t="shared" si="297"/>
        <v>63</v>
      </c>
      <c r="CZ500" s="237">
        <f t="shared" si="210"/>
        <v>0</v>
      </c>
      <c r="DA500" s="263">
        <f>Table1[[#This Row],[OriginalDispatch]]-Table1[[#This Row],[QuickPayCharge]]</f>
        <v>63</v>
      </c>
      <c r="DB500" s="5">
        <v>0</v>
      </c>
      <c r="DC500" s="237" t="s">
        <v>133</v>
      </c>
      <c r="DD500" s="549">
        <f t="shared" si="211"/>
        <v>42545</v>
      </c>
      <c r="DE500" s="554">
        <f>MONTH(Table1[[#This Row],[Weekending]])</f>
        <v>6</v>
      </c>
      <c r="DF500" s="554">
        <f>YEAR(Table1[[#This Row],[Weekending]])</f>
        <v>2016</v>
      </c>
      <c r="DG500" s="235"/>
    </row>
    <row r="501" spans="1:111">
      <c r="A501" s="548" t="str">
        <f t="shared" si="193"/>
        <v>t2nkwn93</v>
      </c>
      <c r="B501" s="549">
        <v>42547</v>
      </c>
      <c r="C501" s="550" t="s">
        <v>3227</v>
      </c>
      <c r="D501" s="548" t="s">
        <v>3043</v>
      </c>
      <c r="E501" s="550">
        <v>0</v>
      </c>
      <c r="F501" s="551" t="str">
        <f>INDEX(BrokerTBL!$B:$B,MATCH(D501,BrokerTBL!$A:$A,0))</f>
        <v>1848 N. WOODSON AVE.</v>
      </c>
      <c r="G501" s="550" t="str">
        <f>INDEX(BrokerTBL!$C:$C,MATCH(D501,BrokerTBL!$A:$A,0))</f>
        <v>Fresno</v>
      </c>
      <c r="H501" s="235" t="str">
        <f>INDEX(BrokerTBL!$D:$D,MATCH(D501,BrokerTBL!$A:$A,0))</f>
        <v>CA</v>
      </c>
      <c r="I501" s="235" t="str">
        <f>INDEX(BrokerTBL!$E:$E,MATCH(D501,BrokerTBL!$A:$A,0))</f>
        <v>US</v>
      </c>
      <c r="J501" s="235">
        <f>INDEX(BrokerTBL!$F:$F,MATCH(D501,BrokerTBL!$A:$A,0))</f>
        <v>93705</v>
      </c>
      <c r="K501" s="548" t="s">
        <v>3044</v>
      </c>
      <c r="L501" s="552" t="s">
        <v>1179</v>
      </c>
      <c r="M501" s="549">
        <v>42543</v>
      </c>
      <c r="N501" s="550" t="s">
        <v>123</v>
      </c>
      <c r="O501" s="550" t="s">
        <v>3045</v>
      </c>
      <c r="P501" s="548" t="s">
        <v>2616</v>
      </c>
      <c r="Q501" s="548" t="s">
        <v>2233</v>
      </c>
      <c r="R501" s="548">
        <v>89408</v>
      </c>
      <c r="S501" s="548" t="s">
        <v>2207</v>
      </c>
      <c r="T501" s="548" t="s">
        <v>3046</v>
      </c>
      <c r="U501" s="548" t="s">
        <v>120</v>
      </c>
      <c r="V501" s="548">
        <v>53</v>
      </c>
      <c r="W501" s="548" t="s">
        <v>3047</v>
      </c>
      <c r="X501" s="553">
        <v>43000</v>
      </c>
      <c r="Y501" s="550" t="s">
        <v>123</v>
      </c>
      <c r="Z501" s="548" t="s">
        <v>123</v>
      </c>
      <c r="AA501" s="548" t="s">
        <v>123</v>
      </c>
      <c r="AB501" s="548" t="s">
        <v>123</v>
      </c>
      <c r="AC501" s="548" t="s">
        <v>3044</v>
      </c>
      <c r="AD501" s="552" t="s">
        <v>1205</v>
      </c>
      <c r="AE501" s="549">
        <v>42543</v>
      </c>
      <c r="AF501" s="549" t="s">
        <v>123</v>
      </c>
      <c r="AG501" s="548" t="s">
        <v>3048</v>
      </c>
      <c r="AH501" s="548" t="s">
        <v>3049</v>
      </c>
      <c r="AI501" s="548" t="s">
        <v>2206</v>
      </c>
      <c r="AJ501" s="548">
        <v>93930</v>
      </c>
      <c r="AK501" s="548" t="s">
        <v>2207</v>
      </c>
      <c r="AL501" s="548" t="s">
        <v>123</v>
      </c>
      <c r="AM501" s="554" t="str">
        <f>INDEX(CarrierDriverTBL!$B:$B,MATCH(Table1[[#This Row],[DriverID]],CarrierDriverTBL!$A:$A,0))</f>
        <v>UBTrucking</v>
      </c>
      <c r="AN501" s="10" t="s">
        <v>2234</v>
      </c>
      <c r="AO501" s="555" t="str">
        <f>INDEX(CarrierDriverTBL!$C:$C,MATCH(Table1[[#This Row],[DriverID]],CarrierDriverTBL!$A:$A,0))</f>
        <v>Arturo</v>
      </c>
      <c r="AP501" s="555" t="str">
        <f>INDEX(CarrierDriverTBL!$D:$D,MATCH(Table1[[#This Row],[DriverID]],CarrierDriverTBL!$A:$A,0))</f>
        <v>Carrillo</v>
      </c>
      <c r="AQ501" s="555" t="str">
        <f>INDEX(CarrierDriverTBL!$X:$X,MATCH(Table1[[#This Row],[DriverID]],CarrierDriverTBL!$A:$A,0))</f>
        <v>C7056793</v>
      </c>
      <c r="AR501" s="556">
        <f>INDEX(CarrierDriverTBL!$Y:$Y,MATCH(Table1[[#This Row],[DriverID]],CarrierDriverTBL!$A:$A,0))</f>
        <v>43410</v>
      </c>
      <c r="AS501" s="554" t="str">
        <f t="shared" si="194"/>
        <v>GOOD</v>
      </c>
      <c r="AT501" s="556">
        <f>INDEX(CarrierDriverTBL!$E:$E,MATCH(Table1[[#This Row],[DriverID]],CarrierDriverTBL!$A:$A,0))</f>
        <v>24782</v>
      </c>
      <c r="AU501" s="557">
        <f ca="1">INDEX(CarrierDriverTBL!$F:$F,MATCH(Table1[[#This Row],[DriverID]],CarrierDriverTBL!$A:$A,0))</f>
        <v>48.750684931506846</v>
      </c>
      <c r="AV501" s="554" t="str">
        <f>INDEX(CarrierDriverTBL!$K:$K,MATCH(Table1[[#This Row],[DriverID]],CarrierDriverTBL!$A:$A,0))</f>
        <v>209-276-9785</v>
      </c>
      <c r="AW501" s="554" t="str">
        <f>INDEX(CarrierDriverTBL!$M:$M,MATCH(Table1[[#This Row],[DriverID]],CarrierDriverTBL!$A:$A,0))</f>
        <v>1685 Winthrop Ln</v>
      </c>
      <c r="AX501" s="554" t="str">
        <f>INDEX(CarrierDriverTBL!$N:$N,MATCH(Table1[[#This Row],[DriverID]],CarrierDriverTBL!$A:$A,0))</f>
        <v>Ceres</v>
      </c>
      <c r="AY501" s="554" t="str">
        <f>INDEX(CarrierDriverTBL!$O:$O,MATCH(Table1[[#This Row],[DriverID]],CarrierDriverTBL!$A:$A,0))</f>
        <v>CA</v>
      </c>
      <c r="AZ501" s="554">
        <f>INDEX(CarrierDriverTBL!$P:$P,MATCH(Table1[[#This Row],[DriverID]],CarrierDriverTBL!$A:$A,0))</f>
        <v>95307</v>
      </c>
      <c r="BA501" s="554" t="str">
        <f>INDEX(CarrierDriverTBL!$Q:$Q,MATCH(Table1[[#This Row],[DriverID]],CarrierDriverTBL!$A:$A,0))</f>
        <v>US</v>
      </c>
      <c r="BB501" s="554" t="str">
        <f>INDEX(CarrierDriverTBL!$R:$R,MATCH(Table1[[#This Row],[DriverID]],CarrierDriverTBL!$A:$A,0))</f>
        <v>arturocarr777@gmail.com</v>
      </c>
      <c r="BC501" s="556">
        <f>INDEX(CarrierDriverTBL!$AB:$AB,MATCH(Table1[[#This Row],[DriverID]],CarrierDriverTBL!$A:$A,0))</f>
        <v>42418</v>
      </c>
      <c r="BD501" s="555" t="str">
        <f ca="1">INDEX(CarrierDriverTBL!$AD:$AD,MATCH(LoadMaster!$AN:$AN,CarrierDriverTBL!$A:$A,0))</f>
        <v>MISSING</v>
      </c>
      <c r="BE501" s="555">
        <f>INDEX(CarrierDriverTBL!$AE:$AE,MATCH(Table1[DriverID],CarrierDriverTBL!$A:$A,0))</f>
        <v>913971</v>
      </c>
      <c r="BF501" s="554">
        <f>INDEX(CarrierDriverTBL!$AF:$AF,MATCH(Table1[DriverID],CarrierDriverTBL!$A:$A,0))</f>
        <v>2627544</v>
      </c>
      <c r="BG501" s="236">
        <f>INDEX(CarrierDriverTBL!$AG:$AG,MATCH(Table1[DriverID],CarrierDriverTBL!$A:$A,0))</f>
        <v>466133</v>
      </c>
      <c r="BH501" s="554" t="str">
        <f>INDEX(CarrierDriverTBL!$AH:$AH,MATCH(Table1[DriverID],CarrierDriverTBL!$A:$A,0))</f>
        <v>GM Lawrence Ins</v>
      </c>
      <c r="BI501" s="554" t="str">
        <f>INDEX(CarrierDriverTBL!$AI:$AI,MATCH(Table1[DriverID],CarrierDriverTBL!$A:$A,0))</f>
        <v>DSK2842P160210</v>
      </c>
      <c r="BJ501" s="556">
        <f>INDEX(CarrierDriverTBL!$AJ:$AJ,MATCH(Table1[[#This Row],[DriverID]],CarrierDriverTBL!$A:$A,0))</f>
        <v>42778</v>
      </c>
      <c r="BK501" s="554">
        <f t="shared" si="195"/>
        <v>235</v>
      </c>
      <c r="BL501" s="558">
        <v>700</v>
      </c>
      <c r="BM501" s="554">
        <v>385.4</v>
      </c>
      <c r="BN501" s="558">
        <f t="shared" si="284"/>
        <v>1.816294758692268</v>
      </c>
      <c r="BO501" s="241">
        <f>0.93*700</f>
        <v>651</v>
      </c>
      <c r="BP501" s="558">
        <f t="shared" si="285"/>
        <v>1.6891541255838092</v>
      </c>
      <c r="BQ501" s="558">
        <v>2.75</v>
      </c>
      <c r="BR501" s="559">
        <f t="shared" si="286"/>
        <v>0.14166666666666669</v>
      </c>
      <c r="BS501" s="558">
        <f t="shared" si="287"/>
        <v>1.5474874589171426</v>
      </c>
      <c r="BT501" s="558">
        <f t="shared" si="288"/>
        <v>54.598333333333336</v>
      </c>
      <c r="BU501" s="236" t="str">
        <f t="shared" si="198"/>
        <v>Ray Brothers Transportation Inc.</v>
      </c>
      <c r="BV501" s="554"/>
      <c r="BW501" s="236" t="str">
        <f>Table1[[#This Row],[BrokerAddress]]</f>
        <v>1848 N. WOODSON AVE.</v>
      </c>
      <c r="BX501" s="236" t="str">
        <f t="shared" si="199"/>
        <v>Fresno</v>
      </c>
      <c r="BY501" s="269" t="str">
        <f t="shared" si="200"/>
        <v>CA</v>
      </c>
      <c r="BZ501" s="236">
        <f t="shared" si="201"/>
        <v>93705</v>
      </c>
      <c r="CA501" s="236" t="str">
        <f t="shared" si="202"/>
        <v>US</v>
      </c>
      <c r="CB501" s="15" t="s">
        <v>131</v>
      </c>
      <c r="CC501" s="561"/>
      <c r="CD501" s="15" t="s">
        <v>132</v>
      </c>
      <c r="CE501" s="64">
        <v>0</v>
      </c>
      <c r="CF501" s="4">
        <v>0</v>
      </c>
      <c r="CG501" s="132">
        <f t="shared" ref="CG501" si="318">CE501*CF501</f>
        <v>0</v>
      </c>
      <c r="CH501" s="4" t="s">
        <v>132</v>
      </c>
      <c r="CI501" s="5">
        <v>0</v>
      </c>
      <c r="CJ501" s="4">
        <v>0</v>
      </c>
      <c r="CK501" s="132">
        <f t="shared" ref="CK501" si="319">CI501*CJ501</f>
        <v>0</v>
      </c>
      <c r="CL501" s="4" t="s">
        <v>132</v>
      </c>
      <c r="CM501" s="5">
        <v>0</v>
      </c>
      <c r="CN501" s="4">
        <v>0</v>
      </c>
      <c r="CO501" s="132">
        <f t="shared" ref="CO501" si="320">CM501*CN501</f>
        <v>0</v>
      </c>
      <c r="CP501" s="4" t="s">
        <v>132</v>
      </c>
      <c r="CQ501" s="5">
        <v>0</v>
      </c>
      <c r="CR501" s="4">
        <v>0</v>
      </c>
      <c r="CS501" s="132">
        <f t="shared" ref="CS501" si="321">CQ501*CR501</f>
        <v>0</v>
      </c>
      <c r="CT501" s="132">
        <f t="shared" ref="CT501" si="322">CG501+CK501+CO501+CS501</f>
        <v>0</v>
      </c>
      <c r="CU501" s="238">
        <f t="shared" si="294"/>
        <v>700</v>
      </c>
      <c r="CV501" s="239">
        <f t="shared" si="295"/>
        <v>0</v>
      </c>
      <c r="CW501" s="240">
        <f t="shared" si="296"/>
        <v>651</v>
      </c>
      <c r="CX501" s="79">
        <f>IF(ISBLANK(E501),"AddQuickPay",IF(E501=2,CU501*0.98,IF(E501=2.4,CU501*0.976,IF(E501=3,CU501*0.97,IF(E501=5,CU501*0.95,IF(E501=1.5,CU501*0.985,IF(E501=2.5,CU501*0.975,IF(E501=1.3,CU501*0.987,IF(E501=1,CU501*0.99,IF(E501=4,CU501*0.96,CU501*1))))))))))-Table1[[#This Row],[ComCheck+QuickPayFee]]</f>
        <v>700</v>
      </c>
      <c r="CY501" s="237">
        <f t="shared" si="297"/>
        <v>49</v>
      </c>
      <c r="CZ501" s="237">
        <f t="shared" si="210"/>
        <v>0</v>
      </c>
      <c r="DA501" s="263">
        <f>Table1[[#This Row],[OriginalDispatch]]-Table1[[#This Row],[QuickPayCharge]]</f>
        <v>49</v>
      </c>
      <c r="DB501" s="5">
        <v>0</v>
      </c>
      <c r="DC501" s="237" t="s">
        <v>133</v>
      </c>
      <c r="DD501" s="549">
        <f t="shared" si="211"/>
        <v>42545</v>
      </c>
      <c r="DE501" s="554">
        <f>MONTH(Table1[[#This Row],[Weekending]])</f>
        <v>6</v>
      </c>
      <c r="DF501" s="554">
        <f>YEAR(Table1[[#This Row],[Weekending]])</f>
        <v>2016</v>
      </c>
      <c r="DG501" s="235"/>
    </row>
    <row r="502" spans="1:111">
      <c r="A502" s="548" t="str">
        <f t="shared" si="193"/>
        <v>93303019</v>
      </c>
      <c r="B502" s="549">
        <v>42547</v>
      </c>
      <c r="C502" s="550">
        <v>204750893</v>
      </c>
      <c r="D502" s="548" t="s">
        <v>111</v>
      </c>
      <c r="E502" s="550">
        <v>2</v>
      </c>
      <c r="F502" s="551" t="str">
        <f>INDEX(BrokerTBL!$B:$B,MATCH(D502,BrokerTBL!$A:$A,0))</f>
        <v>P.O. Box 3474</v>
      </c>
      <c r="G502" s="550" t="str">
        <f>INDEX(BrokerTBL!$C:$C,MATCH(D502,BrokerTBL!$A:$A,0))</f>
        <v>Chicago</v>
      </c>
      <c r="H502" s="235" t="str">
        <f>INDEX(BrokerTBL!$D:$D,MATCH(D502,BrokerTBL!$A:$A,0))</f>
        <v>Il</v>
      </c>
      <c r="I502" s="235" t="str">
        <f>INDEX(BrokerTBL!$E:$E,MATCH(D502,BrokerTBL!$A:$A,0))</f>
        <v>US</v>
      </c>
      <c r="J502" s="235">
        <f>INDEX(BrokerTBL!$F:$F,MATCH(D502,BrokerTBL!$A:$A,0))</f>
        <v>60654</v>
      </c>
      <c r="K502" s="548" t="s">
        <v>3228</v>
      </c>
      <c r="L502" s="552">
        <v>2213830</v>
      </c>
      <c r="M502" s="549">
        <v>42543</v>
      </c>
      <c r="N502" s="550" t="s">
        <v>2428</v>
      </c>
      <c r="O502" s="550" t="s">
        <v>3229</v>
      </c>
      <c r="P502" s="548" t="s">
        <v>2451</v>
      </c>
      <c r="Q502" s="548" t="s">
        <v>2233</v>
      </c>
      <c r="R502" s="548">
        <v>89434</v>
      </c>
      <c r="S502" s="548" t="s">
        <v>2207</v>
      </c>
      <c r="T502" s="548" t="s">
        <v>123</v>
      </c>
      <c r="U502" s="548" t="s">
        <v>120</v>
      </c>
      <c r="V502" s="548">
        <v>53</v>
      </c>
      <c r="W502" s="564" t="s">
        <v>3230</v>
      </c>
      <c r="X502" s="553">
        <v>32385</v>
      </c>
      <c r="Y502" s="550" t="s">
        <v>26</v>
      </c>
      <c r="Z502" s="548">
        <v>4227</v>
      </c>
      <c r="AA502" s="548" t="s">
        <v>123</v>
      </c>
      <c r="AB502" s="548" t="s">
        <v>123</v>
      </c>
      <c r="AC502" s="548" t="s">
        <v>3231</v>
      </c>
      <c r="AD502" s="552" t="s">
        <v>3232</v>
      </c>
      <c r="AE502" s="549">
        <v>42543</v>
      </c>
      <c r="AF502" s="549" t="s">
        <v>3233</v>
      </c>
      <c r="AG502" s="548" t="s">
        <v>897</v>
      </c>
      <c r="AH502" s="548" t="s">
        <v>889</v>
      </c>
      <c r="AI502" s="548" t="s">
        <v>2206</v>
      </c>
      <c r="AJ502" s="548">
        <v>95361</v>
      </c>
      <c r="AK502" s="548" t="s">
        <v>2207</v>
      </c>
      <c r="AL502" s="548" t="s">
        <v>123</v>
      </c>
      <c r="AM502" s="554" t="str">
        <f>INDEX(CarrierDriverTBL!$B:$B,MATCH(Table1[[#This Row],[DriverID]],CarrierDriverTBL!$A:$A,0))</f>
        <v>UBTrucking</v>
      </c>
      <c r="AN502" s="10" t="s">
        <v>1409</v>
      </c>
      <c r="AO502" s="555" t="str">
        <f>INDEX(CarrierDriverTBL!$C:$C,MATCH(Table1[[#This Row],[DriverID]],CarrierDriverTBL!$A:$A,0))</f>
        <v>Miguel Jaime</v>
      </c>
      <c r="AP502" s="555" t="str">
        <f>INDEX(CarrierDriverTBL!$D:$D,MATCH(Table1[[#This Row],[DriverID]],CarrierDriverTBL!$A:$A,0))</f>
        <v>Martin Del Campo Velarca</v>
      </c>
      <c r="AQ502" s="555" t="str">
        <f>INDEX(CarrierDriverTBL!$X:$X,MATCH(Table1[[#This Row],[DriverID]],CarrierDriverTBL!$A:$A,0))</f>
        <v>D5179619</v>
      </c>
      <c r="AR502" s="556">
        <f>INDEX(CarrierDriverTBL!$Y:$Y,MATCH(Table1[[#This Row],[DriverID]],CarrierDriverTBL!$A:$A,0))</f>
        <v>43843</v>
      </c>
      <c r="AS502" s="554" t="str">
        <f t="shared" si="194"/>
        <v>GOOD</v>
      </c>
      <c r="AT502" s="556">
        <f>INDEX(CarrierDriverTBL!$E:$E,MATCH(Table1[[#This Row],[DriverID]],CarrierDriverTBL!$A:$A,0))</f>
        <v>21198</v>
      </c>
      <c r="AU502" s="557">
        <f ca="1">INDEX(CarrierDriverTBL!$F:$F,MATCH(Table1[[#This Row],[DriverID]],CarrierDriverTBL!$A:$A,0))</f>
        <v>58.56986301369863</v>
      </c>
      <c r="AV502" s="554" t="str">
        <f>INDEX(CarrierDriverTBL!$K:$K,MATCH(Table1[[#This Row],[DriverID]],CarrierDriverTBL!$A:$A,0))</f>
        <v>209-322-5231</v>
      </c>
      <c r="AW502" s="554" t="str">
        <f>INDEX(CarrierDriverTBL!$M:$M,MATCH(Table1[[#This Row],[DriverID]],CarrierDriverTBL!$A:$A,0))</f>
        <v>572 Predersen RD</v>
      </c>
      <c r="AX502" s="554" t="str">
        <f>INDEX(CarrierDriverTBL!$N:$N,MATCH(Table1[[#This Row],[DriverID]],CarrierDriverTBL!$A:$A,0))</f>
        <v>Oakdale</v>
      </c>
      <c r="AY502" s="554" t="str">
        <f>INDEX(CarrierDriverTBL!$O:$O,MATCH(Table1[[#This Row],[DriverID]],CarrierDriverTBL!$A:$A,0))</f>
        <v>CA</v>
      </c>
      <c r="AZ502" s="554">
        <f>INDEX(CarrierDriverTBL!$P:$P,MATCH(Table1[[#This Row],[DriverID]],CarrierDriverTBL!$A:$A,0))</f>
        <v>95361</v>
      </c>
      <c r="BA502" s="554" t="str">
        <f>INDEX(CarrierDriverTBL!$Q:$Q,MATCH(Table1[[#This Row],[DriverID]],CarrierDriverTBL!$A:$A,0))</f>
        <v>US</v>
      </c>
      <c r="BB502" s="554" t="str">
        <f>INDEX(CarrierDriverTBL!$R:$R,MATCH(Table1[[#This Row],[DriverID]],CarrierDriverTBL!$A:$A,0))</f>
        <v>Miguelmartin52@yahoo.com</v>
      </c>
      <c r="BC502" s="556">
        <f>INDEX(CarrierDriverTBL!$AB:$AB,MATCH(Table1[[#This Row],[DriverID]],CarrierDriverTBL!$A:$A,0))</f>
        <v>42334</v>
      </c>
      <c r="BD502" s="555" t="str">
        <f ca="1">INDEX(CarrierDriverTBL!$AD:$AD,MATCH(LoadMaster!$AN:$AN,CarrierDriverTBL!$A:$A,0))</f>
        <v>MISSING</v>
      </c>
      <c r="BE502" s="555">
        <f>INDEX(CarrierDriverTBL!$AE:$AE,MATCH(Table1[DriverID],CarrierDriverTBL!$A:$A,0))</f>
        <v>913971</v>
      </c>
      <c r="BF502" s="554">
        <f>INDEX(CarrierDriverTBL!$AF:$AF,MATCH(Table1[DriverID],CarrierDriverTBL!$A:$A,0))</f>
        <v>2627544</v>
      </c>
      <c r="BG502" s="236">
        <f>INDEX(CarrierDriverTBL!$AG:$AG,MATCH(Table1[DriverID],CarrierDriverTBL!$A:$A,0))</f>
        <v>466133</v>
      </c>
      <c r="BH502" s="554" t="str">
        <f>INDEX(CarrierDriverTBL!$AH:$AH,MATCH(Table1[DriverID],CarrierDriverTBL!$A:$A,0))</f>
        <v>GM Lawrence Ins</v>
      </c>
      <c r="BI502" s="554" t="str">
        <f>INDEX(CarrierDriverTBL!$AI:$AI,MATCH(Table1[DriverID],CarrierDriverTBL!$A:$A,0))</f>
        <v>DSK2842P160210</v>
      </c>
      <c r="BJ502" s="556">
        <f>INDEX(CarrierDriverTBL!$AJ:$AJ,MATCH(Table1[[#This Row],[DriverID]],CarrierDriverTBL!$A:$A,0))</f>
        <v>42778</v>
      </c>
      <c r="BK502" s="554">
        <f t="shared" si="195"/>
        <v>235</v>
      </c>
      <c r="BL502" s="558">
        <v>300</v>
      </c>
      <c r="BM502" s="554">
        <v>206.8</v>
      </c>
      <c r="BN502" s="558">
        <f t="shared" si="284"/>
        <v>1.4506769825918762</v>
      </c>
      <c r="BO502" s="241">
        <f>0.93*300</f>
        <v>279</v>
      </c>
      <c r="BP502" s="558">
        <f t="shared" si="285"/>
        <v>1.3491295938104448</v>
      </c>
      <c r="BQ502" s="558">
        <v>2.75</v>
      </c>
      <c r="BR502" s="559">
        <f t="shared" si="286"/>
        <v>0.14166666666666669</v>
      </c>
      <c r="BS502" s="558">
        <f t="shared" si="287"/>
        <v>1.2074629271437782</v>
      </c>
      <c r="BT502" s="558">
        <f t="shared" si="288"/>
        <v>29.296666666666674</v>
      </c>
      <c r="BU502" s="236" t="str">
        <f t="shared" si="198"/>
        <v>Ch Robinson</v>
      </c>
      <c r="BV502" s="554"/>
      <c r="BW502" s="236" t="str">
        <f>Table1[[#This Row],[BrokerAddress]]</f>
        <v>P.O. Box 3474</v>
      </c>
      <c r="BX502" s="236" t="str">
        <f t="shared" si="199"/>
        <v>Chicago</v>
      </c>
      <c r="BY502" s="269" t="str">
        <f t="shared" si="200"/>
        <v>Il</v>
      </c>
      <c r="BZ502" s="236">
        <f t="shared" si="201"/>
        <v>60654</v>
      </c>
      <c r="CA502" s="236" t="str">
        <f t="shared" si="202"/>
        <v>US</v>
      </c>
      <c r="CB502" s="15" t="s">
        <v>131</v>
      </c>
      <c r="CC502" s="561"/>
      <c r="CD502" s="15" t="s">
        <v>132</v>
      </c>
      <c r="CE502" s="64">
        <v>0</v>
      </c>
      <c r="CF502" s="4">
        <v>0</v>
      </c>
      <c r="CG502" s="132">
        <f t="shared" ref="CG502" si="323">CE502*CF502</f>
        <v>0</v>
      </c>
      <c r="CH502" s="4" t="s">
        <v>132</v>
      </c>
      <c r="CI502" s="5">
        <v>0</v>
      </c>
      <c r="CJ502" s="4">
        <v>0</v>
      </c>
      <c r="CK502" s="132">
        <f t="shared" ref="CK502" si="324">CI502*CJ502</f>
        <v>0</v>
      </c>
      <c r="CL502" s="4" t="s">
        <v>132</v>
      </c>
      <c r="CM502" s="5">
        <v>0</v>
      </c>
      <c r="CN502" s="4">
        <v>0</v>
      </c>
      <c r="CO502" s="132">
        <f t="shared" ref="CO502" si="325">CM502*CN502</f>
        <v>0</v>
      </c>
      <c r="CP502" s="4" t="s">
        <v>132</v>
      </c>
      <c r="CQ502" s="5">
        <v>0</v>
      </c>
      <c r="CR502" s="4">
        <v>0</v>
      </c>
      <c r="CS502" s="132">
        <f t="shared" ref="CS502" si="326">CQ502*CR502</f>
        <v>0</v>
      </c>
      <c r="CT502" s="132">
        <f t="shared" ref="CT502" si="327">CG502+CK502+CO502+CS502</f>
        <v>0</v>
      </c>
      <c r="CU502" s="238">
        <f t="shared" si="294"/>
        <v>300</v>
      </c>
      <c r="CV502" s="239">
        <f t="shared" si="295"/>
        <v>0</v>
      </c>
      <c r="CW502" s="240">
        <f t="shared" si="296"/>
        <v>279</v>
      </c>
      <c r="CX502" s="79">
        <f>IF(ISBLANK(E502),"AddQuickPay",IF(E502=2,CU502*0.98,IF(E502=2.4,CU502*0.976,IF(E502=3,CU502*0.97,IF(E502=5,CU502*0.95,IF(E502=1.5,CU502*0.985,IF(E502=2.5,CU502*0.975,IF(E502=1.3,CU502*0.987,IF(E502=1,CU502*0.99,IF(E502=4,CU502*0.96,CU502*1))))))))))-Table1[[#This Row],[ComCheck+QuickPayFee]]</f>
        <v>294</v>
      </c>
      <c r="CY502" s="237">
        <f t="shared" si="297"/>
        <v>21</v>
      </c>
      <c r="CZ502" s="237">
        <f t="shared" si="210"/>
        <v>6</v>
      </c>
      <c r="DA502" s="263">
        <f>Table1[[#This Row],[OriginalDispatch]]-Table1[[#This Row],[QuickPayCharge]]</f>
        <v>15</v>
      </c>
      <c r="DB502" s="5">
        <v>0</v>
      </c>
      <c r="DC502" s="237" t="s">
        <v>133</v>
      </c>
      <c r="DD502" s="549">
        <f t="shared" si="211"/>
        <v>42545</v>
      </c>
      <c r="DE502" s="554">
        <f>MONTH(Table1[[#This Row],[Weekending]])</f>
        <v>6</v>
      </c>
      <c r="DF502" s="554">
        <f>YEAR(Table1[[#This Row],[Weekending]])</f>
        <v>2016</v>
      </c>
      <c r="DG502" s="235"/>
    </row>
    <row r="503" spans="1:111">
      <c r="A503" s="548" t="str">
        <f t="shared" si="193"/>
        <v>54080849</v>
      </c>
      <c r="B503" s="549">
        <v>42547</v>
      </c>
      <c r="C503" s="550">
        <v>52854</v>
      </c>
      <c r="D503" s="548" t="s">
        <v>1824</v>
      </c>
      <c r="E503" s="550">
        <v>2</v>
      </c>
      <c r="F503" s="551" t="str">
        <f>INDEX(BrokerTBL!$B:$B,MATCH(D503,BrokerTBL!$A:$A,0))</f>
        <v>2109 W Bullard Ave # 101</v>
      </c>
      <c r="G503" s="550" t="str">
        <f>INDEX(BrokerTBL!$C:$C,MATCH(D503,BrokerTBL!$A:$A,0))</f>
        <v>Fresno</v>
      </c>
      <c r="H503" s="235" t="str">
        <f>INDEX(BrokerTBL!$D:$D,MATCH(D503,BrokerTBL!$A:$A,0))</f>
        <v>Ca</v>
      </c>
      <c r="I503" s="235" t="str">
        <f>INDEX(BrokerTBL!$E:$E,MATCH(D503,BrokerTBL!$A:$A,0))</f>
        <v>US</v>
      </c>
      <c r="J503" s="235">
        <f>INDEX(BrokerTBL!$F:$F,MATCH(D503,BrokerTBL!$A:$A,0))</f>
        <v>93711</v>
      </c>
      <c r="K503" s="548" t="s">
        <v>3234</v>
      </c>
      <c r="L503" s="552">
        <v>52108</v>
      </c>
      <c r="M503" s="549">
        <v>42544</v>
      </c>
      <c r="N503" s="560">
        <v>0.25</v>
      </c>
      <c r="O503" s="550" t="s">
        <v>3235</v>
      </c>
      <c r="P503" s="548" t="s">
        <v>3236</v>
      </c>
      <c r="Q503" s="548" t="s">
        <v>2233</v>
      </c>
      <c r="R503" s="548">
        <v>89502</v>
      </c>
      <c r="S503" s="548" t="s">
        <v>2207</v>
      </c>
      <c r="T503" s="548" t="s">
        <v>123</v>
      </c>
      <c r="U503" s="548" t="s">
        <v>120</v>
      </c>
      <c r="V503" s="548">
        <v>53</v>
      </c>
      <c r="W503" s="548" t="s">
        <v>3237</v>
      </c>
      <c r="X503" s="553">
        <v>30000</v>
      </c>
      <c r="Y503" s="550" t="s">
        <v>123</v>
      </c>
      <c r="Z503" s="548" t="s">
        <v>123</v>
      </c>
      <c r="AA503" s="548" t="s">
        <v>123</v>
      </c>
      <c r="AB503" s="548" t="s">
        <v>123</v>
      </c>
      <c r="AC503" s="548" t="s">
        <v>3238</v>
      </c>
      <c r="AD503" s="552">
        <v>52108</v>
      </c>
      <c r="AE503" s="549" t="s">
        <v>3239</v>
      </c>
      <c r="AF503" s="549" t="s">
        <v>3240</v>
      </c>
      <c r="AG503" s="548" t="s">
        <v>3241</v>
      </c>
      <c r="AH503" s="548" t="s">
        <v>2625</v>
      </c>
      <c r="AI503" s="548" t="s">
        <v>2206</v>
      </c>
      <c r="AJ503" s="548">
        <v>94544</v>
      </c>
      <c r="AK503" s="548" t="s">
        <v>2207</v>
      </c>
      <c r="AL503" s="548" t="s">
        <v>123</v>
      </c>
      <c r="AM503" s="554" t="str">
        <f>INDEX(CarrierDriverTBL!$B:$B,MATCH(Table1[[#This Row],[DriverID]],CarrierDriverTBL!$A:$A,0))</f>
        <v>UBTrucking</v>
      </c>
      <c r="AN503" s="10" t="s">
        <v>192</v>
      </c>
      <c r="AO503" s="555" t="str">
        <f>INDEX(CarrierDriverTBL!$C:$C,MATCH(Table1[[#This Row],[DriverID]],CarrierDriverTBL!$A:$A,0))</f>
        <v>Albel</v>
      </c>
      <c r="AP503" s="555" t="str">
        <f>INDEX(CarrierDriverTBL!$D:$D,MATCH(Table1[[#This Row],[DriverID]],CarrierDriverTBL!$A:$A,0))</f>
        <v>Chahil</v>
      </c>
      <c r="AQ503" s="555" t="str">
        <f>INDEX(CarrierDriverTBL!$X:$X,MATCH(Table1[[#This Row],[DriverID]],CarrierDriverTBL!$A:$A,0))</f>
        <v>A8390649</v>
      </c>
      <c r="AR503" s="556">
        <f>INDEX(CarrierDriverTBL!$Y:$Y,MATCH(Table1[[#This Row],[DriverID]],CarrierDriverTBL!$A:$A,0))</f>
        <v>42402</v>
      </c>
      <c r="AS503" s="554" t="str">
        <f t="shared" si="194"/>
        <v>EXPIRED</v>
      </c>
      <c r="AT503" s="556">
        <f>INDEX(CarrierDriverTBL!$E:$E,MATCH(Table1[[#This Row],[DriverID]],CarrierDriverTBL!$A:$A,0))</f>
        <v>22314</v>
      </c>
      <c r="AU503" s="557">
        <f ca="1">INDEX(CarrierDriverTBL!$F:$F,MATCH(Table1[[#This Row],[DriverID]],CarrierDriverTBL!$A:$A,0))</f>
        <v>55.512328767123286</v>
      </c>
      <c r="AV503" s="554" t="str">
        <f>INDEX(CarrierDriverTBL!$K:$K,MATCH(Table1[[#This Row],[DriverID]],CarrierDriverTBL!$A:$A,0))</f>
        <v>510-773-9450</v>
      </c>
      <c r="AW503" s="554" t="str">
        <f>INDEX(CarrierDriverTBL!$M:$M,MATCH(Table1[[#This Row],[DriverID]],CarrierDriverTBL!$A:$A,0))</f>
        <v>3124 Cynthia CT</v>
      </c>
      <c r="AX503" s="554" t="str">
        <f>INDEX(CarrierDriverTBL!$N:$N,MATCH(Table1[[#This Row],[DriverID]],CarrierDriverTBL!$A:$A,0))</f>
        <v>Tracy</v>
      </c>
      <c r="AY503" s="554" t="str">
        <f>INDEX(CarrierDriverTBL!$O:$O,MATCH(Table1[[#This Row],[DriverID]],CarrierDriverTBL!$A:$A,0))</f>
        <v>CA</v>
      </c>
      <c r="AZ503" s="554">
        <f>INDEX(CarrierDriverTBL!$P:$P,MATCH(Table1[[#This Row],[DriverID]],CarrierDriverTBL!$A:$A,0))</f>
        <v>95377</v>
      </c>
      <c r="BA503" s="554" t="str">
        <f>INDEX(CarrierDriverTBL!$Q:$Q,MATCH(Table1[[#This Row],[DriverID]],CarrierDriverTBL!$A:$A,0))</f>
        <v>US</v>
      </c>
      <c r="BB503" s="554" t="str">
        <f>INDEX(CarrierDriverTBL!$R:$R,MATCH(Table1[[#This Row],[DriverID]],CarrierDriverTBL!$A:$A,0))</f>
        <v>ubgollc@gmail.com</v>
      </c>
      <c r="BC503" s="556">
        <f>INDEX(CarrierDriverTBL!$AB:$AB,MATCH(Table1[[#This Row],[DriverID]],CarrierDriverTBL!$A:$A,0))</f>
        <v>42167</v>
      </c>
      <c r="BD503" s="555" t="str">
        <f ca="1">INDEX(CarrierDriverTBL!$AD:$AD,MATCH(LoadMaster!$AN:$AN,CarrierDriverTBL!$A:$A,0))</f>
        <v>MISSING</v>
      </c>
      <c r="BE503" s="555">
        <f>INDEX(CarrierDriverTBL!$AE:$AE,MATCH(Table1[DriverID],CarrierDriverTBL!$A:$A,0))</f>
        <v>913971</v>
      </c>
      <c r="BF503" s="554">
        <f>INDEX(CarrierDriverTBL!$AF:$AF,MATCH(Table1[DriverID],CarrierDriverTBL!$A:$A,0))</f>
        <v>2627544</v>
      </c>
      <c r="BG503" s="236">
        <f>INDEX(CarrierDriverTBL!$AG:$AG,MATCH(Table1[DriverID],CarrierDriverTBL!$A:$A,0))</f>
        <v>466133</v>
      </c>
      <c r="BH503" s="554" t="str">
        <f>INDEX(CarrierDriverTBL!$AH:$AH,MATCH(Table1[DriverID],CarrierDriverTBL!$A:$A,0))</f>
        <v>GM Lawrence Ins</v>
      </c>
      <c r="BI503" s="554" t="str">
        <f>INDEX(CarrierDriverTBL!$AI:$AI,MATCH(Table1[DriverID],CarrierDriverTBL!$A:$A,0))</f>
        <v>DSK2842P160210</v>
      </c>
      <c r="BJ503" s="556">
        <f>INDEX(CarrierDriverTBL!$AJ:$AJ,MATCH(Table1[[#This Row],[DriverID]],CarrierDriverTBL!$A:$A,0))</f>
        <v>42778</v>
      </c>
      <c r="BK503" s="554">
        <f t="shared" si="195"/>
        <v>234</v>
      </c>
      <c r="BL503" s="558">
        <v>500</v>
      </c>
      <c r="BM503" s="554">
        <v>224</v>
      </c>
      <c r="BN503" s="558">
        <f t="shared" si="284"/>
        <v>2.2321428571428572</v>
      </c>
      <c r="BO503" s="241">
        <f>0.93*500</f>
        <v>465</v>
      </c>
      <c r="BP503" s="558">
        <f t="shared" si="285"/>
        <v>2.0758928571428572</v>
      </c>
      <c r="BQ503" s="558">
        <v>2.75</v>
      </c>
      <c r="BR503" s="559">
        <f t="shared" si="286"/>
        <v>0.14166666666666669</v>
      </c>
      <c r="BS503" s="558">
        <f t="shared" si="287"/>
        <v>1.9342261904761906</v>
      </c>
      <c r="BT503" s="558">
        <f t="shared" si="288"/>
        <v>31.733333333333338</v>
      </c>
      <c r="BU503" s="236" t="str">
        <f t="shared" si="198"/>
        <v>Cargobarn Inc.</v>
      </c>
      <c r="BV503" s="554"/>
      <c r="BW503" s="236" t="str">
        <f>Table1[[#This Row],[BrokerAddress]]</f>
        <v>2109 W Bullard Ave # 101</v>
      </c>
      <c r="BX503" s="236" t="str">
        <f t="shared" si="199"/>
        <v>Fresno</v>
      </c>
      <c r="BY503" s="269" t="str">
        <f t="shared" si="200"/>
        <v>Ca</v>
      </c>
      <c r="BZ503" s="236">
        <f t="shared" si="201"/>
        <v>93711</v>
      </c>
      <c r="CA503" s="236" t="str">
        <f t="shared" si="202"/>
        <v>US</v>
      </c>
      <c r="CB503" s="15" t="s">
        <v>131</v>
      </c>
      <c r="CC503" s="561"/>
      <c r="CD503" s="15" t="s">
        <v>3242</v>
      </c>
      <c r="CE503" s="64">
        <v>75</v>
      </c>
      <c r="CF503" s="4">
        <v>0</v>
      </c>
      <c r="CG503" s="132">
        <f t="shared" ref="CG503" si="328">CE503*CF503</f>
        <v>0</v>
      </c>
      <c r="CH503" s="4" t="s">
        <v>308</v>
      </c>
      <c r="CI503" s="5">
        <v>50</v>
      </c>
      <c r="CJ503" s="4">
        <v>0</v>
      </c>
      <c r="CK503" s="132">
        <f t="shared" ref="CK503" si="329">CI503*CJ503</f>
        <v>0</v>
      </c>
      <c r="CL503" s="4" t="s">
        <v>132</v>
      </c>
      <c r="CM503" s="5">
        <v>0</v>
      </c>
      <c r="CN503" s="4">
        <v>0</v>
      </c>
      <c r="CO503" s="132">
        <f t="shared" ref="CO503" si="330">CM503*CN503</f>
        <v>0</v>
      </c>
      <c r="CP503" s="4" t="s">
        <v>132</v>
      </c>
      <c r="CQ503" s="5">
        <v>0</v>
      </c>
      <c r="CR503" s="4">
        <v>0</v>
      </c>
      <c r="CS503" s="132">
        <f t="shared" ref="CS503" si="331">CQ503*CR503</f>
        <v>0</v>
      </c>
      <c r="CT503" s="132">
        <f t="shared" ref="CT503" si="332">CG503+CK503+CO503+CS503</f>
        <v>0</v>
      </c>
      <c r="CU503" s="238">
        <f t="shared" si="294"/>
        <v>500</v>
      </c>
      <c r="CV503" s="239">
        <f t="shared" si="295"/>
        <v>0</v>
      </c>
      <c r="CW503" s="240">
        <f t="shared" si="296"/>
        <v>465</v>
      </c>
      <c r="CX503" s="79">
        <f>IF(ISBLANK(E503),"AddQuickPay",IF(E503=2,CU503*0.98,IF(E503=2.4,CU503*0.976,IF(E503=3,CU503*0.97,IF(E503=5,CU503*0.95,IF(E503=1.5,CU503*0.985,IF(E503=2.5,CU503*0.975,IF(E503=1.3,CU503*0.987,IF(E503=1,CU503*0.99,IF(E503=4,CU503*0.96,CU503*1))))))))))-Table1[[#This Row],[ComCheck+QuickPayFee]]</f>
        <v>490</v>
      </c>
      <c r="CY503" s="237">
        <f t="shared" si="297"/>
        <v>35</v>
      </c>
      <c r="CZ503" s="237">
        <f t="shared" si="210"/>
        <v>10</v>
      </c>
      <c r="DA503" s="263">
        <f>Table1[[#This Row],[OriginalDispatch]]-Table1[[#This Row],[QuickPayCharge]]</f>
        <v>25</v>
      </c>
      <c r="DB503" s="5">
        <v>0</v>
      </c>
      <c r="DC503" s="237" t="s">
        <v>133</v>
      </c>
      <c r="DD503" s="549">
        <f t="shared" si="211"/>
        <v>42545</v>
      </c>
      <c r="DE503" s="554">
        <f>MONTH(Table1[[#This Row],[Weekending]])</f>
        <v>6</v>
      </c>
      <c r="DF503" s="554">
        <f>YEAR(Table1[[#This Row],[Weekending]])</f>
        <v>2016</v>
      </c>
      <c r="DG503" s="235"/>
    </row>
    <row r="504" spans="1:111">
      <c r="A504" s="548" t="str">
        <f t="shared" si="193"/>
        <v>0185wn93</v>
      </c>
      <c r="B504" s="549">
        <v>42547</v>
      </c>
      <c r="C504" s="550">
        <v>69801</v>
      </c>
      <c r="D504" s="548" t="s">
        <v>3207</v>
      </c>
      <c r="E504" s="550">
        <v>0</v>
      </c>
      <c r="F504" s="551" t="str">
        <f>INDEX(BrokerTBL!$B:$B,MATCH(D504,BrokerTBL!$A:$A,0))</f>
        <v>65 Orville Drive</v>
      </c>
      <c r="G504" s="550" t="str">
        <f>INDEX(BrokerTBL!$C:$C,MATCH(D504,BrokerTBL!$A:$A,0))</f>
        <v>Bohemia</v>
      </c>
      <c r="H504" s="235" t="str">
        <f>INDEX(BrokerTBL!$D:$D,MATCH(D504,BrokerTBL!$A:$A,0))</f>
        <v>NY</v>
      </c>
      <c r="I504" s="235" t="str">
        <f>INDEX(BrokerTBL!$E:$E,MATCH(D504,BrokerTBL!$A:$A,0))</f>
        <v>US</v>
      </c>
      <c r="J504" s="235">
        <f>INDEX(BrokerTBL!$F:$F,MATCH(D504,BrokerTBL!$A:$A,0))</f>
        <v>11716</v>
      </c>
      <c r="K504" s="548" t="s">
        <v>3210</v>
      </c>
      <c r="L504" s="552">
        <v>50649085</v>
      </c>
      <c r="M504" s="549">
        <v>42528</v>
      </c>
      <c r="N504" s="550" t="s">
        <v>123</v>
      </c>
      <c r="O504" s="550" t="s">
        <v>3243</v>
      </c>
      <c r="P504" s="548" t="s">
        <v>2851</v>
      </c>
      <c r="Q504" s="548" t="s">
        <v>2206</v>
      </c>
      <c r="R504" s="548">
        <v>95380</v>
      </c>
      <c r="S504" s="548" t="s">
        <v>2207</v>
      </c>
      <c r="T504" s="548" t="s">
        <v>3244</v>
      </c>
      <c r="U504" s="548" t="s">
        <v>120</v>
      </c>
      <c r="V504" s="548">
        <v>53</v>
      </c>
      <c r="W504" s="548" t="s">
        <v>1205</v>
      </c>
      <c r="X504" s="553">
        <v>3426</v>
      </c>
      <c r="Y504" s="550" t="s">
        <v>123</v>
      </c>
      <c r="Z504" s="548" t="s">
        <v>123</v>
      </c>
      <c r="AA504" s="548" t="s">
        <v>123</v>
      </c>
      <c r="AB504" s="548" t="s">
        <v>123</v>
      </c>
      <c r="AC504" s="548" t="s">
        <v>3245</v>
      </c>
      <c r="AD504" s="552" t="s">
        <v>1205</v>
      </c>
      <c r="AE504" s="549">
        <v>42538</v>
      </c>
      <c r="AF504" s="549" t="s">
        <v>123</v>
      </c>
      <c r="AG504" s="548" t="s">
        <v>3246</v>
      </c>
      <c r="AH504" s="548" t="s">
        <v>3247</v>
      </c>
      <c r="AI504" s="548" t="s">
        <v>3248</v>
      </c>
      <c r="AJ504" s="548">
        <v>11729</v>
      </c>
      <c r="AK504" s="548" t="s">
        <v>2207</v>
      </c>
      <c r="AL504" s="548" t="s">
        <v>3249</v>
      </c>
      <c r="AM504" s="554" t="str">
        <f>INDEX(CarrierDriverTBL!$B:$B,MATCH(Table1[[#This Row],[DriverID]],CarrierDriverTBL!$A:$A,0))</f>
        <v>UBTrucking</v>
      </c>
      <c r="AN504" s="10" t="s">
        <v>2234</v>
      </c>
      <c r="AO504" s="555" t="str">
        <f>INDEX(CarrierDriverTBL!$C:$C,MATCH(Table1[[#This Row],[DriverID]],CarrierDriverTBL!$A:$A,0))</f>
        <v>Arturo</v>
      </c>
      <c r="AP504" s="555" t="str">
        <f>INDEX(CarrierDriverTBL!$D:$D,MATCH(Table1[[#This Row],[DriverID]],CarrierDriverTBL!$A:$A,0))</f>
        <v>Carrillo</v>
      </c>
      <c r="AQ504" s="555" t="str">
        <f>INDEX(CarrierDriverTBL!$X:$X,MATCH(Table1[[#This Row],[DriverID]],CarrierDriverTBL!$A:$A,0))</f>
        <v>C7056793</v>
      </c>
      <c r="AR504" s="556">
        <f>INDEX(CarrierDriverTBL!$Y:$Y,MATCH(Table1[[#This Row],[DriverID]],CarrierDriverTBL!$A:$A,0))</f>
        <v>43410</v>
      </c>
      <c r="AS504" s="554" t="str">
        <f t="shared" si="194"/>
        <v>GOOD</v>
      </c>
      <c r="AT504" s="556">
        <f>INDEX(CarrierDriverTBL!$E:$E,MATCH(Table1[[#This Row],[DriverID]],CarrierDriverTBL!$A:$A,0))</f>
        <v>24782</v>
      </c>
      <c r="AU504" s="557">
        <f ca="1">INDEX(CarrierDriverTBL!$F:$F,MATCH(Table1[[#This Row],[DriverID]],CarrierDriverTBL!$A:$A,0))</f>
        <v>48.750684931506846</v>
      </c>
      <c r="AV504" s="554" t="str">
        <f>INDEX(CarrierDriverTBL!$K:$K,MATCH(Table1[[#This Row],[DriverID]],CarrierDriverTBL!$A:$A,0))</f>
        <v>209-276-9785</v>
      </c>
      <c r="AW504" s="554" t="str">
        <f>INDEX(CarrierDriverTBL!$M:$M,MATCH(Table1[[#This Row],[DriverID]],CarrierDriverTBL!$A:$A,0))</f>
        <v>1685 Winthrop Ln</v>
      </c>
      <c r="AX504" s="554" t="str">
        <f>INDEX(CarrierDriverTBL!$N:$N,MATCH(Table1[[#This Row],[DriverID]],CarrierDriverTBL!$A:$A,0))</f>
        <v>Ceres</v>
      </c>
      <c r="AY504" s="554" t="str">
        <f>INDEX(CarrierDriverTBL!$O:$O,MATCH(Table1[[#This Row],[DriverID]],CarrierDriverTBL!$A:$A,0))</f>
        <v>CA</v>
      </c>
      <c r="AZ504" s="554">
        <f>INDEX(CarrierDriverTBL!$P:$P,MATCH(Table1[[#This Row],[DriverID]],CarrierDriverTBL!$A:$A,0))</f>
        <v>95307</v>
      </c>
      <c r="BA504" s="554" t="str">
        <f>INDEX(CarrierDriverTBL!$Q:$Q,MATCH(Table1[[#This Row],[DriverID]],CarrierDriverTBL!$A:$A,0))</f>
        <v>US</v>
      </c>
      <c r="BB504" s="554" t="str">
        <f>INDEX(CarrierDriverTBL!$R:$R,MATCH(Table1[[#This Row],[DriverID]],CarrierDriverTBL!$A:$A,0))</f>
        <v>arturocarr777@gmail.com</v>
      </c>
      <c r="BC504" s="556">
        <f>INDEX(CarrierDriverTBL!$AB:$AB,MATCH(Table1[[#This Row],[DriverID]],CarrierDriverTBL!$A:$A,0))</f>
        <v>42418</v>
      </c>
      <c r="BD504" s="555" t="str">
        <f ca="1">INDEX(CarrierDriverTBL!$AD:$AD,MATCH(LoadMaster!$AN:$AN,CarrierDriverTBL!$A:$A,0))</f>
        <v>MISSING</v>
      </c>
      <c r="BE504" s="555">
        <f>INDEX(CarrierDriverTBL!$AE:$AE,MATCH(Table1[DriverID],CarrierDriverTBL!$A:$A,0))</f>
        <v>913971</v>
      </c>
      <c r="BF504" s="554">
        <f>INDEX(CarrierDriverTBL!$AF:$AF,MATCH(Table1[DriverID],CarrierDriverTBL!$A:$A,0))</f>
        <v>2627544</v>
      </c>
      <c r="BG504" s="236">
        <f>INDEX(CarrierDriverTBL!$AG:$AG,MATCH(Table1[DriverID],CarrierDriverTBL!$A:$A,0))</f>
        <v>466133</v>
      </c>
      <c r="BH504" s="554" t="str">
        <f>INDEX(CarrierDriverTBL!$AH:$AH,MATCH(Table1[DriverID],CarrierDriverTBL!$A:$A,0))</f>
        <v>GM Lawrence Ins</v>
      </c>
      <c r="BI504" s="554" t="str">
        <f>INDEX(CarrierDriverTBL!$AI:$AI,MATCH(Table1[DriverID],CarrierDriverTBL!$A:$A,0))</f>
        <v>DSK2842P160210</v>
      </c>
      <c r="BJ504" s="556">
        <f>INDEX(CarrierDriverTBL!$AJ:$AJ,MATCH(Table1[[#This Row],[DriverID]],CarrierDriverTBL!$A:$A,0))</f>
        <v>42778</v>
      </c>
      <c r="BK504" s="554">
        <f t="shared" si="195"/>
        <v>250</v>
      </c>
      <c r="BL504" s="558">
        <v>450</v>
      </c>
      <c r="BM504" s="554">
        <v>220</v>
      </c>
      <c r="BN504" s="558">
        <f t="shared" si="284"/>
        <v>2.0454545454545454</v>
      </c>
      <c r="BO504" s="241">
        <f>0.93*450</f>
        <v>418.5</v>
      </c>
      <c r="BP504" s="558">
        <f t="shared" si="285"/>
        <v>1.9022727272727273</v>
      </c>
      <c r="BQ504" s="558">
        <v>2.75</v>
      </c>
      <c r="BR504" s="559">
        <f t="shared" si="286"/>
        <v>0.14166666666666669</v>
      </c>
      <c r="BS504" s="558">
        <f t="shared" si="287"/>
        <v>1.7606060606060607</v>
      </c>
      <c r="BT504" s="558">
        <f t="shared" si="288"/>
        <v>31.166666666666671</v>
      </c>
      <c r="BU504" s="236" t="str">
        <f t="shared" si="198"/>
        <v>GMGTRANSWEST</v>
      </c>
      <c r="BV504" s="554"/>
      <c r="BW504" s="236" t="str">
        <f>Table1[[#This Row],[BrokerAddress]]</f>
        <v>65 Orville Drive</v>
      </c>
      <c r="BX504" s="236" t="str">
        <f t="shared" si="199"/>
        <v>Bohemia</v>
      </c>
      <c r="BY504" s="269" t="str">
        <f t="shared" si="200"/>
        <v>NY</v>
      </c>
      <c r="BZ504" s="236">
        <f t="shared" si="201"/>
        <v>11716</v>
      </c>
      <c r="CA504" s="236" t="str">
        <f t="shared" si="202"/>
        <v>US</v>
      </c>
      <c r="CB504" s="15" t="s">
        <v>131</v>
      </c>
      <c r="CC504" s="561"/>
      <c r="CD504" s="15" t="s">
        <v>132</v>
      </c>
      <c r="CE504" s="64">
        <v>0</v>
      </c>
      <c r="CF504" s="4">
        <v>0</v>
      </c>
      <c r="CG504" s="132">
        <f t="shared" ref="CG504" si="333">CE504*CF504</f>
        <v>0</v>
      </c>
      <c r="CH504" s="4" t="s">
        <v>132</v>
      </c>
      <c r="CI504" s="5">
        <v>0</v>
      </c>
      <c r="CJ504" s="4">
        <v>0</v>
      </c>
      <c r="CK504" s="132">
        <f t="shared" ref="CK504" si="334">CI504*CJ504</f>
        <v>0</v>
      </c>
      <c r="CL504" s="4" t="s">
        <v>132</v>
      </c>
      <c r="CM504" s="5">
        <v>0</v>
      </c>
      <c r="CN504" s="4">
        <v>0</v>
      </c>
      <c r="CO504" s="132">
        <f t="shared" ref="CO504" si="335">CM504*CN504</f>
        <v>0</v>
      </c>
      <c r="CP504" s="4" t="s">
        <v>132</v>
      </c>
      <c r="CQ504" s="5">
        <v>0</v>
      </c>
      <c r="CR504" s="4">
        <v>0</v>
      </c>
      <c r="CS504" s="132">
        <f t="shared" ref="CS504" si="336">CQ504*CR504</f>
        <v>0</v>
      </c>
      <c r="CT504" s="132">
        <f t="shared" ref="CT504" si="337">CG504+CK504+CO504+CS504</f>
        <v>0</v>
      </c>
      <c r="CU504" s="238">
        <f t="shared" si="294"/>
        <v>450</v>
      </c>
      <c r="CV504" s="239">
        <f t="shared" si="295"/>
        <v>0</v>
      </c>
      <c r="CW504" s="240">
        <f t="shared" si="296"/>
        <v>418.5</v>
      </c>
      <c r="CX504" s="79">
        <f>IF(ISBLANK(E504),"AddQuickPay",IF(E504=2,CU504*0.98,IF(E504=2.4,CU504*0.976,IF(E504=3,CU504*0.97,IF(E504=5,CU504*0.95,IF(E504=1.5,CU504*0.985,IF(E504=2.5,CU504*0.975,IF(E504=1.3,CU504*0.987,IF(E504=1,CU504*0.99,IF(E504=4,CU504*0.96,CU504*1))))))))))-Table1[[#This Row],[ComCheck+QuickPayFee]]</f>
        <v>450</v>
      </c>
      <c r="CY504" s="237">
        <f t="shared" si="297"/>
        <v>31.5</v>
      </c>
      <c r="CZ504" s="237">
        <f t="shared" si="210"/>
        <v>0</v>
      </c>
      <c r="DA504" s="263">
        <f>Table1[[#This Row],[OriginalDispatch]]-Table1[[#This Row],[QuickPayCharge]]</f>
        <v>31.5</v>
      </c>
      <c r="DB504" s="5">
        <v>0</v>
      </c>
      <c r="DC504" s="237" t="s">
        <v>133</v>
      </c>
      <c r="DD504" s="549">
        <f t="shared" si="211"/>
        <v>42531</v>
      </c>
      <c r="DE504" s="554">
        <f>MONTH(Table1[[#This Row],[Weekending]])</f>
        <v>6</v>
      </c>
      <c r="DF504" s="554">
        <f>YEAR(Table1[[#This Row],[Weekending]])</f>
        <v>2016</v>
      </c>
      <c r="DG504" s="235"/>
    </row>
    <row r="505" spans="1:111">
      <c r="A505" s="548" t="str">
        <f t="shared" si="193"/>
        <v>8633wn49</v>
      </c>
      <c r="B505" s="549">
        <v>42547</v>
      </c>
      <c r="C505" s="550">
        <v>204878486</v>
      </c>
      <c r="D505" s="548" t="s">
        <v>111</v>
      </c>
      <c r="E505" s="550">
        <v>2</v>
      </c>
      <c r="F505" s="551" t="str">
        <f>INDEX(BrokerTBL!$B:$B,MATCH(D505,BrokerTBL!$A:$A,0))</f>
        <v>P.O. Box 3474</v>
      </c>
      <c r="G505" s="550" t="str">
        <f>INDEX(BrokerTBL!$C:$C,MATCH(D505,BrokerTBL!$A:$A,0))</f>
        <v>Chicago</v>
      </c>
      <c r="H505" s="235" t="str">
        <f>INDEX(BrokerTBL!$D:$D,MATCH(D505,BrokerTBL!$A:$A,0))</f>
        <v>Il</v>
      </c>
      <c r="I505" s="235" t="str">
        <f>INDEX(BrokerTBL!$E:$E,MATCH(D505,BrokerTBL!$A:$A,0))</f>
        <v>US</v>
      </c>
      <c r="J505" s="235">
        <f>INDEX(BrokerTBL!$F:$F,MATCH(D505,BrokerTBL!$A:$A,0))</f>
        <v>60654</v>
      </c>
      <c r="K505" s="552" t="s">
        <v>3250</v>
      </c>
      <c r="L505" s="552" t="s">
        <v>3251</v>
      </c>
      <c r="M505" s="549">
        <v>42543</v>
      </c>
      <c r="N505" s="550" t="s">
        <v>123</v>
      </c>
      <c r="O505" s="550" t="s">
        <v>3252</v>
      </c>
      <c r="P505" s="548" t="s">
        <v>228</v>
      </c>
      <c r="Q505" s="548" t="s">
        <v>2206</v>
      </c>
      <c r="R505" s="548">
        <v>94544</v>
      </c>
      <c r="S505" s="548" t="s">
        <v>2207</v>
      </c>
      <c r="T505" s="548" t="s">
        <v>123</v>
      </c>
      <c r="U505" s="548" t="s">
        <v>120</v>
      </c>
      <c r="V505" s="548">
        <v>53</v>
      </c>
      <c r="W505" s="548" t="s">
        <v>601</v>
      </c>
      <c r="X505" s="553">
        <v>816</v>
      </c>
      <c r="Y505" s="550" t="s">
        <v>1545</v>
      </c>
      <c r="Z505" s="548">
        <v>1</v>
      </c>
      <c r="AA505" s="548" t="s">
        <v>123</v>
      </c>
      <c r="AB505" s="548" t="s">
        <v>123</v>
      </c>
      <c r="AC505" s="548" t="s">
        <v>3253</v>
      </c>
      <c r="AD505" s="552" t="s">
        <v>1205</v>
      </c>
      <c r="AE505" s="549" t="s">
        <v>3254</v>
      </c>
      <c r="AF505" s="560">
        <v>0.25</v>
      </c>
      <c r="AG505" s="548" t="s">
        <v>3255</v>
      </c>
      <c r="AH505" s="548" t="s">
        <v>2451</v>
      </c>
      <c r="AI505" s="548" t="s">
        <v>2233</v>
      </c>
      <c r="AJ505" s="548">
        <v>89434</v>
      </c>
      <c r="AK505" s="548" t="s">
        <v>2207</v>
      </c>
      <c r="AL505" s="548" t="s">
        <v>123</v>
      </c>
      <c r="AM505" s="554" t="str">
        <f>INDEX(CarrierDriverTBL!$B:$B,MATCH(Table1[[#This Row],[DriverID]],CarrierDriverTBL!$A:$A,0))</f>
        <v>UBTrucking</v>
      </c>
      <c r="AN505" s="10" t="s">
        <v>192</v>
      </c>
      <c r="AO505" s="555" t="str">
        <f>INDEX(CarrierDriverTBL!$C:$C,MATCH(Table1[[#This Row],[DriverID]],CarrierDriverTBL!$A:$A,0))</f>
        <v>Albel</v>
      </c>
      <c r="AP505" s="555" t="str">
        <f>INDEX(CarrierDriverTBL!$D:$D,MATCH(Table1[[#This Row],[DriverID]],CarrierDriverTBL!$A:$A,0))</f>
        <v>Chahil</v>
      </c>
      <c r="AQ505" s="555" t="str">
        <f>INDEX(CarrierDriverTBL!$X:$X,MATCH(Table1[[#This Row],[DriverID]],CarrierDriverTBL!$A:$A,0))</f>
        <v>A8390649</v>
      </c>
      <c r="AR505" s="556">
        <f>INDEX(CarrierDriverTBL!$Y:$Y,MATCH(Table1[[#This Row],[DriverID]],CarrierDriverTBL!$A:$A,0))</f>
        <v>42402</v>
      </c>
      <c r="AS505" s="554" t="str">
        <f t="shared" si="194"/>
        <v>EXPIRED</v>
      </c>
      <c r="AT505" s="556">
        <f>INDEX(CarrierDriverTBL!$E:$E,MATCH(Table1[[#This Row],[DriverID]],CarrierDriverTBL!$A:$A,0))</f>
        <v>22314</v>
      </c>
      <c r="AU505" s="557">
        <f ca="1">INDEX(CarrierDriverTBL!$F:$F,MATCH(Table1[[#This Row],[DriverID]],CarrierDriverTBL!$A:$A,0))</f>
        <v>55.512328767123286</v>
      </c>
      <c r="AV505" s="554" t="str">
        <f>INDEX(CarrierDriverTBL!$K:$K,MATCH(Table1[[#This Row],[DriverID]],CarrierDriverTBL!$A:$A,0))</f>
        <v>510-773-9450</v>
      </c>
      <c r="AW505" s="554" t="str">
        <f>INDEX(CarrierDriverTBL!$M:$M,MATCH(Table1[[#This Row],[DriverID]],CarrierDriverTBL!$A:$A,0))</f>
        <v>3124 Cynthia CT</v>
      </c>
      <c r="AX505" s="554" t="str">
        <f>INDEX(CarrierDriverTBL!$N:$N,MATCH(Table1[[#This Row],[DriverID]],CarrierDriverTBL!$A:$A,0))</f>
        <v>Tracy</v>
      </c>
      <c r="AY505" s="554" t="str">
        <f>INDEX(CarrierDriverTBL!$O:$O,MATCH(Table1[[#This Row],[DriverID]],CarrierDriverTBL!$A:$A,0))</f>
        <v>CA</v>
      </c>
      <c r="AZ505" s="554">
        <f>INDEX(CarrierDriverTBL!$P:$P,MATCH(Table1[[#This Row],[DriverID]],CarrierDriverTBL!$A:$A,0))</f>
        <v>95377</v>
      </c>
      <c r="BA505" s="554" t="str">
        <f>INDEX(CarrierDriverTBL!$Q:$Q,MATCH(Table1[[#This Row],[DriverID]],CarrierDriverTBL!$A:$A,0))</f>
        <v>US</v>
      </c>
      <c r="BB505" s="554" t="str">
        <f>INDEX(CarrierDriverTBL!$R:$R,MATCH(Table1[[#This Row],[DriverID]],CarrierDriverTBL!$A:$A,0))</f>
        <v>ubgollc@gmail.com</v>
      </c>
      <c r="BC505" s="556">
        <f>INDEX(CarrierDriverTBL!$AB:$AB,MATCH(Table1[[#This Row],[DriverID]],CarrierDriverTBL!$A:$A,0))</f>
        <v>42167</v>
      </c>
      <c r="BD505" s="555" t="str">
        <f ca="1">INDEX(CarrierDriverTBL!$AD:$AD,MATCH(LoadMaster!$AN:$AN,CarrierDriverTBL!$A:$A,0))</f>
        <v>MISSING</v>
      </c>
      <c r="BE505" s="555">
        <f>INDEX(CarrierDriverTBL!$AE:$AE,MATCH(Table1[DriverID],CarrierDriverTBL!$A:$A,0))</f>
        <v>913971</v>
      </c>
      <c r="BF505" s="554">
        <f>INDEX(CarrierDriverTBL!$AF:$AF,MATCH(Table1[DriverID],CarrierDriverTBL!$A:$A,0))</f>
        <v>2627544</v>
      </c>
      <c r="BG505" s="236">
        <f>INDEX(CarrierDriverTBL!$AG:$AG,MATCH(Table1[DriverID],CarrierDriverTBL!$A:$A,0))</f>
        <v>466133</v>
      </c>
      <c r="BH505" s="554" t="str">
        <f>INDEX(CarrierDriverTBL!$AH:$AH,MATCH(Table1[DriverID],CarrierDriverTBL!$A:$A,0))</f>
        <v>GM Lawrence Ins</v>
      </c>
      <c r="BI505" s="554" t="str">
        <f>INDEX(CarrierDriverTBL!$AI:$AI,MATCH(Table1[DriverID],CarrierDriverTBL!$A:$A,0))</f>
        <v>DSK2842P160210</v>
      </c>
      <c r="BJ505" s="556">
        <f>INDEX(CarrierDriverTBL!$AJ:$AJ,MATCH(Table1[[#This Row],[DriverID]],CarrierDriverTBL!$A:$A,0))</f>
        <v>42778</v>
      </c>
      <c r="BK505" s="554">
        <f t="shared" si="195"/>
        <v>235</v>
      </c>
      <c r="BL505" s="558">
        <v>800</v>
      </c>
      <c r="BM505" s="554">
        <v>230.3</v>
      </c>
      <c r="BN505" s="558">
        <f t="shared" si="284"/>
        <v>3.4737299174989142</v>
      </c>
      <c r="BO505" s="241">
        <f>0.93*800</f>
        <v>744</v>
      </c>
      <c r="BP505" s="558">
        <f t="shared" si="285"/>
        <v>3.2305688232739902</v>
      </c>
      <c r="BQ505" s="558">
        <v>2.75</v>
      </c>
      <c r="BR505" s="559">
        <f t="shared" si="286"/>
        <v>0.14166666666666669</v>
      </c>
      <c r="BS505" s="558">
        <f t="shared" si="287"/>
        <v>3.0889021566073236</v>
      </c>
      <c r="BT505" s="558">
        <f t="shared" si="288"/>
        <v>32.62583333333334</v>
      </c>
      <c r="BU505" s="236" t="str">
        <f t="shared" si="198"/>
        <v>Ch Robinson</v>
      </c>
      <c r="BV505" s="554"/>
      <c r="BW505" s="236" t="str">
        <f>Table1[[#This Row],[BrokerAddress]]</f>
        <v>P.O. Box 3474</v>
      </c>
      <c r="BX505" s="236" t="str">
        <f t="shared" si="199"/>
        <v>Chicago</v>
      </c>
      <c r="BY505" s="269" t="str">
        <f t="shared" si="200"/>
        <v>Il</v>
      </c>
      <c r="BZ505" s="236">
        <f t="shared" si="201"/>
        <v>60654</v>
      </c>
      <c r="CA505" s="236" t="str">
        <f t="shared" si="202"/>
        <v>US</v>
      </c>
      <c r="CB505" s="15" t="s">
        <v>131</v>
      </c>
      <c r="CC505" s="561"/>
      <c r="CD505" s="15" t="s">
        <v>132</v>
      </c>
      <c r="CE505" s="64">
        <v>0</v>
      </c>
      <c r="CF505" s="4">
        <v>0</v>
      </c>
      <c r="CG505" s="132">
        <f t="shared" ref="CG505" si="338">CE505*CF505</f>
        <v>0</v>
      </c>
      <c r="CH505" s="4" t="s">
        <v>132</v>
      </c>
      <c r="CI505" s="5">
        <v>0</v>
      </c>
      <c r="CJ505" s="4">
        <v>0</v>
      </c>
      <c r="CK505" s="132">
        <f t="shared" ref="CK505" si="339">CI505*CJ505</f>
        <v>0</v>
      </c>
      <c r="CL505" s="4" t="s">
        <v>132</v>
      </c>
      <c r="CM505" s="5">
        <v>0</v>
      </c>
      <c r="CN505" s="4">
        <v>0</v>
      </c>
      <c r="CO505" s="132">
        <f t="shared" ref="CO505" si="340">CM505*CN505</f>
        <v>0</v>
      </c>
      <c r="CP505" s="4" t="s">
        <v>132</v>
      </c>
      <c r="CQ505" s="5">
        <v>0</v>
      </c>
      <c r="CR505" s="4">
        <v>0</v>
      </c>
      <c r="CS505" s="132">
        <f t="shared" ref="CS505" si="341">CQ505*CR505</f>
        <v>0</v>
      </c>
      <c r="CT505" s="132">
        <f t="shared" ref="CT505" si="342">CG505+CK505+CO505+CS505</f>
        <v>0</v>
      </c>
      <c r="CU505" s="238">
        <f t="shared" si="294"/>
        <v>800</v>
      </c>
      <c r="CV505" s="239">
        <f t="shared" si="295"/>
        <v>0</v>
      </c>
      <c r="CW505" s="240">
        <f t="shared" si="296"/>
        <v>744</v>
      </c>
      <c r="CX505" s="79">
        <f>IF(ISBLANK(E505),"AddQuickPay",IF(E505=2,CU505*0.98,IF(E505=2.4,CU505*0.976,IF(E505=3,CU505*0.97,IF(E505=5,CU505*0.95,IF(E505=1.5,CU505*0.985,IF(E505=2.5,CU505*0.975,IF(E505=1.3,CU505*0.987,IF(E505=1,CU505*0.99,IF(E505=4,CU505*0.96,CU505*1))))))))))-Table1[[#This Row],[ComCheck+QuickPayFee]]</f>
        <v>784</v>
      </c>
      <c r="CY505" s="237">
        <f t="shared" si="297"/>
        <v>56</v>
      </c>
      <c r="CZ505" s="237">
        <f t="shared" si="210"/>
        <v>16</v>
      </c>
      <c r="DA505" s="263">
        <f>Table1[[#This Row],[OriginalDispatch]]-Table1[[#This Row],[QuickPayCharge]]</f>
        <v>40</v>
      </c>
      <c r="DB505" s="5">
        <v>0</v>
      </c>
      <c r="DC505" s="237" t="s">
        <v>133</v>
      </c>
      <c r="DD505" s="549">
        <f t="shared" si="211"/>
        <v>42545</v>
      </c>
      <c r="DE505" s="554">
        <f>MONTH(Table1[[#This Row],[Weekending]])</f>
        <v>6</v>
      </c>
      <c r="DF505" s="554">
        <f>YEAR(Table1[[#This Row],[Weekending]])</f>
        <v>2016</v>
      </c>
      <c r="DG505" s="235"/>
    </row>
    <row r="506" spans="1:111">
      <c r="A506" s="548" t="str">
        <f t="shared" si="193"/>
        <v>33969693</v>
      </c>
      <c r="B506" s="549">
        <v>42547</v>
      </c>
      <c r="C506" s="550" t="s">
        <v>3256</v>
      </c>
      <c r="D506" s="548" t="s">
        <v>2825</v>
      </c>
      <c r="E506" s="550">
        <v>2</v>
      </c>
      <c r="F506" s="551" t="str">
        <f>INDEX(BrokerTBL!$B:$B,MATCH(D506,BrokerTBL!$A:$A,0))</f>
        <v>P.O. Box 2545 3101 South Packerland Drive</v>
      </c>
      <c r="G506" s="550" t="str">
        <f>INDEX(BrokerTBL!$C:$C,MATCH(D506,BrokerTBL!$A:$A,0))</f>
        <v>Green Bay</v>
      </c>
      <c r="H506" s="235" t="str">
        <f>INDEX(BrokerTBL!$D:$D,MATCH(D506,BrokerTBL!$A:$A,0))</f>
        <v>Wisconsin</v>
      </c>
      <c r="I506" s="235" t="str">
        <f>INDEX(BrokerTBL!$E:$E,MATCH(D506,BrokerTBL!$A:$A,0))</f>
        <v>US</v>
      </c>
      <c r="J506" s="235" t="str">
        <f>INDEX(BrokerTBL!$F:$F,MATCH(D506,BrokerTBL!$A:$A,0))</f>
        <v>54306-2545</v>
      </c>
      <c r="K506" s="548" t="s">
        <v>3058</v>
      </c>
      <c r="L506" s="552">
        <v>8196</v>
      </c>
      <c r="M506" s="549">
        <v>42544</v>
      </c>
      <c r="N506" s="560">
        <v>0.5</v>
      </c>
      <c r="O506" s="550" t="s">
        <v>3060</v>
      </c>
      <c r="P506" s="548" t="s">
        <v>2435</v>
      </c>
      <c r="Q506" s="548" t="s">
        <v>2206</v>
      </c>
      <c r="R506" s="548">
        <v>95126</v>
      </c>
      <c r="S506" s="548" t="s">
        <v>2207</v>
      </c>
      <c r="T506" s="548" t="s">
        <v>123</v>
      </c>
      <c r="U506" s="548" t="s">
        <v>120</v>
      </c>
      <c r="V506" s="548">
        <v>53</v>
      </c>
      <c r="W506" s="548" t="s">
        <v>3061</v>
      </c>
      <c r="X506" s="553">
        <v>40000</v>
      </c>
      <c r="Y506" s="550" t="s">
        <v>26</v>
      </c>
      <c r="Z506" s="548">
        <v>32</v>
      </c>
      <c r="AA506" s="548" t="s">
        <v>123</v>
      </c>
      <c r="AB506" s="548" t="s">
        <v>123</v>
      </c>
      <c r="AC506" s="548" t="s">
        <v>3062</v>
      </c>
      <c r="AD506" s="552" t="s">
        <v>3257</v>
      </c>
      <c r="AE506" s="549">
        <v>42545</v>
      </c>
      <c r="AF506" s="549" t="s">
        <v>1002</v>
      </c>
      <c r="AG506" s="548" t="s">
        <v>3063</v>
      </c>
      <c r="AH506" s="548" t="s">
        <v>2466</v>
      </c>
      <c r="AI506" s="548" t="s">
        <v>2233</v>
      </c>
      <c r="AJ506" s="548">
        <v>89506</v>
      </c>
      <c r="AK506" s="548" t="s">
        <v>2207</v>
      </c>
      <c r="AL506" s="548" t="s">
        <v>123</v>
      </c>
      <c r="AM506" s="554" t="str">
        <f>INDEX(CarrierDriverTBL!$B:$B,MATCH(Table1[[#This Row],[DriverID]],CarrierDriverTBL!$A:$A,0))</f>
        <v>UBTrucking</v>
      </c>
      <c r="AN506" s="10" t="s">
        <v>2234</v>
      </c>
      <c r="AO506" s="555" t="str">
        <f>INDEX(CarrierDriverTBL!$C:$C,MATCH(Table1[[#This Row],[DriverID]],CarrierDriverTBL!$A:$A,0))</f>
        <v>Arturo</v>
      </c>
      <c r="AP506" s="555" t="str">
        <f>INDEX(CarrierDriverTBL!$D:$D,MATCH(Table1[[#This Row],[DriverID]],CarrierDriverTBL!$A:$A,0))</f>
        <v>Carrillo</v>
      </c>
      <c r="AQ506" s="555" t="str">
        <f>INDEX(CarrierDriverTBL!$X:$X,MATCH(Table1[[#This Row],[DriverID]],CarrierDriverTBL!$A:$A,0))</f>
        <v>C7056793</v>
      </c>
      <c r="AR506" s="556">
        <f>INDEX(CarrierDriverTBL!$Y:$Y,MATCH(Table1[[#This Row],[DriverID]],CarrierDriverTBL!$A:$A,0))</f>
        <v>43410</v>
      </c>
      <c r="AS506" s="554" t="str">
        <f t="shared" si="194"/>
        <v>GOOD</v>
      </c>
      <c r="AT506" s="556">
        <f>INDEX(CarrierDriverTBL!$E:$E,MATCH(Table1[[#This Row],[DriverID]],CarrierDriverTBL!$A:$A,0))</f>
        <v>24782</v>
      </c>
      <c r="AU506" s="557">
        <f ca="1">INDEX(CarrierDriverTBL!$F:$F,MATCH(Table1[[#This Row],[DriverID]],CarrierDriverTBL!$A:$A,0))</f>
        <v>48.750684931506846</v>
      </c>
      <c r="AV506" s="554" t="str">
        <f>INDEX(CarrierDriverTBL!$K:$K,MATCH(Table1[[#This Row],[DriverID]],CarrierDriverTBL!$A:$A,0))</f>
        <v>209-276-9785</v>
      </c>
      <c r="AW506" s="554" t="str">
        <f>INDEX(CarrierDriverTBL!$M:$M,MATCH(Table1[[#This Row],[DriverID]],CarrierDriverTBL!$A:$A,0))</f>
        <v>1685 Winthrop Ln</v>
      </c>
      <c r="AX506" s="554" t="str">
        <f>INDEX(CarrierDriverTBL!$N:$N,MATCH(Table1[[#This Row],[DriverID]],CarrierDriverTBL!$A:$A,0))</f>
        <v>Ceres</v>
      </c>
      <c r="AY506" s="554" t="str">
        <f>INDEX(CarrierDriverTBL!$O:$O,MATCH(Table1[[#This Row],[DriverID]],CarrierDriverTBL!$A:$A,0))</f>
        <v>CA</v>
      </c>
      <c r="AZ506" s="554">
        <f>INDEX(CarrierDriverTBL!$P:$P,MATCH(Table1[[#This Row],[DriverID]],CarrierDriverTBL!$A:$A,0))</f>
        <v>95307</v>
      </c>
      <c r="BA506" s="554" t="str">
        <f>INDEX(CarrierDriverTBL!$Q:$Q,MATCH(Table1[[#This Row],[DriverID]],CarrierDriverTBL!$A:$A,0))</f>
        <v>US</v>
      </c>
      <c r="BB506" s="554" t="str">
        <f>INDEX(CarrierDriverTBL!$R:$R,MATCH(Table1[[#This Row],[DriverID]],CarrierDriverTBL!$A:$A,0))</f>
        <v>arturocarr777@gmail.com</v>
      </c>
      <c r="BC506" s="556">
        <f>INDEX(CarrierDriverTBL!$AB:$AB,MATCH(Table1[[#This Row],[DriverID]],CarrierDriverTBL!$A:$A,0))</f>
        <v>42418</v>
      </c>
      <c r="BD506" s="555" t="str">
        <f ca="1">INDEX(CarrierDriverTBL!$AD:$AD,MATCH(LoadMaster!$AN:$AN,CarrierDriverTBL!$A:$A,0))</f>
        <v>MISSING</v>
      </c>
      <c r="BE506" s="555">
        <f>INDEX(CarrierDriverTBL!$AE:$AE,MATCH(Table1[DriverID],CarrierDriverTBL!$A:$A,0))</f>
        <v>913971</v>
      </c>
      <c r="BF506" s="554">
        <f>INDEX(CarrierDriverTBL!$AF:$AF,MATCH(Table1[DriverID],CarrierDriverTBL!$A:$A,0))</f>
        <v>2627544</v>
      </c>
      <c r="BG506" s="236">
        <f>INDEX(CarrierDriverTBL!$AG:$AG,MATCH(Table1[DriverID],CarrierDriverTBL!$A:$A,0))</f>
        <v>466133</v>
      </c>
      <c r="BH506" s="554" t="str">
        <f>INDEX(CarrierDriverTBL!$AH:$AH,MATCH(Table1[DriverID],CarrierDriverTBL!$A:$A,0))</f>
        <v>GM Lawrence Ins</v>
      </c>
      <c r="BI506" s="554" t="str">
        <f>INDEX(CarrierDriverTBL!$AI:$AI,MATCH(Table1[DriverID],CarrierDriverTBL!$A:$A,0))</f>
        <v>DSK2842P160210</v>
      </c>
      <c r="BJ506" s="556">
        <f>INDEX(CarrierDriverTBL!$AJ:$AJ,MATCH(Table1[[#This Row],[DriverID]],CarrierDriverTBL!$A:$A,0))</f>
        <v>42778</v>
      </c>
      <c r="BK506" s="554">
        <f t="shared" si="195"/>
        <v>234</v>
      </c>
      <c r="BL506" s="558">
        <v>850</v>
      </c>
      <c r="BM506" s="554">
        <v>250.5</v>
      </c>
      <c r="BN506" s="558">
        <f t="shared" si="284"/>
        <v>3.3932135728542914</v>
      </c>
      <c r="BO506" s="241">
        <f>0.93*850</f>
        <v>790.5</v>
      </c>
      <c r="BP506" s="558">
        <f t="shared" si="285"/>
        <v>3.1556886227544911</v>
      </c>
      <c r="BQ506" s="558">
        <v>2.75</v>
      </c>
      <c r="BR506" s="559">
        <f t="shared" si="286"/>
        <v>0.14166666666666669</v>
      </c>
      <c r="BS506" s="558">
        <f t="shared" si="287"/>
        <v>3.0140219560878245</v>
      </c>
      <c r="BT506" s="558">
        <f t="shared" si="288"/>
        <v>35.487500000000004</v>
      </c>
      <c r="BU506" s="236" t="str">
        <f t="shared" si="198"/>
        <v>Schenider</v>
      </c>
      <c r="BV506" s="554"/>
      <c r="BW506" s="236" t="str">
        <f>Table1[[#This Row],[BrokerAddress]]</f>
        <v>P.O. Box 2545 3101 South Packerland Drive</v>
      </c>
      <c r="BX506" s="236" t="str">
        <f t="shared" si="199"/>
        <v>Green Bay</v>
      </c>
      <c r="BY506" s="269" t="str">
        <f t="shared" si="200"/>
        <v>Wisconsin</v>
      </c>
      <c r="BZ506" s="236" t="str">
        <f t="shared" si="201"/>
        <v>54306-2545</v>
      </c>
      <c r="CA506" s="236" t="str">
        <f t="shared" si="202"/>
        <v>US</v>
      </c>
      <c r="CB506" s="15" t="s">
        <v>131</v>
      </c>
      <c r="CC506" s="561"/>
      <c r="CD506" s="15" t="s">
        <v>132</v>
      </c>
      <c r="CE506" s="64">
        <v>0</v>
      </c>
      <c r="CF506" s="4">
        <v>0</v>
      </c>
      <c r="CG506" s="132">
        <f t="shared" ref="CG506" si="343">CE506*CF506</f>
        <v>0</v>
      </c>
      <c r="CH506" s="4" t="s">
        <v>132</v>
      </c>
      <c r="CI506" s="5">
        <v>0</v>
      </c>
      <c r="CJ506" s="4">
        <v>0</v>
      </c>
      <c r="CK506" s="132">
        <f t="shared" ref="CK506" si="344">CI506*CJ506</f>
        <v>0</v>
      </c>
      <c r="CL506" s="4" t="s">
        <v>132</v>
      </c>
      <c r="CM506" s="5">
        <v>0</v>
      </c>
      <c r="CN506" s="4">
        <v>0</v>
      </c>
      <c r="CO506" s="132">
        <f t="shared" ref="CO506" si="345">CM506*CN506</f>
        <v>0</v>
      </c>
      <c r="CP506" s="4" t="s">
        <v>132</v>
      </c>
      <c r="CQ506" s="5">
        <v>0</v>
      </c>
      <c r="CR506" s="4">
        <v>0</v>
      </c>
      <c r="CS506" s="132">
        <f t="shared" ref="CS506" si="346">CQ506*CR506</f>
        <v>0</v>
      </c>
      <c r="CT506" s="132">
        <f t="shared" ref="CT506" si="347">CG506+CK506+CO506+CS506</f>
        <v>0</v>
      </c>
      <c r="CU506" s="238">
        <f t="shared" si="294"/>
        <v>850</v>
      </c>
      <c r="CV506" s="239">
        <f t="shared" si="295"/>
        <v>0</v>
      </c>
      <c r="CW506" s="240">
        <f t="shared" si="296"/>
        <v>790.5</v>
      </c>
      <c r="CX506" s="79">
        <f>IF(ISBLANK(E506),"AddQuickPay",IF(E506=2,CU506*0.98,IF(E506=2.4,CU506*0.976,IF(E506=3,CU506*0.97,IF(E506=5,CU506*0.95,IF(E506=1.5,CU506*0.985,IF(E506=2.5,CU506*0.975,IF(E506=1.3,CU506*0.987,IF(E506=1,CU506*0.99,IF(E506=4,CU506*0.96,CU506*1))))))))))-Table1[[#This Row],[ComCheck+QuickPayFee]]</f>
        <v>833</v>
      </c>
      <c r="CY506" s="237">
        <f t="shared" si="297"/>
        <v>59.5</v>
      </c>
      <c r="CZ506" s="237">
        <f t="shared" si="210"/>
        <v>17</v>
      </c>
      <c r="DA506" s="263">
        <f>Table1[[#This Row],[OriginalDispatch]]-Table1[[#This Row],[QuickPayCharge]]</f>
        <v>42.5</v>
      </c>
      <c r="DB506" s="5">
        <v>0</v>
      </c>
      <c r="DC506" s="237" t="s">
        <v>133</v>
      </c>
      <c r="DD506" s="549">
        <f t="shared" si="211"/>
        <v>42545</v>
      </c>
      <c r="DE506" s="554">
        <f>MONTH(Table1[[#This Row],[Weekending]])</f>
        <v>6</v>
      </c>
      <c r="DF506" s="554">
        <f>YEAR(Table1[[#This Row],[Weekending]])</f>
        <v>2016</v>
      </c>
      <c r="DG506" s="235"/>
    </row>
    <row r="507" spans="1:111">
      <c r="A507" s="548" t="str">
        <f t="shared" si="193"/>
        <v>4582BT49</v>
      </c>
      <c r="B507" s="549">
        <v>42550</v>
      </c>
      <c r="C507" s="550">
        <v>3083945</v>
      </c>
      <c r="D507" s="548" t="s">
        <v>3108</v>
      </c>
      <c r="E507" s="550">
        <v>3</v>
      </c>
      <c r="F507" s="551" t="str">
        <f>INDEX(BrokerTBL!$B:$B,MATCH(D507,BrokerTBL!$A:$A,0))</f>
        <v>P.O. BOX 1326</v>
      </c>
      <c r="G507" s="550" t="str">
        <f>INDEX(BrokerTBL!$C:$C,MATCH(D507,BrokerTBL!$A:$A,0))</f>
        <v>Van Buren</v>
      </c>
      <c r="H507" s="235" t="str">
        <f>INDEX(BrokerTBL!$D:$D,MATCH(D507,BrokerTBL!$A:$A,0))</f>
        <v>AR</v>
      </c>
      <c r="I507" s="235" t="str">
        <f>INDEX(BrokerTBL!$E:$E,MATCH(D507,BrokerTBL!$A:$A,0))</f>
        <v>US</v>
      </c>
      <c r="J507" s="235">
        <f>INDEX(BrokerTBL!$F:$F,MATCH(D507,BrokerTBL!$A:$A,0))</f>
        <v>72957</v>
      </c>
      <c r="K507" s="548" t="s">
        <v>3109</v>
      </c>
      <c r="L507" s="385">
        <v>7807113582</v>
      </c>
      <c r="M507" s="549">
        <v>42546</v>
      </c>
      <c r="N507" s="560">
        <v>0.70833333333333337</v>
      </c>
      <c r="O507" s="550" t="s">
        <v>3111</v>
      </c>
      <c r="P507" s="548" t="s">
        <v>3112</v>
      </c>
      <c r="Q507" s="548" t="s">
        <v>2206</v>
      </c>
      <c r="R507" s="548" t="s">
        <v>123</v>
      </c>
      <c r="S507" s="548" t="s">
        <v>2207</v>
      </c>
      <c r="T507" s="548" t="s">
        <v>3258</v>
      </c>
      <c r="U507" s="548" t="s">
        <v>120</v>
      </c>
      <c r="V507" s="548">
        <v>53</v>
      </c>
      <c r="W507" s="548" t="s">
        <v>3146</v>
      </c>
      <c r="X507" s="553" t="s">
        <v>123</v>
      </c>
      <c r="Y507" s="550" t="s">
        <v>123</v>
      </c>
      <c r="Z507" s="548" t="s">
        <v>123</v>
      </c>
      <c r="AA507" s="548" t="s">
        <v>123</v>
      </c>
      <c r="AB507" s="548" t="s">
        <v>123</v>
      </c>
      <c r="AC507" s="548" t="s">
        <v>3147</v>
      </c>
      <c r="AD507" s="552" t="s">
        <v>3259</v>
      </c>
      <c r="AE507" s="549">
        <v>42548</v>
      </c>
      <c r="AF507" s="549"/>
      <c r="AG507" s="548" t="s">
        <v>3148</v>
      </c>
      <c r="AH507" s="548" t="s">
        <v>3149</v>
      </c>
      <c r="AI507" s="548" t="s">
        <v>2206</v>
      </c>
      <c r="AJ507" s="548" t="s">
        <v>123</v>
      </c>
      <c r="AK507" s="548" t="s">
        <v>2207</v>
      </c>
      <c r="AL507" s="548" t="s">
        <v>3260</v>
      </c>
      <c r="AM507" s="554" t="str">
        <f>INDEX(CarrierDriverTBL!$B:$B,MATCH(Table1[[#This Row],[DriverID]],CarrierDriverTBL!$A:$A,0))</f>
        <v>UBTrucking</v>
      </c>
      <c r="AN507" s="10" t="s">
        <v>192</v>
      </c>
      <c r="AO507" s="555" t="str">
        <f>INDEX(CarrierDriverTBL!$C:$C,MATCH(Table1[[#This Row],[DriverID]],CarrierDriverTBL!$A:$A,0))</f>
        <v>Albel</v>
      </c>
      <c r="AP507" s="555" t="str">
        <f>INDEX(CarrierDriverTBL!$D:$D,MATCH(Table1[[#This Row],[DriverID]],CarrierDriverTBL!$A:$A,0))</f>
        <v>Chahil</v>
      </c>
      <c r="AQ507" s="555" t="str">
        <f>INDEX(CarrierDriverTBL!$X:$X,MATCH(Table1[[#This Row],[DriverID]],CarrierDriverTBL!$A:$A,0))</f>
        <v>A8390649</v>
      </c>
      <c r="AR507" s="556">
        <f>INDEX(CarrierDriverTBL!$Y:$Y,MATCH(Table1[[#This Row],[DriverID]],CarrierDriverTBL!$A:$A,0))</f>
        <v>42402</v>
      </c>
      <c r="AS507" s="554" t="str">
        <f t="shared" si="194"/>
        <v>EXPIRED</v>
      </c>
      <c r="AT507" s="556">
        <f>INDEX(CarrierDriverTBL!$E:$E,MATCH(Table1[[#This Row],[DriverID]],CarrierDriverTBL!$A:$A,0))</f>
        <v>22314</v>
      </c>
      <c r="AU507" s="557">
        <f ca="1">INDEX(CarrierDriverTBL!$F:$F,MATCH(Table1[[#This Row],[DriverID]],CarrierDriverTBL!$A:$A,0))</f>
        <v>55.512328767123286</v>
      </c>
      <c r="AV507" s="554" t="str">
        <f>INDEX(CarrierDriverTBL!$K:$K,MATCH(Table1[[#This Row],[DriverID]],CarrierDriverTBL!$A:$A,0))</f>
        <v>510-773-9450</v>
      </c>
      <c r="AW507" s="554" t="str">
        <f>INDEX(CarrierDriverTBL!$M:$M,MATCH(Table1[[#This Row],[DriverID]],CarrierDriverTBL!$A:$A,0))</f>
        <v>3124 Cynthia CT</v>
      </c>
      <c r="AX507" s="554" t="str">
        <f>INDEX(CarrierDriverTBL!$N:$N,MATCH(Table1[[#This Row],[DriverID]],CarrierDriverTBL!$A:$A,0))</f>
        <v>Tracy</v>
      </c>
      <c r="AY507" s="554" t="str">
        <f>INDEX(CarrierDriverTBL!$O:$O,MATCH(Table1[[#This Row],[DriverID]],CarrierDriverTBL!$A:$A,0))</f>
        <v>CA</v>
      </c>
      <c r="AZ507" s="554">
        <f>INDEX(CarrierDriverTBL!$P:$P,MATCH(Table1[[#This Row],[DriverID]],CarrierDriverTBL!$A:$A,0))</f>
        <v>95377</v>
      </c>
      <c r="BA507" s="554" t="str">
        <f>INDEX(CarrierDriverTBL!$Q:$Q,MATCH(Table1[[#This Row],[DriverID]],CarrierDriverTBL!$A:$A,0))</f>
        <v>US</v>
      </c>
      <c r="BB507" s="554" t="str">
        <f>INDEX(CarrierDriverTBL!$R:$R,MATCH(Table1[[#This Row],[DriverID]],CarrierDriverTBL!$A:$A,0))</f>
        <v>ubgollc@gmail.com</v>
      </c>
      <c r="BC507" s="556">
        <f>INDEX(CarrierDriverTBL!$AB:$AB,MATCH(Table1[[#This Row],[DriverID]],CarrierDriverTBL!$A:$A,0))</f>
        <v>42167</v>
      </c>
      <c r="BD507" s="555" t="str">
        <f ca="1">INDEX(CarrierDriverTBL!$AD:$AD,MATCH(LoadMaster!$AN:$AN,CarrierDriverTBL!$A:$A,0))</f>
        <v>MISSING</v>
      </c>
      <c r="BE507" s="555">
        <f>INDEX(CarrierDriverTBL!$AE:$AE,MATCH(Table1[DriverID],CarrierDriverTBL!$A:$A,0))</f>
        <v>913971</v>
      </c>
      <c r="BF507" s="554">
        <f>INDEX(CarrierDriverTBL!$AF:$AF,MATCH(Table1[DriverID],CarrierDriverTBL!$A:$A,0))</f>
        <v>2627544</v>
      </c>
      <c r="BG507" s="236">
        <f>INDEX(CarrierDriverTBL!$AG:$AG,MATCH(Table1[DriverID],CarrierDriverTBL!$A:$A,0))</f>
        <v>466133</v>
      </c>
      <c r="BH507" s="554" t="str">
        <f>INDEX(CarrierDriverTBL!$AH:$AH,MATCH(Table1[DriverID],CarrierDriverTBL!$A:$A,0))</f>
        <v>GM Lawrence Ins</v>
      </c>
      <c r="BI507" s="554" t="str">
        <f>INDEX(CarrierDriverTBL!$AI:$AI,MATCH(Table1[DriverID],CarrierDriverTBL!$A:$A,0))</f>
        <v>DSK2842P160210</v>
      </c>
      <c r="BJ507" s="556">
        <f>INDEX(CarrierDriverTBL!$AJ:$AJ,MATCH(Table1[[#This Row],[DriverID]],CarrierDriverTBL!$A:$A,0))</f>
        <v>42778</v>
      </c>
      <c r="BK507" s="554">
        <f t="shared" si="195"/>
        <v>232</v>
      </c>
      <c r="BL507" s="558">
        <v>900</v>
      </c>
      <c r="BM507" s="554">
        <v>264</v>
      </c>
      <c r="BN507" s="558">
        <f t="shared" ref="BN507:BN516" si="348">BL507/BM507</f>
        <v>3.4090909090909092</v>
      </c>
      <c r="BO507" s="241">
        <f>900*0.93</f>
        <v>837</v>
      </c>
      <c r="BP507" s="558">
        <f t="shared" ref="BP507:BP516" si="349">BO507/BM507</f>
        <v>3.1704545454545454</v>
      </c>
      <c r="BQ507" s="558">
        <v>2.75</v>
      </c>
      <c r="BR507" s="559">
        <f t="shared" ref="BR507:BR516" si="350">(BQ507-1.9)/6</f>
        <v>0.14166666666666669</v>
      </c>
      <c r="BS507" s="558">
        <f t="shared" ref="BS507:BS516" si="351">BP507-BR507</f>
        <v>3.0287878787878788</v>
      </c>
      <c r="BT507" s="558">
        <f t="shared" ref="BT507:BT516" si="352">BM507*BR507</f>
        <v>37.400000000000006</v>
      </c>
      <c r="BU507" s="236" t="str">
        <f t="shared" si="198"/>
        <v>USAT Logistics</v>
      </c>
      <c r="BV507" s="554"/>
      <c r="BW507" s="236" t="str">
        <f>Table1[[#This Row],[BrokerAddress]]</f>
        <v>P.O. BOX 1326</v>
      </c>
      <c r="BX507" s="236" t="str">
        <f t="shared" si="199"/>
        <v>Van Buren</v>
      </c>
      <c r="BY507" s="269" t="str">
        <f t="shared" si="200"/>
        <v>AR</v>
      </c>
      <c r="BZ507" s="236">
        <f t="shared" si="201"/>
        <v>72957</v>
      </c>
      <c r="CA507" s="236" t="str">
        <f t="shared" si="202"/>
        <v>US</v>
      </c>
      <c r="CB507" s="15" t="s">
        <v>131</v>
      </c>
      <c r="CC507" s="561"/>
      <c r="CD507" s="15" t="s">
        <v>132</v>
      </c>
      <c r="CE507" s="64">
        <v>0</v>
      </c>
      <c r="CF507" s="4">
        <v>0</v>
      </c>
      <c r="CG507" s="132">
        <f t="shared" ref="CG507" si="353">CE507*CF507</f>
        <v>0</v>
      </c>
      <c r="CH507" s="4" t="s">
        <v>132</v>
      </c>
      <c r="CI507" s="5">
        <v>0</v>
      </c>
      <c r="CJ507" s="4">
        <v>0</v>
      </c>
      <c r="CK507" s="132">
        <f t="shared" ref="CK507" si="354">CI507*CJ507</f>
        <v>0</v>
      </c>
      <c r="CL507" s="4" t="s">
        <v>132</v>
      </c>
      <c r="CM507" s="5">
        <v>0</v>
      </c>
      <c r="CN507" s="4">
        <v>0</v>
      </c>
      <c r="CO507" s="132">
        <f t="shared" ref="CO507" si="355">CM507*CN507</f>
        <v>0</v>
      </c>
      <c r="CP507" s="4" t="s">
        <v>132</v>
      </c>
      <c r="CQ507" s="5">
        <v>0</v>
      </c>
      <c r="CR507" s="4">
        <v>0</v>
      </c>
      <c r="CS507" s="412">
        <f t="shared" ref="CS507:CS516" si="356">CQ507*CR507</f>
        <v>0</v>
      </c>
      <c r="CT507" s="412">
        <f t="shared" ref="CT507:CT516" si="357">CG507+CK507+CO507+CS507</f>
        <v>0</v>
      </c>
      <c r="CU507" s="238">
        <f t="shared" ref="CU507:CU516" si="358">(CT507+BL507)-CC507</f>
        <v>900</v>
      </c>
      <c r="CV507" s="239">
        <f t="shared" ref="CV507:CV516" si="359">IF(AO507="Albel",(CT507*1),(CT507*0.93))</f>
        <v>0</v>
      </c>
      <c r="CW507" s="240">
        <f t="shared" ref="CW507:CW516" si="360">BO507+CV507</f>
        <v>837</v>
      </c>
      <c r="CX507" s="79">
        <f>IF(ISBLANK(E507),"AddQuickPay",IF(E507=2,CU507*0.98,IF(E507=2.4,CU507*0.976,IF(E507=3,CU507*0.97,IF(E507=5,CU507*0.95,IF(E507=1.5,CU507*0.985,IF(E507=2.5,CU507*0.975,IF(E507=1.3,CU507*0.987,IF(E507=1,CU507*0.99,IF(E507=4,CU507*0.96,CU507*1))))))))))-Table1[[#This Row],[ComCheck+QuickPayFee]]</f>
        <v>873</v>
      </c>
      <c r="CY507" s="237">
        <f t="shared" ref="CY507:CY516" si="361">CU507-CW507</f>
        <v>63</v>
      </c>
      <c r="CZ507" s="237">
        <f t="shared" si="210"/>
        <v>27</v>
      </c>
      <c r="DA507" s="263">
        <f>Table1[[#This Row],[OriginalDispatch]]-Table1[[#This Row],[QuickPayCharge]]</f>
        <v>36</v>
      </c>
      <c r="DB507" s="5">
        <v>0</v>
      </c>
      <c r="DC507" s="237" t="s">
        <v>133</v>
      </c>
      <c r="DD507" s="549">
        <f t="shared" si="211"/>
        <v>42545</v>
      </c>
      <c r="DE507" s="554">
        <f>MONTH(Table1[[#This Row],[Weekending]])</f>
        <v>6</v>
      </c>
      <c r="DF507" s="554">
        <f>YEAR(Table1[[#This Row],[Weekending]])</f>
        <v>2016</v>
      </c>
      <c r="DG507" s="235"/>
    </row>
    <row r="508" spans="1:111">
      <c r="A508" s="548" t="str">
        <f t="shared" si="193"/>
        <v>4481BT19</v>
      </c>
      <c r="B508" s="549">
        <v>42551</v>
      </c>
      <c r="C508" s="550">
        <v>3083944</v>
      </c>
      <c r="D508" s="548" t="s">
        <v>3108</v>
      </c>
      <c r="E508" s="550">
        <v>3</v>
      </c>
      <c r="F508" s="551" t="str">
        <f>INDEX(BrokerTBL!$B:$B,MATCH(D508,BrokerTBL!$A:$A,0))</f>
        <v>P.O. BOX 1326</v>
      </c>
      <c r="G508" s="550" t="str">
        <f>INDEX(BrokerTBL!$C:$C,MATCH(D508,BrokerTBL!$A:$A,0))</f>
        <v>Van Buren</v>
      </c>
      <c r="H508" s="235" t="str">
        <f>INDEX(BrokerTBL!$D:$D,MATCH(D508,BrokerTBL!$A:$A,0))</f>
        <v>AR</v>
      </c>
      <c r="I508" s="235" t="str">
        <f>INDEX(BrokerTBL!$E:$E,MATCH(D508,BrokerTBL!$A:$A,0))</f>
        <v>US</v>
      </c>
      <c r="J508" s="235">
        <f>INDEX(BrokerTBL!$F:$F,MATCH(D508,BrokerTBL!$A:$A,0))</f>
        <v>72957</v>
      </c>
      <c r="K508" s="548" t="s">
        <v>3109</v>
      </c>
      <c r="L508" s="552">
        <v>7807113581</v>
      </c>
      <c r="M508" s="549">
        <v>42546</v>
      </c>
      <c r="N508" s="560">
        <v>0.66666666666666663</v>
      </c>
      <c r="O508" s="550" t="s">
        <v>3111</v>
      </c>
      <c r="P508" s="548" t="s">
        <v>3112</v>
      </c>
      <c r="Q508" s="548" t="s">
        <v>2206</v>
      </c>
      <c r="R508" s="548" t="s">
        <v>123</v>
      </c>
      <c r="S508" s="548" t="s">
        <v>2207</v>
      </c>
      <c r="T508" s="548" t="s">
        <v>3258</v>
      </c>
      <c r="U508" s="548" t="s">
        <v>120</v>
      </c>
      <c r="V508" s="548">
        <v>53</v>
      </c>
      <c r="W508" s="548" t="s">
        <v>3146</v>
      </c>
      <c r="X508" s="553">
        <v>44000</v>
      </c>
      <c r="Y508" s="550" t="s">
        <v>123</v>
      </c>
      <c r="Z508" s="548" t="s">
        <v>123</v>
      </c>
      <c r="AA508" s="548" t="s">
        <v>123</v>
      </c>
      <c r="AB508" s="548" t="s">
        <v>123</v>
      </c>
      <c r="AC508" s="548" t="s">
        <v>3147</v>
      </c>
      <c r="AD508" s="552" t="s">
        <v>3259</v>
      </c>
      <c r="AE508" s="549">
        <v>42548</v>
      </c>
      <c r="AF508" s="560">
        <v>0.5</v>
      </c>
      <c r="AG508" s="548" t="s">
        <v>3148</v>
      </c>
      <c r="AH508" s="548" t="s">
        <v>3149</v>
      </c>
      <c r="AI508" s="548" t="s">
        <v>2206</v>
      </c>
      <c r="AJ508" s="548" t="s">
        <v>123</v>
      </c>
      <c r="AK508" s="548" t="s">
        <v>2207</v>
      </c>
      <c r="AL508" s="548" t="s">
        <v>3260</v>
      </c>
      <c r="AM508" s="554" t="str">
        <f>INDEX(CarrierDriverTBL!$B:$B,MATCH(Table1[[#This Row],[DriverID]],CarrierDriverTBL!$A:$A,0))</f>
        <v>UBTrucking</v>
      </c>
      <c r="AN508" s="10" t="s">
        <v>1409</v>
      </c>
      <c r="AO508" s="555" t="str">
        <f>INDEX(CarrierDriverTBL!$C:$C,MATCH(Table1[[#This Row],[DriverID]],CarrierDriverTBL!$A:$A,0))</f>
        <v>Miguel Jaime</v>
      </c>
      <c r="AP508" s="555" t="str">
        <f>INDEX(CarrierDriverTBL!$D:$D,MATCH(Table1[[#This Row],[DriverID]],CarrierDriverTBL!$A:$A,0))</f>
        <v>Martin Del Campo Velarca</v>
      </c>
      <c r="AQ508" s="555" t="str">
        <f>INDEX(CarrierDriverTBL!$X:$X,MATCH(Table1[[#This Row],[DriverID]],CarrierDriverTBL!$A:$A,0))</f>
        <v>D5179619</v>
      </c>
      <c r="AR508" s="556">
        <f>INDEX(CarrierDriverTBL!$Y:$Y,MATCH(Table1[[#This Row],[DriverID]],CarrierDriverTBL!$A:$A,0))</f>
        <v>43843</v>
      </c>
      <c r="AS508" s="554" t="str">
        <f t="shared" si="194"/>
        <v>GOOD</v>
      </c>
      <c r="AT508" s="556">
        <f>INDEX(CarrierDriverTBL!$E:$E,MATCH(Table1[[#This Row],[DriverID]],CarrierDriverTBL!$A:$A,0))</f>
        <v>21198</v>
      </c>
      <c r="AU508" s="557">
        <f ca="1">INDEX(CarrierDriverTBL!$F:$F,MATCH(Table1[[#This Row],[DriverID]],CarrierDriverTBL!$A:$A,0))</f>
        <v>58.56986301369863</v>
      </c>
      <c r="AV508" s="554" t="str">
        <f>INDEX(CarrierDriverTBL!$K:$K,MATCH(Table1[[#This Row],[DriverID]],CarrierDriverTBL!$A:$A,0))</f>
        <v>209-322-5231</v>
      </c>
      <c r="AW508" s="554" t="str">
        <f>INDEX(CarrierDriverTBL!$M:$M,MATCH(Table1[[#This Row],[DriverID]],CarrierDriverTBL!$A:$A,0))</f>
        <v>572 Predersen RD</v>
      </c>
      <c r="AX508" s="554" t="str">
        <f>INDEX(CarrierDriverTBL!$N:$N,MATCH(Table1[[#This Row],[DriverID]],CarrierDriverTBL!$A:$A,0))</f>
        <v>Oakdale</v>
      </c>
      <c r="AY508" s="554" t="str">
        <f>INDEX(CarrierDriverTBL!$O:$O,MATCH(Table1[[#This Row],[DriverID]],CarrierDriverTBL!$A:$A,0))</f>
        <v>CA</v>
      </c>
      <c r="AZ508" s="554">
        <f>INDEX(CarrierDriverTBL!$P:$P,MATCH(Table1[[#This Row],[DriverID]],CarrierDriverTBL!$A:$A,0))</f>
        <v>95361</v>
      </c>
      <c r="BA508" s="554" t="str">
        <f>INDEX(CarrierDriverTBL!$Q:$Q,MATCH(Table1[[#This Row],[DriverID]],CarrierDriverTBL!$A:$A,0))</f>
        <v>US</v>
      </c>
      <c r="BB508" s="554" t="str">
        <f>INDEX(CarrierDriverTBL!$R:$R,MATCH(Table1[[#This Row],[DriverID]],CarrierDriverTBL!$A:$A,0))</f>
        <v>Miguelmartin52@yahoo.com</v>
      </c>
      <c r="BC508" s="556">
        <f>INDEX(CarrierDriverTBL!$AB:$AB,MATCH(Table1[[#This Row],[DriverID]],CarrierDriverTBL!$A:$A,0))</f>
        <v>42334</v>
      </c>
      <c r="BD508" s="555" t="str">
        <f ca="1">INDEX(CarrierDriverTBL!$AD:$AD,MATCH(LoadMaster!$AN:$AN,CarrierDriverTBL!$A:$A,0))</f>
        <v>MISSING</v>
      </c>
      <c r="BE508" s="555">
        <f>INDEX(CarrierDriverTBL!$AE:$AE,MATCH(Table1[DriverID],CarrierDriverTBL!$A:$A,0))</f>
        <v>913971</v>
      </c>
      <c r="BF508" s="554">
        <f>INDEX(CarrierDriverTBL!$AF:$AF,MATCH(Table1[DriverID],CarrierDriverTBL!$A:$A,0))</f>
        <v>2627544</v>
      </c>
      <c r="BG508" s="236">
        <f>INDEX(CarrierDriverTBL!$AG:$AG,MATCH(Table1[DriverID],CarrierDriverTBL!$A:$A,0))</f>
        <v>466133</v>
      </c>
      <c r="BH508" s="554" t="str">
        <f>INDEX(CarrierDriverTBL!$AH:$AH,MATCH(Table1[DriverID],CarrierDriverTBL!$A:$A,0))</f>
        <v>GM Lawrence Ins</v>
      </c>
      <c r="BI508" s="554" t="str">
        <f>INDEX(CarrierDriverTBL!$AI:$AI,MATCH(Table1[DriverID],CarrierDriverTBL!$A:$A,0))</f>
        <v>DSK2842P160210</v>
      </c>
      <c r="BJ508" s="556">
        <f>INDEX(CarrierDriverTBL!$AJ:$AJ,MATCH(Table1[[#This Row],[DriverID]],CarrierDriverTBL!$A:$A,0))</f>
        <v>42778</v>
      </c>
      <c r="BK508" s="554">
        <f t="shared" si="195"/>
        <v>232</v>
      </c>
      <c r="BL508" s="558">
        <v>900</v>
      </c>
      <c r="BM508" s="554">
        <v>264</v>
      </c>
      <c r="BN508" s="558">
        <f t="shared" si="348"/>
        <v>3.4090909090909092</v>
      </c>
      <c r="BO508" s="241">
        <f>0.93*900</f>
        <v>837</v>
      </c>
      <c r="BP508" s="558">
        <f t="shared" si="349"/>
        <v>3.1704545454545454</v>
      </c>
      <c r="BQ508" s="558">
        <v>2.75</v>
      </c>
      <c r="BR508" s="559">
        <f t="shared" si="350"/>
        <v>0.14166666666666669</v>
      </c>
      <c r="BS508" s="558">
        <f t="shared" si="351"/>
        <v>3.0287878787878788</v>
      </c>
      <c r="BT508" s="558">
        <f t="shared" si="352"/>
        <v>37.400000000000006</v>
      </c>
      <c r="BU508" s="236" t="str">
        <f t="shared" si="198"/>
        <v>USAT Logistics</v>
      </c>
      <c r="BV508" s="554"/>
      <c r="BW508" s="236" t="str">
        <f>Table1[[#This Row],[BrokerAddress]]</f>
        <v>P.O. BOX 1326</v>
      </c>
      <c r="BX508" s="236" t="str">
        <f t="shared" si="199"/>
        <v>Van Buren</v>
      </c>
      <c r="BY508" s="269" t="str">
        <f t="shared" si="200"/>
        <v>AR</v>
      </c>
      <c r="BZ508" s="236">
        <f t="shared" si="201"/>
        <v>72957</v>
      </c>
      <c r="CA508" s="236" t="str">
        <f t="shared" si="202"/>
        <v>US</v>
      </c>
      <c r="CB508" s="15" t="s">
        <v>131</v>
      </c>
      <c r="CC508" s="561"/>
      <c r="CD508" s="15" t="s">
        <v>132</v>
      </c>
      <c r="CE508" s="64">
        <v>0</v>
      </c>
      <c r="CF508" s="4">
        <v>0</v>
      </c>
      <c r="CG508" s="132">
        <f t="shared" ref="CG508" si="362">CE508*CF508</f>
        <v>0</v>
      </c>
      <c r="CH508" s="4" t="s">
        <v>132</v>
      </c>
      <c r="CI508" s="5">
        <v>0</v>
      </c>
      <c r="CJ508" s="4">
        <v>0</v>
      </c>
      <c r="CK508" s="132">
        <f t="shared" ref="CK508" si="363">CI508*CJ508</f>
        <v>0</v>
      </c>
      <c r="CL508" s="4" t="s">
        <v>132</v>
      </c>
      <c r="CM508" s="5">
        <v>0</v>
      </c>
      <c r="CN508" s="4">
        <v>0</v>
      </c>
      <c r="CO508" s="132">
        <f t="shared" ref="CO508" si="364">CM508*CN508</f>
        <v>0</v>
      </c>
      <c r="CP508" s="4" t="s">
        <v>132</v>
      </c>
      <c r="CQ508" s="5">
        <v>0</v>
      </c>
      <c r="CR508" s="4">
        <v>0</v>
      </c>
      <c r="CS508" s="412">
        <f t="shared" si="356"/>
        <v>0</v>
      </c>
      <c r="CT508" s="412">
        <f t="shared" si="357"/>
        <v>0</v>
      </c>
      <c r="CU508" s="238">
        <f t="shared" si="358"/>
        <v>900</v>
      </c>
      <c r="CV508" s="239">
        <f t="shared" si="359"/>
        <v>0</v>
      </c>
      <c r="CW508" s="240">
        <f t="shared" si="360"/>
        <v>837</v>
      </c>
      <c r="CX508" s="79">
        <f>IF(ISBLANK(E508),"AddQuickPay",IF(E508=2,CU508*0.98,IF(E508=2.4,CU508*0.976,IF(E508=3,CU508*0.97,IF(E508=5,CU508*0.95,IF(E508=1.5,CU508*0.985,IF(E508=2.5,CU508*0.975,IF(E508=1.3,CU508*0.987,IF(E508=1,CU508*0.99,IF(E508=4,CU508*0.96,CU508*1))))))))))-Table1[[#This Row],[ComCheck+QuickPayFee]]</f>
        <v>873</v>
      </c>
      <c r="CY508" s="237">
        <f t="shared" si="361"/>
        <v>63</v>
      </c>
      <c r="CZ508" s="237">
        <f t="shared" si="210"/>
        <v>27</v>
      </c>
      <c r="DA508" s="263">
        <f>Table1[[#This Row],[OriginalDispatch]]-Table1[[#This Row],[QuickPayCharge]]</f>
        <v>36</v>
      </c>
      <c r="DB508" s="5">
        <v>0</v>
      </c>
      <c r="DC508" s="237" t="s">
        <v>133</v>
      </c>
      <c r="DD508" s="549">
        <f t="shared" si="211"/>
        <v>42545</v>
      </c>
      <c r="DE508" s="554">
        <f>MONTH(Table1[[#This Row],[Weekending]])</f>
        <v>6</v>
      </c>
      <c r="DF508" s="554">
        <f>YEAR(Table1[[#This Row],[Weekending]])</f>
        <v>2016</v>
      </c>
      <c r="DG508" s="235"/>
    </row>
    <row r="509" spans="1:111" s="419" customFormat="1">
      <c r="A509" s="417" t="str">
        <f t="shared" si="193"/>
        <v>48273593</v>
      </c>
      <c r="B509" s="418">
        <v>42551</v>
      </c>
      <c r="C509" s="419">
        <v>193948</v>
      </c>
      <c r="D509" s="417" t="s">
        <v>3261</v>
      </c>
      <c r="E509" s="419">
        <v>0</v>
      </c>
      <c r="F509" s="420" t="str">
        <f>INDEX(BrokerTBL!$B:$B,MATCH(D509,BrokerTBL!$A:$A,0))</f>
        <v>1909 Waukegan Rd.</v>
      </c>
      <c r="G509" s="419" t="str">
        <f>INDEX(BrokerTBL!$C:$C,MATCH(D509,BrokerTBL!$A:$A,0))</f>
        <v>Waukegan</v>
      </c>
      <c r="H509" s="419" t="str">
        <f>INDEX(BrokerTBL!$D:$D,MATCH(D509,BrokerTBL!$A:$A,0))</f>
        <v>IL</v>
      </c>
      <c r="I509" s="419" t="str">
        <f>INDEX(BrokerTBL!$E:$E,MATCH(D509,BrokerTBL!$A:$A,0))</f>
        <v>US</v>
      </c>
      <c r="J509" s="419">
        <f>INDEX(BrokerTBL!$F:$F,MATCH(D509,BrokerTBL!$A:$A,0))</f>
        <v>60085</v>
      </c>
      <c r="K509" s="417" t="s">
        <v>2269</v>
      </c>
      <c r="L509" s="421">
        <v>80303127</v>
      </c>
      <c r="M509" s="418">
        <v>42545</v>
      </c>
      <c r="N509" s="422">
        <v>0.66666666666666663</v>
      </c>
      <c r="O509" s="419" t="s">
        <v>2271</v>
      </c>
      <c r="P509" s="417" t="s">
        <v>2864</v>
      </c>
      <c r="Q509" s="417" t="s">
        <v>2206</v>
      </c>
      <c r="R509" s="417">
        <v>95330</v>
      </c>
      <c r="S509" s="417" t="s">
        <v>2207</v>
      </c>
      <c r="T509" s="417" t="s">
        <v>123</v>
      </c>
      <c r="U509" s="417" t="s">
        <v>120</v>
      </c>
      <c r="V509" s="417">
        <v>53</v>
      </c>
      <c r="W509" s="417" t="s">
        <v>3262</v>
      </c>
      <c r="X509" s="423">
        <v>41286.199999999997</v>
      </c>
      <c r="Y509" s="419" t="s">
        <v>566</v>
      </c>
      <c r="Z509" s="417">
        <v>2766</v>
      </c>
      <c r="AA509" s="417" t="s">
        <v>123</v>
      </c>
      <c r="AB509" s="417" t="s">
        <v>123</v>
      </c>
      <c r="AC509" s="417" t="s">
        <v>3263</v>
      </c>
      <c r="AD509" s="421">
        <v>786735</v>
      </c>
      <c r="AE509" s="418">
        <v>42548</v>
      </c>
      <c r="AF509" s="422">
        <v>0.29166666666666669</v>
      </c>
      <c r="AG509" s="417" t="s">
        <v>3264</v>
      </c>
      <c r="AH509" s="417" t="s">
        <v>2368</v>
      </c>
      <c r="AI509" s="417" t="s">
        <v>2206</v>
      </c>
      <c r="AJ509" s="417">
        <v>95215</v>
      </c>
      <c r="AK509" s="417" t="s">
        <v>2207</v>
      </c>
      <c r="AL509" s="417" t="s">
        <v>123</v>
      </c>
      <c r="AM509" s="424" t="str">
        <f>INDEX(CarrierDriverTBL!$B:$B,MATCH(Table1[[#This Row],[DriverID]],CarrierDriverTBL!$A:$A,0))</f>
        <v>UBTrucking</v>
      </c>
      <c r="AN509" s="10" t="s">
        <v>2234</v>
      </c>
      <c r="AO509" s="425" t="str">
        <f>INDEX(CarrierDriverTBL!$C:$C,MATCH(Table1[[#This Row],[DriverID]],CarrierDriverTBL!$A:$A,0))</f>
        <v>Arturo</v>
      </c>
      <c r="AP509" s="425" t="str">
        <f>INDEX(CarrierDriverTBL!$D:$D,MATCH(Table1[[#This Row],[DriverID]],CarrierDriverTBL!$A:$A,0))</f>
        <v>Carrillo</v>
      </c>
      <c r="AQ509" s="425" t="str">
        <f>INDEX(CarrierDriverTBL!$X:$X,MATCH(Table1[[#This Row],[DriverID]],CarrierDriverTBL!$A:$A,0))</f>
        <v>C7056793</v>
      </c>
      <c r="AR509" s="426">
        <f>INDEX(CarrierDriverTBL!$Y:$Y,MATCH(Table1[[#This Row],[DriverID]],CarrierDriverTBL!$A:$A,0))</f>
        <v>43410</v>
      </c>
      <c r="AS509" s="424" t="str">
        <f t="shared" si="194"/>
        <v>GOOD</v>
      </c>
      <c r="AT509" s="426">
        <f>INDEX(CarrierDriverTBL!$E:$E,MATCH(Table1[[#This Row],[DriverID]],CarrierDriverTBL!$A:$A,0))</f>
        <v>24782</v>
      </c>
      <c r="AU509" s="427">
        <f ca="1">INDEX(CarrierDriverTBL!$F:$F,MATCH(Table1[[#This Row],[DriverID]],CarrierDriverTBL!$A:$A,0))</f>
        <v>48.750684931506846</v>
      </c>
      <c r="AV509" s="424" t="str">
        <f>INDEX(CarrierDriverTBL!$K:$K,MATCH(Table1[[#This Row],[DriverID]],CarrierDriverTBL!$A:$A,0))</f>
        <v>209-276-9785</v>
      </c>
      <c r="AW509" s="424" t="str">
        <f>INDEX(CarrierDriverTBL!$M:$M,MATCH(Table1[[#This Row],[DriverID]],CarrierDriverTBL!$A:$A,0))</f>
        <v>1685 Winthrop Ln</v>
      </c>
      <c r="AX509" s="424" t="str">
        <f>INDEX(CarrierDriverTBL!$N:$N,MATCH(Table1[[#This Row],[DriverID]],CarrierDriverTBL!$A:$A,0))</f>
        <v>Ceres</v>
      </c>
      <c r="AY509" s="424" t="str">
        <f>INDEX(CarrierDriverTBL!$O:$O,MATCH(Table1[[#This Row],[DriverID]],CarrierDriverTBL!$A:$A,0))</f>
        <v>CA</v>
      </c>
      <c r="AZ509" s="424">
        <f>INDEX(CarrierDriverTBL!$P:$P,MATCH(Table1[[#This Row],[DriverID]],CarrierDriverTBL!$A:$A,0))</f>
        <v>95307</v>
      </c>
      <c r="BA509" s="424" t="str">
        <f>INDEX(CarrierDriverTBL!$Q:$Q,MATCH(Table1[[#This Row],[DriverID]],CarrierDriverTBL!$A:$A,0))</f>
        <v>US</v>
      </c>
      <c r="BB509" s="424" t="str">
        <f>INDEX(CarrierDriverTBL!$R:$R,MATCH(Table1[[#This Row],[DriverID]],CarrierDriverTBL!$A:$A,0))</f>
        <v>arturocarr777@gmail.com</v>
      </c>
      <c r="BC509" s="426">
        <f>INDEX(CarrierDriverTBL!$AB:$AB,MATCH(Table1[[#This Row],[DriverID]],CarrierDriverTBL!$A:$A,0))</f>
        <v>42418</v>
      </c>
      <c r="BD509" s="425" t="str">
        <f ca="1">INDEX(CarrierDriverTBL!$AD:$AD,MATCH(LoadMaster!$AN:$AN,CarrierDriverTBL!$A:$A,0))</f>
        <v>MISSING</v>
      </c>
      <c r="BE509" s="425">
        <f>INDEX(CarrierDriverTBL!$AE:$AE,MATCH(Table1[DriverID],CarrierDriverTBL!$A:$A,0))</f>
        <v>913971</v>
      </c>
      <c r="BF509" s="424">
        <f>INDEX(CarrierDriverTBL!$AF:$AF,MATCH(Table1[DriverID],CarrierDriverTBL!$A:$A,0))</f>
        <v>2627544</v>
      </c>
      <c r="BG509" s="424">
        <f>INDEX(CarrierDriverTBL!$AG:$AG,MATCH(Table1[DriverID],CarrierDriverTBL!$A:$A,0))</f>
        <v>466133</v>
      </c>
      <c r="BH509" s="424" t="str">
        <f>INDEX(CarrierDriverTBL!$AH:$AH,MATCH(Table1[DriverID],CarrierDriverTBL!$A:$A,0))</f>
        <v>GM Lawrence Ins</v>
      </c>
      <c r="BI509" s="424" t="str">
        <f>INDEX(CarrierDriverTBL!$AI:$AI,MATCH(Table1[DriverID],CarrierDriverTBL!$A:$A,0))</f>
        <v>DSK2842P160210</v>
      </c>
      <c r="BJ509" s="426">
        <f>INDEX(CarrierDriverTBL!$AJ:$AJ,MATCH(Table1[[#This Row],[DriverID]],CarrierDriverTBL!$A:$A,0))</f>
        <v>42778</v>
      </c>
      <c r="BK509" s="424">
        <f t="shared" si="195"/>
        <v>233</v>
      </c>
      <c r="BL509" s="428">
        <v>400</v>
      </c>
      <c r="BM509" s="424">
        <v>10.6</v>
      </c>
      <c r="BN509" s="428">
        <f t="shared" si="348"/>
        <v>37.735849056603776</v>
      </c>
      <c r="BO509" s="428">
        <f>0.93*400</f>
        <v>372</v>
      </c>
      <c r="BP509" s="428">
        <f t="shared" si="349"/>
        <v>35.094339622641513</v>
      </c>
      <c r="BQ509" s="428">
        <v>2.75</v>
      </c>
      <c r="BR509" s="429">
        <f t="shared" si="350"/>
        <v>0.14166666666666669</v>
      </c>
      <c r="BS509" s="428">
        <f t="shared" si="351"/>
        <v>34.952672955974847</v>
      </c>
      <c r="BT509" s="428">
        <f t="shared" si="352"/>
        <v>1.5016666666666669</v>
      </c>
      <c r="BU509" s="424" t="str">
        <f t="shared" si="198"/>
        <v>VP Logistics</v>
      </c>
      <c r="BV509" s="424"/>
      <c r="BW509" s="424" t="str">
        <f>Table1[[#This Row],[BrokerAddress]]</f>
        <v>1909 Waukegan Rd.</v>
      </c>
      <c r="BX509" s="424" t="str">
        <f t="shared" si="199"/>
        <v>Waukegan</v>
      </c>
      <c r="BY509" s="429" t="str">
        <f t="shared" si="200"/>
        <v>IL</v>
      </c>
      <c r="BZ509" s="424">
        <f t="shared" si="201"/>
        <v>60085</v>
      </c>
      <c r="CA509" s="424" t="str">
        <f t="shared" si="202"/>
        <v>US</v>
      </c>
      <c r="CB509" s="419" t="s">
        <v>131</v>
      </c>
      <c r="CC509" s="430"/>
      <c r="CD509" s="419" t="s">
        <v>149</v>
      </c>
      <c r="CE509" s="431">
        <v>50</v>
      </c>
      <c r="CF509" s="419">
        <v>2</v>
      </c>
      <c r="CG509" s="432">
        <f t="shared" ref="CG509" si="365">CE509*CF509</f>
        <v>100</v>
      </c>
      <c r="CH509" s="419" t="s">
        <v>2883</v>
      </c>
      <c r="CI509" s="431">
        <v>75</v>
      </c>
      <c r="CJ509" s="419">
        <v>1</v>
      </c>
      <c r="CK509" s="432">
        <f t="shared" ref="CK509" si="366">CI509*CJ509</f>
        <v>75</v>
      </c>
      <c r="CL509" s="419" t="s">
        <v>3265</v>
      </c>
      <c r="CM509" s="431">
        <v>200</v>
      </c>
      <c r="CN509" s="419">
        <v>1</v>
      </c>
      <c r="CO509" s="432">
        <f t="shared" ref="CO509" si="367">CM509*CN509</f>
        <v>200</v>
      </c>
      <c r="CP509" s="419" t="s">
        <v>132</v>
      </c>
      <c r="CQ509" s="431">
        <v>0</v>
      </c>
      <c r="CR509" s="419">
        <v>0</v>
      </c>
      <c r="CS509" s="432">
        <f t="shared" si="356"/>
        <v>0</v>
      </c>
      <c r="CT509" s="432">
        <f t="shared" si="357"/>
        <v>375</v>
      </c>
      <c r="CU509" s="433">
        <f t="shared" si="358"/>
        <v>775</v>
      </c>
      <c r="CV509" s="431">
        <f t="shared" si="359"/>
        <v>348.75</v>
      </c>
      <c r="CW509" s="434">
        <f t="shared" si="360"/>
        <v>720.75</v>
      </c>
      <c r="CX509" s="79">
        <f>IF(ISBLANK(E509),"AddQuickPay",IF(E509=2,CU509*0.98,IF(E509=2.4,CU509*0.976,IF(E509=3,CU509*0.97,IF(E509=5,CU509*0.95,IF(E509=1.5,CU509*0.985,IF(E509=2.5,CU509*0.975,IF(E509=1.3,CU509*0.987,IF(E509=1,CU509*0.99,IF(E509=4,CU509*0.96,CU509*1))))))))))-Table1[[#This Row],[ComCheck+QuickPayFee]]</f>
        <v>775</v>
      </c>
      <c r="CY509" s="431">
        <f t="shared" si="361"/>
        <v>54.25</v>
      </c>
      <c r="CZ509" s="431">
        <f t="shared" si="210"/>
        <v>0</v>
      </c>
      <c r="DA509" s="435">
        <f>Table1[[#This Row],[OriginalDispatch]]-Table1[[#This Row],[QuickPayCharge]]</f>
        <v>54.25</v>
      </c>
      <c r="DB509" s="5">
        <v>0</v>
      </c>
      <c r="DC509" s="431" t="s">
        <v>133</v>
      </c>
      <c r="DD509" s="418">
        <f t="shared" si="211"/>
        <v>42545</v>
      </c>
      <c r="DE509" s="424">
        <f>MONTH(Table1[[#This Row],[Weekending]])</f>
        <v>6</v>
      </c>
      <c r="DF509" s="424">
        <f>YEAR(Table1[[#This Row],[Weekending]])</f>
        <v>2016</v>
      </c>
      <c r="DG509" s="419" t="s">
        <v>3266</v>
      </c>
    </row>
    <row r="510" spans="1:111">
      <c r="A510" s="548" t="str">
        <f t="shared" si="193"/>
        <v>50171093</v>
      </c>
      <c r="B510" s="549">
        <v>42551</v>
      </c>
      <c r="C510" s="550">
        <v>565250</v>
      </c>
      <c r="D510" s="548" t="s">
        <v>1997</v>
      </c>
      <c r="E510" s="550">
        <v>2</v>
      </c>
      <c r="F510" s="551" t="str">
        <f>INDEX(BrokerTBL!$B:$B,MATCH(D510,BrokerTBL!$A:$A,0))</f>
        <v>12755 East Nine Mile Road</v>
      </c>
      <c r="G510" s="550" t="str">
        <f>INDEX(BrokerTBL!$C:$C,MATCH(D510,BrokerTBL!$A:$A,0))</f>
        <v>Warren</v>
      </c>
      <c r="H510" s="235" t="str">
        <f>INDEX(BrokerTBL!$D:$D,MATCH(D510,BrokerTBL!$A:$A,0))</f>
        <v>Mi</v>
      </c>
      <c r="I510" s="235" t="str">
        <f>INDEX(BrokerTBL!$E:$E,MATCH(D510,BrokerTBL!$A:$A,0))</f>
        <v>US</v>
      </c>
      <c r="J510" s="235">
        <f>INDEX(BrokerTBL!$F:$F,MATCH(D510,BrokerTBL!$A:$A,0))</f>
        <v>48089</v>
      </c>
      <c r="K510" s="548" t="s">
        <v>2368</v>
      </c>
      <c r="L510" s="552">
        <v>22685117</v>
      </c>
      <c r="M510" s="549">
        <v>42548</v>
      </c>
      <c r="N510" s="560">
        <v>0.39583333333333331</v>
      </c>
      <c r="O510" s="550" t="s">
        <v>3200</v>
      </c>
      <c r="P510" s="548" t="s">
        <v>184</v>
      </c>
      <c r="Q510" s="548" t="s">
        <v>2206</v>
      </c>
      <c r="R510" s="548">
        <v>95206</v>
      </c>
      <c r="S510" s="548" t="s">
        <v>2207</v>
      </c>
      <c r="T510" s="548" t="s">
        <v>123</v>
      </c>
      <c r="U510" s="548" t="s">
        <v>120</v>
      </c>
      <c r="V510" s="548">
        <v>53</v>
      </c>
      <c r="W510" s="548" t="s">
        <v>1205</v>
      </c>
      <c r="X510" s="553">
        <v>14300.4</v>
      </c>
      <c r="Y510" s="550" t="s">
        <v>123</v>
      </c>
      <c r="Z510" s="548" t="s">
        <v>123</v>
      </c>
      <c r="AA510" s="548" t="s">
        <v>123</v>
      </c>
      <c r="AB510" s="548" t="s">
        <v>123</v>
      </c>
      <c r="AC510" s="548" t="s">
        <v>3267</v>
      </c>
      <c r="AD510" s="552">
        <v>2268512622685110</v>
      </c>
      <c r="AE510" s="549">
        <v>42548</v>
      </c>
      <c r="AF510" s="549" t="s">
        <v>3268</v>
      </c>
      <c r="AG510" s="548" t="s">
        <v>3269</v>
      </c>
      <c r="AH510" s="548" t="s">
        <v>3270</v>
      </c>
      <c r="AI510" s="548" t="s">
        <v>2206</v>
      </c>
      <c r="AJ510" s="548" t="s">
        <v>3271</v>
      </c>
      <c r="AK510" s="548" t="s">
        <v>2207</v>
      </c>
      <c r="AL510" s="548" t="s">
        <v>123</v>
      </c>
      <c r="AM510" s="554" t="str">
        <f>INDEX(CarrierDriverTBL!$B:$B,MATCH(Table1[[#This Row],[DriverID]],CarrierDriverTBL!$A:$A,0))</f>
        <v>UBTrucking</v>
      </c>
      <c r="AN510" s="10" t="s">
        <v>2234</v>
      </c>
      <c r="AO510" s="555" t="str">
        <f>INDEX(CarrierDriverTBL!$C:$C,MATCH(Table1[[#This Row],[DriverID]],CarrierDriverTBL!$A:$A,0))</f>
        <v>Arturo</v>
      </c>
      <c r="AP510" s="555" t="str">
        <f>INDEX(CarrierDriverTBL!$D:$D,MATCH(Table1[[#This Row],[DriverID]],CarrierDriverTBL!$A:$A,0))</f>
        <v>Carrillo</v>
      </c>
      <c r="AQ510" s="555" t="str">
        <f>INDEX(CarrierDriverTBL!$X:$X,MATCH(Table1[[#This Row],[DriverID]],CarrierDriverTBL!$A:$A,0))</f>
        <v>C7056793</v>
      </c>
      <c r="AR510" s="556">
        <f>INDEX(CarrierDriverTBL!$Y:$Y,MATCH(Table1[[#This Row],[DriverID]],CarrierDriverTBL!$A:$A,0))</f>
        <v>43410</v>
      </c>
      <c r="AS510" s="554" t="str">
        <f t="shared" si="194"/>
        <v>GOOD</v>
      </c>
      <c r="AT510" s="556">
        <f>INDEX(CarrierDriverTBL!$E:$E,MATCH(Table1[[#This Row],[DriverID]],CarrierDriverTBL!$A:$A,0))</f>
        <v>24782</v>
      </c>
      <c r="AU510" s="557">
        <f ca="1">INDEX(CarrierDriverTBL!$F:$F,MATCH(Table1[[#This Row],[DriverID]],CarrierDriverTBL!$A:$A,0))</f>
        <v>48.750684931506846</v>
      </c>
      <c r="AV510" s="554" t="str">
        <f>INDEX(CarrierDriverTBL!$K:$K,MATCH(Table1[[#This Row],[DriverID]],CarrierDriverTBL!$A:$A,0))</f>
        <v>209-276-9785</v>
      </c>
      <c r="AW510" s="554" t="str">
        <f>INDEX(CarrierDriverTBL!$M:$M,MATCH(Table1[[#This Row],[DriverID]],CarrierDriverTBL!$A:$A,0))</f>
        <v>1685 Winthrop Ln</v>
      </c>
      <c r="AX510" s="554" t="str">
        <f>INDEX(CarrierDriverTBL!$N:$N,MATCH(Table1[[#This Row],[DriverID]],CarrierDriverTBL!$A:$A,0))</f>
        <v>Ceres</v>
      </c>
      <c r="AY510" s="554" t="str">
        <f>INDEX(CarrierDriverTBL!$O:$O,MATCH(Table1[[#This Row],[DriverID]],CarrierDriverTBL!$A:$A,0))</f>
        <v>CA</v>
      </c>
      <c r="AZ510" s="554">
        <f>INDEX(CarrierDriverTBL!$P:$P,MATCH(Table1[[#This Row],[DriverID]],CarrierDriverTBL!$A:$A,0))</f>
        <v>95307</v>
      </c>
      <c r="BA510" s="554" t="str">
        <f>INDEX(CarrierDriverTBL!$Q:$Q,MATCH(Table1[[#This Row],[DriverID]],CarrierDriverTBL!$A:$A,0))</f>
        <v>US</v>
      </c>
      <c r="BB510" s="554" t="str">
        <f>INDEX(CarrierDriverTBL!$R:$R,MATCH(Table1[[#This Row],[DriverID]],CarrierDriverTBL!$A:$A,0))</f>
        <v>arturocarr777@gmail.com</v>
      </c>
      <c r="BC510" s="556">
        <f>INDEX(CarrierDriverTBL!$AB:$AB,MATCH(Table1[[#This Row],[DriverID]],CarrierDriverTBL!$A:$A,0))</f>
        <v>42418</v>
      </c>
      <c r="BD510" s="555" t="str">
        <f ca="1">INDEX(CarrierDriverTBL!$AD:$AD,MATCH(LoadMaster!$AN:$AN,CarrierDriverTBL!$A:$A,0))</f>
        <v>MISSING</v>
      </c>
      <c r="BE510" s="555">
        <f>INDEX(CarrierDriverTBL!$AE:$AE,MATCH(Table1[DriverID],CarrierDriverTBL!$A:$A,0))</f>
        <v>913971</v>
      </c>
      <c r="BF510" s="554">
        <f>INDEX(CarrierDriverTBL!$AF:$AF,MATCH(Table1[DriverID],CarrierDriverTBL!$A:$A,0))</f>
        <v>2627544</v>
      </c>
      <c r="BG510" s="236">
        <f>INDEX(CarrierDriverTBL!$AG:$AG,MATCH(Table1[DriverID],CarrierDriverTBL!$A:$A,0))</f>
        <v>466133</v>
      </c>
      <c r="BH510" s="554" t="str">
        <f>INDEX(CarrierDriverTBL!$AH:$AH,MATCH(Table1[DriverID],CarrierDriverTBL!$A:$A,0))</f>
        <v>GM Lawrence Ins</v>
      </c>
      <c r="BI510" s="554" t="str">
        <f>INDEX(CarrierDriverTBL!$AI:$AI,MATCH(Table1[DriverID],CarrierDriverTBL!$A:$A,0))</f>
        <v>DSK2842P160210</v>
      </c>
      <c r="BJ510" s="556">
        <f>INDEX(CarrierDriverTBL!$AJ:$AJ,MATCH(Table1[[#This Row],[DriverID]],CarrierDriverTBL!$A:$A,0))</f>
        <v>42778</v>
      </c>
      <c r="BK510" s="554">
        <f t="shared" si="195"/>
        <v>230</v>
      </c>
      <c r="BL510" s="558">
        <v>600</v>
      </c>
      <c r="BM510" s="554">
        <v>12.5</v>
      </c>
      <c r="BN510" s="558">
        <f t="shared" si="348"/>
        <v>48</v>
      </c>
      <c r="BO510" s="241">
        <f>0.93*600</f>
        <v>558</v>
      </c>
      <c r="BP510" s="558">
        <f t="shared" si="349"/>
        <v>44.64</v>
      </c>
      <c r="BQ510" s="558">
        <v>2.75</v>
      </c>
      <c r="BR510" s="559">
        <f t="shared" si="350"/>
        <v>0.14166666666666669</v>
      </c>
      <c r="BS510" s="558">
        <f t="shared" si="351"/>
        <v>44.498333333333335</v>
      </c>
      <c r="BT510" s="558">
        <f t="shared" si="352"/>
        <v>1.7708333333333337</v>
      </c>
      <c r="BU510" s="236" t="str">
        <f t="shared" si="198"/>
        <v>Cavalry Logistics</v>
      </c>
      <c r="BV510" s="554"/>
      <c r="BW510" s="236" t="str">
        <f>Table1[[#This Row],[BrokerAddress]]</f>
        <v>12755 East Nine Mile Road</v>
      </c>
      <c r="BX510" s="236" t="str">
        <f t="shared" si="199"/>
        <v>Warren</v>
      </c>
      <c r="BY510" s="269" t="str">
        <f t="shared" si="200"/>
        <v>Mi</v>
      </c>
      <c r="BZ510" s="236">
        <f t="shared" si="201"/>
        <v>48089</v>
      </c>
      <c r="CA510" s="236" t="str">
        <f t="shared" si="202"/>
        <v>US</v>
      </c>
      <c r="CB510" s="15" t="s">
        <v>131</v>
      </c>
      <c r="CC510" s="561"/>
      <c r="CD510" s="15" t="s">
        <v>132</v>
      </c>
      <c r="CE510" s="64">
        <v>0</v>
      </c>
      <c r="CF510" s="4">
        <v>0</v>
      </c>
      <c r="CG510" s="132">
        <f t="shared" ref="CG510" si="368">CE510*CF510</f>
        <v>0</v>
      </c>
      <c r="CH510" s="4" t="s">
        <v>132</v>
      </c>
      <c r="CI510" s="5">
        <v>0</v>
      </c>
      <c r="CJ510" s="4">
        <v>0</v>
      </c>
      <c r="CK510" s="132">
        <f t="shared" ref="CK510" si="369">CI510*CJ510</f>
        <v>0</v>
      </c>
      <c r="CL510" s="4" t="s">
        <v>132</v>
      </c>
      <c r="CM510" s="5">
        <v>0</v>
      </c>
      <c r="CN510" s="4">
        <v>0</v>
      </c>
      <c r="CO510" s="132">
        <f t="shared" ref="CO510" si="370">CM510*CN510</f>
        <v>0</v>
      </c>
      <c r="CP510" s="4" t="s">
        <v>132</v>
      </c>
      <c r="CQ510" s="5">
        <v>0</v>
      </c>
      <c r="CR510" s="4">
        <v>0</v>
      </c>
      <c r="CS510" s="412">
        <f t="shared" si="356"/>
        <v>0</v>
      </c>
      <c r="CT510" s="412">
        <f t="shared" si="357"/>
        <v>0</v>
      </c>
      <c r="CU510" s="238">
        <f t="shared" si="358"/>
        <v>600</v>
      </c>
      <c r="CV510" s="239">
        <f t="shared" si="359"/>
        <v>0</v>
      </c>
      <c r="CW510" s="240">
        <f t="shared" si="360"/>
        <v>558</v>
      </c>
      <c r="CX510" s="79">
        <f>IF(ISBLANK(E510),"AddQuickPay",IF(E510=2,CU510*0.98,IF(E510=2.4,CU510*0.976,IF(E510=3,CU510*0.97,IF(E510=5,CU510*0.95,IF(E510=1.5,CU510*0.985,IF(E510=2.5,CU510*0.975,IF(E510=1.3,CU510*0.987,IF(E510=1,CU510*0.99,IF(E510=4,CU510*0.96,CU510*1))))))))))-Table1[[#This Row],[ComCheck+QuickPayFee]]</f>
        <v>588</v>
      </c>
      <c r="CY510" s="237">
        <f t="shared" si="361"/>
        <v>42</v>
      </c>
      <c r="CZ510" s="237">
        <f t="shared" si="210"/>
        <v>12</v>
      </c>
      <c r="DA510" s="263">
        <f>Table1[[#This Row],[OriginalDispatch]]-Table1[[#This Row],[QuickPayCharge]]</f>
        <v>30</v>
      </c>
      <c r="DB510" s="5">
        <v>0</v>
      </c>
      <c r="DC510" s="237" t="s">
        <v>133</v>
      </c>
      <c r="DD510" s="549">
        <f t="shared" si="211"/>
        <v>42552</v>
      </c>
      <c r="DE510" s="554">
        <f>MONTH(Table1[[#This Row],[Weekending]])</f>
        <v>7</v>
      </c>
      <c r="DF510" s="554">
        <f>YEAR(Table1[[#This Row],[Weekending]])</f>
        <v>2016</v>
      </c>
      <c r="DG510" s="235"/>
    </row>
    <row r="511" spans="1:111">
      <c r="A511" s="548" t="str">
        <f t="shared" si="193"/>
        <v>ttwnwn93</v>
      </c>
      <c r="B511" s="549">
        <v>42551</v>
      </c>
      <c r="C511" s="550" t="s">
        <v>3272</v>
      </c>
      <c r="D511" s="548" t="s">
        <v>3043</v>
      </c>
      <c r="E511" s="550">
        <v>0</v>
      </c>
      <c r="F511" s="551" t="str">
        <f>INDEX(BrokerTBL!$B:$B,MATCH(D511,BrokerTBL!$A:$A,0))</f>
        <v>1848 N. WOODSON AVE.</v>
      </c>
      <c r="G511" s="550" t="str">
        <f>INDEX(BrokerTBL!$C:$C,MATCH(D511,BrokerTBL!$A:$A,0))</f>
        <v>Fresno</v>
      </c>
      <c r="H511" s="235" t="str">
        <f>INDEX(BrokerTBL!$D:$D,MATCH(D511,BrokerTBL!$A:$A,0))</f>
        <v>CA</v>
      </c>
      <c r="I511" s="235" t="str">
        <f>INDEX(BrokerTBL!$E:$E,MATCH(D511,BrokerTBL!$A:$A,0))</f>
        <v>US</v>
      </c>
      <c r="J511" s="235">
        <f>INDEX(BrokerTBL!$F:$F,MATCH(D511,BrokerTBL!$A:$A,0))</f>
        <v>93705</v>
      </c>
      <c r="K511" s="548" t="s">
        <v>3044</v>
      </c>
      <c r="L511" s="552" t="s">
        <v>1205</v>
      </c>
      <c r="M511" s="549">
        <v>42550</v>
      </c>
      <c r="N511" s="550" t="s">
        <v>123</v>
      </c>
      <c r="O511" s="550" t="s">
        <v>3045</v>
      </c>
      <c r="P511" s="548" t="s">
        <v>2616</v>
      </c>
      <c r="Q511" s="548" t="s">
        <v>2233</v>
      </c>
      <c r="R511" s="548" t="s">
        <v>123</v>
      </c>
      <c r="S511" s="548" t="s">
        <v>2207</v>
      </c>
      <c r="T511" s="548" t="s">
        <v>3046</v>
      </c>
      <c r="U511" s="548" t="s">
        <v>120</v>
      </c>
      <c r="V511" s="548">
        <v>53</v>
      </c>
      <c r="W511" s="548" t="s">
        <v>3047</v>
      </c>
      <c r="X511" s="553">
        <v>43000</v>
      </c>
      <c r="Y511" s="550" t="s">
        <v>123</v>
      </c>
      <c r="Z511" s="548" t="s">
        <v>123</v>
      </c>
      <c r="AA511" s="548" t="s">
        <v>123</v>
      </c>
      <c r="AB511" s="548" t="s">
        <v>123</v>
      </c>
      <c r="AC511" s="548" t="s">
        <v>3044</v>
      </c>
      <c r="AD511" s="552" t="s">
        <v>1205</v>
      </c>
      <c r="AE511" s="549">
        <v>42550</v>
      </c>
      <c r="AF511" s="549" t="s">
        <v>123</v>
      </c>
      <c r="AG511" s="548" t="s">
        <v>3048</v>
      </c>
      <c r="AH511" s="548" t="s">
        <v>3049</v>
      </c>
      <c r="AI511" s="548" t="s">
        <v>2206</v>
      </c>
      <c r="AJ511" s="548" t="s">
        <v>123</v>
      </c>
      <c r="AK511" s="548" t="s">
        <v>2207</v>
      </c>
      <c r="AL511" s="548" t="s">
        <v>123</v>
      </c>
      <c r="AM511" s="554" t="str">
        <f>INDEX(CarrierDriverTBL!$B:$B,MATCH(Table1[[#This Row],[DriverID]],CarrierDriverTBL!$A:$A,0))</f>
        <v>UBTrucking</v>
      </c>
      <c r="AN511" s="10" t="s">
        <v>2234</v>
      </c>
      <c r="AO511" s="555" t="str">
        <f>INDEX(CarrierDriverTBL!$C:$C,MATCH(Table1[[#This Row],[DriverID]],CarrierDriverTBL!$A:$A,0))</f>
        <v>Arturo</v>
      </c>
      <c r="AP511" s="555" t="str">
        <f>INDEX(CarrierDriverTBL!$D:$D,MATCH(Table1[[#This Row],[DriverID]],CarrierDriverTBL!$A:$A,0))</f>
        <v>Carrillo</v>
      </c>
      <c r="AQ511" s="555" t="str">
        <f>INDEX(CarrierDriverTBL!$X:$X,MATCH(Table1[[#This Row],[DriverID]],CarrierDriverTBL!$A:$A,0))</f>
        <v>C7056793</v>
      </c>
      <c r="AR511" s="556">
        <f>INDEX(CarrierDriverTBL!$Y:$Y,MATCH(Table1[[#This Row],[DriverID]],CarrierDriverTBL!$A:$A,0))</f>
        <v>43410</v>
      </c>
      <c r="AS511" s="554" t="str">
        <f t="shared" si="194"/>
        <v>GOOD</v>
      </c>
      <c r="AT511" s="556">
        <f>INDEX(CarrierDriverTBL!$E:$E,MATCH(Table1[[#This Row],[DriverID]],CarrierDriverTBL!$A:$A,0))</f>
        <v>24782</v>
      </c>
      <c r="AU511" s="557">
        <f ca="1">INDEX(CarrierDriverTBL!$F:$F,MATCH(Table1[[#This Row],[DriverID]],CarrierDriverTBL!$A:$A,0))</f>
        <v>48.750684931506846</v>
      </c>
      <c r="AV511" s="554" t="str">
        <f>INDEX(CarrierDriverTBL!$K:$K,MATCH(Table1[[#This Row],[DriverID]],CarrierDriverTBL!$A:$A,0))</f>
        <v>209-276-9785</v>
      </c>
      <c r="AW511" s="554" t="str">
        <f>INDEX(CarrierDriverTBL!$M:$M,MATCH(Table1[[#This Row],[DriverID]],CarrierDriverTBL!$A:$A,0))</f>
        <v>1685 Winthrop Ln</v>
      </c>
      <c r="AX511" s="554" t="str">
        <f>INDEX(CarrierDriverTBL!$N:$N,MATCH(Table1[[#This Row],[DriverID]],CarrierDriverTBL!$A:$A,0))</f>
        <v>Ceres</v>
      </c>
      <c r="AY511" s="554" t="str">
        <f>INDEX(CarrierDriverTBL!$O:$O,MATCH(Table1[[#This Row],[DriverID]],CarrierDriverTBL!$A:$A,0))</f>
        <v>CA</v>
      </c>
      <c r="AZ511" s="554">
        <f>INDEX(CarrierDriverTBL!$P:$P,MATCH(Table1[[#This Row],[DriverID]],CarrierDriverTBL!$A:$A,0))</f>
        <v>95307</v>
      </c>
      <c r="BA511" s="554" t="str">
        <f>INDEX(CarrierDriverTBL!$Q:$Q,MATCH(Table1[[#This Row],[DriverID]],CarrierDriverTBL!$A:$A,0))</f>
        <v>US</v>
      </c>
      <c r="BB511" s="554" t="str">
        <f>INDEX(CarrierDriverTBL!$R:$R,MATCH(Table1[[#This Row],[DriverID]],CarrierDriverTBL!$A:$A,0))</f>
        <v>arturocarr777@gmail.com</v>
      </c>
      <c r="BC511" s="556">
        <f>INDEX(CarrierDriverTBL!$AB:$AB,MATCH(Table1[[#This Row],[DriverID]],CarrierDriverTBL!$A:$A,0))</f>
        <v>42418</v>
      </c>
      <c r="BD511" s="555" t="str">
        <f ca="1">INDEX(CarrierDriverTBL!$AD:$AD,MATCH(LoadMaster!$AN:$AN,CarrierDriverTBL!$A:$A,0))</f>
        <v>MISSING</v>
      </c>
      <c r="BE511" s="555">
        <f>INDEX(CarrierDriverTBL!$AE:$AE,MATCH(Table1[DriverID],CarrierDriverTBL!$A:$A,0))</f>
        <v>913971</v>
      </c>
      <c r="BF511" s="554">
        <f>INDEX(CarrierDriverTBL!$AF:$AF,MATCH(Table1[DriverID],CarrierDriverTBL!$A:$A,0))</f>
        <v>2627544</v>
      </c>
      <c r="BG511" s="236">
        <f>INDEX(CarrierDriverTBL!$AG:$AG,MATCH(Table1[DriverID],CarrierDriverTBL!$A:$A,0))</f>
        <v>466133</v>
      </c>
      <c r="BH511" s="554" t="str">
        <f>INDEX(CarrierDriverTBL!$AH:$AH,MATCH(Table1[DriverID],CarrierDriverTBL!$A:$A,0))</f>
        <v>GM Lawrence Ins</v>
      </c>
      <c r="BI511" s="554" t="str">
        <f>INDEX(CarrierDriverTBL!$AI:$AI,MATCH(Table1[DriverID],CarrierDriverTBL!$A:$A,0))</f>
        <v>DSK2842P160210</v>
      </c>
      <c r="BJ511" s="556">
        <f>INDEX(CarrierDriverTBL!$AJ:$AJ,MATCH(Table1[[#This Row],[DriverID]],CarrierDriverTBL!$A:$A,0))</f>
        <v>42778</v>
      </c>
      <c r="BK511" s="554">
        <f t="shared" si="195"/>
        <v>228</v>
      </c>
      <c r="BL511" s="558">
        <v>700</v>
      </c>
      <c r="BM511" s="554">
        <v>385.4</v>
      </c>
      <c r="BN511" s="558">
        <f t="shared" si="348"/>
        <v>1.816294758692268</v>
      </c>
      <c r="BO511" s="241">
        <f>0.93*700</f>
        <v>651</v>
      </c>
      <c r="BP511" s="558">
        <f t="shared" si="349"/>
        <v>1.6891541255838092</v>
      </c>
      <c r="BQ511" s="558">
        <v>2.75</v>
      </c>
      <c r="BR511" s="559">
        <f t="shared" si="350"/>
        <v>0.14166666666666669</v>
      </c>
      <c r="BS511" s="558">
        <f t="shared" si="351"/>
        <v>1.5474874589171426</v>
      </c>
      <c r="BT511" s="558">
        <f t="shared" si="352"/>
        <v>54.598333333333336</v>
      </c>
      <c r="BU511" s="236" t="str">
        <f t="shared" si="198"/>
        <v>Ray Brothers Transportation Inc.</v>
      </c>
      <c r="BV511" s="554"/>
      <c r="BW511" s="236" t="str">
        <f>Table1[[#This Row],[BrokerAddress]]</f>
        <v>1848 N. WOODSON AVE.</v>
      </c>
      <c r="BX511" s="236" t="str">
        <f t="shared" si="199"/>
        <v>Fresno</v>
      </c>
      <c r="BY511" s="269" t="str">
        <f t="shared" si="200"/>
        <v>CA</v>
      </c>
      <c r="BZ511" s="236">
        <f t="shared" si="201"/>
        <v>93705</v>
      </c>
      <c r="CA511" s="236" t="str">
        <f t="shared" si="202"/>
        <v>US</v>
      </c>
      <c r="CB511" s="15" t="s">
        <v>131</v>
      </c>
      <c r="CC511" s="561"/>
      <c r="CD511" s="15" t="s">
        <v>132</v>
      </c>
      <c r="CE511" s="64">
        <v>0</v>
      </c>
      <c r="CF511" s="4">
        <v>0</v>
      </c>
      <c r="CG511" s="132">
        <f t="shared" ref="CG511" si="371">CE511*CF511</f>
        <v>0</v>
      </c>
      <c r="CH511" s="4" t="s">
        <v>132</v>
      </c>
      <c r="CI511" s="5">
        <v>0</v>
      </c>
      <c r="CJ511" s="4">
        <v>0</v>
      </c>
      <c r="CK511" s="132">
        <f t="shared" ref="CK511" si="372">CI511*CJ511</f>
        <v>0</v>
      </c>
      <c r="CL511" s="4" t="s">
        <v>132</v>
      </c>
      <c r="CM511" s="5">
        <v>0</v>
      </c>
      <c r="CN511" s="4">
        <v>0</v>
      </c>
      <c r="CO511" s="132">
        <f t="shared" ref="CO511" si="373">CM511*CN511</f>
        <v>0</v>
      </c>
      <c r="CP511" s="4" t="s">
        <v>132</v>
      </c>
      <c r="CQ511" s="5">
        <v>0</v>
      </c>
      <c r="CR511" s="4">
        <v>0</v>
      </c>
      <c r="CS511" s="412">
        <f t="shared" si="356"/>
        <v>0</v>
      </c>
      <c r="CT511" s="412">
        <f t="shared" si="357"/>
        <v>0</v>
      </c>
      <c r="CU511" s="238">
        <f t="shared" si="358"/>
        <v>700</v>
      </c>
      <c r="CV511" s="239">
        <f t="shared" si="359"/>
        <v>0</v>
      </c>
      <c r="CW511" s="240">
        <f t="shared" si="360"/>
        <v>651</v>
      </c>
      <c r="CX511" s="79">
        <f>IF(ISBLANK(E511),"AddQuickPay",IF(E511=2,CU511*0.98,IF(E511=2.4,CU511*0.976,IF(E511=3,CU511*0.97,IF(E511=5,CU511*0.95,IF(E511=1.5,CU511*0.985,IF(E511=2.5,CU511*0.975,IF(E511=1.3,CU511*0.987,IF(E511=1,CU511*0.99,IF(E511=4,CU511*0.96,CU511*1))))))))))-Table1[[#This Row],[ComCheck+QuickPayFee]]</f>
        <v>700</v>
      </c>
      <c r="CY511" s="237">
        <f t="shared" si="361"/>
        <v>49</v>
      </c>
      <c r="CZ511" s="237">
        <f t="shared" si="210"/>
        <v>0</v>
      </c>
      <c r="DA511" s="263">
        <f>Table1[[#This Row],[OriginalDispatch]]-Table1[[#This Row],[QuickPayCharge]]</f>
        <v>49</v>
      </c>
      <c r="DB511" s="5">
        <v>0</v>
      </c>
      <c r="DC511" s="237" t="s">
        <v>133</v>
      </c>
      <c r="DD511" s="549">
        <f t="shared" si="211"/>
        <v>42552</v>
      </c>
      <c r="DE511" s="554">
        <f>MONTH(Table1[[#This Row],[Weekending]])</f>
        <v>7</v>
      </c>
      <c r="DF511" s="554">
        <f>YEAR(Table1[[#This Row],[Weekending]])</f>
        <v>2016</v>
      </c>
      <c r="DG511" s="235"/>
    </row>
    <row r="512" spans="1:111">
      <c r="A512" s="548" t="str">
        <f t="shared" si="193"/>
        <v>eywnwn93</v>
      </c>
      <c r="B512" s="549">
        <v>42551</v>
      </c>
      <c r="C512" s="550" t="s">
        <v>3273</v>
      </c>
      <c r="D512" s="548" t="s">
        <v>2541</v>
      </c>
      <c r="E512" s="550">
        <v>0</v>
      </c>
      <c r="F512" s="551" t="str">
        <f>INDEX(BrokerTBL!$B:$B,MATCH(D512,BrokerTBL!$A:$A,0))</f>
        <v>2043 Corporate Lane</v>
      </c>
      <c r="G512" s="550" t="str">
        <f>INDEX(BrokerTBL!$C:$C,MATCH(D512,BrokerTBL!$A:$A,0))</f>
        <v>Naperville</v>
      </c>
      <c r="H512" s="235" t="str">
        <f>INDEX(BrokerTBL!$D:$D,MATCH(D512,BrokerTBL!$A:$A,0))</f>
        <v>IL</v>
      </c>
      <c r="I512" s="235" t="str">
        <f>INDEX(BrokerTBL!$E:$E,MATCH(D512,BrokerTBL!$A:$A,0))</f>
        <v>US</v>
      </c>
      <c r="J512" s="235">
        <f>INDEX(BrokerTBL!$F:$F,MATCH(D512,BrokerTBL!$A:$A,0))</f>
        <v>60563</v>
      </c>
      <c r="K512" s="548" t="s">
        <v>2542</v>
      </c>
      <c r="L512" s="552" t="s">
        <v>1205</v>
      </c>
      <c r="M512" s="549">
        <v>42549</v>
      </c>
      <c r="N512" s="550" t="s">
        <v>123</v>
      </c>
      <c r="O512" s="550" t="s">
        <v>3274</v>
      </c>
      <c r="P512" s="548" t="s">
        <v>2544</v>
      </c>
      <c r="Q512" s="548" t="s">
        <v>2206</v>
      </c>
      <c r="R512" s="548">
        <v>94607</v>
      </c>
      <c r="S512" s="548" t="s">
        <v>2207</v>
      </c>
      <c r="T512" s="548" t="s">
        <v>2545</v>
      </c>
      <c r="U512" s="548" t="s">
        <v>120</v>
      </c>
      <c r="V512" s="548">
        <v>53</v>
      </c>
      <c r="W512" s="548" t="s">
        <v>1205</v>
      </c>
      <c r="X512" s="553" t="s">
        <v>123</v>
      </c>
      <c r="Y512" s="550" t="s">
        <v>123</v>
      </c>
      <c r="Z512" s="548" t="s">
        <v>123</v>
      </c>
      <c r="AA512" s="548" t="s">
        <v>123</v>
      </c>
      <c r="AB512" s="548" t="s">
        <v>123</v>
      </c>
      <c r="AC512" s="548" t="s">
        <v>3275</v>
      </c>
      <c r="AD512" s="552" t="s">
        <v>1205</v>
      </c>
      <c r="AE512" s="549">
        <v>42550</v>
      </c>
      <c r="AF512" s="549" t="s">
        <v>3276</v>
      </c>
      <c r="AG512" s="548" t="s">
        <v>3277</v>
      </c>
      <c r="AH512" s="548" t="s">
        <v>2466</v>
      </c>
      <c r="AI512" s="548" t="s">
        <v>2233</v>
      </c>
      <c r="AJ512" s="548">
        <v>89521</v>
      </c>
      <c r="AK512" s="548" t="s">
        <v>2207</v>
      </c>
      <c r="AL512" s="548" t="s">
        <v>3278</v>
      </c>
      <c r="AM512" s="554" t="str">
        <f>INDEX(CarrierDriverTBL!$B:$B,MATCH(Table1[[#This Row],[DriverID]],CarrierDriverTBL!$A:$A,0))</f>
        <v>UBTrucking</v>
      </c>
      <c r="AN512" s="10" t="s">
        <v>2234</v>
      </c>
      <c r="AO512" s="555" t="str">
        <f>INDEX(CarrierDriverTBL!$C:$C,MATCH(Table1[[#This Row],[DriverID]],CarrierDriverTBL!$A:$A,0))</f>
        <v>Arturo</v>
      </c>
      <c r="AP512" s="555" t="str">
        <f>INDEX(CarrierDriverTBL!$D:$D,MATCH(Table1[[#This Row],[DriverID]],CarrierDriverTBL!$A:$A,0))</f>
        <v>Carrillo</v>
      </c>
      <c r="AQ512" s="555" t="str">
        <f>INDEX(CarrierDriverTBL!$X:$X,MATCH(Table1[[#This Row],[DriverID]],CarrierDriverTBL!$A:$A,0))</f>
        <v>C7056793</v>
      </c>
      <c r="AR512" s="556">
        <f>INDEX(CarrierDriverTBL!$Y:$Y,MATCH(Table1[[#This Row],[DriverID]],CarrierDriverTBL!$A:$A,0))</f>
        <v>43410</v>
      </c>
      <c r="AS512" s="554" t="str">
        <f t="shared" si="194"/>
        <v>GOOD</v>
      </c>
      <c r="AT512" s="556">
        <f>INDEX(CarrierDriverTBL!$E:$E,MATCH(Table1[[#This Row],[DriverID]],CarrierDriverTBL!$A:$A,0))</f>
        <v>24782</v>
      </c>
      <c r="AU512" s="557">
        <f ca="1">INDEX(CarrierDriverTBL!$F:$F,MATCH(Table1[[#This Row],[DriverID]],CarrierDriverTBL!$A:$A,0))</f>
        <v>48.750684931506846</v>
      </c>
      <c r="AV512" s="554" t="str">
        <f>INDEX(CarrierDriverTBL!$K:$K,MATCH(Table1[[#This Row],[DriverID]],CarrierDriverTBL!$A:$A,0))</f>
        <v>209-276-9785</v>
      </c>
      <c r="AW512" s="554" t="str">
        <f>INDEX(CarrierDriverTBL!$M:$M,MATCH(Table1[[#This Row],[DriverID]],CarrierDriverTBL!$A:$A,0))</f>
        <v>1685 Winthrop Ln</v>
      </c>
      <c r="AX512" s="554" t="str">
        <f>INDEX(CarrierDriverTBL!$N:$N,MATCH(Table1[[#This Row],[DriverID]],CarrierDriverTBL!$A:$A,0))</f>
        <v>Ceres</v>
      </c>
      <c r="AY512" s="554" t="str">
        <f>INDEX(CarrierDriverTBL!$O:$O,MATCH(Table1[[#This Row],[DriverID]],CarrierDriverTBL!$A:$A,0))</f>
        <v>CA</v>
      </c>
      <c r="AZ512" s="554">
        <f>INDEX(CarrierDriverTBL!$P:$P,MATCH(Table1[[#This Row],[DriverID]],CarrierDriverTBL!$A:$A,0))</f>
        <v>95307</v>
      </c>
      <c r="BA512" s="554" t="str">
        <f>INDEX(CarrierDriverTBL!$Q:$Q,MATCH(Table1[[#This Row],[DriverID]],CarrierDriverTBL!$A:$A,0))</f>
        <v>US</v>
      </c>
      <c r="BB512" s="554" t="str">
        <f>INDEX(CarrierDriverTBL!$R:$R,MATCH(Table1[[#This Row],[DriverID]],CarrierDriverTBL!$A:$A,0))</f>
        <v>arturocarr777@gmail.com</v>
      </c>
      <c r="BC512" s="556">
        <f>INDEX(CarrierDriverTBL!$AB:$AB,MATCH(Table1[[#This Row],[DriverID]],CarrierDriverTBL!$A:$A,0))</f>
        <v>42418</v>
      </c>
      <c r="BD512" s="555" t="str">
        <f ca="1">INDEX(CarrierDriverTBL!$AD:$AD,MATCH(LoadMaster!$AN:$AN,CarrierDriverTBL!$A:$A,0))</f>
        <v>MISSING</v>
      </c>
      <c r="BE512" s="555">
        <f>INDEX(CarrierDriverTBL!$AE:$AE,MATCH(Table1[DriverID],CarrierDriverTBL!$A:$A,0))</f>
        <v>913971</v>
      </c>
      <c r="BF512" s="554">
        <f>INDEX(CarrierDriverTBL!$AF:$AF,MATCH(Table1[DriverID],CarrierDriverTBL!$A:$A,0))</f>
        <v>2627544</v>
      </c>
      <c r="BG512" s="236">
        <f>INDEX(CarrierDriverTBL!$AG:$AG,MATCH(Table1[DriverID],CarrierDriverTBL!$A:$A,0))</f>
        <v>466133</v>
      </c>
      <c r="BH512" s="554" t="str">
        <f>INDEX(CarrierDriverTBL!$AH:$AH,MATCH(Table1[DriverID],CarrierDriverTBL!$A:$A,0))</f>
        <v>GM Lawrence Ins</v>
      </c>
      <c r="BI512" s="554" t="str">
        <f>INDEX(CarrierDriverTBL!$AI:$AI,MATCH(Table1[DriverID],CarrierDriverTBL!$A:$A,0))</f>
        <v>DSK2842P160210</v>
      </c>
      <c r="BJ512" s="556">
        <f>INDEX(CarrierDriverTBL!$AJ:$AJ,MATCH(Table1[[#This Row],[DriverID]],CarrierDriverTBL!$A:$A,0))</f>
        <v>42778</v>
      </c>
      <c r="BK512" s="554">
        <f t="shared" si="195"/>
        <v>229</v>
      </c>
      <c r="BL512" s="558">
        <v>800</v>
      </c>
      <c r="BM512" s="554">
        <v>212.3</v>
      </c>
      <c r="BN512" s="558">
        <f t="shared" si="348"/>
        <v>3.7682524729156852</v>
      </c>
      <c r="BO512" s="241">
        <f>0.93*800</f>
        <v>744</v>
      </c>
      <c r="BP512" s="558">
        <f t="shared" si="349"/>
        <v>3.5044747998115873</v>
      </c>
      <c r="BQ512" s="558">
        <v>2.75</v>
      </c>
      <c r="BR512" s="559">
        <f t="shared" si="350"/>
        <v>0.14166666666666669</v>
      </c>
      <c r="BS512" s="558">
        <f t="shared" si="351"/>
        <v>3.3628081331449207</v>
      </c>
      <c r="BT512" s="558">
        <f t="shared" si="352"/>
        <v>30.075833333333339</v>
      </c>
      <c r="BU512" s="236" t="str">
        <f t="shared" si="198"/>
        <v>JBS Logistics</v>
      </c>
      <c r="BV512" s="554"/>
      <c r="BW512" s="236" t="str">
        <f>Table1[[#This Row],[BrokerAddress]]</f>
        <v>2043 Corporate Lane</v>
      </c>
      <c r="BX512" s="236" t="str">
        <f t="shared" si="199"/>
        <v>Naperville</v>
      </c>
      <c r="BY512" s="269" t="str">
        <f t="shared" si="200"/>
        <v>IL</v>
      </c>
      <c r="BZ512" s="236">
        <f t="shared" si="201"/>
        <v>60563</v>
      </c>
      <c r="CA512" s="236" t="str">
        <f t="shared" si="202"/>
        <v>US</v>
      </c>
      <c r="CB512" s="15" t="s">
        <v>131</v>
      </c>
      <c r="CC512" s="561"/>
      <c r="CD512" s="15" t="s">
        <v>132</v>
      </c>
      <c r="CE512" s="64">
        <v>0</v>
      </c>
      <c r="CF512" s="4">
        <v>0</v>
      </c>
      <c r="CG512" s="132">
        <f t="shared" ref="CG512" si="374">CE512*CF512</f>
        <v>0</v>
      </c>
      <c r="CH512" s="4" t="s">
        <v>132</v>
      </c>
      <c r="CI512" s="5">
        <v>0</v>
      </c>
      <c r="CJ512" s="4">
        <v>0</v>
      </c>
      <c r="CK512" s="132">
        <f t="shared" ref="CK512" si="375">CI512*CJ512</f>
        <v>0</v>
      </c>
      <c r="CL512" s="4" t="s">
        <v>132</v>
      </c>
      <c r="CM512" s="5">
        <v>0</v>
      </c>
      <c r="CN512" s="4">
        <v>0</v>
      </c>
      <c r="CO512" s="132">
        <f t="shared" ref="CO512" si="376">CM512*CN512</f>
        <v>0</v>
      </c>
      <c r="CP512" s="4" t="s">
        <v>132</v>
      </c>
      <c r="CQ512" s="5">
        <v>0</v>
      </c>
      <c r="CR512" s="4">
        <v>0</v>
      </c>
      <c r="CS512" s="412">
        <f t="shared" si="356"/>
        <v>0</v>
      </c>
      <c r="CT512" s="412">
        <f t="shared" si="357"/>
        <v>0</v>
      </c>
      <c r="CU512" s="238">
        <f t="shared" si="358"/>
        <v>800</v>
      </c>
      <c r="CV512" s="239">
        <f t="shared" si="359"/>
        <v>0</v>
      </c>
      <c r="CW512" s="240">
        <f t="shared" si="360"/>
        <v>744</v>
      </c>
      <c r="CX512" s="79">
        <f>IF(ISBLANK(E512),"AddQuickPay",IF(E512=2,CU512*0.98,IF(E512=2.4,CU512*0.976,IF(E512=3,CU512*0.97,IF(E512=5,CU512*0.95,IF(E512=1.5,CU512*0.985,IF(E512=2.5,CU512*0.975,IF(E512=1.3,CU512*0.987,IF(E512=1,CU512*0.99,IF(E512=4,CU512*0.96,CU512*1))))))))))-Table1[[#This Row],[ComCheck+QuickPayFee]]</f>
        <v>800</v>
      </c>
      <c r="CY512" s="237">
        <f t="shared" si="361"/>
        <v>56</v>
      </c>
      <c r="CZ512" s="237">
        <f t="shared" si="210"/>
        <v>0</v>
      </c>
      <c r="DA512" s="263">
        <f>Table1[[#This Row],[OriginalDispatch]]-Table1[[#This Row],[QuickPayCharge]]</f>
        <v>56</v>
      </c>
      <c r="DB512" s="5">
        <v>0</v>
      </c>
      <c r="DC512" s="237" t="s">
        <v>133</v>
      </c>
      <c r="DD512" s="549">
        <f t="shared" si="211"/>
        <v>42552</v>
      </c>
      <c r="DE512" s="554">
        <f>MONTH(Table1[[#This Row],[Weekending]])</f>
        <v>7</v>
      </c>
      <c r="DF512" s="554">
        <f>YEAR(Table1[[#This Row],[Weekending]])</f>
        <v>2016</v>
      </c>
      <c r="DG512" s="235"/>
    </row>
    <row r="513" spans="1:111">
      <c r="A513" s="548" t="str">
        <f t="shared" si="193"/>
        <v>20773549</v>
      </c>
      <c r="B513" s="549">
        <v>42551</v>
      </c>
      <c r="C513" s="550">
        <v>205023020</v>
      </c>
      <c r="D513" s="548" t="s">
        <v>111</v>
      </c>
      <c r="E513" s="550">
        <v>2</v>
      </c>
      <c r="F513" s="551" t="str">
        <f>INDEX(BrokerTBL!$B:$B,MATCH(D513,BrokerTBL!$A:$A,0))</f>
        <v>P.O. Box 3474</v>
      </c>
      <c r="G513" s="550" t="str">
        <f>INDEX(BrokerTBL!$C:$C,MATCH(D513,BrokerTBL!$A:$A,0))</f>
        <v>Chicago</v>
      </c>
      <c r="H513" s="235" t="str">
        <f>INDEX(BrokerTBL!$D:$D,MATCH(D513,BrokerTBL!$A:$A,0))</f>
        <v>Il</v>
      </c>
      <c r="I513" s="235" t="str">
        <f>INDEX(BrokerTBL!$E:$E,MATCH(D513,BrokerTBL!$A:$A,0))</f>
        <v>US</v>
      </c>
      <c r="J513" s="235">
        <f>INDEX(BrokerTBL!$F:$F,MATCH(D513,BrokerTBL!$A:$A,0))</f>
        <v>60654</v>
      </c>
      <c r="K513" s="548" t="s">
        <v>3279</v>
      </c>
      <c r="L513" s="552">
        <v>27977</v>
      </c>
      <c r="M513" s="549">
        <v>42548</v>
      </c>
      <c r="N513" s="550" t="s">
        <v>2428</v>
      </c>
      <c r="O513" s="550" t="s">
        <v>1798</v>
      </c>
      <c r="P513" s="548" t="s">
        <v>1799</v>
      </c>
      <c r="Q513" s="548" t="s">
        <v>2206</v>
      </c>
      <c r="R513" s="548" t="s">
        <v>1800</v>
      </c>
      <c r="S513" s="548" t="s">
        <v>2207</v>
      </c>
      <c r="T513" s="548" t="s">
        <v>123</v>
      </c>
      <c r="U513" s="548" t="s">
        <v>120</v>
      </c>
      <c r="V513" s="548">
        <v>53</v>
      </c>
      <c r="W513" s="548" t="s">
        <v>450</v>
      </c>
      <c r="X513" s="553">
        <v>40000</v>
      </c>
      <c r="Y513" s="550" t="s">
        <v>2220</v>
      </c>
      <c r="Z513" s="548" t="s">
        <v>123</v>
      </c>
      <c r="AA513" s="548">
        <v>22</v>
      </c>
      <c r="AB513" s="548" t="s">
        <v>123</v>
      </c>
      <c r="AC513" s="548" t="s">
        <v>3280</v>
      </c>
      <c r="AD513" s="552" t="s">
        <v>3281</v>
      </c>
      <c r="AE513" s="549">
        <v>42549</v>
      </c>
      <c r="AF513" s="549" t="s">
        <v>2428</v>
      </c>
      <c r="AG513" s="548" t="s">
        <v>3282</v>
      </c>
      <c r="AH513" s="548" t="s">
        <v>3283</v>
      </c>
      <c r="AI513" s="548" t="s">
        <v>2206</v>
      </c>
      <c r="AJ513" s="548">
        <v>94525</v>
      </c>
      <c r="AK513" s="548" t="s">
        <v>2207</v>
      </c>
      <c r="AL513" s="548" t="s">
        <v>123</v>
      </c>
      <c r="AM513" s="554" t="str">
        <f>INDEX(CarrierDriverTBL!$B:$B,MATCH(Table1[[#This Row],[DriverID]],CarrierDriverTBL!$A:$A,0))</f>
        <v>UBTrucking</v>
      </c>
      <c r="AN513" s="10" t="s">
        <v>192</v>
      </c>
      <c r="AO513" s="555" t="str">
        <f>INDEX(CarrierDriverTBL!$C:$C,MATCH(Table1[[#This Row],[DriverID]],CarrierDriverTBL!$A:$A,0))</f>
        <v>Albel</v>
      </c>
      <c r="AP513" s="555" t="str">
        <f>INDEX(CarrierDriverTBL!$D:$D,MATCH(Table1[[#This Row],[DriverID]],CarrierDriverTBL!$A:$A,0))</f>
        <v>Chahil</v>
      </c>
      <c r="AQ513" s="555" t="str">
        <f>INDEX(CarrierDriverTBL!$X:$X,MATCH(Table1[[#This Row],[DriverID]],CarrierDriverTBL!$A:$A,0))</f>
        <v>A8390649</v>
      </c>
      <c r="AR513" s="556">
        <f>INDEX(CarrierDriverTBL!$Y:$Y,MATCH(Table1[[#This Row],[DriverID]],CarrierDriverTBL!$A:$A,0))</f>
        <v>42402</v>
      </c>
      <c r="AS513" s="554" t="str">
        <f t="shared" si="194"/>
        <v>EXPIRED</v>
      </c>
      <c r="AT513" s="556">
        <f>INDEX(CarrierDriverTBL!$E:$E,MATCH(Table1[[#This Row],[DriverID]],CarrierDriverTBL!$A:$A,0))</f>
        <v>22314</v>
      </c>
      <c r="AU513" s="557">
        <f ca="1">INDEX(CarrierDriverTBL!$F:$F,MATCH(Table1[[#This Row],[DriverID]],CarrierDriverTBL!$A:$A,0))</f>
        <v>55.512328767123286</v>
      </c>
      <c r="AV513" s="554" t="str">
        <f>INDEX(CarrierDriverTBL!$K:$K,MATCH(Table1[[#This Row],[DriverID]],CarrierDriverTBL!$A:$A,0))</f>
        <v>510-773-9450</v>
      </c>
      <c r="AW513" s="554" t="str">
        <f>INDEX(CarrierDriverTBL!$M:$M,MATCH(Table1[[#This Row],[DriverID]],CarrierDriverTBL!$A:$A,0))</f>
        <v>3124 Cynthia CT</v>
      </c>
      <c r="AX513" s="554" t="str">
        <f>INDEX(CarrierDriverTBL!$N:$N,MATCH(Table1[[#This Row],[DriverID]],CarrierDriverTBL!$A:$A,0))</f>
        <v>Tracy</v>
      </c>
      <c r="AY513" s="554" t="str">
        <f>INDEX(CarrierDriverTBL!$O:$O,MATCH(Table1[[#This Row],[DriverID]],CarrierDriverTBL!$A:$A,0))</f>
        <v>CA</v>
      </c>
      <c r="AZ513" s="554">
        <f>INDEX(CarrierDriverTBL!$P:$P,MATCH(Table1[[#This Row],[DriverID]],CarrierDriverTBL!$A:$A,0))</f>
        <v>95377</v>
      </c>
      <c r="BA513" s="554" t="str">
        <f>INDEX(CarrierDriverTBL!$Q:$Q,MATCH(Table1[[#This Row],[DriverID]],CarrierDriverTBL!$A:$A,0))</f>
        <v>US</v>
      </c>
      <c r="BB513" s="554" t="str">
        <f>INDEX(CarrierDriverTBL!$R:$R,MATCH(Table1[[#This Row],[DriverID]],CarrierDriverTBL!$A:$A,0))</f>
        <v>ubgollc@gmail.com</v>
      </c>
      <c r="BC513" s="556">
        <f>INDEX(CarrierDriverTBL!$AB:$AB,MATCH(Table1[[#This Row],[DriverID]],CarrierDriverTBL!$A:$A,0))</f>
        <v>42167</v>
      </c>
      <c r="BD513" s="555" t="str">
        <f ca="1">INDEX(CarrierDriverTBL!$AD:$AD,MATCH(LoadMaster!$AN:$AN,CarrierDriverTBL!$A:$A,0))</f>
        <v>MISSING</v>
      </c>
      <c r="BE513" s="555">
        <f>INDEX(CarrierDriverTBL!$AE:$AE,MATCH(Table1[DriverID],CarrierDriverTBL!$A:$A,0))</f>
        <v>913971</v>
      </c>
      <c r="BF513" s="554">
        <f>INDEX(CarrierDriverTBL!$AF:$AF,MATCH(Table1[DriverID],CarrierDriverTBL!$A:$A,0))</f>
        <v>2627544</v>
      </c>
      <c r="BG513" s="236">
        <f>INDEX(CarrierDriverTBL!$AG:$AG,MATCH(Table1[DriverID],CarrierDriverTBL!$A:$A,0))</f>
        <v>466133</v>
      </c>
      <c r="BH513" s="554" t="str">
        <f>INDEX(CarrierDriverTBL!$AH:$AH,MATCH(Table1[DriverID],CarrierDriverTBL!$A:$A,0))</f>
        <v>GM Lawrence Ins</v>
      </c>
      <c r="BI513" s="554" t="str">
        <f>INDEX(CarrierDriverTBL!$AI:$AI,MATCH(Table1[DriverID],CarrierDriverTBL!$A:$A,0))</f>
        <v>DSK2842P160210</v>
      </c>
      <c r="BJ513" s="556">
        <f>INDEX(CarrierDriverTBL!$AJ:$AJ,MATCH(Table1[[#This Row],[DriverID]],CarrierDriverTBL!$A:$A,0))</f>
        <v>42778</v>
      </c>
      <c r="BK513" s="554">
        <f t="shared" si="195"/>
        <v>230</v>
      </c>
      <c r="BL513" s="558">
        <v>555</v>
      </c>
      <c r="BM513" s="554">
        <v>146.5</v>
      </c>
      <c r="BN513" s="558">
        <f t="shared" si="348"/>
        <v>3.78839590443686</v>
      </c>
      <c r="BO513" s="241">
        <f>0.93*555</f>
        <v>516.15</v>
      </c>
      <c r="BP513" s="558">
        <f t="shared" si="349"/>
        <v>3.5232081911262796</v>
      </c>
      <c r="BQ513" s="558">
        <v>2.75</v>
      </c>
      <c r="BR513" s="559">
        <f t="shared" si="350"/>
        <v>0.14166666666666669</v>
      </c>
      <c r="BS513" s="558">
        <f t="shared" si="351"/>
        <v>3.381541524459613</v>
      </c>
      <c r="BT513" s="558">
        <f t="shared" si="352"/>
        <v>20.75416666666667</v>
      </c>
      <c r="BU513" s="236" t="str">
        <f t="shared" si="198"/>
        <v>Ch Robinson</v>
      </c>
      <c r="BV513" s="554"/>
      <c r="BW513" s="236" t="str">
        <f>Table1[[#This Row],[BrokerAddress]]</f>
        <v>P.O. Box 3474</v>
      </c>
      <c r="BX513" s="236" t="str">
        <f t="shared" si="199"/>
        <v>Chicago</v>
      </c>
      <c r="BY513" s="269" t="str">
        <f t="shared" si="200"/>
        <v>Il</v>
      </c>
      <c r="BZ513" s="236">
        <f t="shared" si="201"/>
        <v>60654</v>
      </c>
      <c r="CA513" s="236" t="str">
        <f t="shared" si="202"/>
        <v>US</v>
      </c>
      <c r="CB513" s="15" t="s">
        <v>131</v>
      </c>
      <c r="CC513" s="561"/>
      <c r="CD513" s="15" t="s">
        <v>132</v>
      </c>
      <c r="CE513" s="64">
        <v>0</v>
      </c>
      <c r="CF513" s="4">
        <v>0</v>
      </c>
      <c r="CG513" s="132">
        <f t="shared" ref="CG513" si="377">CE513*CF513</f>
        <v>0</v>
      </c>
      <c r="CH513" s="4" t="s">
        <v>132</v>
      </c>
      <c r="CI513" s="5">
        <v>0</v>
      </c>
      <c r="CJ513" s="4">
        <v>0</v>
      </c>
      <c r="CK513" s="132">
        <f t="shared" ref="CK513" si="378">CI513*CJ513</f>
        <v>0</v>
      </c>
      <c r="CL513" s="4" t="s">
        <v>132</v>
      </c>
      <c r="CM513" s="5">
        <v>0</v>
      </c>
      <c r="CN513" s="4">
        <v>0</v>
      </c>
      <c r="CO513" s="132">
        <f t="shared" ref="CO513" si="379">CM513*CN513</f>
        <v>0</v>
      </c>
      <c r="CP513" s="4" t="s">
        <v>132</v>
      </c>
      <c r="CQ513" s="5">
        <v>0</v>
      </c>
      <c r="CR513" s="4">
        <v>0</v>
      </c>
      <c r="CS513" s="412">
        <f t="shared" si="356"/>
        <v>0</v>
      </c>
      <c r="CT513" s="412">
        <f t="shared" si="357"/>
        <v>0</v>
      </c>
      <c r="CU513" s="238">
        <f t="shared" si="358"/>
        <v>555</v>
      </c>
      <c r="CV513" s="239">
        <f t="shared" si="359"/>
        <v>0</v>
      </c>
      <c r="CW513" s="240">
        <f t="shared" si="360"/>
        <v>516.15</v>
      </c>
      <c r="CX513" s="79">
        <f>IF(ISBLANK(E513),"AddQuickPay",IF(E513=2,CU513*0.98,IF(E513=2.4,CU513*0.976,IF(E513=3,CU513*0.97,IF(E513=5,CU513*0.95,IF(E513=1.5,CU513*0.985,IF(E513=2.5,CU513*0.975,IF(E513=1.3,CU513*0.987,IF(E513=1,CU513*0.99,IF(E513=4,CU513*0.96,CU513*1))))))))))-Table1[[#This Row],[ComCheck+QuickPayFee]]</f>
        <v>543.9</v>
      </c>
      <c r="CY513" s="237">
        <f t="shared" si="361"/>
        <v>38.850000000000023</v>
      </c>
      <c r="CZ513" s="237">
        <f t="shared" si="210"/>
        <v>11.1</v>
      </c>
      <c r="DA513" s="263">
        <f>Table1[[#This Row],[OriginalDispatch]]-Table1[[#This Row],[QuickPayCharge]]</f>
        <v>27.750000000000021</v>
      </c>
      <c r="DB513" s="5">
        <v>0</v>
      </c>
      <c r="DC513" s="237" t="s">
        <v>133</v>
      </c>
      <c r="DD513" s="549">
        <f t="shared" si="211"/>
        <v>42552</v>
      </c>
      <c r="DE513" s="554">
        <f>MONTH(Table1[[#This Row],[Weekending]])</f>
        <v>7</v>
      </c>
      <c r="DF513" s="554">
        <f>YEAR(Table1[[#This Row],[Weekending]])</f>
        <v>2016</v>
      </c>
      <c r="DG513" s="235"/>
    </row>
    <row r="514" spans="1:111">
      <c r="A514" s="131" t="str">
        <f t="shared" ref="A514:A534" si="380">RIGHT(C514,2)&amp;RIGHT(L514,2)&amp;RIGHT(AD514,2)&amp;RIGHT(AQ514,2)</f>
        <v>59594119</v>
      </c>
      <c r="B514" s="20">
        <v>42551</v>
      </c>
      <c r="C514" s="4">
        <v>600763159</v>
      </c>
      <c r="D514" s="232" t="s">
        <v>3284</v>
      </c>
      <c r="E514" s="4">
        <v>0</v>
      </c>
      <c r="F514" s="162" t="str">
        <f>INDEX(BrokerTBL!$B:$B,MATCH(D514,BrokerTBL!$A:$A,0))</f>
        <v>5700 BROADMOOR SUITE 600</v>
      </c>
      <c r="G514" s="4" t="str">
        <f>INDEX(BrokerTBL!$C:$C,MATCH(D514,BrokerTBL!$A:$A,0))</f>
        <v>MISSION</v>
      </c>
      <c r="H514" s="4" t="str">
        <f>INDEX(BrokerTBL!$D:$D,MATCH(D514,BrokerTBL!$A:$A,0))</f>
        <v>KS</v>
      </c>
      <c r="I514" s="4" t="str">
        <f>INDEX(BrokerTBL!$E:$E,MATCH(D514,BrokerTBL!$A:$A,0))</f>
        <v>US</v>
      </c>
      <c r="J514" s="4" t="str">
        <f>INDEX(BrokerTBL!$F:$F,MATCH(D514,BrokerTBL!$A:$A,0))</f>
        <v>66202-3340</v>
      </c>
      <c r="K514" s="131" t="s">
        <v>3285</v>
      </c>
      <c r="L514" s="141">
        <v>486007059</v>
      </c>
      <c r="M514" s="20">
        <v>42548</v>
      </c>
      <c r="N514" s="436">
        <v>0.50069444444444444</v>
      </c>
      <c r="O514" s="4" t="s">
        <v>3286</v>
      </c>
      <c r="P514" s="131" t="s">
        <v>3287</v>
      </c>
      <c r="Q514" s="131" t="s">
        <v>2206</v>
      </c>
      <c r="R514" s="131">
        <v>95974</v>
      </c>
      <c r="S514" s="131" t="s">
        <v>2207</v>
      </c>
      <c r="T514" s="131" t="s">
        <v>123</v>
      </c>
      <c r="U514" s="131" t="s">
        <v>120</v>
      </c>
      <c r="V514" s="131">
        <v>53</v>
      </c>
      <c r="W514" s="131" t="s">
        <v>1205</v>
      </c>
      <c r="X514" s="437" t="s">
        <v>123</v>
      </c>
      <c r="Y514" s="4" t="s">
        <v>123</v>
      </c>
      <c r="Z514" s="131" t="s">
        <v>123</v>
      </c>
      <c r="AA514" s="131" t="s">
        <v>123</v>
      </c>
      <c r="AB514" s="131" t="s">
        <v>123</v>
      </c>
      <c r="AC514" s="131" t="s">
        <v>3288</v>
      </c>
      <c r="AD514" s="141">
        <v>2450641</v>
      </c>
      <c r="AE514" s="20">
        <v>42551</v>
      </c>
      <c r="AF514" s="436">
        <v>6.25E-2</v>
      </c>
      <c r="AG514" s="131" t="s">
        <v>3289</v>
      </c>
      <c r="AH514" s="131" t="s">
        <v>3290</v>
      </c>
      <c r="AI514" s="131" t="s">
        <v>2206</v>
      </c>
      <c r="AJ514" s="131">
        <v>95020</v>
      </c>
      <c r="AK514" s="131" t="s">
        <v>2207</v>
      </c>
      <c r="AL514" s="131" t="s">
        <v>123</v>
      </c>
      <c r="AM514" s="10" t="str">
        <f>INDEX(CarrierDriverTBL!$B:$B,MATCH(Table1[[#This Row],[DriverID]],CarrierDriverTBL!$A:$A,0))</f>
        <v>UBTrucking</v>
      </c>
      <c r="AN514" s="10" t="s">
        <v>1409</v>
      </c>
      <c r="AO514" s="9" t="str">
        <f>INDEX(CarrierDriverTBL!$C:$C,MATCH(Table1[[#This Row],[DriverID]],CarrierDriverTBL!$A:$A,0))</f>
        <v>Miguel Jaime</v>
      </c>
      <c r="AP514" s="9" t="str">
        <f>INDEX(CarrierDriverTBL!$D:$D,MATCH(Table1[[#This Row],[DriverID]],CarrierDriverTBL!$A:$A,0))</f>
        <v>Martin Del Campo Velarca</v>
      </c>
      <c r="AQ514" s="9" t="str">
        <f>INDEX(CarrierDriverTBL!$X:$X,MATCH(Table1[[#This Row],[DriverID]],CarrierDriverTBL!$A:$A,0))</f>
        <v>D5179619</v>
      </c>
      <c r="AR514" s="11">
        <f>INDEX(CarrierDriverTBL!$Y:$Y,MATCH(Table1[[#This Row],[DriverID]],CarrierDriverTBL!$A:$A,0))</f>
        <v>43843</v>
      </c>
      <c r="AS514" s="10" t="str">
        <f t="shared" ref="AS514:AS534" si="381">IF(AR514&gt;M514,"GOOD","EXPIRED")</f>
        <v>GOOD</v>
      </c>
      <c r="AT514" s="11">
        <f>INDEX(CarrierDriverTBL!$E:$E,MATCH(Table1[[#This Row],[DriverID]],CarrierDriverTBL!$A:$A,0))</f>
        <v>21198</v>
      </c>
      <c r="AU514" s="438">
        <f ca="1">INDEX(CarrierDriverTBL!$F:$F,MATCH(Table1[[#This Row],[DriverID]],CarrierDriverTBL!$A:$A,0))</f>
        <v>58.56986301369863</v>
      </c>
      <c r="AV514" s="10" t="str">
        <f>INDEX(CarrierDriverTBL!$K:$K,MATCH(Table1[[#This Row],[DriverID]],CarrierDriverTBL!$A:$A,0))</f>
        <v>209-322-5231</v>
      </c>
      <c r="AW514" s="10" t="str">
        <f>INDEX(CarrierDriverTBL!$M:$M,MATCH(Table1[[#This Row],[DriverID]],CarrierDriverTBL!$A:$A,0))</f>
        <v>572 Predersen RD</v>
      </c>
      <c r="AX514" s="10" t="str">
        <f>INDEX(CarrierDriverTBL!$N:$N,MATCH(Table1[[#This Row],[DriverID]],CarrierDriverTBL!$A:$A,0))</f>
        <v>Oakdale</v>
      </c>
      <c r="AY514" s="10" t="str">
        <f>INDEX(CarrierDriverTBL!$O:$O,MATCH(Table1[[#This Row],[DriverID]],CarrierDriverTBL!$A:$A,0))</f>
        <v>CA</v>
      </c>
      <c r="AZ514" s="10">
        <f>INDEX(CarrierDriverTBL!$P:$P,MATCH(Table1[[#This Row],[DriverID]],CarrierDriverTBL!$A:$A,0))</f>
        <v>95361</v>
      </c>
      <c r="BA514" s="10" t="str">
        <f>INDEX(CarrierDriverTBL!$Q:$Q,MATCH(Table1[[#This Row],[DriverID]],CarrierDriverTBL!$A:$A,0))</f>
        <v>US</v>
      </c>
      <c r="BB514" s="10" t="str">
        <f>INDEX(CarrierDriverTBL!$R:$R,MATCH(Table1[[#This Row],[DriverID]],CarrierDriverTBL!$A:$A,0))</f>
        <v>Miguelmartin52@yahoo.com</v>
      </c>
      <c r="BC514" s="11">
        <f>INDEX(CarrierDriverTBL!$AB:$AB,MATCH(Table1[[#This Row],[DriverID]],CarrierDriverTBL!$A:$A,0))</f>
        <v>42334</v>
      </c>
      <c r="BD514" s="9" t="str">
        <f ca="1">INDEX(CarrierDriverTBL!$AD:$AD,MATCH(LoadMaster!$AN:$AN,CarrierDriverTBL!$A:$A,0))</f>
        <v>MISSING</v>
      </c>
      <c r="BE514" s="9">
        <f>INDEX(CarrierDriverTBL!$AE:$AE,MATCH(Table1[DriverID],CarrierDriverTBL!$A:$A,0))</f>
        <v>913971</v>
      </c>
      <c r="BF514" s="10">
        <f>INDEX(CarrierDriverTBL!$AF:$AF,MATCH(Table1[DriverID],CarrierDriverTBL!$A:$A,0))</f>
        <v>2627544</v>
      </c>
      <c r="BG514" s="10">
        <f>INDEX(CarrierDriverTBL!$AG:$AG,MATCH(Table1[DriverID],CarrierDriverTBL!$A:$A,0))</f>
        <v>466133</v>
      </c>
      <c r="BH514" s="10" t="str">
        <f>INDEX(CarrierDriverTBL!$AH:$AH,MATCH(Table1[DriverID],CarrierDriverTBL!$A:$A,0))</f>
        <v>GM Lawrence Ins</v>
      </c>
      <c r="BI514" s="10" t="str">
        <f>INDEX(CarrierDriverTBL!$AI:$AI,MATCH(Table1[DriverID],CarrierDriverTBL!$A:$A,0))</f>
        <v>DSK2842P160210</v>
      </c>
      <c r="BJ514" s="11">
        <f>INDEX(CarrierDriverTBL!$AJ:$AJ,MATCH(Table1[[#This Row],[DriverID]],CarrierDriverTBL!$A:$A,0))</f>
        <v>42778</v>
      </c>
      <c r="BK514" s="10">
        <f t="shared" ref="BK514:BK534" si="382">IFERROR(BJ514-M514,"MISSING")</f>
        <v>230</v>
      </c>
      <c r="BL514" s="134">
        <v>1150</v>
      </c>
      <c r="BM514" s="10">
        <v>213.6</v>
      </c>
      <c r="BN514" s="134">
        <f t="shared" si="348"/>
        <v>5.3838951310861427</v>
      </c>
      <c r="BO514" s="134">
        <f>0.93*1150</f>
        <v>1069.5</v>
      </c>
      <c r="BP514" s="134">
        <f t="shared" si="349"/>
        <v>5.0070224719101128</v>
      </c>
      <c r="BQ514" s="134">
        <v>2.75</v>
      </c>
      <c r="BR514" s="278">
        <f t="shared" si="350"/>
        <v>0.14166666666666669</v>
      </c>
      <c r="BS514" s="134">
        <f t="shared" si="351"/>
        <v>4.8653558052434462</v>
      </c>
      <c r="BT514" s="134">
        <f t="shared" si="352"/>
        <v>30.260000000000005</v>
      </c>
      <c r="BU514" s="10" t="str">
        <f t="shared" ref="BU514:BU523" si="383">D514</f>
        <v xml:space="preserve">Alliance Shippers Inc. </v>
      </c>
      <c r="BV514" s="10"/>
      <c r="BW514" s="10" t="str">
        <f>Table1[[#This Row],[BrokerAddress]]</f>
        <v>5700 BROADMOOR SUITE 600</v>
      </c>
      <c r="BX514" s="10" t="str">
        <f t="shared" ref="BX514:BX523" si="384">G514</f>
        <v>MISSION</v>
      </c>
      <c r="BY514" s="278" t="str">
        <f t="shared" ref="BY514:BY523" si="385">H514</f>
        <v>KS</v>
      </c>
      <c r="BZ514" s="10" t="str">
        <f t="shared" ref="BZ514:BZ523" si="386">J514</f>
        <v>66202-3340</v>
      </c>
      <c r="CA514" s="10" t="str">
        <f t="shared" ref="CA514:CA523" si="387">I514</f>
        <v>US</v>
      </c>
      <c r="CB514" s="4" t="s">
        <v>131</v>
      </c>
      <c r="CC514" s="61"/>
      <c r="CD514" s="4" t="s">
        <v>132</v>
      </c>
      <c r="CE514" s="5">
        <v>0</v>
      </c>
      <c r="CF514" s="4">
        <v>0</v>
      </c>
      <c r="CG514" s="132">
        <f t="shared" ref="CG514" si="388">CE514*CF514</f>
        <v>0</v>
      </c>
      <c r="CH514" s="4" t="s">
        <v>132</v>
      </c>
      <c r="CI514" s="5">
        <v>0</v>
      </c>
      <c r="CJ514" s="4">
        <v>0</v>
      </c>
      <c r="CK514" s="132">
        <f t="shared" ref="CK514" si="389">CI514*CJ514</f>
        <v>0</v>
      </c>
      <c r="CL514" s="4" t="s">
        <v>132</v>
      </c>
      <c r="CM514" s="5">
        <v>0</v>
      </c>
      <c r="CN514" s="4">
        <v>0</v>
      </c>
      <c r="CO514" s="132">
        <f t="shared" ref="CO514" si="390">CM514*CN514</f>
        <v>0</v>
      </c>
      <c r="CP514" s="4" t="s">
        <v>132</v>
      </c>
      <c r="CQ514" s="5">
        <v>0</v>
      </c>
      <c r="CR514" s="4">
        <v>0</v>
      </c>
      <c r="CS514" s="132">
        <f t="shared" si="356"/>
        <v>0</v>
      </c>
      <c r="CT514" s="132">
        <f t="shared" si="357"/>
        <v>0</v>
      </c>
      <c r="CU514" s="168">
        <f t="shared" si="358"/>
        <v>1150</v>
      </c>
      <c r="CV514" s="5">
        <f t="shared" si="359"/>
        <v>0</v>
      </c>
      <c r="CW514" s="82">
        <f t="shared" si="360"/>
        <v>1069.5</v>
      </c>
      <c r="CX514" s="79">
        <f>IF(ISBLANK(E514),"AddQuickPay",IF(E514=2,CU514*0.98,IF(E514=2.4,CU514*0.976,IF(E514=3,CU514*0.97,IF(E514=5,CU514*0.95,IF(E514=1.5,CU514*0.985,IF(E514=2.5,CU514*0.975,IF(E514=1.3,CU514*0.987,IF(E514=1,CU514*0.99,IF(E514=4,CU514*0.96,CU514*1))))))))))-Table1[[#This Row],[ComCheck+QuickPayFee]]</f>
        <v>1150</v>
      </c>
      <c r="CY514" s="5">
        <f t="shared" si="361"/>
        <v>80.5</v>
      </c>
      <c r="CZ514" s="5">
        <f t="shared" ref="CZ514:CZ534" si="391">IF(ISBLANK(E514),"AddQuickPay",IF(E514=2,CU514*0.02,IF(E514=2.4,CU514*0.024,IF(E514=3,CU514*0.03,IF(E514=5,CU514*0.05,IF(E514=1.5,CU514*0.015,IF(E514=2.5,CU514*0.025,IF(E514=4,CU514*0.04,IF(E514=1.3,CU514*0.013,IF(E514=1,CU514*0.01,CU514*0))))))))))</f>
        <v>0</v>
      </c>
      <c r="DA514" s="258">
        <f>Table1[[#This Row],[OriginalDispatch]]-Table1[[#This Row],[QuickPayCharge]]</f>
        <v>80.5</v>
      </c>
      <c r="DB514" s="5">
        <v>0</v>
      </c>
      <c r="DC514" s="5" t="s">
        <v>133</v>
      </c>
      <c r="DD514" s="20">
        <f t="shared" ref="DD514:DD534" si="392">(5-WEEKDAY(M514,2))+M514</f>
        <v>42552</v>
      </c>
      <c r="DE514" s="10">
        <f>MONTH(Table1[[#This Row],[Weekending]])</f>
        <v>7</v>
      </c>
      <c r="DF514" s="10">
        <f>YEAR(Table1[[#This Row],[Weekending]])</f>
        <v>2016</v>
      </c>
      <c r="DG514" s="4"/>
    </row>
    <row r="515" spans="1:111">
      <c r="A515" s="548" t="str">
        <f t="shared" si="380"/>
        <v>68010119</v>
      </c>
      <c r="B515" s="549">
        <v>42551</v>
      </c>
      <c r="C515" s="550">
        <v>7157168</v>
      </c>
      <c r="D515" s="416" t="s">
        <v>2248</v>
      </c>
      <c r="E515" s="550">
        <v>3</v>
      </c>
      <c r="F515" s="551" t="str">
        <f>INDEX(BrokerTBL!$B:$B,MATCH(D515,BrokerTBL!$A:$A,0))</f>
        <v>P.O. Box 799</v>
      </c>
      <c r="G515" s="550" t="str">
        <f>INDEX(BrokerTBL!$C:$C,MATCH(D515,BrokerTBL!$A:$A,0))</f>
        <v>Milford</v>
      </c>
      <c r="H515" s="235" t="str">
        <f>INDEX(BrokerTBL!$D:$D,MATCH(D515,BrokerTBL!$A:$A,0))</f>
        <v>Ohio</v>
      </c>
      <c r="I515" s="235" t="str">
        <f>INDEX(BrokerTBL!$E:$E,MATCH(D515,BrokerTBL!$A:$A,0))</f>
        <v>US</v>
      </c>
      <c r="J515" s="235">
        <f>INDEX(BrokerTBL!$F:$F,MATCH(D515,BrokerTBL!$A:$A,0))</f>
        <v>45150</v>
      </c>
      <c r="K515" s="416" t="s">
        <v>3291</v>
      </c>
      <c r="L515" s="552" t="s">
        <v>3292</v>
      </c>
      <c r="M515" s="549">
        <v>42551</v>
      </c>
      <c r="N515" s="15" t="s">
        <v>3293</v>
      </c>
      <c r="O515" s="550" t="s">
        <v>3294</v>
      </c>
      <c r="P515" s="416" t="s">
        <v>3295</v>
      </c>
      <c r="Q515" s="416" t="s">
        <v>2206</v>
      </c>
      <c r="R515" s="548">
        <v>95112</v>
      </c>
      <c r="S515" s="416" t="s">
        <v>2207</v>
      </c>
      <c r="T515" s="416" t="s">
        <v>123</v>
      </c>
      <c r="U515" s="416" t="s">
        <v>120</v>
      </c>
      <c r="V515" s="548">
        <v>53</v>
      </c>
      <c r="W515" s="548" t="s">
        <v>3296</v>
      </c>
      <c r="X515" s="553">
        <v>45000</v>
      </c>
      <c r="Y515" s="550" t="s">
        <v>123</v>
      </c>
      <c r="Z515" s="548" t="s">
        <v>123</v>
      </c>
      <c r="AA515" s="548" t="s">
        <v>123</v>
      </c>
      <c r="AB515" s="548" t="s">
        <v>123</v>
      </c>
      <c r="AC515" s="548" t="s">
        <v>3297</v>
      </c>
      <c r="AD515" s="552" t="s">
        <v>3292</v>
      </c>
      <c r="AE515" s="549">
        <v>42552</v>
      </c>
      <c r="AF515" s="104" t="s">
        <v>1723</v>
      </c>
      <c r="AG515" s="548" t="s">
        <v>3298</v>
      </c>
      <c r="AH515" s="416" t="s">
        <v>738</v>
      </c>
      <c r="AI515" s="416" t="s">
        <v>2233</v>
      </c>
      <c r="AJ515" s="416" t="s">
        <v>123</v>
      </c>
      <c r="AK515" s="416" t="s">
        <v>2207</v>
      </c>
      <c r="AL515" s="548" t="s">
        <v>123</v>
      </c>
      <c r="AM515" s="554" t="str">
        <f>INDEX(CarrierDriverTBL!$B:$B,MATCH(Table1[[#This Row],[DriverID]],CarrierDriverTBL!$A:$A,0))</f>
        <v>UBTrucking</v>
      </c>
      <c r="AN515" s="10" t="s">
        <v>1409</v>
      </c>
      <c r="AO515" s="555" t="str">
        <f>INDEX(CarrierDriverTBL!$C:$C,MATCH(Table1[[#This Row],[DriverID]],CarrierDriverTBL!$A:$A,0))</f>
        <v>Miguel Jaime</v>
      </c>
      <c r="AP515" s="555" t="str">
        <f>INDEX(CarrierDriverTBL!$D:$D,MATCH(Table1[[#This Row],[DriverID]],CarrierDriverTBL!$A:$A,0))</f>
        <v>Martin Del Campo Velarca</v>
      </c>
      <c r="AQ515" s="555" t="str">
        <f>INDEX(CarrierDriverTBL!$X:$X,MATCH(Table1[[#This Row],[DriverID]],CarrierDriverTBL!$A:$A,0))</f>
        <v>D5179619</v>
      </c>
      <c r="AR515" s="556">
        <f>INDEX(CarrierDriverTBL!$Y:$Y,MATCH(Table1[[#This Row],[DriverID]],CarrierDriverTBL!$A:$A,0))</f>
        <v>43843</v>
      </c>
      <c r="AS515" s="554" t="str">
        <f t="shared" si="381"/>
        <v>GOOD</v>
      </c>
      <c r="AT515" s="556">
        <f>INDEX(CarrierDriverTBL!$E:$E,MATCH(Table1[[#This Row],[DriverID]],CarrierDriverTBL!$A:$A,0))</f>
        <v>21198</v>
      </c>
      <c r="AU515" s="557">
        <f ca="1">INDEX(CarrierDriverTBL!$F:$F,MATCH(Table1[[#This Row],[DriverID]],CarrierDriverTBL!$A:$A,0))</f>
        <v>58.56986301369863</v>
      </c>
      <c r="AV515" s="554" t="str">
        <f>INDEX(CarrierDriverTBL!$K:$K,MATCH(Table1[[#This Row],[DriverID]],CarrierDriverTBL!$A:$A,0))</f>
        <v>209-322-5231</v>
      </c>
      <c r="AW515" s="554" t="str">
        <f>INDEX(CarrierDriverTBL!$M:$M,MATCH(Table1[[#This Row],[DriverID]],CarrierDriverTBL!$A:$A,0))</f>
        <v>572 Predersen RD</v>
      </c>
      <c r="AX515" s="554" t="str">
        <f>INDEX(CarrierDriverTBL!$N:$N,MATCH(Table1[[#This Row],[DriverID]],CarrierDriverTBL!$A:$A,0))</f>
        <v>Oakdale</v>
      </c>
      <c r="AY515" s="554" t="str">
        <f>INDEX(CarrierDriverTBL!$O:$O,MATCH(Table1[[#This Row],[DriverID]],CarrierDriverTBL!$A:$A,0))</f>
        <v>CA</v>
      </c>
      <c r="AZ515" s="554">
        <f>INDEX(CarrierDriverTBL!$P:$P,MATCH(Table1[[#This Row],[DriverID]],CarrierDriverTBL!$A:$A,0))</f>
        <v>95361</v>
      </c>
      <c r="BA515" s="554" t="str">
        <f>INDEX(CarrierDriverTBL!$Q:$Q,MATCH(Table1[[#This Row],[DriverID]],CarrierDriverTBL!$A:$A,0))</f>
        <v>US</v>
      </c>
      <c r="BB515" s="554" t="str">
        <f>INDEX(CarrierDriverTBL!$R:$R,MATCH(Table1[[#This Row],[DriverID]],CarrierDriverTBL!$A:$A,0))</f>
        <v>Miguelmartin52@yahoo.com</v>
      </c>
      <c r="BC515" s="556">
        <f>INDEX(CarrierDriverTBL!$AB:$AB,MATCH(Table1[[#This Row],[DriverID]],CarrierDriverTBL!$A:$A,0))</f>
        <v>42334</v>
      </c>
      <c r="BD515" s="555" t="str">
        <f ca="1">INDEX(CarrierDriverTBL!$AD:$AD,MATCH(LoadMaster!$AN:$AN,CarrierDriverTBL!$A:$A,0))</f>
        <v>MISSING</v>
      </c>
      <c r="BE515" s="555">
        <f>INDEX(CarrierDriverTBL!$AE:$AE,MATCH(Table1[DriverID],CarrierDriverTBL!$A:$A,0))</f>
        <v>913971</v>
      </c>
      <c r="BF515" s="554">
        <f>INDEX(CarrierDriverTBL!$AF:$AF,MATCH(Table1[DriverID],CarrierDriverTBL!$A:$A,0))</f>
        <v>2627544</v>
      </c>
      <c r="BG515" s="236">
        <f>INDEX(CarrierDriverTBL!$AG:$AG,MATCH(Table1[DriverID],CarrierDriverTBL!$A:$A,0))</f>
        <v>466133</v>
      </c>
      <c r="BH515" s="554" t="str">
        <f>INDEX(CarrierDriverTBL!$AH:$AH,MATCH(Table1[DriverID],CarrierDriverTBL!$A:$A,0))</f>
        <v>GM Lawrence Ins</v>
      </c>
      <c r="BI515" s="554" t="str">
        <f>INDEX(CarrierDriverTBL!$AI:$AI,MATCH(Table1[DriverID],CarrierDriverTBL!$A:$A,0))</f>
        <v>DSK2842P160210</v>
      </c>
      <c r="BJ515" s="556">
        <f>INDEX(CarrierDriverTBL!$AJ:$AJ,MATCH(Table1[[#This Row],[DriverID]],CarrierDriverTBL!$A:$A,0))</f>
        <v>42778</v>
      </c>
      <c r="BK515" s="554">
        <f t="shared" si="382"/>
        <v>227</v>
      </c>
      <c r="BL515" s="558">
        <v>900</v>
      </c>
      <c r="BM515" s="554">
        <v>250.5</v>
      </c>
      <c r="BN515" s="558">
        <f t="shared" si="348"/>
        <v>3.5928143712574849</v>
      </c>
      <c r="BO515" s="241">
        <f>0.93*900</f>
        <v>837</v>
      </c>
      <c r="BP515" s="558">
        <f t="shared" si="349"/>
        <v>3.341317365269461</v>
      </c>
      <c r="BQ515" s="558">
        <v>2.75</v>
      </c>
      <c r="BR515" s="559">
        <f t="shared" si="350"/>
        <v>0.14166666666666669</v>
      </c>
      <c r="BS515" s="558">
        <f t="shared" si="351"/>
        <v>3.1996506986027944</v>
      </c>
      <c r="BT515" s="558">
        <f t="shared" si="352"/>
        <v>35.487500000000004</v>
      </c>
      <c r="BU515" s="236" t="str">
        <f t="shared" si="383"/>
        <v>TQL</v>
      </c>
      <c r="BV515" s="554"/>
      <c r="BW515" s="236" t="str">
        <f>Table1[[#This Row],[BrokerAddress]]</f>
        <v>P.O. Box 799</v>
      </c>
      <c r="BX515" s="236" t="str">
        <f t="shared" si="384"/>
        <v>Milford</v>
      </c>
      <c r="BY515" s="269" t="str">
        <f t="shared" si="385"/>
        <v>Ohio</v>
      </c>
      <c r="BZ515" s="236">
        <f t="shared" si="386"/>
        <v>45150</v>
      </c>
      <c r="CA515" s="236" t="str">
        <f t="shared" si="387"/>
        <v>US</v>
      </c>
      <c r="CB515" s="15" t="s">
        <v>131</v>
      </c>
      <c r="CC515" s="561"/>
      <c r="CD515" s="15" t="s">
        <v>132</v>
      </c>
      <c r="CE515" s="64">
        <v>0</v>
      </c>
      <c r="CF515" s="4">
        <v>0</v>
      </c>
      <c r="CG515" s="132">
        <f t="shared" ref="CG515" si="393">CE515*CF515</f>
        <v>0</v>
      </c>
      <c r="CH515" s="4" t="s">
        <v>132</v>
      </c>
      <c r="CI515" s="5">
        <v>0</v>
      </c>
      <c r="CJ515" s="4">
        <v>0</v>
      </c>
      <c r="CK515" s="132">
        <f t="shared" ref="CK515" si="394">CI515*CJ515</f>
        <v>0</v>
      </c>
      <c r="CL515" s="4" t="s">
        <v>132</v>
      </c>
      <c r="CM515" s="5">
        <v>0</v>
      </c>
      <c r="CN515" s="4">
        <v>0</v>
      </c>
      <c r="CO515" s="132">
        <f t="shared" ref="CO515" si="395">CM515*CN515</f>
        <v>0</v>
      </c>
      <c r="CP515" s="4" t="s">
        <v>132</v>
      </c>
      <c r="CQ515" s="5">
        <v>0</v>
      </c>
      <c r="CR515" s="4">
        <v>0</v>
      </c>
      <c r="CS515" s="412">
        <f t="shared" si="356"/>
        <v>0</v>
      </c>
      <c r="CT515" s="412">
        <f t="shared" si="357"/>
        <v>0</v>
      </c>
      <c r="CU515" s="238">
        <f t="shared" si="358"/>
        <v>900</v>
      </c>
      <c r="CV515" s="239">
        <f t="shared" si="359"/>
        <v>0</v>
      </c>
      <c r="CW515" s="240">
        <f t="shared" si="360"/>
        <v>837</v>
      </c>
      <c r="CX515" s="79">
        <f>IF(ISBLANK(E515),"AddQuickPay",IF(E515=2,CU515*0.98,IF(E515=2.4,CU515*0.976,IF(E515=3,CU515*0.97,IF(E515=5,CU515*0.95,IF(E515=1.5,CU515*0.985,IF(E515=2.5,CU515*0.975,IF(E515=1.3,CU515*0.987,IF(E515=1,CU515*0.99,IF(E515=4,CU515*0.96,CU515*1))))))))))-Table1[[#This Row],[ComCheck+QuickPayFee]]</f>
        <v>873</v>
      </c>
      <c r="CY515" s="237">
        <f t="shared" si="361"/>
        <v>63</v>
      </c>
      <c r="CZ515" s="237">
        <f t="shared" si="391"/>
        <v>27</v>
      </c>
      <c r="DA515" s="263">
        <f>Table1[[#This Row],[OriginalDispatch]]-Table1[[#This Row],[QuickPayCharge]]</f>
        <v>36</v>
      </c>
      <c r="DB515" s="5">
        <v>0</v>
      </c>
      <c r="DC515" s="5" t="s">
        <v>133</v>
      </c>
      <c r="DD515" s="549">
        <f t="shared" si="392"/>
        <v>42552</v>
      </c>
      <c r="DE515" s="554">
        <f>MONTH(Table1[[#This Row],[Weekending]])</f>
        <v>7</v>
      </c>
      <c r="DF515" s="554">
        <f>YEAR(Table1[[#This Row],[Weekending]])</f>
        <v>2016</v>
      </c>
      <c r="DG515" s="235"/>
    </row>
    <row r="516" spans="1:111">
      <c r="A516" s="416" t="str">
        <f t="shared" si="380"/>
        <v>84222393</v>
      </c>
      <c r="B516" s="104">
        <v>42551</v>
      </c>
      <c r="C516" s="15">
        <v>204845784</v>
      </c>
      <c r="D516" s="416" t="s">
        <v>111</v>
      </c>
      <c r="E516" s="15">
        <v>2</v>
      </c>
      <c r="F516" s="144" t="str">
        <f>INDEX(BrokerTBL!$B:$B,MATCH(D516,BrokerTBL!$A:$A,0))</f>
        <v>P.O. Box 3474</v>
      </c>
      <c r="G516" s="15" t="str">
        <f>INDEX(BrokerTBL!$C:$C,MATCH(D516,BrokerTBL!$A:$A,0))</f>
        <v>Chicago</v>
      </c>
      <c r="H516" s="4" t="str">
        <f>INDEX(BrokerTBL!$D:$D,MATCH(D516,BrokerTBL!$A:$A,0))</f>
        <v>Il</v>
      </c>
      <c r="I516" s="4" t="str">
        <f>INDEX(BrokerTBL!$E:$E,MATCH(D516,BrokerTBL!$A:$A,0))</f>
        <v>US</v>
      </c>
      <c r="J516" s="4">
        <f>INDEX(BrokerTBL!$F:$F,MATCH(D516,BrokerTBL!$A:$A,0))</f>
        <v>60654</v>
      </c>
      <c r="K516" s="416" t="s">
        <v>3299</v>
      </c>
      <c r="L516" s="81">
        <v>435522</v>
      </c>
      <c r="M516" s="104">
        <v>42551</v>
      </c>
      <c r="N516" s="15" t="s">
        <v>123</v>
      </c>
      <c r="O516" s="15" t="s">
        <v>3300</v>
      </c>
      <c r="P516" s="416" t="s">
        <v>3301</v>
      </c>
      <c r="Q516" s="416" t="s">
        <v>2206</v>
      </c>
      <c r="R516" s="416" t="s">
        <v>3302</v>
      </c>
      <c r="S516" s="416" t="s">
        <v>2207</v>
      </c>
      <c r="T516" s="416" t="s">
        <v>123</v>
      </c>
      <c r="U516" s="416" t="s">
        <v>120</v>
      </c>
      <c r="V516" s="416">
        <v>53</v>
      </c>
      <c r="W516" s="416" t="s">
        <v>1847</v>
      </c>
      <c r="X516" s="225">
        <v>22500</v>
      </c>
      <c r="Y516" s="15" t="s">
        <v>3303</v>
      </c>
      <c r="Z516" s="416" t="s">
        <v>123</v>
      </c>
      <c r="AA516" s="416" t="s">
        <v>123</v>
      </c>
      <c r="AB516" s="416" t="s">
        <v>123</v>
      </c>
      <c r="AC516" s="416" t="s">
        <v>3304</v>
      </c>
      <c r="AD516" s="81">
        <v>435523</v>
      </c>
      <c r="AE516" s="104">
        <v>42551</v>
      </c>
      <c r="AF516" s="104" t="s">
        <v>123</v>
      </c>
      <c r="AG516" s="416" t="s">
        <v>1473</v>
      </c>
      <c r="AH516" s="416" t="s">
        <v>3097</v>
      </c>
      <c r="AI516" s="416" t="s">
        <v>2206</v>
      </c>
      <c r="AJ516" s="416">
        <v>94804</v>
      </c>
      <c r="AK516" s="416" t="s">
        <v>2207</v>
      </c>
      <c r="AL516" s="416" t="s">
        <v>123</v>
      </c>
      <c r="AM516" s="171" t="str">
        <f>INDEX(CarrierDriverTBL!$B:$B,MATCH(Table1[[#This Row],[DriverID]],CarrierDriverTBL!$A:$A,0))</f>
        <v>UBTrucking</v>
      </c>
      <c r="AN516" s="10" t="s">
        <v>2234</v>
      </c>
      <c r="AO516" s="2" t="str">
        <f>INDEX(CarrierDriverTBL!$C:$C,MATCH(Table1[[#This Row],[DriverID]],CarrierDriverTBL!$A:$A,0))</f>
        <v>Arturo</v>
      </c>
      <c r="AP516" s="2" t="str">
        <f>INDEX(CarrierDriverTBL!$D:$D,MATCH(Table1[[#This Row],[DriverID]],CarrierDriverTBL!$A:$A,0))</f>
        <v>Carrillo</v>
      </c>
      <c r="AQ516" s="2" t="str">
        <f>INDEX(CarrierDriverTBL!$X:$X,MATCH(Table1[[#This Row],[DriverID]],CarrierDriverTBL!$A:$A,0))</f>
        <v>C7056793</v>
      </c>
      <c r="AR516" s="172">
        <f>INDEX(CarrierDriverTBL!$Y:$Y,MATCH(Table1[[#This Row],[DriverID]],CarrierDriverTBL!$A:$A,0))</f>
        <v>43410</v>
      </c>
      <c r="AS516" s="171" t="str">
        <f t="shared" si="381"/>
        <v>GOOD</v>
      </c>
      <c r="AT516" s="172">
        <f>INDEX(CarrierDriverTBL!$E:$E,MATCH(Table1[[#This Row],[DriverID]],CarrierDriverTBL!$A:$A,0))</f>
        <v>24782</v>
      </c>
      <c r="AU516" s="277">
        <f ca="1">INDEX(CarrierDriverTBL!$F:$F,MATCH(Table1[[#This Row],[DriverID]],CarrierDriverTBL!$A:$A,0))</f>
        <v>48.750684931506846</v>
      </c>
      <c r="AV516" s="171" t="str">
        <f>INDEX(CarrierDriverTBL!$K:$K,MATCH(Table1[[#This Row],[DriverID]],CarrierDriverTBL!$A:$A,0))</f>
        <v>209-276-9785</v>
      </c>
      <c r="AW516" s="171" t="str">
        <f>INDEX(CarrierDriverTBL!$M:$M,MATCH(Table1[[#This Row],[DriverID]],CarrierDriverTBL!$A:$A,0))</f>
        <v>1685 Winthrop Ln</v>
      </c>
      <c r="AX516" s="171" t="str">
        <f>INDEX(CarrierDriverTBL!$N:$N,MATCH(Table1[[#This Row],[DriverID]],CarrierDriverTBL!$A:$A,0))</f>
        <v>Ceres</v>
      </c>
      <c r="AY516" s="171" t="str">
        <f>INDEX(CarrierDriverTBL!$O:$O,MATCH(Table1[[#This Row],[DriverID]],CarrierDriverTBL!$A:$A,0))</f>
        <v>CA</v>
      </c>
      <c r="AZ516" s="171">
        <f>INDEX(CarrierDriverTBL!$P:$P,MATCH(Table1[[#This Row],[DriverID]],CarrierDriverTBL!$A:$A,0))</f>
        <v>95307</v>
      </c>
      <c r="BA516" s="171" t="str">
        <f>INDEX(CarrierDriverTBL!$Q:$Q,MATCH(Table1[[#This Row],[DriverID]],CarrierDriverTBL!$A:$A,0))</f>
        <v>US</v>
      </c>
      <c r="BB516" s="171" t="str">
        <f>INDEX(CarrierDriverTBL!$R:$R,MATCH(Table1[[#This Row],[DriverID]],CarrierDriverTBL!$A:$A,0))</f>
        <v>arturocarr777@gmail.com</v>
      </c>
      <c r="BC516" s="172">
        <f>INDEX(CarrierDriverTBL!$AB:$AB,MATCH(Table1[[#This Row],[DriverID]],CarrierDriverTBL!$A:$A,0))</f>
        <v>42418</v>
      </c>
      <c r="BD516" s="2" t="str">
        <f ca="1">INDEX(CarrierDriverTBL!$AD:$AD,MATCH(LoadMaster!$AN:$AN,CarrierDriverTBL!$A:$A,0))</f>
        <v>MISSING</v>
      </c>
      <c r="BE516" s="2">
        <f>INDEX(CarrierDriverTBL!$AE:$AE,MATCH(Table1[DriverID],CarrierDriverTBL!$A:$A,0))</f>
        <v>913971</v>
      </c>
      <c r="BF516" s="171">
        <f>INDEX(CarrierDriverTBL!$AF:$AF,MATCH(Table1[DriverID],CarrierDriverTBL!$A:$A,0))</f>
        <v>2627544</v>
      </c>
      <c r="BG516" s="10">
        <f>INDEX(CarrierDriverTBL!$AG:$AG,MATCH(Table1[DriverID],CarrierDriverTBL!$A:$A,0))</f>
        <v>466133</v>
      </c>
      <c r="BH516" s="171" t="str">
        <f>INDEX(CarrierDriverTBL!$AH:$AH,MATCH(Table1[DriverID],CarrierDriverTBL!$A:$A,0))</f>
        <v>GM Lawrence Ins</v>
      </c>
      <c r="BI516" s="171" t="str">
        <f>INDEX(CarrierDriverTBL!$AI:$AI,MATCH(Table1[DriverID],CarrierDriverTBL!$A:$A,0))</f>
        <v>DSK2842P160210</v>
      </c>
      <c r="BJ516" s="172">
        <f>INDEX(CarrierDriverTBL!$AJ:$AJ,MATCH(Table1[[#This Row],[DriverID]],CarrierDriverTBL!$A:$A,0))</f>
        <v>42778</v>
      </c>
      <c r="BK516" s="171">
        <f t="shared" si="382"/>
        <v>227</v>
      </c>
      <c r="BL516" s="133">
        <v>1300</v>
      </c>
      <c r="BM516" s="171">
        <v>98.5</v>
      </c>
      <c r="BN516" s="133">
        <f t="shared" si="348"/>
        <v>13.197969543147208</v>
      </c>
      <c r="BO516" s="134">
        <f>0.93*1450</f>
        <v>1348.5</v>
      </c>
      <c r="BP516" s="133">
        <f t="shared" si="349"/>
        <v>13.690355329949238</v>
      </c>
      <c r="BQ516" s="133">
        <v>2.75</v>
      </c>
      <c r="BR516" s="215">
        <f t="shared" si="350"/>
        <v>0.14166666666666669</v>
      </c>
      <c r="BS516" s="133">
        <f t="shared" si="351"/>
        <v>13.54868866328257</v>
      </c>
      <c r="BT516" s="133">
        <f t="shared" si="352"/>
        <v>13.954166666666669</v>
      </c>
      <c r="BU516" s="10" t="str">
        <f t="shared" si="383"/>
        <v>Ch Robinson</v>
      </c>
      <c r="BV516" s="171"/>
      <c r="BW516" s="10" t="str">
        <f>Table1[[#This Row],[BrokerAddress]]</f>
        <v>P.O. Box 3474</v>
      </c>
      <c r="BX516" s="10" t="str">
        <f t="shared" si="384"/>
        <v>Chicago</v>
      </c>
      <c r="BY516" s="278" t="str">
        <f t="shared" si="385"/>
        <v>Il</v>
      </c>
      <c r="BZ516" s="10">
        <f t="shared" si="386"/>
        <v>60654</v>
      </c>
      <c r="CA516" s="10" t="str">
        <f t="shared" si="387"/>
        <v>US</v>
      </c>
      <c r="CB516" s="15" t="s">
        <v>131</v>
      </c>
      <c r="CC516" s="561"/>
      <c r="CD516" s="15" t="s">
        <v>3305</v>
      </c>
      <c r="CE516" s="64">
        <v>150</v>
      </c>
      <c r="CF516" s="4">
        <v>1</v>
      </c>
      <c r="CG516" s="132">
        <f t="shared" ref="CG516" si="396">CE516*CF516</f>
        <v>150</v>
      </c>
      <c r="CH516" s="4" t="s">
        <v>132</v>
      </c>
      <c r="CI516" s="5">
        <v>0</v>
      </c>
      <c r="CJ516" s="4">
        <v>0</v>
      </c>
      <c r="CK516" s="132">
        <f t="shared" ref="CK516" si="397">CI516*CJ516</f>
        <v>0</v>
      </c>
      <c r="CL516" s="4" t="s">
        <v>132</v>
      </c>
      <c r="CM516" s="5">
        <v>0</v>
      </c>
      <c r="CN516" s="4">
        <v>0</v>
      </c>
      <c r="CO516" s="132">
        <f t="shared" ref="CO516" si="398">CM516*CN516</f>
        <v>0</v>
      </c>
      <c r="CP516" s="4" t="s">
        <v>132</v>
      </c>
      <c r="CQ516" s="5">
        <v>0</v>
      </c>
      <c r="CR516" s="4">
        <v>0</v>
      </c>
      <c r="CS516" s="412">
        <f t="shared" si="356"/>
        <v>0</v>
      </c>
      <c r="CT516" s="412">
        <f t="shared" si="357"/>
        <v>150</v>
      </c>
      <c r="CU516" s="168">
        <f t="shared" si="358"/>
        <v>1450</v>
      </c>
      <c r="CV516" s="177">
        <f t="shared" si="359"/>
        <v>139.5</v>
      </c>
      <c r="CW516" s="82">
        <f t="shared" si="360"/>
        <v>1488</v>
      </c>
      <c r="CX516" s="79">
        <f>IF(ISBLANK(E516),"AddQuickPay",IF(E516=2,CU516*0.98,IF(E516=2.4,CU516*0.976,IF(E516=3,CU516*0.97,IF(E516=5,CU516*0.95,IF(E516=1.5,CU516*0.985,IF(E516=2.5,CU516*0.975,IF(E516=1.3,CU516*0.987,IF(E516=1,CU516*0.99,IF(E516=4,CU516*0.96,CU516*1))))))))))-Table1[[#This Row],[ComCheck+QuickPayFee]]</f>
        <v>1421</v>
      </c>
      <c r="CY516" s="5">
        <f t="shared" si="361"/>
        <v>-38</v>
      </c>
      <c r="CZ516" s="5">
        <f t="shared" si="391"/>
        <v>29</v>
      </c>
      <c r="DA516" s="258">
        <f>Table1[[#This Row],[OriginalDispatch]]-Table1[[#This Row],[QuickPayCharge]]</f>
        <v>-67</v>
      </c>
      <c r="DB516" s="5">
        <v>0</v>
      </c>
      <c r="DC516" s="5" t="s">
        <v>133</v>
      </c>
      <c r="DD516" s="104">
        <f t="shared" si="392"/>
        <v>42552</v>
      </c>
      <c r="DE516" s="171">
        <f>MONTH(Table1[[#This Row],[Weekending]])</f>
        <v>7</v>
      </c>
      <c r="DF516" s="171">
        <f>YEAR(Table1[[#This Row],[Weekending]])</f>
        <v>2016</v>
      </c>
      <c r="DG516" s="4"/>
    </row>
    <row r="517" spans="1:111">
      <c r="A517" s="548" t="str">
        <f t="shared" si="380"/>
        <v>-5-5-519</v>
      </c>
      <c r="B517" s="549">
        <v>42557</v>
      </c>
      <c r="C517" s="15" t="s">
        <v>3306</v>
      </c>
      <c r="D517" s="548" t="s">
        <v>2795</v>
      </c>
      <c r="E517" s="550">
        <v>0</v>
      </c>
      <c r="F517" s="551" t="str">
        <f>INDEX(BrokerTBL!$B:$B,MATCH(D517,BrokerTBL!$A:$A,0))</f>
        <v>3091 Governors Lake Drive Suite 350</v>
      </c>
      <c r="G517" s="550" t="str">
        <f>INDEX(BrokerTBL!$C:$C,MATCH(D517,BrokerTBL!$A:$A,0))</f>
        <v>Norcross</v>
      </c>
      <c r="H517" s="235" t="str">
        <f>INDEX(BrokerTBL!$D:$D,MATCH(D517,BrokerTBL!$A:$A,0))</f>
        <v>GA</v>
      </c>
      <c r="I517" s="235" t="str">
        <f>INDEX(BrokerTBL!$E:$E,MATCH(D517,BrokerTBL!$A:$A,0))</f>
        <v>US</v>
      </c>
      <c r="J517" s="235">
        <f>INDEX(BrokerTBL!$F:$F,MATCH(D517,BrokerTBL!$A:$A,0))</f>
        <v>30071</v>
      </c>
      <c r="K517" s="548" t="s">
        <v>3307</v>
      </c>
      <c r="L517" s="552" t="s">
        <v>3308</v>
      </c>
      <c r="M517" s="549">
        <v>42552</v>
      </c>
      <c r="N517" s="560">
        <v>0.33333333333333331</v>
      </c>
      <c r="O517" s="550" t="s">
        <v>3309</v>
      </c>
      <c r="P517" s="548" t="s">
        <v>263</v>
      </c>
      <c r="Q517" s="548" t="s">
        <v>2233</v>
      </c>
      <c r="R517" s="548">
        <v>89431</v>
      </c>
      <c r="S517" s="548" t="s">
        <v>2207</v>
      </c>
      <c r="T517" s="548" t="s">
        <v>123</v>
      </c>
      <c r="U517" s="548" t="s">
        <v>120</v>
      </c>
      <c r="V517" s="548">
        <v>53</v>
      </c>
      <c r="W517" s="548" t="s">
        <v>1205</v>
      </c>
      <c r="X517" s="553">
        <v>43500</v>
      </c>
      <c r="Y517" s="550" t="s">
        <v>566</v>
      </c>
      <c r="Z517" s="548">
        <v>13</v>
      </c>
      <c r="AA517" s="548" t="s">
        <v>123</v>
      </c>
      <c r="AB517" s="548" t="s">
        <v>123</v>
      </c>
      <c r="AC517" s="548" t="s">
        <v>1416</v>
      </c>
      <c r="AD517" s="552" t="s">
        <v>3308</v>
      </c>
      <c r="AE517" s="549">
        <v>42552</v>
      </c>
      <c r="AF517" s="560">
        <v>8.3333333333333329E-2</v>
      </c>
      <c r="AG517" s="548" t="s">
        <v>3310</v>
      </c>
      <c r="AH517" s="548" t="s">
        <v>900</v>
      </c>
      <c r="AI517" s="548" t="s">
        <v>2206</v>
      </c>
      <c r="AJ517" s="548">
        <v>95348</v>
      </c>
      <c r="AK517" s="548" t="s">
        <v>2207</v>
      </c>
      <c r="AL517" s="548" t="s">
        <v>123</v>
      </c>
      <c r="AM517" s="554" t="str">
        <f>INDEX(CarrierDriverTBL!$B:$B,MATCH(Table1[[#This Row],[DriverID]],CarrierDriverTBL!$A:$A,0))</f>
        <v>UBTrucking</v>
      </c>
      <c r="AN517" s="10" t="s">
        <v>1409</v>
      </c>
      <c r="AO517" s="555" t="str">
        <f>INDEX(CarrierDriverTBL!$C:$C,MATCH(Table1[[#This Row],[DriverID]],CarrierDriverTBL!$A:$A,0))</f>
        <v>Miguel Jaime</v>
      </c>
      <c r="AP517" s="555" t="str">
        <f>INDEX(CarrierDriverTBL!$D:$D,MATCH(Table1[[#This Row],[DriverID]],CarrierDriverTBL!$A:$A,0))</f>
        <v>Martin Del Campo Velarca</v>
      </c>
      <c r="AQ517" s="555" t="str">
        <f>INDEX(CarrierDriverTBL!$X:$X,MATCH(Table1[[#This Row],[DriverID]],CarrierDriverTBL!$A:$A,0))</f>
        <v>D5179619</v>
      </c>
      <c r="AR517" s="556">
        <f>INDEX(CarrierDriverTBL!$Y:$Y,MATCH(Table1[[#This Row],[DriverID]],CarrierDriverTBL!$A:$A,0))</f>
        <v>43843</v>
      </c>
      <c r="AS517" s="554" t="str">
        <f t="shared" si="381"/>
        <v>GOOD</v>
      </c>
      <c r="AT517" s="556">
        <f>INDEX(CarrierDriverTBL!$E:$E,MATCH(Table1[[#This Row],[DriverID]],CarrierDriverTBL!$A:$A,0))</f>
        <v>21198</v>
      </c>
      <c r="AU517" s="557">
        <f ca="1">INDEX(CarrierDriverTBL!$F:$F,MATCH(Table1[[#This Row],[DriverID]],CarrierDriverTBL!$A:$A,0))</f>
        <v>58.56986301369863</v>
      </c>
      <c r="AV517" s="554" t="str">
        <f>INDEX(CarrierDriverTBL!$K:$K,MATCH(Table1[[#This Row],[DriverID]],CarrierDriverTBL!$A:$A,0))</f>
        <v>209-322-5231</v>
      </c>
      <c r="AW517" s="554" t="str">
        <f>INDEX(CarrierDriverTBL!$M:$M,MATCH(Table1[[#This Row],[DriverID]],CarrierDriverTBL!$A:$A,0))</f>
        <v>572 Predersen RD</v>
      </c>
      <c r="AX517" s="554" t="str">
        <f>INDEX(CarrierDriverTBL!$N:$N,MATCH(Table1[[#This Row],[DriverID]],CarrierDriverTBL!$A:$A,0))</f>
        <v>Oakdale</v>
      </c>
      <c r="AY517" s="554" t="str">
        <f>INDEX(CarrierDriverTBL!$O:$O,MATCH(Table1[[#This Row],[DriverID]],CarrierDriverTBL!$A:$A,0))</f>
        <v>CA</v>
      </c>
      <c r="AZ517" s="554">
        <f>INDEX(CarrierDriverTBL!$P:$P,MATCH(Table1[[#This Row],[DriverID]],CarrierDriverTBL!$A:$A,0))</f>
        <v>95361</v>
      </c>
      <c r="BA517" s="554" t="str">
        <f>INDEX(CarrierDriverTBL!$Q:$Q,MATCH(Table1[[#This Row],[DriverID]],CarrierDriverTBL!$A:$A,0))</f>
        <v>US</v>
      </c>
      <c r="BB517" s="554" t="str">
        <f>INDEX(CarrierDriverTBL!$R:$R,MATCH(Table1[[#This Row],[DriverID]],CarrierDriverTBL!$A:$A,0))</f>
        <v>Miguelmartin52@yahoo.com</v>
      </c>
      <c r="BC517" s="556">
        <f>INDEX(CarrierDriverTBL!$AB:$AB,MATCH(Table1[[#This Row],[DriverID]],CarrierDriverTBL!$A:$A,0))</f>
        <v>42334</v>
      </c>
      <c r="BD517" s="555" t="str">
        <f ca="1">INDEX(CarrierDriverTBL!$AD:$AD,MATCH(LoadMaster!$AN:$AN,CarrierDriverTBL!$A:$A,0))</f>
        <v>MISSING</v>
      </c>
      <c r="BE517" s="555">
        <f>INDEX(CarrierDriverTBL!$AE:$AE,MATCH(Table1[DriverID],CarrierDriverTBL!$A:$A,0))</f>
        <v>913971</v>
      </c>
      <c r="BF517" s="554">
        <f>INDEX(CarrierDriverTBL!$AF:$AF,MATCH(Table1[DriverID],CarrierDriverTBL!$A:$A,0))</f>
        <v>2627544</v>
      </c>
      <c r="BG517" s="236">
        <f>INDEX(CarrierDriverTBL!$AG:$AG,MATCH(Table1[DriverID],CarrierDriverTBL!$A:$A,0))</f>
        <v>466133</v>
      </c>
      <c r="BH517" s="554" t="str">
        <f>INDEX(CarrierDriverTBL!$AH:$AH,MATCH(Table1[DriverID],CarrierDriverTBL!$A:$A,0))</f>
        <v>GM Lawrence Ins</v>
      </c>
      <c r="BI517" s="554" t="str">
        <f>INDEX(CarrierDriverTBL!$AI:$AI,MATCH(Table1[DriverID],CarrierDriverTBL!$A:$A,0))</f>
        <v>DSK2842P160210</v>
      </c>
      <c r="BJ517" s="556">
        <f>INDEX(CarrierDriverTBL!$AJ:$AJ,MATCH(Table1[[#This Row],[DriverID]],CarrierDriverTBL!$A:$A,0))</f>
        <v>42778</v>
      </c>
      <c r="BK517" s="554">
        <f t="shared" si="382"/>
        <v>226</v>
      </c>
      <c r="BL517" s="558">
        <v>475</v>
      </c>
      <c r="BM517" s="554">
        <v>246.2</v>
      </c>
      <c r="BN517" s="558">
        <f t="shared" ref="BN517:BN523" si="399">BL517/BM517</f>
        <v>1.9293257514216084</v>
      </c>
      <c r="BO517" s="241">
        <f>0.93*475</f>
        <v>441.75</v>
      </c>
      <c r="BP517" s="558">
        <f t="shared" ref="BP517:BP523" si="400">BO517/BM517</f>
        <v>1.7942729488220959</v>
      </c>
      <c r="BQ517" s="558">
        <v>2.75</v>
      </c>
      <c r="BR517" s="559">
        <f t="shared" ref="BR517:BR523" si="401">(BQ517-1.9)/6</f>
        <v>0.14166666666666669</v>
      </c>
      <c r="BS517" s="558">
        <f t="shared" ref="BS517:BS523" si="402">BP517-BR517</f>
        <v>1.6526062821554293</v>
      </c>
      <c r="BT517" s="558">
        <f t="shared" ref="BT517:BT523" si="403">BM517*BR517</f>
        <v>34.878333333333337</v>
      </c>
      <c r="BU517" s="236" t="str">
        <f t="shared" si="383"/>
        <v>Veritiv</v>
      </c>
      <c r="BV517" s="554"/>
      <c r="BW517" s="236" t="str">
        <f>Table1[[#This Row],[BrokerAddress]]</f>
        <v>3091 Governors Lake Drive Suite 350</v>
      </c>
      <c r="BX517" s="236" t="str">
        <f t="shared" si="384"/>
        <v>Norcross</v>
      </c>
      <c r="BY517" s="269" t="str">
        <f t="shared" si="385"/>
        <v>GA</v>
      </c>
      <c r="BZ517" s="236">
        <f t="shared" si="386"/>
        <v>30071</v>
      </c>
      <c r="CA517" s="236" t="str">
        <f t="shared" si="387"/>
        <v>US</v>
      </c>
      <c r="CB517" s="15" t="s">
        <v>131</v>
      </c>
      <c r="CC517" s="561"/>
      <c r="CD517" s="15" t="s">
        <v>132</v>
      </c>
      <c r="CE517" s="64">
        <v>0</v>
      </c>
      <c r="CF517" s="4">
        <v>0</v>
      </c>
      <c r="CG517" s="132">
        <f t="shared" ref="CG517" si="404">CE517*CF517</f>
        <v>0</v>
      </c>
      <c r="CH517" s="4" t="s">
        <v>132</v>
      </c>
      <c r="CI517" s="5">
        <v>0</v>
      </c>
      <c r="CJ517" s="4">
        <v>0</v>
      </c>
      <c r="CK517" s="132">
        <f t="shared" ref="CK517" si="405">CI517*CJ517</f>
        <v>0</v>
      </c>
      <c r="CL517" s="4" t="s">
        <v>132</v>
      </c>
      <c r="CM517" s="5">
        <v>0</v>
      </c>
      <c r="CN517" s="4">
        <v>0</v>
      </c>
      <c r="CO517" s="132">
        <f t="shared" ref="CO517" si="406">CM517*CN517</f>
        <v>0</v>
      </c>
      <c r="CP517" s="4" t="s">
        <v>132</v>
      </c>
      <c r="CQ517" s="5">
        <v>0</v>
      </c>
      <c r="CR517" s="4">
        <v>0</v>
      </c>
      <c r="CS517" s="412">
        <f t="shared" ref="CS517" si="407">CQ517*CR517</f>
        <v>0</v>
      </c>
      <c r="CT517" s="412">
        <f t="shared" ref="CT517" si="408">CG517+CK517+CO517+CS517</f>
        <v>0</v>
      </c>
      <c r="CU517" s="238">
        <f t="shared" ref="CU517:CU523" si="409">(CT517+BL517)-CC517</f>
        <v>475</v>
      </c>
      <c r="CV517" s="239">
        <f t="shared" ref="CV517:CV523" si="410">IF(AO517="Albel",(CT517*1),(CT517*0.93))</f>
        <v>0</v>
      </c>
      <c r="CW517" s="240">
        <f t="shared" ref="CW517:CW523" si="411">BO517+CV517</f>
        <v>441.75</v>
      </c>
      <c r="CX517" s="79">
        <f>IF(ISBLANK(E517),"AddQuickPay",IF(E517=2,CU517*0.98,IF(E517=2.4,CU517*0.976,IF(E517=3,CU517*0.97,IF(E517=5,CU517*0.95,IF(E517=1.5,CU517*0.985,IF(E517=2.5,CU517*0.975,IF(E517=1.3,CU517*0.987,IF(E517=1,CU517*0.99,IF(E517=4,CU517*0.96,CU517*1))))))))))-Table1[[#This Row],[ComCheck+QuickPayFee]]</f>
        <v>475</v>
      </c>
      <c r="CY517" s="237">
        <f t="shared" ref="CY517:CY523" si="412">CU517-CW517</f>
        <v>33.25</v>
      </c>
      <c r="CZ517" s="237">
        <f t="shared" si="391"/>
        <v>0</v>
      </c>
      <c r="DA517" s="263">
        <f>Table1[[#This Row],[OriginalDispatch]]-Table1[[#This Row],[QuickPayCharge]]</f>
        <v>33.25</v>
      </c>
      <c r="DB517" s="5">
        <v>0</v>
      </c>
      <c r="DC517" s="237" t="s">
        <v>133</v>
      </c>
      <c r="DD517" s="549">
        <f t="shared" si="392"/>
        <v>42552</v>
      </c>
      <c r="DE517" s="554">
        <f>MONTH(Table1[[#This Row],[Weekending]])</f>
        <v>7</v>
      </c>
      <c r="DF517" s="554">
        <f>YEAR(Table1[[#This Row],[Weekending]])</f>
        <v>2016</v>
      </c>
      <c r="DG517" s="235"/>
    </row>
    <row r="518" spans="1:111">
      <c r="A518" s="548" t="str">
        <f t="shared" si="380"/>
        <v>81-1cs93</v>
      </c>
      <c r="B518" s="549">
        <v>42557</v>
      </c>
      <c r="C518" s="15" t="s">
        <v>3311</v>
      </c>
      <c r="D518" s="548" t="s">
        <v>2795</v>
      </c>
      <c r="E518" s="550">
        <v>0</v>
      </c>
      <c r="F518" s="551" t="str">
        <f>INDEX(BrokerTBL!$B:$B,MATCH(D518,BrokerTBL!$A:$A,0))</f>
        <v>3091 Governors Lake Drive Suite 350</v>
      </c>
      <c r="G518" s="550" t="str">
        <f>INDEX(BrokerTBL!$C:$C,MATCH(D518,BrokerTBL!$A:$A,0))</f>
        <v>Norcross</v>
      </c>
      <c r="H518" s="235" t="str">
        <f>INDEX(BrokerTBL!$D:$D,MATCH(D518,BrokerTBL!$A:$A,0))</f>
        <v>GA</v>
      </c>
      <c r="I518" s="235" t="str">
        <f>INDEX(BrokerTBL!$E:$E,MATCH(D518,BrokerTBL!$A:$A,0))</f>
        <v>US</v>
      </c>
      <c r="J518" s="235">
        <f>INDEX(BrokerTBL!$F:$F,MATCH(D518,BrokerTBL!$A:$A,0))</f>
        <v>30071</v>
      </c>
      <c r="K518" s="548" t="s">
        <v>3307</v>
      </c>
      <c r="L518" s="552" t="s">
        <v>3312</v>
      </c>
      <c r="M518" s="549">
        <v>42556</v>
      </c>
      <c r="N518" s="560">
        <v>0.5</v>
      </c>
      <c r="O518" s="550" t="s">
        <v>3309</v>
      </c>
      <c r="P518" s="548" t="s">
        <v>263</v>
      </c>
      <c r="Q518" s="548" t="s">
        <v>2233</v>
      </c>
      <c r="R518" s="548">
        <v>89431</v>
      </c>
      <c r="S518" s="548" t="s">
        <v>2207</v>
      </c>
      <c r="T518" s="548" t="s">
        <v>123</v>
      </c>
      <c r="U518" s="548" t="s">
        <v>120</v>
      </c>
      <c r="V518" s="548">
        <v>53</v>
      </c>
      <c r="W518" s="548" t="s">
        <v>1205</v>
      </c>
      <c r="X518" s="553">
        <v>43500</v>
      </c>
      <c r="Y518" s="550" t="s">
        <v>566</v>
      </c>
      <c r="Z518" s="548">
        <v>10</v>
      </c>
      <c r="AA518" s="548" t="s">
        <v>123</v>
      </c>
      <c r="AB518" s="548" t="s">
        <v>123</v>
      </c>
      <c r="AC518" s="548" t="s">
        <v>1416</v>
      </c>
      <c r="AD518" s="548" t="s">
        <v>1416</v>
      </c>
      <c r="AE518" s="549">
        <v>42557</v>
      </c>
      <c r="AF518" s="560">
        <v>0.125</v>
      </c>
      <c r="AG518" s="548" t="s">
        <v>3310</v>
      </c>
      <c r="AH518" s="548" t="s">
        <v>900</v>
      </c>
      <c r="AI518" s="548" t="s">
        <v>2206</v>
      </c>
      <c r="AJ518" s="548">
        <v>95348</v>
      </c>
      <c r="AK518" s="548" t="s">
        <v>2207</v>
      </c>
      <c r="AL518" s="548" t="s">
        <v>123</v>
      </c>
      <c r="AM518" s="554" t="str">
        <f>INDEX(CarrierDriverTBL!$B:$B,MATCH(Table1[[#This Row],[DriverID]],CarrierDriverTBL!$A:$A,0))</f>
        <v>UBTrucking</v>
      </c>
      <c r="AN518" s="10" t="s">
        <v>2234</v>
      </c>
      <c r="AO518" s="555" t="str">
        <f>INDEX(CarrierDriverTBL!$C:$C,MATCH(Table1[[#This Row],[DriverID]],CarrierDriverTBL!$A:$A,0))</f>
        <v>Arturo</v>
      </c>
      <c r="AP518" s="555" t="str">
        <f>INDEX(CarrierDriverTBL!$D:$D,MATCH(Table1[[#This Row],[DriverID]],CarrierDriverTBL!$A:$A,0))</f>
        <v>Carrillo</v>
      </c>
      <c r="AQ518" s="555" t="str">
        <f>INDEX(CarrierDriverTBL!$X:$X,MATCH(Table1[[#This Row],[DriverID]],CarrierDriverTBL!$A:$A,0))</f>
        <v>C7056793</v>
      </c>
      <c r="AR518" s="556">
        <f>INDEX(CarrierDriverTBL!$Y:$Y,MATCH(Table1[[#This Row],[DriverID]],CarrierDriverTBL!$A:$A,0))</f>
        <v>43410</v>
      </c>
      <c r="AS518" s="554" t="str">
        <f t="shared" si="381"/>
        <v>GOOD</v>
      </c>
      <c r="AT518" s="556">
        <f>INDEX(CarrierDriverTBL!$E:$E,MATCH(Table1[[#This Row],[DriverID]],CarrierDriverTBL!$A:$A,0))</f>
        <v>24782</v>
      </c>
      <c r="AU518" s="557">
        <f ca="1">INDEX(CarrierDriverTBL!$F:$F,MATCH(Table1[[#This Row],[DriverID]],CarrierDriverTBL!$A:$A,0))</f>
        <v>48.750684931506846</v>
      </c>
      <c r="AV518" s="554" t="str">
        <f>INDEX(CarrierDriverTBL!$K:$K,MATCH(Table1[[#This Row],[DriverID]],CarrierDriverTBL!$A:$A,0))</f>
        <v>209-276-9785</v>
      </c>
      <c r="AW518" s="554" t="str">
        <f>INDEX(CarrierDriverTBL!$M:$M,MATCH(Table1[[#This Row],[DriverID]],CarrierDriverTBL!$A:$A,0))</f>
        <v>1685 Winthrop Ln</v>
      </c>
      <c r="AX518" s="554" t="str">
        <f>INDEX(CarrierDriverTBL!$N:$N,MATCH(Table1[[#This Row],[DriverID]],CarrierDriverTBL!$A:$A,0))</f>
        <v>Ceres</v>
      </c>
      <c r="AY518" s="554" t="str">
        <f>INDEX(CarrierDriverTBL!$O:$O,MATCH(Table1[[#This Row],[DriverID]],CarrierDriverTBL!$A:$A,0))</f>
        <v>CA</v>
      </c>
      <c r="AZ518" s="554">
        <f>INDEX(CarrierDriverTBL!$P:$P,MATCH(Table1[[#This Row],[DriverID]],CarrierDriverTBL!$A:$A,0))</f>
        <v>95307</v>
      </c>
      <c r="BA518" s="554" t="str">
        <f>INDEX(CarrierDriverTBL!$Q:$Q,MATCH(Table1[[#This Row],[DriverID]],CarrierDriverTBL!$A:$A,0))</f>
        <v>US</v>
      </c>
      <c r="BB518" s="554" t="str">
        <f>INDEX(CarrierDriverTBL!$R:$R,MATCH(Table1[[#This Row],[DriverID]],CarrierDriverTBL!$A:$A,0))</f>
        <v>arturocarr777@gmail.com</v>
      </c>
      <c r="BC518" s="556">
        <f>INDEX(CarrierDriverTBL!$AB:$AB,MATCH(Table1[[#This Row],[DriverID]],CarrierDriverTBL!$A:$A,0))</f>
        <v>42418</v>
      </c>
      <c r="BD518" s="555" t="str">
        <f ca="1">INDEX(CarrierDriverTBL!$AD:$AD,MATCH(LoadMaster!$AN:$AN,CarrierDriverTBL!$A:$A,0))</f>
        <v>MISSING</v>
      </c>
      <c r="BE518" s="555">
        <f>INDEX(CarrierDriverTBL!$AE:$AE,MATCH(Table1[DriverID],CarrierDriverTBL!$A:$A,0))</f>
        <v>913971</v>
      </c>
      <c r="BF518" s="554">
        <f>INDEX(CarrierDriverTBL!$AF:$AF,MATCH(Table1[DriverID],CarrierDriverTBL!$A:$A,0))</f>
        <v>2627544</v>
      </c>
      <c r="BG518" s="236">
        <f>INDEX(CarrierDriverTBL!$AG:$AG,MATCH(Table1[DriverID],CarrierDriverTBL!$A:$A,0))</f>
        <v>466133</v>
      </c>
      <c r="BH518" s="554" t="str">
        <f>INDEX(CarrierDriverTBL!$AH:$AH,MATCH(Table1[DriverID],CarrierDriverTBL!$A:$A,0))</f>
        <v>GM Lawrence Ins</v>
      </c>
      <c r="BI518" s="554" t="str">
        <f>INDEX(CarrierDriverTBL!$AI:$AI,MATCH(Table1[DriverID],CarrierDriverTBL!$A:$A,0))</f>
        <v>DSK2842P160210</v>
      </c>
      <c r="BJ518" s="556">
        <f>INDEX(CarrierDriverTBL!$AJ:$AJ,MATCH(Table1[[#This Row],[DriverID]],CarrierDriverTBL!$A:$A,0))</f>
        <v>42778</v>
      </c>
      <c r="BK518" s="554">
        <f t="shared" si="382"/>
        <v>222</v>
      </c>
      <c r="BL518" s="558">
        <v>475</v>
      </c>
      <c r="BM518" s="554">
        <v>246.2</v>
      </c>
      <c r="BN518" s="558">
        <f t="shared" si="399"/>
        <v>1.9293257514216084</v>
      </c>
      <c r="BO518" s="241">
        <f>0.93*475</f>
        <v>441.75</v>
      </c>
      <c r="BP518" s="558">
        <f t="shared" si="400"/>
        <v>1.7942729488220959</v>
      </c>
      <c r="BQ518" s="558">
        <v>2.75</v>
      </c>
      <c r="BR518" s="559">
        <f t="shared" si="401"/>
        <v>0.14166666666666669</v>
      </c>
      <c r="BS518" s="558">
        <f t="shared" si="402"/>
        <v>1.6526062821554293</v>
      </c>
      <c r="BT518" s="558">
        <f t="shared" si="403"/>
        <v>34.878333333333337</v>
      </c>
      <c r="BU518" s="236" t="str">
        <f t="shared" si="383"/>
        <v>Veritiv</v>
      </c>
      <c r="BV518" s="554"/>
      <c r="BW518" s="236" t="str">
        <f>Table1[[#This Row],[BrokerAddress]]</f>
        <v>3091 Governors Lake Drive Suite 350</v>
      </c>
      <c r="BX518" s="236" t="str">
        <f t="shared" si="384"/>
        <v>Norcross</v>
      </c>
      <c r="BY518" s="269" t="str">
        <f t="shared" si="385"/>
        <v>GA</v>
      </c>
      <c r="BZ518" s="236">
        <f t="shared" si="386"/>
        <v>30071</v>
      </c>
      <c r="CA518" s="236" t="str">
        <f t="shared" si="387"/>
        <v>US</v>
      </c>
      <c r="CB518" s="15" t="s">
        <v>131</v>
      </c>
      <c r="CC518" s="561"/>
      <c r="CD518" s="15" t="s">
        <v>132</v>
      </c>
      <c r="CE518" s="64">
        <v>0</v>
      </c>
      <c r="CF518" s="4">
        <v>0</v>
      </c>
      <c r="CG518" s="132">
        <f t="shared" ref="CG518" si="413">CE518*CF518</f>
        <v>0</v>
      </c>
      <c r="CH518" s="4" t="s">
        <v>132</v>
      </c>
      <c r="CI518" s="5">
        <v>0</v>
      </c>
      <c r="CJ518" s="4">
        <v>0</v>
      </c>
      <c r="CK518" s="132">
        <f t="shared" ref="CK518" si="414">CI518*CJ518</f>
        <v>0</v>
      </c>
      <c r="CL518" s="4" t="s">
        <v>132</v>
      </c>
      <c r="CM518" s="5">
        <v>0</v>
      </c>
      <c r="CN518" s="4">
        <v>0</v>
      </c>
      <c r="CO518" s="132">
        <f t="shared" ref="CO518" si="415">CM518*CN518</f>
        <v>0</v>
      </c>
      <c r="CP518" s="4" t="s">
        <v>132</v>
      </c>
      <c r="CQ518" s="5">
        <v>0</v>
      </c>
      <c r="CR518" s="4">
        <v>0</v>
      </c>
      <c r="CS518" s="412">
        <f t="shared" ref="CS518" si="416">CQ518*CR518</f>
        <v>0</v>
      </c>
      <c r="CT518" s="412">
        <f t="shared" ref="CT518" si="417">CG518+CK518+CO518+CS518</f>
        <v>0</v>
      </c>
      <c r="CU518" s="238">
        <f t="shared" si="409"/>
        <v>475</v>
      </c>
      <c r="CV518" s="239">
        <f t="shared" si="410"/>
        <v>0</v>
      </c>
      <c r="CW518" s="240">
        <f t="shared" si="411"/>
        <v>441.75</v>
      </c>
      <c r="CX518" s="79">
        <f>IF(ISBLANK(E518),"AddQuickPay",IF(E518=2,CU518*0.98,IF(E518=2.4,CU518*0.976,IF(E518=3,CU518*0.97,IF(E518=5,CU518*0.95,IF(E518=1.5,CU518*0.985,IF(E518=2.5,CU518*0.975,IF(E518=1.3,CU518*0.987,IF(E518=1,CU518*0.99,IF(E518=4,CU518*0.96,CU518*1))))))))))-Table1[[#This Row],[ComCheck+QuickPayFee]]</f>
        <v>475</v>
      </c>
      <c r="CY518" s="237">
        <f t="shared" si="412"/>
        <v>33.25</v>
      </c>
      <c r="CZ518" s="237">
        <f t="shared" si="391"/>
        <v>0</v>
      </c>
      <c r="DA518" s="263">
        <f>Table1[[#This Row],[OriginalDispatch]]-Table1[[#This Row],[QuickPayCharge]]</f>
        <v>33.25</v>
      </c>
      <c r="DB518" s="5">
        <v>0</v>
      </c>
      <c r="DC518" s="237" t="s">
        <v>133</v>
      </c>
      <c r="DD518" s="549">
        <f t="shared" si="392"/>
        <v>42559</v>
      </c>
      <c r="DE518" s="554">
        <f>MONTH(Table1[[#This Row],[Weekending]])</f>
        <v>7</v>
      </c>
      <c r="DF518" s="554">
        <f>YEAR(Table1[[#This Row],[Weekending]])</f>
        <v>2016</v>
      </c>
      <c r="DG518" s="235"/>
    </row>
    <row r="519" spans="1:111">
      <c r="A519" s="548" t="str">
        <f t="shared" si="380"/>
        <v>95363693</v>
      </c>
      <c r="B519" s="549">
        <v>42557</v>
      </c>
      <c r="C519" s="550">
        <v>7981595</v>
      </c>
      <c r="D519" s="548" t="s">
        <v>2185</v>
      </c>
      <c r="E519" s="550">
        <v>4</v>
      </c>
      <c r="F519" s="551" t="str">
        <f>INDEX(BrokerTBL!$B:$B,MATCH(D519,BrokerTBL!$A:$A,0))</f>
        <v>PO Box 6348</v>
      </c>
      <c r="G519" s="550" t="str">
        <f>INDEX(BrokerTBL!$C:$C,MATCH(D519,BrokerTBL!$A:$A,0))</f>
        <v>Scottsdale</v>
      </c>
      <c r="H519" s="235" t="str">
        <f>INDEX(BrokerTBL!$D:$D,MATCH(D519,BrokerTBL!$A:$A,0))</f>
        <v>Az</v>
      </c>
      <c r="I519" s="235" t="str">
        <f>INDEX(BrokerTBL!$E:$E,MATCH(D519,BrokerTBL!$A:$A,0))</f>
        <v>US</v>
      </c>
      <c r="J519" s="235">
        <f>INDEX(BrokerTBL!$F:$F,MATCH(D519,BrokerTBL!$A:$A,0))</f>
        <v>85258</v>
      </c>
      <c r="K519" s="548" t="s">
        <v>2374</v>
      </c>
      <c r="L519" s="552">
        <v>20210517436</v>
      </c>
      <c r="M519" s="549">
        <v>42557</v>
      </c>
      <c r="N519" s="550" t="s">
        <v>3313</v>
      </c>
      <c r="O519" s="550" t="s">
        <v>2375</v>
      </c>
      <c r="P519" s="548" t="s">
        <v>2277</v>
      </c>
      <c r="Q519" s="548" t="s">
        <v>2206</v>
      </c>
      <c r="R519" s="548">
        <v>93725</v>
      </c>
      <c r="S519" s="548" t="s">
        <v>2207</v>
      </c>
      <c r="T519" s="548" t="s">
        <v>123</v>
      </c>
      <c r="U519" s="548" t="s">
        <v>120</v>
      </c>
      <c r="V519" s="548">
        <v>53</v>
      </c>
      <c r="W519" s="548" t="s">
        <v>2376</v>
      </c>
      <c r="X519" s="553">
        <v>44723</v>
      </c>
      <c r="Y519" s="550" t="s">
        <v>566</v>
      </c>
      <c r="Z519" s="548">
        <v>1124</v>
      </c>
      <c r="AA519" s="548">
        <v>26</v>
      </c>
      <c r="AB519" s="548" t="s">
        <v>123</v>
      </c>
      <c r="AC519" s="548" t="s">
        <v>2377</v>
      </c>
      <c r="AD519" s="552">
        <v>20210517436</v>
      </c>
      <c r="AE519" s="549">
        <v>42558</v>
      </c>
      <c r="AF519" s="549" t="s">
        <v>2902</v>
      </c>
      <c r="AG519" s="548" t="s">
        <v>2378</v>
      </c>
      <c r="AH519" s="548" t="s">
        <v>2466</v>
      </c>
      <c r="AI519" s="548" t="s">
        <v>2233</v>
      </c>
      <c r="AJ519" s="548">
        <v>89502</v>
      </c>
      <c r="AK519" s="548" t="s">
        <v>2207</v>
      </c>
      <c r="AL519" s="548" t="s">
        <v>123</v>
      </c>
      <c r="AM519" s="554" t="str">
        <f>INDEX(CarrierDriverTBL!$B:$B,MATCH(Table1[[#This Row],[DriverID]],CarrierDriverTBL!$A:$A,0))</f>
        <v>UBTrucking</v>
      </c>
      <c r="AN519" s="10" t="s">
        <v>2234</v>
      </c>
      <c r="AO519" s="555" t="str">
        <f>INDEX(CarrierDriverTBL!$C:$C,MATCH(Table1[[#This Row],[DriverID]],CarrierDriverTBL!$A:$A,0))</f>
        <v>Arturo</v>
      </c>
      <c r="AP519" s="555" t="str">
        <f>INDEX(CarrierDriverTBL!$D:$D,MATCH(Table1[[#This Row],[DriverID]],CarrierDriverTBL!$A:$A,0))</f>
        <v>Carrillo</v>
      </c>
      <c r="AQ519" s="555" t="str">
        <f>INDEX(CarrierDriverTBL!$X:$X,MATCH(Table1[[#This Row],[DriverID]],CarrierDriverTBL!$A:$A,0))</f>
        <v>C7056793</v>
      </c>
      <c r="AR519" s="556">
        <f>INDEX(CarrierDriverTBL!$Y:$Y,MATCH(Table1[[#This Row],[DriverID]],CarrierDriverTBL!$A:$A,0))</f>
        <v>43410</v>
      </c>
      <c r="AS519" s="554" t="str">
        <f t="shared" si="381"/>
        <v>GOOD</v>
      </c>
      <c r="AT519" s="556">
        <f>INDEX(CarrierDriverTBL!$E:$E,MATCH(Table1[[#This Row],[DriverID]],CarrierDriverTBL!$A:$A,0))</f>
        <v>24782</v>
      </c>
      <c r="AU519" s="557">
        <f ca="1">INDEX(CarrierDriverTBL!$F:$F,MATCH(Table1[[#This Row],[DriverID]],CarrierDriverTBL!$A:$A,0))</f>
        <v>48.750684931506846</v>
      </c>
      <c r="AV519" s="554" t="str">
        <f>INDEX(CarrierDriverTBL!$K:$K,MATCH(Table1[[#This Row],[DriverID]],CarrierDriverTBL!$A:$A,0))</f>
        <v>209-276-9785</v>
      </c>
      <c r="AW519" s="554" t="str">
        <f>INDEX(CarrierDriverTBL!$M:$M,MATCH(Table1[[#This Row],[DriverID]],CarrierDriverTBL!$A:$A,0))</f>
        <v>1685 Winthrop Ln</v>
      </c>
      <c r="AX519" s="554" t="str">
        <f>INDEX(CarrierDriverTBL!$N:$N,MATCH(Table1[[#This Row],[DriverID]],CarrierDriverTBL!$A:$A,0))</f>
        <v>Ceres</v>
      </c>
      <c r="AY519" s="554" t="str">
        <f>INDEX(CarrierDriverTBL!$O:$O,MATCH(Table1[[#This Row],[DriverID]],CarrierDriverTBL!$A:$A,0))</f>
        <v>CA</v>
      </c>
      <c r="AZ519" s="554">
        <f>INDEX(CarrierDriverTBL!$P:$P,MATCH(Table1[[#This Row],[DriverID]],CarrierDriverTBL!$A:$A,0))</f>
        <v>95307</v>
      </c>
      <c r="BA519" s="554" t="str">
        <f>INDEX(CarrierDriverTBL!$Q:$Q,MATCH(Table1[[#This Row],[DriverID]],CarrierDriverTBL!$A:$A,0))</f>
        <v>US</v>
      </c>
      <c r="BB519" s="554" t="str">
        <f>INDEX(CarrierDriverTBL!$R:$R,MATCH(Table1[[#This Row],[DriverID]],CarrierDriverTBL!$A:$A,0))</f>
        <v>arturocarr777@gmail.com</v>
      </c>
      <c r="BC519" s="556">
        <f>INDEX(CarrierDriverTBL!$AB:$AB,MATCH(Table1[[#This Row],[DriverID]],CarrierDriverTBL!$A:$A,0))</f>
        <v>42418</v>
      </c>
      <c r="BD519" s="555" t="str">
        <f ca="1">INDEX(CarrierDriverTBL!$AD:$AD,MATCH(LoadMaster!$AN:$AN,CarrierDriverTBL!$A:$A,0))</f>
        <v>MISSING</v>
      </c>
      <c r="BE519" s="555">
        <f>INDEX(CarrierDriverTBL!$AE:$AE,MATCH(Table1[DriverID],CarrierDriverTBL!$A:$A,0))</f>
        <v>913971</v>
      </c>
      <c r="BF519" s="554">
        <f>INDEX(CarrierDriverTBL!$AF:$AF,MATCH(Table1[DriverID],CarrierDriverTBL!$A:$A,0))</f>
        <v>2627544</v>
      </c>
      <c r="BG519" s="236">
        <f>INDEX(CarrierDriverTBL!$AG:$AG,MATCH(Table1[DriverID],CarrierDriverTBL!$A:$A,0))</f>
        <v>466133</v>
      </c>
      <c r="BH519" s="554" t="str">
        <f>INDEX(CarrierDriverTBL!$AH:$AH,MATCH(Table1[DriverID],CarrierDriverTBL!$A:$A,0))</f>
        <v>GM Lawrence Ins</v>
      </c>
      <c r="BI519" s="554" t="str">
        <f>INDEX(CarrierDriverTBL!$AI:$AI,MATCH(Table1[DriverID],CarrierDriverTBL!$A:$A,0))</f>
        <v>DSK2842P160210</v>
      </c>
      <c r="BJ519" s="556">
        <f>INDEX(CarrierDriverTBL!$AJ:$AJ,MATCH(Table1[[#This Row],[DriverID]],CarrierDriverTBL!$A:$A,0))</f>
        <v>42778</v>
      </c>
      <c r="BK519" s="554">
        <f t="shared" si="382"/>
        <v>221</v>
      </c>
      <c r="BL519" s="558">
        <v>900</v>
      </c>
      <c r="BM519" s="554">
        <v>300.10000000000002</v>
      </c>
      <c r="BN519" s="558">
        <f t="shared" si="399"/>
        <v>2.9990003332222592</v>
      </c>
      <c r="BO519" s="241">
        <f>0.93*900</f>
        <v>837</v>
      </c>
      <c r="BP519" s="558">
        <f t="shared" si="400"/>
        <v>2.7890703098967009</v>
      </c>
      <c r="BQ519" s="558">
        <v>2.75</v>
      </c>
      <c r="BR519" s="559">
        <f t="shared" si="401"/>
        <v>0.14166666666666669</v>
      </c>
      <c r="BS519" s="558">
        <f t="shared" si="402"/>
        <v>2.6474036432300343</v>
      </c>
      <c r="BT519" s="558">
        <f t="shared" si="403"/>
        <v>42.514166666666675</v>
      </c>
      <c r="BU519" s="236" t="str">
        <f t="shared" si="383"/>
        <v>Globaltranz</v>
      </c>
      <c r="BV519" s="554"/>
      <c r="BW519" s="236" t="str">
        <f>Table1[[#This Row],[BrokerAddress]]</f>
        <v>PO Box 6348</v>
      </c>
      <c r="BX519" s="236" t="str">
        <f t="shared" si="384"/>
        <v>Scottsdale</v>
      </c>
      <c r="BY519" s="269" t="str">
        <f t="shared" si="385"/>
        <v>Az</v>
      </c>
      <c r="BZ519" s="236">
        <f t="shared" si="386"/>
        <v>85258</v>
      </c>
      <c r="CA519" s="236" t="str">
        <f t="shared" si="387"/>
        <v>US</v>
      </c>
      <c r="CB519" s="15" t="s">
        <v>131</v>
      </c>
      <c r="CC519" s="561"/>
      <c r="CD519" s="15" t="s">
        <v>132</v>
      </c>
      <c r="CE519" s="64">
        <v>0</v>
      </c>
      <c r="CF519" s="4">
        <v>0</v>
      </c>
      <c r="CG519" s="132">
        <f t="shared" ref="CG519" si="418">CE519*CF519</f>
        <v>0</v>
      </c>
      <c r="CH519" s="4" t="s">
        <v>132</v>
      </c>
      <c r="CI519" s="5">
        <v>0</v>
      </c>
      <c r="CJ519" s="4">
        <v>0</v>
      </c>
      <c r="CK519" s="132">
        <f t="shared" ref="CK519" si="419">CI519*CJ519</f>
        <v>0</v>
      </c>
      <c r="CL519" s="4" t="s">
        <v>132</v>
      </c>
      <c r="CM519" s="5">
        <v>0</v>
      </c>
      <c r="CN519" s="4">
        <v>0</v>
      </c>
      <c r="CO519" s="132">
        <f t="shared" ref="CO519" si="420">CM519*CN519</f>
        <v>0</v>
      </c>
      <c r="CP519" s="4" t="s">
        <v>132</v>
      </c>
      <c r="CQ519" s="5">
        <v>0</v>
      </c>
      <c r="CR519" s="4">
        <v>0</v>
      </c>
      <c r="CS519" s="412">
        <f t="shared" ref="CS519" si="421">CQ519*CR519</f>
        <v>0</v>
      </c>
      <c r="CT519" s="412">
        <f t="shared" ref="CT519" si="422">CG519+CK519+CO519+CS519</f>
        <v>0</v>
      </c>
      <c r="CU519" s="238">
        <f t="shared" si="409"/>
        <v>900</v>
      </c>
      <c r="CV519" s="239">
        <f t="shared" si="410"/>
        <v>0</v>
      </c>
      <c r="CW519" s="240">
        <f t="shared" si="411"/>
        <v>837</v>
      </c>
      <c r="CX519" s="79">
        <f>IF(ISBLANK(E519),"AddQuickPay",IF(E519=2,CU519*0.98,IF(E519=2.4,CU519*0.976,IF(E519=3,CU519*0.97,IF(E519=5,CU519*0.95,IF(E519=1.5,CU519*0.985,IF(E519=2.5,CU519*0.975,IF(E519=1.3,CU519*0.987,IF(E519=1,CU519*0.99,IF(E519=4,CU519*0.96,CU519*1))))))))))-Table1[[#This Row],[ComCheck+QuickPayFee]]</f>
        <v>864</v>
      </c>
      <c r="CY519" s="237">
        <f t="shared" si="412"/>
        <v>63</v>
      </c>
      <c r="CZ519" s="237">
        <f t="shared" si="391"/>
        <v>36</v>
      </c>
      <c r="DA519" s="263">
        <f>Table1[[#This Row],[OriginalDispatch]]-Table1[[#This Row],[QuickPayCharge]]</f>
        <v>27</v>
      </c>
      <c r="DB519" s="5">
        <v>0</v>
      </c>
      <c r="DC519" s="237" t="s">
        <v>133</v>
      </c>
      <c r="DD519" s="549">
        <f t="shared" si="392"/>
        <v>42559</v>
      </c>
      <c r="DE519" s="554">
        <f>MONTH(Table1[[#This Row],[Weekending]])</f>
        <v>7</v>
      </c>
      <c r="DF519" s="554">
        <f>YEAR(Table1[[#This Row],[Weekending]])</f>
        <v>2016</v>
      </c>
      <c r="DG519" s="235"/>
    </row>
    <row r="520" spans="1:111">
      <c r="A520" s="548" t="str">
        <f t="shared" si="380"/>
        <v>75595919</v>
      </c>
      <c r="B520" s="549">
        <v>42557</v>
      </c>
      <c r="C520" s="550">
        <v>188275</v>
      </c>
      <c r="D520" s="548" t="s">
        <v>3314</v>
      </c>
      <c r="E520" s="550">
        <v>5</v>
      </c>
      <c r="F520" s="551" t="str">
        <f>INDEX(BrokerTBL!$B:$B,MATCH(D520,BrokerTBL!$A:$A,0))</f>
        <v>412 SOUTH I-35E</v>
      </c>
      <c r="G520" s="550" t="str">
        <f>INDEX(BrokerTBL!$C:$C,MATCH(D520,BrokerTBL!$A:$A,0))</f>
        <v>RED OAK</v>
      </c>
      <c r="H520" s="235" t="str">
        <f>INDEX(BrokerTBL!$D:$D,MATCH(D520,BrokerTBL!$A:$A,0))</f>
        <v>TX</v>
      </c>
      <c r="I520" s="235" t="str">
        <f>INDEX(BrokerTBL!$E:$E,MATCH(D520,BrokerTBL!$A:$A,0))</f>
        <v>US</v>
      </c>
      <c r="J520" s="235">
        <f>INDEX(BrokerTBL!$F:$F,MATCH(D520,BrokerTBL!$A:$A,0))</f>
        <v>75154</v>
      </c>
      <c r="K520" s="548" t="s">
        <v>3315</v>
      </c>
      <c r="L520" s="552">
        <v>63759</v>
      </c>
      <c r="M520" s="549">
        <v>42556</v>
      </c>
      <c r="N520" s="550" t="s">
        <v>123</v>
      </c>
      <c r="O520" s="550" t="s">
        <v>2344</v>
      </c>
      <c r="P520" s="548" t="s">
        <v>2345</v>
      </c>
      <c r="Q520" s="548" t="s">
        <v>2206</v>
      </c>
      <c r="R520" s="548">
        <v>95350</v>
      </c>
      <c r="S520" s="548" t="s">
        <v>2207</v>
      </c>
      <c r="T520" s="548" t="s">
        <v>123</v>
      </c>
      <c r="U520" s="548" t="s">
        <v>120</v>
      </c>
      <c r="V520" s="548">
        <v>53</v>
      </c>
      <c r="W520" s="548" t="s">
        <v>1205</v>
      </c>
      <c r="X520" s="553">
        <v>42000</v>
      </c>
      <c r="Y520" s="550" t="s">
        <v>123</v>
      </c>
      <c r="Z520" s="548" t="s">
        <v>123</v>
      </c>
      <c r="AA520" s="548" t="s">
        <v>123</v>
      </c>
      <c r="AB520" s="548" t="s">
        <v>123</v>
      </c>
      <c r="AC520" s="548" t="s">
        <v>3316</v>
      </c>
      <c r="AD520" s="552">
        <v>63759</v>
      </c>
      <c r="AE520" s="549">
        <v>42556</v>
      </c>
      <c r="AF520" s="549" t="s">
        <v>123</v>
      </c>
      <c r="AG520" s="548" t="s">
        <v>3317</v>
      </c>
      <c r="AH520" s="548" t="s">
        <v>3318</v>
      </c>
      <c r="AI520" s="548" t="s">
        <v>2206</v>
      </c>
      <c r="AJ520" s="548">
        <v>90670</v>
      </c>
      <c r="AK520" s="548" t="s">
        <v>2207</v>
      </c>
      <c r="AL520" s="548" t="s">
        <v>123</v>
      </c>
      <c r="AM520" s="554" t="str">
        <f>INDEX(CarrierDriverTBL!$B:$B,MATCH(Table1[[#This Row],[DriverID]],CarrierDriverTBL!$A:$A,0))</f>
        <v>UBTrucking</v>
      </c>
      <c r="AN520" s="10" t="s">
        <v>1409</v>
      </c>
      <c r="AO520" s="555" t="str">
        <f>INDEX(CarrierDriverTBL!$C:$C,MATCH(Table1[[#This Row],[DriverID]],CarrierDriverTBL!$A:$A,0))</f>
        <v>Miguel Jaime</v>
      </c>
      <c r="AP520" s="555" t="str">
        <f>INDEX(CarrierDriverTBL!$D:$D,MATCH(Table1[[#This Row],[DriverID]],CarrierDriverTBL!$A:$A,0))</f>
        <v>Martin Del Campo Velarca</v>
      </c>
      <c r="AQ520" s="555" t="str">
        <f>INDEX(CarrierDriverTBL!$X:$X,MATCH(Table1[[#This Row],[DriverID]],CarrierDriverTBL!$A:$A,0))</f>
        <v>D5179619</v>
      </c>
      <c r="AR520" s="556">
        <f>INDEX(CarrierDriverTBL!$Y:$Y,MATCH(Table1[[#This Row],[DriverID]],CarrierDriverTBL!$A:$A,0))</f>
        <v>43843</v>
      </c>
      <c r="AS520" s="554" t="str">
        <f t="shared" si="381"/>
        <v>GOOD</v>
      </c>
      <c r="AT520" s="556">
        <f>INDEX(CarrierDriverTBL!$E:$E,MATCH(Table1[[#This Row],[DriverID]],CarrierDriverTBL!$A:$A,0))</f>
        <v>21198</v>
      </c>
      <c r="AU520" s="557">
        <f ca="1">INDEX(CarrierDriverTBL!$F:$F,MATCH(Table1[[#This Row],[DriverID]],CarrierDriverTBL!$A:$A,0))</f>
        <v>58.56986301369863</v>
      </c>
      <c r="AV520" s="554" t="str">
        <f>INDEX(CarrierDriverTBL!$K:$K,MATCH(Table1[[#This Row],[DriverID]],CarrierDriverTBL!$A:$A,0))</f>
        <v>209-322-5231</v>
      </c>
      <c r="AW520" s="554" t="str">
        <f>INDEX(CarrierDriverTBL!$M:$M,MATCH(Table1[[#This Row],[DriverID]],CarrierDriverTBL!$A:$A,0))</f>
        <v>572 Predersen RD</v>
      </c>
      <c r="AX520" s="554" t="str">
        <f>INDEX(CarrierDriverTBL!$N:$N,MATCH(Table1[[#This Row],[DriverID]],CarrierDriverTBL!$A:$A,0))</f>
        <v>Oakdale</v>
      </c>
      <c r="AY520" s="554" t="str">
        <f>INDEX(CarrierDriverTBL!$O:$O,MATCH(Table1[[#This Row],[DriverID]],CarrierDriverTBL!$A:$A,0))</f>
        <v>CA</v>
      </c>
      <c r="AZ520" s="554">
        <f>INDEX(CarrierDriverTBL!$P:$P,MATCH(Table1[[#This Row],[DriverID]],CarrierDriverTBL!$A:$A,0))</f>
        <v>95361</v>
      </c>
      <c r="BA520" s="554" t="str">
        <f>INDEX(CarrierDriverTBL!$Q:$Q,MATCH(Table1[[#This Row],[DriverID]],CarrierDriverTBL!$A:$A,0))</f>
        <v>US</v>
      </c>
      <c r="BB520" s="554" t="str">
        <f>INDEX(CarrierDriverTBL!$R:$R,MATCH(Table1[[#This Row],[DriverID]],CarrierDriverTBL!$A:$A,0))</f>
        <v>Miguelmartin52@yahoo.com</v>
      </c>
      <c r="BC520" s="556">
        <f>INDEX(CarrierDriverTBL!$AB:$AB,MATCH(Table1[[#This Row],[DriverID]],CarrierDriverTBL!$A:$A,0))</f>
        <v>42334</v>
      </c>
      <c r="BD520" s="555" t="str">
        <f ca="1">INDEX(CarrierDriverTBL!$AD:$AD,MATCH(LoadMaster!$AN:$AN,CarrierDriverTBL!$A:$A,0))</f>
        <v>MISSING</v>
      </c>
      <c r="BE520" s="555">
        <f>INDEX(CarrierDriverTBL!$AE:$AE,MATCH(Table1[DriverID],CarrierDriverTBL!$A:$A,0))</f>
        <v>913971</v>
      </c>
      <c r="BF520" s="554">
        <f>INDEX(CarrierDriverTBL!$AF:$AF,MATCH(Table1[DriverID],CarrierDriverTBL!$A:$A,0))</f>
        <v>2627544</v>
      </c>
      <c r="BG520" s="236">
        <f>INDEX(CarrierDriverTBL!$AG:$AG,MATCH(Table1[DriverID],CarrierDriverTBL!$A:$A,0))</f>
        <v>466133</v>
      </c>
      <c r="BH520" s="554" t="str">
        <f>INDEX(CarrierDriverTBL!$AH:$AH,MATCH(Table1[DriverID],CarrierDriverTBL!$A:$A,0))</f>
        <v>GM Lawrence Ins</v>
      </c>
      <c r="BI520" s="554" t="str">
        <f>INDEX(CarrierDriverTBL!$AI:$AI,MATCH(Table1[DriverID],CarrierDriverTBL!$A:$A,0))</f>
        <v>DSK2842P160210</v>
      </c>
      <c r="BJ520" s="556">
        <f>INDEX(CarrierDriverTBL!$AJ:$AJ,MATCH(Table1[[#This Row],[DriverID]],CarrierDriverTBL!$A:$A,0))</f>
        <v>42778</v>
      </c>
      <c r="BK520" s="554">
        <f t="shared" si="382"/>
        <v>222</v>
      </c>
      <c r="BL520" s="558">
        <v>700</v>
      </c>
      <c r="BM520" s="554">
        <v>326.2</v>
      </c>
      <c r="BN520" s="558">
        <f t="shared" si="399"/>
        <v>2.1459227467811162</v>
      </c>
      <c r="BO520" s="241">
        <f>0.93*700</f>
        <v>651</v>
      </c>
      <c r="BP520" s="558">
        <f t="shared" si="400"/>
        <v>1.9957081545064379</v>
      </c>
      <c r="BQ520" s="558">
        <v>2.8</v>
      </c>
      <c r="BR520" s="559">
        <f t="shared" si="401"/>
        <v>0.15</v>
      </c>
      <c r="BS520" s="558">
        <f t="shared" si="402"/>
        <v>1.845708154506438</v>
      </c>
      <c r="BT520" s="558">
        <f t="shared" si="403"/>
        <v>48.93</v>
      </c>
      <c r="BU520" s="236" t="str">
        <f t="shared" si="383"/>
        <v xml:space="preserve">Timco Logistics Brokerage </v>
      </c>
      <c r="BV520" s="554"/>
      <c r="BW520" s="236" t="str">
        <f>Table1[[#This Row],[BrokerAddress]]</f>
        <v>412 SOUTH I-35E</v>
      </c>
      <c r="BX520" s="236" t="str">
        <f t="shared" si="384"/>
        <v>RED OAK</v>
      </c>
      <c r="BY520" s="269" t="str">
        <f t="shared" si="385"/>
        <v>TX</v>
      </c>
      <c r="BZ520" s="236">
        <f t="shared" si="386"/>
        <v>75154</v>
      </c>
      <c r="CA520" s="236" t="str">
        <f t="shared" si="387"/>
        <v>US</v>
      </c>
      <c r="CB520" s="15" t="s">
        <v>131</v>
      </c>
      <c r="CC520" s="561"/>
      <c r="CD520" s="15" t="s">
        <v>132</v>
      </c>
      <c r="CE520" s="64">
        <v>0</v>
      </c>
      <c r="CF520" s="4">
        <v>0</v>
      </c>
      <c r="CG520" s="132">
        <f t="shared" ref="CG520" si="423">CE520*CF520</f>
        <v>0</v>
      </c>
      <c r="CH520" s="4" t="s">
        <v>132</v>
      </c>
      <c r="CI520" s="5">
        <v>0</v>
      </c>
      <c r="CJ520" s="4">
        <v>0</v>
      </c>
      <c r="CK520" s="132">
        <f t="shared" ref="CK520" si="424">CI520*CJ520</f>
        <v>0</v>
      </c>
      <c r="CL520" s="4" t="s">
        <v>132</v>
      </c>
      <c r="CM520" s="5">
        <v>0</v>
      </c>
      <c r="CN520" s="4">
        <v>0</v>
      </c>
      <c r="CO520" s="132">
        <f t="shared" ref="CO520" si="425">CM520*CN520</f>
        <v>0</v>
      </c>
      <c r="CP520" s="4" t="s">
        <v>132</v>
      </c>
      <c r="CQ520" s="5">
        <v>0</v>
      </c>
      <c r="CR520" s="4">
        <v>0</v>
      </c>
      <c r="CS520" s="412">
        <f t="shared" ref="CS520" si="426">CQ520*CR520</f>
        <v>0</v>
      </c>
      <c r="CT520" s="412">
        <f t="shared" ref="CT520" si="427">CG520+CK520+CO520+CS520</f>
        <v>0</v>
      </c>
      <c r="CU520" s="238">
        <f t="shared" si="409"/>
        <v>700</v>
      </c>
      <c r="CV520" s="239">
        <f t="shared" si="410"/>
        <v>0</v>
      </c>
      <c r="CW520" s="240">
        <f t="shared" si="411"/>
        <v>651</v>
      </c>
      <c r="CX520" s="79">
        <f>IF(ISBLANK(E520),"AddQuickPay",IF(E520=2,CU520*0.98,IF(E520=2.4,CU520*0.976,IF(E520=3,CU520*0.97,IF(E520=5,CU520*0.95,IF(E520=1.5,CU520*0.985,IF(E520=2.5,CU520*0.975,IF(E520=1.3,CU520*0.987,IF(E520=1,CU520*0.99,IF(E520=4,CU520*0.96,CU520*1))))))))))-Table1[[#This Row],[ComCheck+QuickPayFee]]</f>
        <v>665</v>
      </c>
      <c r="CY520" s="237">
        <f t="shared" si="412"/>
        <v>49</v>
      </c>
      <c r="CZ520" s="237">
        <f t="shared" si="391"/>
        <v>35</v>
      </c>
      <c r="DA520" s="263">
        <f>Table1[[#This Row],[OriginalDispatch]]-Table1[[#This Row],[QuickPayCharge]]</f>
        <v>14</v>
      </c>
      <c r="DB520" s="5">
        <v>0</v>
      </c>
      <c r="DC520" s="237" t="s">
        <v>133</v>
      </c>
      <c r="DD520" s="549">
        <f t="shared" si="392"/>
        <v>42559</v>
      </c>
      <c r="DE520" s="554">
        <f>MONTH(Table1[[#This Row],[Weekending]])</f>
        <v>7</v>
      </c>
      <c r="DF520" s="554">
        <f>YEAR(Table1[[#This Row],[Weekending]])</f>
        <v>2016</v>
      </c>
      <c r="DG520" s="235"/>
    </row>
    <row r="521" spans="1:111">
      <c r="A521" s="548" t="str">
        <f t="shared" si="380"/>
        <v>42383849</v>
      </c>
      <c r="B521" s="549">
        <v>42557</v>
      </c>
      <c r="C521" s="550">
        <v>565442</v>
      </c>
      <c r="D521" s="548" t="s">
        <v>1997</v>
      </c>
      <c r="E521" s="550">
        <v>2</v>
      </c>
      <c r="F521" s="551" t="str">
        <f>INDEX(BrokerTBL!$B:$B,MATCH(D521,BrokerTBL!$A:$A,0))</f>
        <v>12755 East Nine Mile Road</v>
      </c>
      <c r="G521" s="550" t="str">
        <f>INDEX(BrokerTBL!$C:$C,MATCH(D521,BrokerTBL!$A:$A,0))</f>
        <v>Warren</v>
      </c>
      <c r="H521" s="235" t="str">
        <f>INDEX(BrokerTBL!$D:$D,MATCH(D521,BrokerTBL!$A:$A,0))</f>
        <v>Mi</v>
      </c>
      <c r="I521" s="235" t="str">
        <f>INDEX(BrokerTBL!$E:$E,MATCH(D521,BrokerTBL!$A:$A,0))</f>
        <v>US</v>
      </c>
      <c r="J521" s="235">
        <f>INDEX(BrokerTBL!$F:$F,MATCH(D521,BrokerTBL!$A:$A,0))</f>
        <v>48089</v>
      </c>
      <c r="K521" s="548" t="s">
        <v>3319</v>
      </c>
      <c r="L521" s="552">
        <v>1790622738</v>
      </c>
      <c r="M521" s="549">
        <v>42557</v>
      </c>
      <c r="N521" s="560">
        <v>0.375</v>
      </c>
      <c r="O521" s="550" t="s">
        <v>2271</v>
      </c>
      <c r="P521" s="548" t="s">
        <v>605</v>
      </c>
      <c r="Q521" s="548" t="s">
        <v>2206</v>
      </c>
      <c r="R521" s="548">
        <v>95330</v>
      </c>
      <c r="S521" s="548" t="s">
        <v>2207</v>
      </c>
      <c r="T521" s="548" t="s">
        <v>123</v>
      </c>
      <c r="U521" s="548" t="s">
        <v>120</v>
      </c>
      <c r="V521" s="548">
        <v>53</v>
      </c>
      <c r="W521" s="548" t="s">
        <v>1205</v>
      </c>
      <c r="X521" s="553">
        <v>43181.17</v>
      </c>
      <c r="Y521" s="550" t="s">
        <v>123</v>
      </c>
      <c r="Z521" s="548" t="s">
        <v>123</v>
      </c>
      <c r="AA521" s="548" t="s">
        <v>123</v>
      </c>
      <c r="AB521" s="548" t="s">
        <v>123</v>
      </c>
      <c r="AC521" s="548" t="s">
        <v>2272</v>
      </c>
      <c r="AD521" s="552">
        <v>1790622738</v>
      </c>
      <c r="AE521" s="549">
        <v>42557</v>
      </c>
      <c r="AF521" s="560">
        <v>8.3333333333333329E-2</v>
      </c>
      <c r="AG521" s="548" t="s">
        <v>2274</v>
      </c>
      <c r="AH521" s="548" t="s">
        <v>380</v>
      </c>
      <c r="AI521" s="548" t="s">
        <v>2206</v>
      </c>
      <c r="AJ521" s="548">
        <v>95377</v>
      </c>
      <c r="AK521" s="548" t="s">
        <v>2207</v>
      </c>
      <c r="AL521" s="548" t="s">
        <v>123</v>
      </c>
      <c r="AM521" s="554" t="str">
        <f>INDEX(CarrierDriverTBL!$B:$B,MATCH(Table1[[#This Row],[DriverID]],CarrierDriverTBL!$A:$A,0))</f>
        <v>UBTrucking</v>
      </c>
      <c r="AN521" s="10" t="s">
        <v>192</v>
      </c>
      <c r="AO521" s="555" t="str">
        <f>INDEX(CarrierDriverTBL!$C:$C,MATCH(Table1[[#This Row],[DriverID]],CarrierDriverTBL!$A:$A,0))</f>
        <v>Albel</v>
      </c>
      <c r="AP521" s="555" t="str">
        <f>INDEX(CarrierDriverTBL!$D:$D,MATCH(Table1[[#This Row],[DriverID]],CarrierDriverTBL!$A:$A,0))</f>
        <v>Chahil</v>
      </c>
      <c r="AQ521" s="555" t="str">
        <f>INDEX(CarrierDriverTBL!$X:$X,MATCH(Table1[[#This Row],[DriverID]],CarrierDriverTBL!$A:$A,0))</f>
        <v>A8390649</v>
      </c>
      <c r="AR521" s="556">
        <f>INDEX(CarrierDriverTBL!$Y:$Y,MATCH(Table1[[#This Row],[DriverID]],CarrierDriverTBL!$A:$A,0))</f>
        <v>42402</v>
      </c>
      <c r="AS521" s="554" t="str">
        <f t="shared" si="381"/>
        <v>EXPIRED</v>
      </c>
      <c r="AT521" s="556">
        <f>INDEX(CarrierDriverTBL!$E:$E,MATCH(Table1[[#This Row],[DriverID]],CarrierDriverTBL!$A:$A,0))</f>
        <v>22314</v>
      </c>
      <c r="AU521" s="557">
        <f ca="1">INDEX(CarrierDriverTBL!$F:$F,MATCH(Table1[[#This Row],[DriverID]],CarrierDriverTBL!$A:$A,0))</f>
        <v>55.512328767123286</v>
      </c>
      <c r="AV521" s="554" t="str">
        <f>INDEX(CarrierDriverTBL!$K:$K,MATCH(Table1[[#This Row],[DriverID]],CarrierDriverTBL!$A:$A,0))</f>
        <v>510-773-9450</v>
      </c>
      <c r="AW521" s="554" t="str">
        <f>INDEX(CarrierDriverTBL!$M:$M,MATCH(Table1[[#This Row],[DriverID]],CarrierDriverTBL!$A:$A,0))</f>
        <v>3124 Cynthia CT</v>
      </c>
      <c r="AX521" s="554" t="str">
        <f>INDEX(CarrierDriverTBL!$N:$N,MATCH(Table1[[#This Row],[DriverID]],CarrierDriverTBL!$A:$A,0))</f>
        <v>Tracy</v>
      </c>
      <c r="AY521" s="554" t="str">
        <f>INDEX(CarrierDriverTBL!$O:$O,MATCH(Table1[[#This Row],[DriverID]],CarrierDriverTBL!$A:$A,0))</f>
        <v>CA</v>
      </c>
      <c r="AZ521" s="554">
        <f>INDEX(CarrierDriverTBL!$P:$P,MATCH(Table1[[#This Row],[DriverID]],CarrierDriverTBL!$A:$A,0))</f>
        <v>95377</v>
      </c>
      <c r="BA521" s="554" t="str">
        <f>INDEX(CarrierDriverTBL!$Q:$Q,MATCH(Table1[[#This Row],[DriverID]],CarrierDriverTBL!$A:$A,0))</f>
        <v>US</v>
      </c>
      <c r="BB521" s="554" t="str">
        <f>INDEX(CarrierDriverTBL!$R:$R,MATCH(Table1[[#This Row],[DriverID]],CarrierDriverTBL!$A:$A,0))</f>
        <v>ubgollc@gmail.com</v>
      </c>
      <c r="BC521" s="556">
        <f>INDEX(CarrierDriverTBL!$AB:$AB,MATCH(Table1[[#This Row],[DriverID]],CarrierDriverTBL!$A:$A,0))</f>
        <v>42167</v>
      </c>
      <c r="BD521" s="555" t="str">
        <f ca="1">INDEX(CarrierDriverTBL!$AD:$AD,MATCH(LoadMaster!$AN:$AN,CarrierDriverTBL!$A:$A,0))</f>
        <v>MISSING</v>
      </c>
      <c r="BE521" s="555">
        <f>INDEX(CarrierDriverTBL!$AE:$AE,MATCH(Table1[DriverID],CarrierDriverTBL!$A:$A,0))</f>
        <v>913971</v>
      </c>
      <c r="BF521" s="554">
        <f>INDEX(CarrierDriverTBL!$AF:$AF,MATCH(Table1[DriverID],CarrierDriverTBL!$A:$A,0))</f>
        <v>2627544</v>
      </c>
      <c r="BG521" s="236">
        <f>INDEX(CarrierDriverTBL!$AG:$AG,MATCH(Table1[DriverID],CarrierDriverTBL!$A:$A,0))</f>
        <v>466133</v>
      </c>
      <c r="BH521" s="554" t="str">
        <f>INDEX(CarrierDriverTBL!$AH:$AH,MATCH(Table1[DriverID],CarrierDriverTBL!$A:$A,0))</f>
        <v>GM Lawrence Ins</v>
      </c>
      <c r="BI521" s="554" t="str">
        <f>INDEX(CarrierDriverTBL!$AI:$AI,MATCH(Table1[DriverID],CarrierDriverTBL!$A:$A,0))</f>
        <v>DSK2842P160210</v>
      </c>
      <c r="BJ521" s="556">
        <f>INDEX(CarrierDriverTBL!$AJ:$AJ,MATCH(Table1[[#This Row],[DriverID]],CarrierDriverTBL!$A:$A,0))</f>
        <v>42778</v>
      </c>
      <c r="BK521" s="554">
        <f t="shared" si="382"/>
        <v>221</v>
      </c>
      <c r="BL521" s="558">
        <v>300</v>
      </c>
      <c r="BM521" s="554">
        <v>11.8</v>
      </c>
      <c r="BN521" s="558">
        <f t="shared" si="399"/>
        <v>25.423728813559322</v>
      </c>
      <c r="BO521" s="241">
        <f>0.93*300</f>
        <v>279</v>
      </c>
      <c r="BP521" s="558">
        <f t="shared" si="400"/>
        <v>23.64406779661017</v>
      </c>
      <c r="BQ521" s="558">
        <v>2.8</v>
      </c>
      <c r="BR521" s="559">
        <f t="shared" si="401"/>
        <v>0.15</v>
      </c>
      <c r="BS521" s="558">
        <f t="shared" si="402"/>
        <v>23.494067796610171</v>
      </c>
      <c r="BT521" s="558">
        <f t="shared" si="403"/>
        <v>1.77</v>
      </c>
      <c r="BU521" s="236" t="str">
        <f t="shared" si="383"/>
        <v>Cavalry Logistics</v>
      </c>
      <c r="BV521" s="554"/>
      <c r="BW521" s="236" t="str">
        <f>Table1[[#This Row],[BrokerAddress]]</f>
        <v>12755 East Nine Mile Road</v>
      </c>
      <c r="BX521" s="236" t="str">
        <f t="shared" si="384"/>
        <v>Warren</v>
      </c>
      <c r="BY521" s="269" t="str">
        <f t="shared" si="385"/>
        <v>Mi</v>
      </c>
      <c r="BZ521" s="236">
        <f t="shared" si="386"/>
        <v>48089</v>
      </c>
      <c r="CA521" s="236" t="str">
        <f t="shared" si="387"/>
        <v>US</v>
      </c>
      <c r="CB521" s="15" t="s">
        <v>131</v>
      </c>
      <c r="CC521" s="561"/>
      <c r="CD521" s="15" t="s">
        <v>132</v>
      </c>
      <c r="CE521" s="64">
        <v>0</v>
      </c>
      <c r="CF521" s="4">
        <v>0</v>
      </c>
      <c r="CG521" s="132">
        <f t="shared" ref="CG521" si="428">CE521*CF521</f>
        <v>0</v>
      </c>
      <c r="CH521" s="4" t="s">
        <v>132</v>
      </c>
      <c r="CI521" s="5">
        <v>0</v>
      </c>
      <c r="CJ521" s="4">
        <v>0</v>
      </c>
      <c r="CK521" s="132">
        <f t="shared" ref="CK521" si="429">CI521*CJ521</f>
        <v>0</v>
      </c>
      <c r="CL521" s="4" t="s">
        <v>132</v>
      </c>
      <c r="CM521" s="5">
        <v>0</v>
      </c>
      <c r="CN521" s="4">
        <v>0</v>
      </c>
      <c r="CO521" s="132">
        <f t="shared" ref="CO521" si="430">CM521*CN521</f>
        <v>0</v>
      </c>
      <c r="CP521" s="4" t="s">
        <v>132</v>
      </c>
      <c r="CQ521" s="5">
        <v>0</v>
      </c>
      <c r="CR521" s="4">
        <v>0</v>
      </c>
      <c r="CS521" s="412">
        <f t="shared" ref="CS521" si="431">CQ521*CR521</f>
        <v>0</v>
      </c>
      <c r="CT521" s="412">
        <f t="shared" ref="CT521" si="432">CG521+CK521+CO521+CS521</f>
        <v>0</v>
      </c>
      <c r="CU521" s="238">
        <f t="shared" si="409"/>
        <v>300</v>
      </c>
      <c r="CV521" s="239">
        <f t="shared" si="410"/>
        <v>0</v>
      </c>
      <c r="CW521" s="240">
        <f t="shared" si="411"/>
        <v>279</v>
      </c>
      <c r="CX521" s="79">
        <f>IF(ISBLANK(E521),"AddQuickPay",IF(E521=2,CU521*0.98,IF(E521=2.4,CU521*0.976,IF(E521=3,CU521*0.97,IF(E521=5,CU521*0.95,IF(E521=1.5,CU521*0.985,IF(E521=2.5,CU521*0.975,IF(E521=1.3,CU521*0.987,IF(E521=1,CU521*0.99,IF(E521=4,CU521*0.96,CU521*1))))))))))-Table1[[#This Row],[ComCheck+QuickPayFee]]</f>
        <v>294</v>
      </c>
      <c r="CY521" s="237">
        <f t="shared" si="412"/>
        <v>21</v>
      </c>
      <c r="CZ521" s="237">
        <f t="shared" si="391"/>
        <v>6</v>
      </c>
      <c r="DA521" s="263">
        <f>Table1[[#This Row],[OriginalDispatch]]-Table1[[#This Row],[QuickPayCharge]]</f>
        <v>15</v>
      </c>
      <c r="DB521" s="5">
        <v>0</v>
      </c>
      <c r="DC521" s="237" t="s">
        <v>133</v>
      </c>
      <c r="DD521" s="549">
        <f t="shared" si="392"/>
        <v>42559</v>
      </c>
      <c r="DE521" s="554">
        <f>MONTH(Table1[[#This Row],[Weekending]])</f>
        <v>7</v>
      </c>
      <c r="DF521" s="554">
        <f>YEAR(Table1[[#This Row],[Weekending]])</f>
        <v>2016</v>
      </c>
      <c r="DG521" s="235"/>
    </row>
    <row r="522" spans="1:111">
      <c r="A522" s="548" t="str">
        <f t="shared" si="380"/>
        <v>99523319</v>
      </c>
      <c r="B522" s="549">
        <v>42557</v>
      </c>
      <c r="C522" s="550">
        <v>7657499</v>
      </c>
      <c r="D522" s="548" t="s">
        <v>445</v>
      </c>
      <c r="E522" s="550">
        <v>3</v>
      </c>
      <c r="F522" s="551" t="str">
        <f>INDEX(BrokerTBL!$B:$B,MATCH(D522,BrokerTBL!$A:$A,0))</f>
        <v>960 Northpoint Parkway Suite 150</v>
      </c>
      <c r="G522" s="550" t="str">
        <f>INDEX(BrokerTBL!$C:$C,MATCH(D522,BrokerTBL!$A:$A,0))</f>
        <v>Alpharetta</v>
      </c>
      <c r="H522" s="235" t="str">
        <f>INDEX(BrokerTBL!$D:$D,MATCH(D522,BrokerTBL!$A:$A,0))</f>
        <v>Ga</v>
      </c>
      <c r="I522" s="235" t="str">
        <f>INDEX(BrokerTBL!$E:$E,MATCH(D522,BrokerTBL!$A:$A,0))</f>
        <v>US</v>
      </c>
      <c r="J522" s="235">
        <f>INDEX(BrokerTBL!$F:$F,MATCH(D522,BrokerTBL!$A:$A,0))</f>
        <v>30005</v>
      </c>
      <c r="K522" s="548" t="s">
        <v>3320</v>
      </c>
      <c r="L522" s="552">
        <v>13606952</v>
      </c>
      <c r="M522" s="549">
        <v>42557</v>
      </c>
      <c r="N522" s="550" t="s">
        <v>3321</v>
      </c>
      <c r="O522" s="550" t="s">
        <v>1117</v>
      </c>
      <c r="P522" s="548" t="s">
        <v>1118</v>
      </c>
      <c r="Q522" s="548" t="s">
        <v>2206</v>
      </c>
      <c r="R522" s="548">
        <v>91730</v>
      </c>
      <c r="S522" s="548" t="s">
        <v>2207</v>
      </c>
      <c r="T522" s="548" t="s">
        <v>123</v>
      </c>
      <c r="U522" s="548" t="s">
        <v>120</v>
      </c>
      <c r="V522" s="548">
        <v>53</v>
      </c>
      <c r="W522" s="548" t="s">
        <v>1536</v>
      </c>
      <c r="X522" s="553">
        <v>45000</v>
      </c>
      <c r="Y522" s="550" t="s">
        <v>566</v>
      </c>
      <c r="Z522" s="548">
        <v>2676</v>
      </c>
      <c r="AA522" s="548">
        <v>72</v>
      </c>
      <c r="AB522" s="548" t="s">
        <v>123</v>
      </c>
      <c r="AC522" s="548" t="s">
        <v>3322</v>
      </c>
      <c r="AD522" s="552">
        <v>1656081633</v>
      </c>
      <c r="AE522" s="549" t="s">
        <v>3323</v>
      </c>
      <c r="AF522" s="560">
        <v>0.33333333333333331</v>
      </c>
      <c r="AG522" s="548" t="s">
        <v>3324</v>
      </c>
      <c r="AH522" s="548" t="s">
        <v>1343</v>
      </c>
      <c r="AI522" s="548" t="s">
        <v>2206</v>
      </c>
      <c r="AJ522" s="548">
        <v>96080</v>
      </c>
      <c r="AK522" s="548" t="s">
        <v>2207</v>
      </c>
      <c r="AL522" s="548" t="s">
        <v>123</v>
      </c>
      <c r="AM522" s="554" t="str">
        <f>INDEX(CarrierDriverTBL!$B:$B,MATCH(Table1[[#This Row],[DriverID]],CarrierDriverTBL!$A:$A,0))</f>
        <v>UBTrucking</v>
      </c>
      <c r="AN522" s="10" t="s">
        <v>1409</v>
      </c>
      <c r="AO522" s="555" t="str">
        <f>INDEX(CarrierDriverTBL!$C:$C,MATCH(Table1[[#This Row],[DriverID]],CarrierDriverTBL!$A:$A,0))</f>
        <v>Miguel Jaime</v>
      </c>
      <c r="AP522" s="555" t="str">
        <f>INDEX(CarrierDriverTBL!$D:$D,MATCH(Table1[[#This Row],[DriverID]],CarrierDriverTBL!$A:$A,0))</f>
        <v>Martin Del Campo Velarca</v>
      </c>
      <c r="AQ522" s="555" t="str">
        <f>INDEX(CarrierDriverTBL!$X:$X,MATCH(Table1[[#This Row],[DriverID]],CarrierDriverTBL!$A:$A,0))</f>
        <v>D5179619</v>
      </c>
      <c r="AR522" s="556">
        <f>INDEX(CarrierDriverTBL!$Y:$Y,MATCH(Table1[[#This Row],[DriverID]],CarrierDriverTBL!$A:$A,0))</f>
        <v>43843</v>
      </c>
      <c r="AS522" s="554" t="str">
        <f t="shared" si="381"/>
        <v>GOOD</v>
      </c>
      <c r="AT522" s="556">
        <f>INDEX(CarrierDriverTBL!$E:$E,MATCH(Table1[[#This Row],[DriverID]],CarrierDriverTBL!$A:$A,0))</f>
        <v>21198</v>
      </c>
      <c r="AU522" s="557">
        <f ca="1">INDEX(CarrierDriverTBL!$F:$F,MATCH(Table1[[#This Row],[DriverID]],CarrierDriverTBL!$A:$A,0))</f>
        <v>58.56986301369863</v>
      </c>
      <c r="AV522" s="554" t="str">
        <f>INDEX(CarrierDriverTBL!$K:$K,MATCH(Table1[[#This Row],[DriverID]],CarrierDriverTBL!$A:$A,0))</f>
        <v>209-322-5231</v>
      </c>
      <c r="AW522" s="554" t="str">
        <f>INDEX(CarrierDriverTBL!$M:$M,MATCH(Table1[[#This Row],[DriverID]],CarrierDriverTBL!$A:$A,0))</f>
        <v>572 Predersen RD</v>
      </c>
      <c r="AX522" s="554" t="str">
        <f>INDEX(CarrierDriverTBL!$N:$N,MATCH(Table1[[#This Row],[DriverID]],CarrierDriverTBL!$A:$A,0))</f>
        <v>Oakdale</v>
      </c>
      <c r="AY522" s="554" t="str">
        <f>INDEX(CarrierDriverTBL!$O:$O,MATCH(Table1[[#This Row],[DriverID]],CarrierDriverTBL!$A:$A,0))</f>
        <v>CA</v>
      </c>
      <c r="AZ522" s="554">
        <f>INDEX(CarrierDriverTBL!$P:$P,MATCH(Table1[[#This Row],[DriverID]],CarrierDriverTBL!$A:$A,0))</f>
        <v>95361</v>
      </c>
      <c r="BA522" s="554" t="str">
        <f>INDEX(CarrierDriverTBL!$Q:$Q,MATCH(Table1[[#This Row],[DriverID]],CarrierDriverTBL!$A:$A,0))</f>
        <v>US</v>
      </c>
      <c r="BB522" s="554" t="str">
        <f>INDEX(CarrierDriverTBL!$R:$R,MATCH(Table1[[#This Row],[DriverID]],CarrierDriverTBL!$A:$A,0))</f>
        <v>Miguelmartin52@yahoo.com</v>
      </c>
      <c r="BC522" s="556">
        <f>INDEX(CarrierDriverTBL!$AB:$AB,MATCH(Table1[[#This Row],[DriverID]],CarrierDriverTBL!$A:$A,0))</f>
        <v>42334</v>
      </c>
      <c r="BD522" s="555" t="str">
        <f ca="1">INDEX(CarrierDriverTBL!$AD:$AD,MATCH(LoadMaster!$AN:$AN,CarrierDriverTBL!$A:$A,0))</f>
        <v>MISSING</v>
      </c>
      <c r="BE522" s="555">
        <f>INDEX(CarrierDriverTBL!$AE:$AE,MATCH(Table1[DriverID],CarrierDriverTBL!$A:$A,0))</f>
        <v>913971</v>
      </c>
      <c r="BF522" s="554">
        <f>INDEX(CarrierDriverTBL!$AF:$AF,MATCH(Table1[DriverID],CarrierDriverTBL!$A:$A,0))</f>
        <v>2627544</v>
      </c>
      <c r="BG522" s="236">
        <f>INDEX(CarrierDriverTBL!$AG:$AG,MATCH(Table1[DriverID],CarrierDriverTBL!$A:$A,0))</f>
        <v>466133</v>
      </c>
      <c r="BH522" s="554" t="str">
        <f>INDEX(CarrierDriverTBL!$AH:$AH,MATCH(Table1[DriverID],CarrierDriverTBL!$A:$A,0))</f>
        <v>GM Lawrence Ins</v>
      </c>
      <c r="BI522" s="554" t="str">
        <f>INDEX(CarrierDriverTBL!$AI:$AI,MATCH(Table1[DriverID],CarrierDriverTBL!$A:$A,0))</f>
        <v>DSK2842P160210</v>
      </c>
      <c r="BJ522" s="556">
        <f>INDEX(CarrierDriverTBL!$AJ:$AJ,MATCH(Table1[[#This Row],[DriverID]],CarrierDriverTBL!$A:$A,0))</f>
        <v>42778</v>
      </c>
      <c r="BK522" s="554">
        <f t="shared" si="382"/>
        <v>221</v>
      </c>
      <c r="BL522" s="558">
        <v>1500</v>
      </c>
      <c r="BM522" s="554">
        <v>549.4</v>
      </c>
      <c r="BN522" s="558">
        <f t="shared" si="399"/>
        <v>2.7302511831088463</v>
      </c>
      <c r="BO522" s="241">
        <f>0.93*1500</f>
        <v>1395</v>
      </c>
      <c r="BP522" s="558">
        <f t="shared" si="400"/>
        <v>2.539133600291227</v>
      </c>
      <c r="BQ522" s="558">
        <v>2.8</v>
      </c>
      <c r="BR522" s="559">
        <f t="shared" si="401"/>
        <v>0.15</v>
      </c>
      <c r="BS522" s="558">
        <f t="shared" si="402"/>
        <v>2.3891336002912271</v>
      </c>
      <c r="BT522" s="558">
        <f t="shared" si="403"/>
        <v>82.41</v>
      </c>
      <c r="BU522" s="236" t="str">
        <f t="shared" si="383"/>
        <v>Coyote</v>
      </c>
      <c r="BV522" s="554"/>
      <c r="BW522" s="236" t="str">
        <f>Table1[[#This Row],[BrokerAddress]]</f>
        <v>960 Northpoint Parkway Suite 150</v>
      </c>
      <c r="BX522" s="236" t="str">
        <f t="shared" si="384"/>
        <v>Alpharetta</v>
      </c>
      <c r="BY522" s="269" t="str">
        <f t="shared" si="385"/>
        <v>Ga</v>
      </c>
      <c r="BZ522" s="236">
        <f t="shared" si="386"/>
        <v>30005</v>
      </c>
      <c r="CA522" s="236" t="str">
        <f t="shared" si="387"/>
        <v>US</v>
      </c>
      <c r="CB522" s="15" t="s">
        <v>131</v>
      </c>
      <c r="CC522" s="561"/>
      <c r="CD522" s="15" t="s">
        <v>149</v>
      </c>
      <c r="CE522" s="64">
        <v>50</v>
      </c>
      <c r="CF522" s="4">
        <v>1.5</v>
      </c>
      <c r="CG522" s="132">
        <f t="shared" ref="CG522" si="433">CE522*CF522</f>
        <v>75</v>
      </c>
      <c r="CH522" s="4" t="s">
        <v>132</v>
      </c>
      <c r="CI522" s="5">
        <v>0</v>
      </c>
      <c r="CJ522" s="4">
        <v>0</v>
      </c>
      <c r="CK522" s="132">
        <f t="shared" ref="CK522" si="434">CI522*CJ522</f>
        <v>0</v>
      </c>
      <c r="CL522" s="4" t="s">
        <v>132</v>
      </c>
      <c r="CM522" s="5">
        <v>0</v>
      </c>
      <c r="CN522" s="4">
        <v>0</v>
      </c>
      <c r="CO522" s="132">
        <f t="shared" ref="CO522" si="435">CM522*CN522</f>
        <v>0</v>
      </c>
      <c r="CP522" s="4" t="s">
        <v>132</v>
      </c>
      <c r="CQ522" s="5">
        <v>0</v>
      </c>
      <c r="CR522" s="4">
        <v>0</v>
      </c>
      <c r="CS522" s="412">
        <f t="shared" ref="CS522" si="436">CQ522*CR522</f>
        <v>0</v>
      </c>
      <c r="CT522" s="412">
        <f t="shared" ref="CT522" si="437">CG522+CK522+CO522+CS522</f>
        <v>75</v>
      </c>
      <c r="CU522" s="238">
        <f t="shared" si="409"/>
        <v>1575</v>
      </c>
      <c r="CV522" s="239">
        <f t="shared" si="410"/>
        <v>69.75</v>
      </c>
      <c r="CW522" s="240">
        <f t="shared" si="411"/>
        <v>1464.75</v>
      </c>
      <c r="CX522" s="79">
        <f>IF(ISBLANK(E522),"AddQuickPay",IF(E522=2,CU522*0.98,IF(E522=2.4,CU522*0.976,IF(E522=3,CU522*0.97,IF(E522=5,CU522*0.95,IF(E522=1.5,CU522*0.985,IF(E522=2.5,CU522*0.975,IF(E522=1.3,CU522*0.987,IF(E522=1,CU522*0.99,IF(E522=4,CU522*0.96,CU522*1))))))))))-Table1[[#This Row],[ComCheck+QuickPayFee]]</f>
        <v>1527.75</v>
      </c>
      <c r="CY522" s="237">
        <f t="shared" si="412"/>
        <v>110.25</v>
      </c>
      <c r="CZ522" s="237">
        <f t="shared" si="391"/>
        <v>47.25</v>
      </c>
      <c r="DA522" s="263">
        <f>Table1[[#This Row],[OriginalDispatch]]-Table1[[#This Row],[QuickPayCharge]]</f>
        <v>63</v>
      </c>
      <c r="DB522" s="5">
        <v>0</v>
      </c>
      <c r="DC522" s="237" t="s">
        <v>133</v>
      </c>
      <c r="DD522" s="549">
        <f t="shared" si="392"/>
        <v>42559</v>
      </c>
      <c r="DE522" s="554">
        <f>MONTH(Table1[[#This Row],[Weekending]])</f>
        <v>7</v>
      </c>
      <c r="DF522" s="554">
        <f>YEAR(Table1[[#This Row],[Weekending]])</f>
        <v>2016</v>
      </c>
      <c r="DG522" s="235"/>
    </row>
    <row r="523" spans="1:111">
      <c r="A523" s="548" t="str">
        <f t="shared" si="380"/>
        <v>02344249</v>
      </c>
      <c r="B523" s="549">
        <v>42557</v>
      </c>
      <c r="C523" s="550" t="s">
        <v>3325</v>
      </c>
      <c r="D523" s="548" t="s">
        <v>3326</v>
      </c>
      <c r="E523" s="550">
        <v>0</v>
      </c>
      <c r="F523" s="551" t="str">
        <f>INDEX(BrokerTBL!$B:$B,MATCH(D523,BrokerTBL!$A:$A,0))</f>
        <v>1400 LOMBARDI AVE, SUITE 204</v>
      </c>
      <c r="G523" s="550" t="str">
        <f>INDEX(BrokerTBL!$C:$C,MATCH(D523,BrokerTBL!$A:$A,0))</f>
        <v>GREEN BAY</v>
      </c>
      <c r="H523" s="235" t="str">
        <f>INDEX(BrokerTBL!$D:$D,MATCH(D523,BrokerTBL!$A:$A,0))</f>
        <v>Wisconsin</v>
      </c>
      <c r="I523" s="235" t="str">
        <f>INDEX(BrokerTBL!$E:$E,MATCH(D523,BrokerTBL!$A:$A,0))</f>
        <v>US</v>
      </c>
      <c r="J523" s="235">
        <f>INDEX(BrokerTBL!$F:$F,MATCH(D523,BrokerTBL!$A:$A,0))</f>
        <v>54304</v>
      </c>
      <c r="K523" s="548" t="s">
        <v>3327</v>
      </c>
      <c r="L523" s="552" t="s">
        <v>3328</v>
      </c>
      <c r="M523" s="549">
        <v>42557</v>
      </c>
      <c r="N523" s="560">
        <v>0.625</v>
      </c>
      <c r="O523" s="550" t="s">
        <v>3329</v>
      </c>
      <c r="P523" s="548" t="s">
        <v>3330</v>
      </c>
      <c r="Q523" s="548" t="s">
        <v>2206</v>
      </c>
      <c r="R523" s="548">
        <v>95366</v>
      </c>
      <c r="S523" s="548" t="s">
        <v>2207</v>
      </c>
      <c r="T523" s="548" t="s">
        <v>3331</v>
      </c>
      <c r="U523" s="548" t="s">
        <v>120</v>
      </c>
      <c r="V523" s="548">
        <v>53</v>
      </c>
      <c r="W523" s="548" t="s">
        <v>3332</v>
      </c>
      <c r="X523" s="553">
        <v>44000</v>
      </c>
      <c r="Y523" s="550" t="s">
        <v>3333</v>
      </c>
      <c r="Z523" s="548">
        <v>26</v>
      </c>
      <c r="AA523" s="548" t="s">
        <v>123</v>
      </c>
      <c r="AB523" s="548" t="s">
        <v>123</v>
      </c>
      <c r="AC523" s="548" t="s">
        <v>3334</v>
      </c>
      <c r="AD523" s="552" t="s">
        <v>3335</v>
      </c>
      <c r="AE523" s="549">
        <v>42558</v>
      </c>
      <c r="AF523" s="560">
        <v>0.22916666666666666</v>
      </c>
      <c r="AG523" s="548" t="s">
        <v>3336</v>
      </c>
      <c r="AH523" s="548" t="s">
        <v>2466</v>
      </c>
      <c r="AI523" s="548" t="s">
        <v>2233</v>
      </c>
      <c r="AJ523" s="548">
        <v>89508</v>
      </c>
      <c r="AK523" s="548" t="s">
        <v>2207</v>
      </c>
      <c r="AL523" s="548" t="s">
        <v>123</v>
      </c>
      <c r="AM523" s="554" t="str">
        <f>INDEX(CarrierDriverTBL!$B:$B,MATCH(Table1[[#This Row],[DriverID]],CarrierDriverTBL!$A:$A,0))</f>
        <v>UBTrucking</v>
      </c>
      <c r="AN523" s="10" t="s">
        <v>192</v>
      </c>
      <c r="AO523" s="555" t="str">
        <f>INDEX(CarrierDriverTBL!$C:$C,MATCH(Table1[[#This Row],[DriverID]],CarrierDriverTBL!$A:$A,0))</f>
        <v>Albel</v>
      </c>
      <c r="AP523" s="555" t="str">
        <f>INDEX(CarrierDriverTBL!$D:$D,MATCH(Table1[[#This Row],[DriverID]],CarrierDriverTBL!$A:$A,0))</f>
        <v>Chahil</v>
      </c>
      <c r="AQ523" s="555" t="str">
        <f>INDEX(CarrierDriverTBL!$X:$X,MATCH(Table1[[#This Row],[DriverID]],CarrierDriverTBL!$A:$A,0))</f>
        <v>A8390649</v>
      </c>
      <c r="AR523" s="556">
        <f>INDEX(CarrierDriverTBL!$Y:$Y,MATCH(Table1[[#This Row],[DriverID]],CarrierDriverTBL!$A:$A,0))</f>
        <v>42402</v>
      </c>
      <c r="AS523" s="554" t="str">
        <f t="shared" si="381"/>
        <v>EXPIRED</v>
      </c>
      <c r="AT523" s="556">
        <f>INDEX(CarrierDriverTBL!$E:$E,MATCH(Table1[[#This Row],[DriverID]],CarrierDriverTBL!$A:$A,0))</f>
        <v>22314</v>
      </c>
      <c r="AU523" s="557">
        <f ca="1">INDEX(CarrierDriverTBL!$F:$F,MATCH(Table1[[#This Row],[DriverID]],CarrierDriverTBL!$A:$A,0))</f>
        <v>55.512328767123286</v>
      </c>
      <c r="AV523" s="554" t="str">
        <f>INDEX(CarrierDriverTBL!$K:$K,MATCH(Table1[[#This Row],[DriverID]],CarrierDriverTBL!$A:$A,0))</f>
        <v>510-773-9450</v>
      </c>
      <c r="AW523" s="554" t="str">
        <f>INDEX(CarrierDriverTBL!$M:$M,MATCH(Table1[[#This Row],[DriverID]],CarrierDriverTBL!$A:$A,0))</f>
        <v>3124 Cynthia CT</v>
      </c>
      <c r="AX523" s="554" t="str">
        <f>INDEX(CarrierDriverTBL!$N:$N,MATCH(Table1[[#This Row],[DriverID]],CarrierDriverTBL!$A:$A,0))</f>
        <v>Tracy</v>
      </c>
      <c r="AY523" s="554" t="str">
        <f>INDEX(CarrierDriverTBL!$O:$O,MATCH(Table1[[#This Row],[DriverID]],CarrierDriverTBL!$A:$A,0))</f>
        <v>CA</v>
      </c>
      <c r="AZ523" s="554">
        <f>INDEX(CarrierDriverTBL!$P:$P,MATCH(Table1[[#This Row],[DriverID]],CarrierDriverTBL!$A:$A,0))</f>
        <v>95377</v>
      </c>
      <c r="BA523" s="554" t="str">
        <f>INDEX(CarrierDriverTBL!$Q:$Q,MATCH(Table1[[#This Row],[DriverID]],CarrierDriverTBL!$A:$A,0))</f>
        <v>US</v>
      </c>
      <c r="BB523" s="554" t="str">
        <f>INDEX(CarrierDriverTBL!$R:$R,MATCH(Table1[[#This Row],[DriverID]],CarrierDriverTBL!$A:$A,0))</f>
        <v>ubgollc@gmail.com</v>
      </c>
      <c r="BC523" s="556">
        <f>INDEX(CarrierDriverTBL!$AB:$AB,MATCH(Table1[[#This Row],[DriverID]],CarrierDriverTBL!$A:$A,0))</f>
        <v>42167</v>
      </c>
      <c r="BD523" s="555" t="str">
        <f ca="1">INDEX(CarrierDriverTBL!$AD:$AD,MATCH(LoadMaster!$AN:$AN,CarrierDriverTBL!$A:$A,0))</f>
        <v>MISSING</v>
      </c>
      <c r="BE523" s="555">
        <f>INDEX(CarrierDriverTBL!$AE:$AE,MATCH(Table1[DriverID],CarrierDriverTBL!$A:$A,0))</f>
        <v>913971</v>
      </c>
      <c r="BF523" s="554">
        <f>INDEX(CarrierDriverTBL!$AF:$AF,MATCH(Table1[DriverID],CarrierDriverTBL!$A:$A,0))</f>
        <v>2627544</v>
      </c>
      <c r="BG523" s="236">
        <f>INDEX(CarrierDriverTBL!$AG:$AG,MATCH(Table1[DriverID],CarrierDriverTBL!$A:$A,0))</f>
        <v>466133</v>
      </c>
      <c r="BH523" s="554" t="str">
        <f>INDEX(CarrierDriverTBL!$AH:$AH,MATCH(Table1[DriverID],CarrierDriverTBL!$A:$A,0))</f>
        <v>GM Lawrence Ins</v>
      </c>
      <c r="BI523" s="554" t="str">
        <f>INDEX(CarrierDriverTBL!$AI:$AI,MATCH(Table1[DriverID],CarrierDriverTBL!$A:$A,0))</f>
        <v>DSK2842P160210</v>
      </c>
      <c r="BJ523" s="556">
        <f>INDEX(CarrierDriverTBL!$AJ:$AJ,MATCH(Table1[[#This Row],[DriverID]],CarrierDriverTBL!$A:$A,0))</f>
        <v>42778</v>
      </c>
      <c r="BK523" s="554">
        <f t="shared" si="382"/>
        <v>221</v>
      </c>
      <c r="BL523" s="558">
        <v>700</v>
      </c>
      <c r="BM523" s="554">
        <v>211</v>
      </c>
      <c r="BN523" s="558">
        <f t="shared" si="399"/>
        <v>3.3175355450236967</v>
      </c>
      <c r="BO523" s="241">
        <f>0.93*700</f>
        <v>651</v>
      </c>
      <c r="BP523" s="558">
        <f t="shared" si="400"/>
        <v>3.0853080568720381</v>
      </c>
      <c r="BQ523" s="558">
        <v>2.8</v>
      </c>
      <c r="BR523" s="559">
        <f t="shared" si="401"/>
        <v>0.15</v>
      </c>
      <c r="BS523" s="558">
        <f t="shared" si="402"/>
        <v>2.9353080568720382</v>
      </c>
      <c r="BT523" s="558">
        <f t="shared" si="403"/>
        <v>31.65</v>
      </c>
      <c r="BU523" s="236" t="str">
        <f t="shared" si="383"/>
        <v xml:space="preserve">Genco Freight Solutions </v>
      </c>
      <c r="BV523" s="554"/>
      <c r="BW523" s="236" t="str">
        <f>Table1[[#This Row],[BrokerAddress]]</f>
        <v>1400 LOMBARDI AVE, SUITE 204</v>
      </c>
      <c r="BX523" s="236" t="str">
        <f t="shared" si="384"/>
        <v>GREEN BAY</v>
      </c>
      <c r="BY523" s="269" t="str">
        <f t="shared" si="385"/>
        <v>Wisconsin</v>
      </c>
      <c r="BZ523" s="236">
        <f t="shared" si="386"/>
        <v>54304</v>
      </c>
      <c r="CA523" s="236" t="str">
        <f t="shared" si="387"/>
        <v>US</v>
      </c>
      <c r="CB523" s="15" t="s">
        <v>131</v>
      </c>
      <c r="CC523" s="561"/>
      <c r="CD523" s="15" t="s">
        <v>149</v>
      </c>
      <c r="CE523" s="64">
        <v>50</v>
      </c>
      <c r="CF523" s="4">
        <v>1.5</v>
      </c>
      <c r="CG523" s="132">
        <f t="shared" ref="CG523:CG524" si="438">CE523*CF523</f>
        <v>75</v>
      </c>
      <c r="CH523" s="4" t="s">
        <v>132</v>
      </c>
      <c r="CI523" s="5">
        <v>0</v>
      </c>
      <c r="CJ523" s="4">
        <v>0</v>
      </c>
      <c r="CK523" s="132">
        <f t="shared" ref="CK523:CK524" si="439">CI523*CJ523</f>
        <v>0</v>
      </c>
      <c r="CL523" s="4" t="s">
        <v>132</v>
      </c>
      <c r="CM523" s="5">
        <v>0</v>
      </c>
      <c r="CN523" s="4">
        <v>0</v>
      </c>
      <c r="CO523" s="132">
        <f t="shared" ref="CO523:CO524" si="440">CM523*CN523</f>
        <v>0</v>
      </c>
      <c r="CP523" s="4" t="s">
        <v>132</v>
      </c>
      <c r="CQ523" s="5">
        <v>0</v>
      </c>
      <c r="CR523" s="4">
        <v>0</v>
      </c>
      <c r="CS523" s="412">
        <f t="shared" ref="CS523:CS524" si="441">CQ523*CR523</f>
        <v>0</v>
      </c>
      <c r="CT523" s="412">
        <f t="shared" ref="CT523:CT524" si="442">CG523+CK523+CO523+CS523</f>
        <v>75</v>
      </c>
      <c r="CU523" s="238">
        <f t="shared" si="409"/>
        <v>775</v>
      </c>
      <c r="CV523" s="239">
        <f t="shared" si="410"/>
        <v>75</v>
      </c>
      <c r="CW523" s="240">
        <f t="shared" si="411"/>
        <v>726</v>
      </c>
      <c r="CX523" s="79">
        <f>IF(ISBLANK(E523),"AddQuickPay",IF(E523=2,CU523*0.98,IF(E523=2.4,CU523*0.976,IF(E523=3,CU523*0.97,IF(E523=5,CU523*0.95,IF(E523=1.5,CU523*0.985,IF(E523=2.5,CU523*0.975,IF(E523=1.3,CU523*0.987,IF(E523=1,CU523*0.99,IF(E523=4,CU523*0.96,CU523*1))))))))))-Table1[[#This Row],[ComCheck+QuickPayFee]]</f>
        <v>775</v>
      </c>
      <c r="CY523" s="237">
        <f t="shared" si="412"/>
        <v>49</v>
      </c>
      <c r="CZ523" s="237">
        <f t="shared" si="391"/>
        <v>0</v>
      </c>
      <c r="DA523" s="263">
        <f>Table1[[#This Row],[OriginalDispatch]]-Table1[[#This Row],[QuickPayCharge]]</f>
        <v>49</v>
      </c>
      <c r="DB523" s="5">
        <v>0</v>
      </c>
      <c r="DC523" s="237" t="s">
        <v>133</v>
      </c>
      <c r="DD523" s="549">
        <f t="shared" si="392"/>
        <v>42559</v>
      </c>
      <c r="DE523" s="554">
        <f>MONTH(Table1[[#This Row],[Weekending]])</f>
        <v>7</v>
      </c>
      <c r="DF523" s="554">
        <f>YEAR(Table1[[#This Row],[Weekending]])</f>
        <v>2016</v>
      </c>
      <c r="DG523" s="235"/>
    </row>
    <row r="524" spans="1:111">
      <c r="A524" s="548" t="str">
        <f t="shared" si="380"/>
        <v>12989893</v>
      </c>
      <c r="B524" s="549" t="s">
        <v>3337</v>
      </c>
      <c r="C524" s="550">
        <v>7993812</v>
      </c>
      <c r="D524" s="548" t="s">
        <v>2185</v>
      </c>
      <c r="E524" s="550">
        <v>4</v>
      </c>
      <c r="F524" s="551" t="str">
        <f>INDEX(BrokerTBL!$B:$B,MATCH(D524,BrokerTBL!$A:$A,0))</f>
        <v>PO Box 6348</v>
      </c>
      <c r="G524" s="550" t="str">
        <f>INDEX(BrokerTBL!$C:$C,MATCH(D524,BrokerTBL!$A:$A,0))</f>
        <v>Scottsdale</v>
      </c>
      <c r="H524" s="235" t="str">
        <f>INDEX(BrokerTBL!$D:$D,MATCH(D524,BrokerTBL!$A:$A,0))</f>
        <v>Az</v>
      </c>
      <c r="I524" s="235" t="str">
        <f>INDEX(BrokerTBL!$E:$E,MATCH(D524,BrokerTBL!$A:$A,0))</f>
        <v>US</v>
      </c>
      <c r="J524" s="235">
        <f>INDEX(BrokerTBL!$F:$F,MATCH(D524,BrokerTBL!$A:$A,0))</f>
        <v>85258</v>
      </c>
      <c r="K524" s="548" t="s">
        <v>2374</v>
      </c>
      <c r="L524" s="552">
        <v>20210517698</v>
      </c>
      <c r="M524" s="549">
        <v>42559</v>
      </c>
      <c r="N524" s="550" t="s">
        <v>3313</v>
      </c>
      <c r="O524" s="550" t="s">
        <v>2375</v>
      </c>
      <c r="P524" s="548" t="s">
        <v>214</v>
      </c>
      <c r="Q524" s="548" t="s">
        <v>2206</v>
      </c>
      <c r="R524" s="548">
        <v>93725</v>
      </c>
      <c r="S524" s="548" t="s">
        <v>2207</v>
      </c>
      <c r="T524" s="548" t="s">
        <v>123</v>
      </c>
      <c r="U524" s="548" t="s">
        <v>120</v>
      </c>
      <c r="V524" s="548">
        <v>53</v>
      </c>
      <c r="W524" s="548" t="s">
        <v>2376</v>
      </c>
      <c r="X524" s="553">
        <v>44820</v>
      </c>
      <c r="Y524" s="550" t="s">
        <v>3338</v>
      </c>
      <c r="Z524" s="548">
        <v>1184</v>
      </c>
      <c r="AA524" s="548">
        <v>27</v>
      </c>
      <c r="AB524" s="548" t="s">
        <v>123</v>
      </c>
      <c r="AC524" s="548" t="s">
        <v>2377</v>
      </c>
      <c r="AD524" s="552">
        <v>20210517698</v>
      </c>
      <c r="AE524" s="549">
        <v>42562</v>
      </c>
      <c r="AF524" s="549" t="s">
        <v>2902</v>
      </c>
      <c r="AG524" s="548" t="s">
        <v>2378</v>
      </c>
      <c r="AH524" s="548" t="s">
        <v>738</v>
      </c>
      <c r="AI524" s="548" t="s">
        <v>2233</v>
      </c>
      <c r="AJ524" s="548">
        <v>89502</v>
      </c>
      <c r="AK524" s="548" t="s">
        <v>2207</v>
      </c>
      <c r="AL524" s="548" t="s">
        <v>123</v>
      </c>
      <c r="AM524" s="554" t="str">
        <f>INDEX(CarrierDriverTBL!$B:$B,MATCH(Table1[[#This Row],[DriverID]],CarrierDriverTBL!$A:$A,0))</f>
        <v>UBTrucking</v>
      </c>
      <c r="AN524" s="10" t="s">
        <v>2234</v>
      </c>
      <c r="AO524" s="555" t="str">
        <f>INDEX(CarrierDriverTBL!$C:$C,MATCH(Table1[[#This Row],[DriverID]],CarrierDriverTBL!$A:$A,0))</f>
        <v>Arturo</v>
      </c>
      <c r="AP524" s="555" t="str">
        <f>INDEX(CarrierDriverTBL!$D:$D,MATCH(Table1[[#This Row],[DriverID]],CarrierDriverTBL!$A:$A,0))</f>
        <v>Carrillo</v>
      </c>
      <c r="AQ524" s="555" t="str">
        <f>INDEX(CarrierDriverTBL!$X:$X,MATCH(Table1[[#This Row],[DriverID]],CarrierDriverTBL!$A:$A,0))</f>
        <v>C7056793</v>
      </c>
      <c r="AR524" s="556">
        <f>INDEX(CarrierDriverTBL!$Y:$Y,MATCH(Table1[[#This Row],[DriverID]],CarrierDriverTBL!$A:$A,0))</f>
        <v>43410</v>
      </c>
      <c r="AS524" s="554" t="str">
        <f t="shared" si="381"/>
        <v>GOOD</v>
      </c>
      <c r="AT524" s="556">
        <f>INDEX(CarrierDriverTBL!$E:$E,MATCH(Table1[[#This Row],[DriverID]],CarrierDriverTBL!$A:$A,0))</f>
        <v>24782</v>
      </c>
      <c r="AU524" s="557">
        <f ca="1">INDEX(CarrierDriverTBL!$F:$F,MATCH(Table1[[#This Row],[DriverID]],CarrierDriverTBL!$A:$A,0))</f>
        <v>48.750684931506846</v>
      </c>
      <c r="AV524" s="554" t="str">
        <f>INDEX(CarrierDriverTBL!$K:$K,MATCH(Table1[[#This Row],[DriverID]],CarrierDriverTBL!$A:$A,0))</f>
        <v>209-276-9785</v>
      </c>
      <c r="AW524" s="554" t="str">
        <f>INDEX(CarrierDriverTBL!$M:$M,MATCH(Table1[[#This Row],[DriverID]],CarrierDriverTBL!$A:$A,0))</f>
        <v>1685 Winthrop Ln</v>
      </c>
      <c r="AX524" s="554" t="str">
        <f>INDEX(CarrierDriverTBL!$N:$N,MATCH(Table1[[#This Row],[DriverID]],CarrierDriverTBL!$A:$A,0))</f>
        <v>Ceres</v>
      </c>
      <c r="AY524" s="554" t="str">
        <f>INDEX(CarrierDriverTBL!$O:$O,MATCH(Table1[[#This Row],[DriverID]],CarrierDriverTBL!$A:$A,0))</f>
        <v>CA</v>
      </c>
      <c r="AZ524" s="554">
        <f>INDEX(CarrierDriverTBL!$P:$P,MATCH(Table1[[#This Row],[DriverID]],CarrierDriverTBL!$A:$A,0))</f>
        <v>95307</v>
      </c>
      <c r="BA524" s="554" t="str">
        <f>INDEX(CarrierDriverTBL!$Q:$Q,MATCH(Table1[[#This Row],[DriverID]],CarrierDriverTBL!$A:$A,0))</f>
        <v>US</v>
      </c>
      <c r="BB524" s="554" t="str">
        <f>INDEX(CarrierDriverTBL!$R:$R,MATCH(Table1[[#This Row],[DriverID]],CarrierDriverTBL!$A:$A,0))</f>
        <v>arturocarr777@gmail.com</v>
      </c>
      <c r="BC524" s="556">
        <f>INDEX(CarrierDriverTBL!$AB:$AB,MATCH(Table1[[#This Row],[DriverID]],CarrierDriverTBL!$A:$A,0))</f>
        <v>42418</v>
      </c>
      <c r="BD524" s="555" t="str">
        <f ca="1">INDEX(CarrierDriverTBL!$AD:$AD,MATCH(LoadMaster!$AN:$AN,CarrierDriverTBL!$A:$A,0))</f>
        <v>MISSING</v>
      </c>
      <c r="BE524" s="555">
        <f>INDEX(CarrierDriverTBL!$AE:$AE,MATCH(Table1[DriverID],CarrierDriverTBL!$A:$A,0))</f>
        <v>913971</v>
      </c>
      <c r="BF524" s="554">
        <f>INDEX(CarrierDriverTBL!$AF:$AF,MATCH(Table1[DriverID],CarrierDriverTBL!$A:$A,0))</f>
        <v>2627544</v>
      </c>
      <c r="BG524" s="236">
        <f>INDEX(CarrierDriverTBL!$AG:$AG,MATCH(Table1[DriverID],CarrierDriverTBL!$A:$A,0))</f>
        <v>466133</v>
      </c>
      <c r="BH524" s="554" t="str">
        <f>INDEX(CarrierDriverTBL!$AH:$AH,MATCH(Table1[DriverID],CarrierDriverTBL!$A:$A,0))</f>
        <v>GM Lawrence Ins</v>
      </c>
      <c r="BI524" s="554" t="str">
        <f>INDEX(CarrierDriverTBL!$AI:$AI,MATCH(Table1[DriverID],CarrierDriverTBL!$A:$A,0))</f>
        <v>DSK2842P160210</v>
      </c>
      <c r="BJ524" s="556">
        <f>INDEX(CarrierDriverTBL!$AJ:$AJ,MATCH(Table1[[#This Row],[DriverID]],CarrierDriverTBL!$A:$A,0))</f>
        <v>42778</v>
      </c>
      <c r="BK524" s="554">
        <f t="shared" si="382"/>
        <v>219</v>
      </c>
      <c r="BL524" s="558">
        <v>900</v>
      </c>
      <c r="BM524" s="554">
        <v>300.10000000000002</v>
      </c>
      <c r="BN524" s="558">
        <f t="shared" ref="BN524:BN533" si="443">BL524/BM524</f>
        <v>2.9990003332222592</v>
      </c>
      <c r="BO524" s="241">
        <f>0.93*900</f>
        <v>837</v>
      </c>
      <c r="BP524" s="558">
        <f t="shared" ref="BP524:BP533" si="444">BO524/BM524</f>
        <v>2.7890703098967009</v>
      </c>
      <c r="BQ524" s="558">
        <v>2.8</v>
      </c>
      <c r="BR524" s="559">
        <f t="shared" ref="BR524:BR533" si="445">(BQ524-1.9)/6</f>
        <v>0.15</v>
      </c>
      <c r="BS524" s="558">
        <f t="shared" ref="BS524:BS533" si="446">BP524-BR524</f>
        <v>2.639070309896701</v>
      </c>
      <c r="BT524" s="558">
        <f t="shared" ref="BT524:BT533" si="447">BM524*BR524</f>
        <v>45.015000000000001</v>
      </c>
      <c r="BU524" s="236" t="str">
        <f t="shared" ref="BU524:BU533" si="448">D524</f>
        <v>Globaltranz</v>
      </c>
      <c r="BV524" s="554"/>
      <c r="BW524" s="236" t="str">
        <f>Table1[[#This Row],[BrokerAddress]]</f>
        <v>PO Box 6348</v>
      </c>
      <c r="BX524" s="236" t="str">
        <f t="shared" ref="BX524:BX533" si="449">G524</f>
        <v>Scottsdale</v>
      </c>
      <c r="BY524" s="269" t="str">
        <f t="shared" ref="BY524:BY533" si="450">H524</f>
        <v>Az</v>
      </c>
      <c r="BZ524" s="236">
        <f t="shared" ref="BZ524:BZ533" si="451">J524</f>
        <v>85258</v>
      </c>
      <c r="CA524" s="236" t="str">
        <f t="shared" ref="CA524:CA533" si="452">I524</f>
        <v>US</v>
      </c>
      <c r="CB524" s="15" t="s">
        <v>131</v>
      </c>
      <c r="CC524" s="561"/>
      <c r="CD524" s="15" t="s">
        <v>132</v>
      </c>
      <c r="CE524" s="64">
        <v>0</v>
      </c>
      <c r="CF524" s="4">
        <v>0</v>
      </c>
      <c r="CG524" s="132">
        <f t="shared" si="438"/>
        <v>0</v>
      </c>
      <c r="CH524" s="4" t="s">
        <v>132</v>
      </c>
      <c r="CI524" s="5">
        <v>0</v>
      </c>
      <c r="CJ524" s="4">
        <v>0</v>
      </c>
      <c r="CK524" s="132">
        <f t="shared" si="439"/>
        <v>0</v>
      </c>
      <c r="CL524" s="4" t="s">
        <v>132</v>
      </c>
      <c r="CM524" s="5">
        <v>0</v>
      </c>
      <c r="CN524" s="4">
        <v>0</v>
      </c>
      <c r="CO524" s="132">
        <f t="shared" si="440"/>
        <v>0</v>
      </c>
      <c r="CP524" s="4" t="s">
        <v>132</v>
      </c>
      <c r="CQ524" s="5">
        <v>0</v>
      </c>
      <c r="CR524" s="4">
        <v>0</v>
      </c>
      <c r="CS524" s="412">
        <f t="shared" si="441"/>
        <v>0</v>
      </c>
      <c r="CT524" s="412">
        <f t="shared" si="442"/>
        <v>0</v>
      </c>
      <c r="CU524" s="238">
        <f t="shared" ref="CU524:CU533" si="453">(CT524+BL524)-CC524</f>
        <v>900</v>
      </c>
      <c r="CV524" s="239">
        <f t="shared" ref="CV524:CV533" si="454">IF(AO524="Albel",(CT524*1),(CT524*0.93))</f>
        <v>0</v>
      </c>
      <c r="CW524" s="240">
        <f t="shared" ref="CW524:CW533" si="455">BO524+CV524</f>
        <v>837</v>
      </c>
      <c r="CX524" s="79">
        <f>IF(ISBLANK(E524),"AddQuickPay",IF(E524=2,CU524*0.98,IF(E524=2.4,CU524*0.976,IF(E524=3,CU524*0.97,IF(E524=5,CU524*0.95,IF(E524=1.5,CU524*0.985,IF(E524=2.5,CU524*0.975,IF(E524=1.3,CU524*0.987,IF(E524=1,CU524*0.99,IF(E524=4,CU524*0.96,CU524*1))))))))))-Table1[[#This Row],[ComCheck+QuickPayFee]]</f>
        <v>864</v>
      </c>
      <c r="CY524" s="237">
        <f t="shared" ref="CY524:CY533" si="456">CU524-CW524</f>
        <v>63</v>
      </c>
      <c r="CZ524" s="237">
        <f t="shared" si="391"/>
        <v>36</v>
      </c>
      <c r="DA524" s="263">
        <f>Table1[[#This Row],[OriginalDispatch]]-Table1[[#This Row],[QuickPayCharge]]</f>
        <v>27</v>
      </c>
      <c r="DB524" s="5">
        <v>0</v>
      </c>
      <c r="DC524" s="237" t="s">
        <v>133</v>
      </c>
      <c r="DD524" s="549">
        <f t="shared" si="392"/>
        <v>42559</v>
      </c>
      <c r="DE524" s="554">
        <f>MONTH(Table1[[#This Row],[Weekending]])</f>
        <v>7</v>
      </c>
      <c r="DF524" s="554">
        <f>YEAR(Table1[[#This Row],[Weekending]])</f>
        <v>2016</v>
      </c>
      <c r="DG524" s="235"/>
    </row>
    <row r="525" spans="1:111">
      <c r="A525" s="548" t="str">
        <f t="shared" si="380"/>
        <v>43wnwn49</v>
      </c>
      <c r="B525" s="549">
        <v>42563</v>
      </c>
      <c r="C525" s="550">
        <v>387643</v>
      </c>
      <c r="D525" s="548" t="s">
        <v>2686</v>
      </c>
      <c r="E525" s="550">
        <v>4</v>
      </c>
      <c r="F525" s="551" t="str">
        <f>INDEX(BrokerTBL!$B:$B,MATCH(D525,BrokerTBL!$A:$A,0))</f>
        <v>10739 Deerwood Park Blvd. Suite 103</v>
      </c>
      <c r="G525" s="550" t="str">
        <f>INDEX(BrokerTBL!$C:$C,MATCH(D525,BrokerTBL!$A:$A,0))</f>
        <v>Jacksonville</v>
      </c>
      <c r="H525" s="235" t="str">
        <f>INDEX(BrokerTBL!$D:$D,MATCH(D525,BrokerTBL!$A:$A,0))</f>
        <v>FL</v>
      </c>
      <c r="I525" s="235" t="str">
        <f>INDEX(BrokerTBL!$E:$E,MATCH(D525,BrokerTBL!$A:$A,0))</f>
        <v>US</v>
      </c>
      <c r="J525" s="235">
        <f>INDEX(BrokerTBL!$F:$F,MATCH(D525,BrokerTBL!$A:$A,0))</f>
        <v>32256</v>
      </c>
      <c r="K525" s="548" t="s">
        <v>3339</v>
      </c>
      <c r="L525" s="552" t="s">
        <v>1205</v>
      </c>
      <c r="M525" s="549">
        <v>42559</v>
      </c>
      <c r="N525" s="550" t="s">
        <v>3340</v>
      </c>
      <c r="O525" s="550" t="s">
        <v>3341</v>
      </c>
      <c r="P525" s="548" t="s">
        <v>3342</v>
      </c>
      <c r="Q525" s="548" t="s">
        <v>2206</v>
      </c>
      <c r="R525" s="548">
        <v>94525</v>
      </c>
      <c r="S525" s="548" t="s">
        <v>2207</v>
      </c>
      <c r="T525" s="548" t="s">
        <v>123</v>
      </c>
      <c r="U525" s="548" t="s">
        <v>120</v>
      </c>
      <c r="V525" s="548">
        <v>53</v>
      </c>
      <c r="W525" s="548" t="s">
        <v>3343</v>
      </c>
      <c r="X525" s="553">
        <v>42000</v>
      </c>
      <c r="Y525" s="550" t="s">
        <v>123</v>
      </c>
      <c r="Z525" s="548" t="s">
        <v>123</v>
      </c>
      <c r="AA525" s="548" t="s">
        <v>123</v>
      </c>
      <c r="AB525" s="548" t="s">
        <v>123</v>
      </c>
      <c r="AC525" s="548" t="s">
        <v>3344</v>
      </c>
      <c r="AD525" s="552" t="s">
        <v>1205</v>
      </c>
      <c r="AE525" s="549">
        <v>42562</v>
      </c>
      <c r="AF525" s="549" t="s">
        <v>2902</v>
      </c>
      <c r="AG525" s="548" t="s">
        <v>3345</v>
      </c>
      <c r="AH525" s="548" t="s">
        <v>634</v>
      </c>
      <c r="AI525" s="548" t="s">
        <v>2206</v>
      </c>
      <c r="AJ525" s="548">
        <v>93458</v>
      </c>
      <c r="AK525" s="548" t="s">
        <v>2207</v>
      </c>
      <c r="AL525" s="548" t="s">
        <v>123</v>
      </c>
      <c r="AM525" s="554" t="str">
        <f>INDEX(CarrierDriverTBL!$B:$B,MATCH(Table1[[#This Row],[DriverID]],CarrierDriverTBL!$A:$A,0))</f>
        <v>UBTrucking</v>
      </c>
      <c r="AN525" s="10" t="s">
        <v>192</v>
      </c>
      <c r="AO525" s="555" t="str">
        <f>INDEX(CarrierDriverTBL!$C:$C,MATCH(Table1[[#This Row],[DriverID]],CarrierDriverTBL!$A:$A,0))</f>
        <v>Albel</v>
      </c>
      <c r="AP525" s="555" t="str">
        <f>INDEX(CarrierDriverTBL!$D:$D,MATCH(Table1[[#This Row],[DriverID]],CarrierDriverTBL!$A:$A,0))</f>
        <v>Chahil</v>
      </c>
      <c r="AQ525" s="555" t="str">
        <f>INDEX(CarrierDriverTBL!$X:$X,MATCH(Table1[[#This Row],[DriverID]],CarrierDriverTBL!$A:$A,0))</f>
        <v>A8390649</v>
      </c>
      <c r="AR525" s="556">
        <f>INDEX(CarrierDriverTBL!$Y:$Y,MATCH(Table1[[#This Row],[DriverID]],CarrierDriverTBL!$A:$A,0))</f>
        <v>42402</v>
      </c>
      <c r="AS525" s="554" t="str">
        <f t="shared" si="381"/>
        <v>EXPIRED</v>
      </c>
      <c r="AT525" s="556">
        <f>INDEX(CarrierDriverTBL!$E:$E,MATCH(Table1[[#This Row],[DriverID]],CarrierDriverTBL!$A:$A,0))</f>
        <v>22314</v>
      </c>
      <c r="AU525" s="557">
        <f ca="1">INDEX(CarrierDriverTBL!$F:$F,MATCH(Table1[[#This Row],[DriverID]],CarrierDriverTBL!$A:$A,0))</f>
        <v>55.512328767123286</v>
      </c>
      <c r="AV525" s="554" t="str">
        <f>INDEX(CarrierDriverTBL!$K:$K,MATCH(Table1[[#This Row],[DriverID]],CarrierDriverTBL!$A:$A,0))</f>
        <v>510-773-9450</v>
      </c>
      <c r="AW525" s="554" t="str">
        <f>INDEX(CarrierDriverTBL!$M:$M,MATCH(Table1[[#This Row],[DriverID]],CarrierDriverTBL!$A:$A,0))</f>
        <v>3124 Cynthia CT</v>
      </c>
      <c r="AX525" s="554" t="str">
        <f>INDEX(CarrierDriverTBL!$N:$N,MATCH(Table1[[#This Row],[DriverID]],CarrierDriverTBL!$A:$A,0))</f>
        <v>Tracy</v>
      </c>
      <c r="AY525" s="554" t="str">
        <f>INDEX(CarrierDriverTBL!$O:$O,MATCH(Table1[[#This Row],[DriverID]],CarrierDriverTBL!$A:$A,0))</f>
        <v>CA</v>
      </c>
      <c r="AZ525" s="554">
        <f>INDEX(CarrierDriverTBL!$P:$P,MATCH(Table1[[#This Row],[DriverID]],CarrierDriverTBL!$A:$A,0))</f>
        <v>95377</v>
      </c>
      <c r="BA525" s="554" t="str">
        <f>INDEX(CarrierDriverTBL!$Q:$Q,MATCH(Table1[[#This Row],[DriverID]],CarrierDriverTBL!$A:$A,0))</f>
        <v>US</v>
      </c>
      <c r="BB525" s="554" t="str">
        <f>INDEX(CarrierDriverTBL!$R:$R,MATCH(Table1[[#This Row],[DriverID]],CarrierDriverTBL!$A:$A,0))</f>
        <v>ubgollc@gmail.com</v>
      </c>
      <c r="BC525" s="556">
        <f>INDEX(CarrierDriverTBL!$AB:$AB,MATCH(Table1[[#This Row],[DriverID]],CarrierDriverTBL!$A:$A,0))</f>
        <v>42167</v>
      </c>
      <c r="BD525" s="555" t="str">
        <f ca="1">INDEX(CarrierDriverTBL!$AD:$AD,MATCH(LoadMaster!$AN:$AN,CarrierDriverTBL!$A:$A,0))</f>
        <v>MISSING</v>
      </c>
      <c r="BE525" s="555">
        <f>INDEX(CarrierDriverTBL!$AE:$AE,MATCH(Table1[DriverID],CarrierDriverTBL!$A:$A,0))</f>
        <v>913971</v>
      </c>
      <c r="BF525" s="554">
        <f>INDEX(CarrierDriverTBL!$AF:$AF,MATCH(Table1[DriverID],CarrierDriverTBL!$A:$A,0))</f>
        <v>2627544</v>
      </c>
      <c r="BG525" s="236">
        <f>INDEX(CarrierDriverTBL!$AG:$AG,MATCH(Table1[DriverID],CarrierDriverTBL!$A:$A,0))</f>
        <v>466133</v>
      </c>
      <c r="BH525" s="554" t="str">
        <f>INDEX(CarrierDriverTBL!$AH:$AH,MATCH(Table1[DriverID],CarrierDriverTBL!$A:$A,0))</f>
        <v>GM Lawrence Ins</v>
      </c>
      <c r="BI525" s="554" t="str">
        <f>INDEX(CarrierDriverTBL!$AI:$AI,MATCH(Table1[DriverID],CarrierDriverTBL!$A:$A,0))</f>
        <v>DSK2842P160210</v>
      </c>
      <c r="BJ525" s="556">
        <f>INDEX(CarrierDriverTBL!$AJ:$AJ,MATCH(Table1[[#This Row],[DriverID]],CarrierDriverTBL!$A:$A,0))</f>
        <v>42778</v>
      </c>
      <c r="BK525" s="554">
        <f t="shared" si="382"/>
        <v>219</v>
      </c>
      <c r="BL525" s="558">
        <v>850</v>
      </c>
      <c r="BM525" s="554">
        <v>278.5</v>
      </c>
      <c r="BN525" s="558">
        <f t="shared" si="443"/>
        <v>3.0520646319569122</v>
      </c>
      <c r="BO525" s="241">
        <f>0.93*850</f>
        <v>790.5</v>
      </c>
      <c r="BP525" s="558">
        <f t="shared" si="444"/>
        <v>2.8384201077199283</v>
      </c>
      <c r="BQ525" s="558">
        <v>2.8</v>
      </c>
      <c r="BR525" s="559">
        <f t="shared" si="445"/>
        <v>0.15</v>
      </c>
      <c r="BS525" s="558">
        <f t="shared" si="446"/>
        <v>2.6884201077199283</v>
      </c>
      <c r="BT525" s="558">
        <f t="shared" si="447"/>
        <v>41.774999999999999</v>
      </c>
      <c r="BU525" s="236" t="str">
        <f t="shared" si="448"/>
        <v>R2 Logistics</v>
      </c>
      <c r="BV525" s="554"/>
      <c r="BW525" s="236" t="str">
        <f>Table1[[#This Row],[BrokerAddress]]</f>
        <v>10739 Deerwood Park Blvd. Suite 103</v>
      </c>
      <c r="BX525" s="236" t="str">
        <f t="shared" si="449"/>
        <v>Jacksonville</v>
      </c>
      <c r="BY525" s="269" t="str">
        <f t="shared" si="450"/>
        <v>FL</v>
      </c>
      <c r="BZ525" s="236">
        <f t="shared" si="451"/>
        <v>32256</v>
      </c>
      <c r="CA525" s="236" t="str">
        <f t="shared" si="452"/>
        <v>US</v>
      </c>
      <c r="CB525" s="15" t="s">
        <v>131</v>
      </c>
      <c r="CC525" s="561"/>
      <c r="CD525" s="15" t="s">
        <v>132</v>
      </c>
      <c r="CE525" s="64">
        <v>0</v>
      </c>
      <c r="CF525" s="4">
        <v>0</v>
      </c>
      <c r="CG525" s="132">
        <f t="shared" ref="CG525" si="457">CE525*CF525</f>
        <v>0</v>
      </c>
      <c r="CH525" s="4" t="s">
        <v>132</v>
      </c>
      <c r="CI525" s="5">
        <v>0</v>
      </c>
      <c r="CJ525" s="4">
        <v>0</v>
      </c>
      <c r="CK525" s="132">
        <f t="shared" ref="CK525" si="458">CI525*CJ525</f>
        <v>0</v>
      </c>
      <c r="CL525" s="4" t="s">
        <v>132</v>
      </c>
      <c r="CM525" s="5">
        <v>0</v>
      </c>
      <c r="CN525" s="4">
        <v>0</v>
      </c>
      <c r="CO525" s="132">
        <f t="shared" ref="CO525" si="459">CM525*CN525</f>
        <v>0</v>
      </c>
      <c r="CP525" s="4" t="s">
        <v>132</v>
      </c>
      <c r="CQ525" s="5">
        <v>0</v>
      </c>
      <c r="CR525" s="4">
        <v>0</v>
      </c>
      <c r="CS525" s="412">
        <f t="shared" ref="CS525" si="460">CQ525*CR525</f>
        <v>0</v>
      </c>
      <c r="CT525" s="412">
        <f t="shared" ref="CT525" si="461">CG525+CK525+CO525+CS525</f>
        <v>0</v>
      </c>
      <c r="CU525" s="238">
        <f t="shared" si="453"/>
        <v>850</v>
      </c>
      <c r="CV525" s="239">
        <f t="shared" si="454"/>
        <v>0</v>
      </c>
      <c r="CW525" s="240">
        <f t="shared" si="455"/>
        <v>790.5</v>
      </c>
      <c r="CX525" s="79">
        <f>IF(ISBLANK(E525),"AddQuickPay",IF(E525=2,CU525*0.98,IF(E525=2.4,CU525*0.976,IF(E525=3,CU525*0.97,IF(E525=5,CU525*0.95,IF(E525=1.5,CU525*0.985,IF(E525=2.5,CU525*0.975,IF(E525=1.3,CU525*0.987,IF(E525=1,CU525*0.99,IF(E525=4,CU525*0.96,CU525*1))))))))))-Table1[[#This Row],[ComCheck+QuickPayFee]]</f>
        <v>816</v>
      </c>
      <c r="CY525" s="237">
        <f t="shared" si="456"/>
        <v>59.5</v>
      </c>
      <c r="CZ525" s="237">
        <f t="shared" si="391"/>
        <v>34</v>
      </c>
      <c r="DA525" s="263">
        <f>Table1[[#This Row],[OriginalDispatch]]-Table1[[#This Row],[QuickPayCharge]]</f>
        <v>25.5</v>
      </c>
      <c r="DB525" s="5">
        <v>0</v>
      </c>
      <c r="DC525" s="237" t="s">
        <v>133</v>
      </c>
      <c r="DD525" s="549">
        <f t="shared" si="392"/>
        <v>42559</v>
      </c>
      <c r="DE525" s="554">
        <f>MONTH(Table1[[#This Row],[Weekending]])</f>
        <v>7</v>
      </c>
      <c r="DF525" s="554">
        <f>YEAR(Table1[[#This Row],[Weekending]])</f>
        <v>2016</v>
      </c>
      <c r="DG525" s="235"/>
    </row>
    <row r="526" spans="1:111">
      <c r="A526" s="548" t="str">
        <f t="shared" si="380"/>
        <v>37wnwn19</v>
      </c>
      <c r="B526" s="549">
        <v>42563</v>
      </c>
      <c r="C526" s="550">
        <v>387637</v>
      </c>
      <c r="D526" s="548" t="s">
        <v>2686</v>
      </c>
      <c r="E526" s="550">
        <v>4</v>
      </c>
      <c r="F526" s="551" t="str">
        <f>INDEX(BrokerTBL!$B:$B,MATCH(D526,BrokerTBL!$A:$A,0))</f>
        <v>10739 Deerwood Park Blvd. Suite 103</v>
      </c>
      <c r="G526" s="550" t="str">
        <f>INDEX(BrokerTBL!$C:$C,MATCH(D526,BrokerTBL!$A:$A,0))</f>
        <v>Jacksonville</v>
      </c>
      <c r="H526" s="235" t="str">
        <f>INDEX(BrokerTBL!$D:$D,MATCH(D526,BrokerTBL!$A:$A,0))</f>
        <v>FL</v>
      </c>
      <c r="I526" s="235" t="str">
        <f>INDEX(BrokerTBL!$E:$E,MATCH(D526,BrokerTBL!$A:$A,0))</f>
        <v>US</v>
      </c>
      <c r="J526" s="235">
        <f>INDEX(BrokerTBL!$F:$F,MATCH(D526,BrokerTBL!$A:$A,0))</f>
        <v>32256</v>
      </c>
      <c r="K526" s="548" t="s">
        <v>3339</v>
      </c>
      <c r="L526" s="552" t="s">
        <v>1205</v>
      </c>
      <c r="M526" s="549">
        <v>42559</v>
      </c>
      <c r="N526" s="550" t="s">
        <v>3346</v>
      </c>
      <c r="O526" s="550" t="s">
        <v>3341</v>
      </c>
      <c r="P526" s="548" t="s">
        <v>3342</v>
      </c>
      <c r="Q526" s="548" t="s">
        <v>2206</v>
      </c>
      <c r="R526" s="548">
        <v>94525</v>
      </c>
      <c r="S526" s="548" t="s">
        <v>2207</v>
      </c>
      <c r="T526" s="548" t="s">
        <v>123</v>
      </c>
      <c r="U526" s="548" t="s">
        <v>120</v>
      </c>
      <c r="V526" s="548">
        <v>53</v>
      </c>
      <c r="W526" s="548" t="s">
        <v>3343</v>
      </c>
      <c r="X526" s="553">
        <v>42000</v>
      </c>
      <c r="Y526" s="550" t="s">
        <v>123</v>
      </c>
      <c r="Z526" s="548" t="s">
        <v>123</v>
      </c>
      <c r="AA526" s="548" t="s">
        <v>123</v>
      </c>
      <c r="AB526" s="548" t="s">
        <v>123</v>
      </c>
      <c r="AC526" s="548" t="s">
        <v>3344</v>
      </c>
      <c r="AD526" s="552" t="s">
        <v>1205</v>
      </c>
      <c r="AE526" s="549">
        <v>42562</v>
      </c>
      <c r="AF526" s="549" t="s">
        <v>2902</v>
      </c>
      <c r="AG526" s="548" t="s">
        <v>3345</v>
      </c>
      <c r="AH526" s="548" t="s">
        <v>634</v>
      </c>
      <c r="AI526" s="548" t="s">
        <v>2206</v>
      </c>
      <c r="AJ526" s="548">
        <v>93458</v>
      </c>
      <c r="AK526" s="548" t="s">
        <v>2207</v>
      </c>
      <c r="AL526" s="548" t="s">
        <v>123</v>
      </c>
      <c r="AM526" s="554" t="str">
        <f>INDEX(CarrierDriverTBL!$B:$B,MATCH(Table1[[#This Row],[DriverID]],CarrierDriverTBL!$A:$A,0))</f>
        <v>UBTrucking</v>
      </c>
      <c r="AN526" s="10" t="s">
        <v>1409</v>
      </c>
      <c r="AO526" s="555" t="str">
        <f>INDEX(CarrierDriverTBL!$C:$C,MATCH(Table1[[#This Row],[DriverID]],CarrierDriverTBL!$A:$A,0))</f>
        <v>Miguel Jaime</v>
      </c>
      <c r="AP526" s="555" t="str">
        <f>INDEX(CarrierDriverTBL!$D:$D,MATCH(Table1[[#This Row],[DriverID]],CarrierDriverTBL!$A:$A,0))</f>
        <v>Martin Del Campo Velarca</v>
      </c>
      <c r="AQ526" s="555" t="str">
        <f>INDEX(CarrierDriverTBL!$X:$X,MATCH(Table1[[#This Row],[DriverID]],CarrierDriverTBL!$A:$A,0))</f>
        <v>D5179619</v>
      </c>
      <c r="AR526" s="556">
        <f>INDEX(CarrierDriverTBL!$Y:$Y,MATCH(Table1[[#This Row],[DriverID]],CarrierDriverTBL!$A:$A,0))</f>
        <v>43843</v>
      </c>
      <c r="AS526" s="554" t="str">
        <f t="shared" si="381"/>
        <v>GOOD</v>
      </c>
      <c r="AT526" s="556">
        <f>INDEX(CarrierDriverTBL!$E:$E,MATCH(Table1[[#This Row],[DriverID]],CarrierDriverTBL!$A:$A,0))</f>
        <v>21198</v>
      </c>
      <c r="AU526" s="557">
        <f ca="1">INDEX(CarrierDriverTBL!$F:$F,MATCH(Table1[[#This Row],[DriverID]],CarrierDriverTBL!$A:$A,0))</f>
        <v>58.56986301369863</v>
      </c>
      <c r="AV526" s="554" t="str">
        <f>INDEX(CarrierDriverTBL!$K:$K,MATCH(Table1[[#This Row],[DriverID]],CarrierDriverTBL!$A:$A,0))</f>
        <v>209-322-5231</v>
      </c>
      <c r="AW526" s="554" t="str">
        <f>INDEX(CarrierDriverTBL!$M:$M,MATCH(Table1[[#This Row],[DriverID]],CarrierDriverTBL!$A:$A,0))</f>
        <v>572 Predersen RD</v>
      </c>
      <c r="AX526" s="554" t="str">
        <f>INDEX(CarrierDriverTBL!$N:$N,MATCH(Table1[[#This Row],[DriverID]],CarrierDriverTBL!$A:$A,0))</f>
        <v>Oakdale</v>
      </c>
      <c r="AY526" s="554" t="str">
        <f>INDEX(CarrierDriverTBL!$O:$O,MATCH(Table1[[#This Row],[DriverID]],CarrierDriverTBL!$A:$A,0))</f>
        <v>CA</v>
      </c>
      <c r="AZ526" s="554">
        <f>INDEX(CarrierDriverTBL!$P:$P,MATCH(Table1[[#This Row],[DriverID]],CarrierDriverTBL!$A:$A,0))</f>
        <v>95361</v>
      </c>
      <c r="BA526" s="554" t="str">
        <f>INDEX(CarrierDriverTBL!$Q:$Q,MATCH(Table1[[#This Row],[DriverID]],CarrierDriverTBL!$A:$A,0))</f>
        <v>US</v>
      </c>
      <c r="BB526" s="554" t="str">
        <f>INDEX(CarrierDriverTBL!$R:$R,MATCH(Table1[[#This Row],[DriverID]],CarrierDriverTBL!$A:$A,0))</f>
        <v>Miguelmartin52@yahoo.com</v>
      </c>
      <c r="BC526" s="556">
        <f>INDEX(CarrierDriverTBL!$AB:$AB,MATCH(Table1[[#This Row],[DriverID]],CarrierDriverTBL!$A:$A,0))</f>
        <v>42334</v>
      </c>
      <c r="BD526" s="555" t="str">
        <f ca="1">INDEX(CarrierDriverTBL!$AD:$AD,MATCH(LoadMaster!$AN:$AN,CarrierDriverTBL!$A:$A,0))</f>
        <v>MISSING</v>
      </c>
      <c r="BE526" s="555">
        <f>INDEX(CarrierDriverTBL!$AE:$AE,MATCH(Table1[DriverID],CarrierDriverTBL!$A:$A,0))</f>
        <v>913971</v>
      </c>
      <c r="BF526" s="554">
        <f>INDEX(CarrierDriverTBL!$AF:$AF,MATCH(Table1[DriverID],CarrierDriverTBL!$A:$A,0))</f>
        <v>2627544</v>
      </c>
      <c r="BG526" s="236">
        <f>INDEX(CarrierDriverTBL!$AG:$AG,MATCH(Table1[DriverID],CarrierDriverTBL!$A:$A,0))</f>
        <v>466133</v>
      </c>
      <c r="BH526" s="554" t="str">
        <f>INDEX(CarrierDriverTBL!$AH:$AH,MATCH(Table1[DriverID],CarrierDriverTBL!$A:$A,0))</f>
        <v>GM Lawrence Ins</v>
      </c>
      <c r="BI526" s="554" t="str">
        <f>INDEX(CarrierDriverTBL!$AI:$AI,MATCH(Table1[DriverID],CarrierDriverTBL!$A:$A,0))</f>
        <v>DSK2842P160210</v>
      </c>
      <c r="BJ526" s="556">
        <f>INDEX(CarrierDriverTBL!$AJ:$AJ,MATCH(Table1[[#This Row],[DriverID]],CarrierDriverTBL!$A:$A,0))</f>
        <v>42778</v>
      </c>
      <c r="BK526" s="554">
        <f t="shared" si="382"/>
        <v>219</v>
      </c>
      <c r="BL526" s="558">
        <v>850</v>
      </c>
      <c r="BM526" s="554">
        <v>278.5</v>
      </c>
      <c r="BN526" s="558">
        <f t="shared" si="443"/>
        <v>3.0520646319569122</v>
      </c>
      <c r="BO526" s="241">
        <f>0.93*850</f>
        <v>790.5</v>
      </c>
      <c r="BP526" s="558">
        <f t="shared" si="444"/>
        <v>2.8384201077199283</v>
      </c>
      <c r="BQ526" s="558">
        <v>2.8</v>
      </c>
      <c r="BR526" s="559">
        <f t="shared" si="445"/>
        <v>0.15</v>
      </c>
      <c r="BS526" s="558">
        <f t="shared" si="446"/>
        <v>2.6884201077199283</v>
      </c>
      <c r="BT526" s="558">
        <f t="shared" si="447"/>
        <v>41.774999999999999</v>
      </c>
      <c r="BU526" s="236" t="str">
        <f t="shared" si="448"/>
        <v>R2 Logistics</v>
      </c>
      <c r="BV526" s="554"/>
      <c r="BW526" s="236" t="str">
        <f>Table1[[#This Row],[BrokerAddress]]</f>
        <v>10739 Deerwood Park Blvd. Suite 103</v>
      </c>
      <c r="BX526" s="236" t="str">
        <f t="shared" si="449"/>
        <v>Jacksonville</v>
      </c>
      <c r="BY526" s="269" t="str">
        <f t="shared" si="450"/>
        <v>FL</v>
      </c>
      <c r="BZ526" s="236">
        <f t="shared" si="451"/>
        <v>32256</v>
      </c>
      <c r="CA526" s="236" t="str">
        <f t="shared" si="452"/>
        <v>US</v>
      </c>
      <c r="CB526" s="15" t="s">
        <v>131</v>
      </c>
      <c r="CC526" s="561"/>
      <c r="CD526" s="15" t="s">
        <v>132</v>
      </c>
      <c r="CE526" s="64">
        <v>0</v>
      </c>
      <c r="CF526" s="4">
        <v>0</v>
      </c>
      <c r="CG526" s="132">
        <f t="shared" ref="CG526" si="462">CE526*CF526</f>
        <v>0</v>
      </c>
      <c r="CH526" s="4" t="s">
        <v>132</v>
      </c>
      <c r="CI526" s="5">
        <v>0</v>
      </c>
      <c r="CJ526" s="4">
        <v>0</v>
      </c>
      <c r="CK526" s="132">
        <f t="shared" ref="CK526" si="463">CI526*CJ526</f>
        <v>0</v>
      </c>
      <c r="CL526" s="4" t="s">
        <v>132</v>
      </c>
      <c r="CM526" s="5">
        <v>0</v>
      </c>
      <c r="CN526" s="4">
        <v>0</v>
      </c>
      <c r="CO526" s="132">
        <f t="shared" ref="CO526" si="464">CM526*CN526</f>
        <v>0</v>
      </c>
      <c r="CP526" s="4" t="s">
        <v>132</v>
      </c>
      <c r="CQ526" s="5">
        <v>0</v>
      </c>
      <c r="CR526" s="4">
        <v>0</v>
      </c>
      <c r="CS526" s="412">
        <f t="shared" ref="CS526" si="465">CQ526*CR526</f>
        <v>0</v>
      </c>
      <c r="CT526" s="412">
        <f t="shared" ref="CT526" si="466">CG526+CK526+CO526+CS526</f>
        <v>0</v>
      </c>
      <c r="CU526" s="238">
        <f t="shared" si="453"/>
        <v>850</v>
      </c>
      <c r="CV526" s="239">
        <f t="shared" si="454"/>
        <v>0</v>
      </c>
      <c r="CW526" s="240">
        <f t="shared" si="455"/>
        <v>790.5</v>
      </c>
      <c r="CX526" s="79">
        <f>IF(ISBLANK(E526),"AddQuickPay",IF(E526=2,CU526*0.98,IF(E526=2.4,CU526*0.976,IF(E526=3,CU526*0.97,IF(E526=5,CU526*0.95,IF(E526=1.5,CU526*0.985,IF(E526=2.5,CU526*0.975,IF(E526=1.3,CU526*0.987,IF(E526=1,CU526*0.99,IF(E526=4,CU526*0.96,CU526*1))))))))))-Table1[[#This Row],[ComCheck+QuickPayFee]]</f>
        <v>816</v>
      </c>
      <c r="CY526" s="237">
        <f t="shared" si="456"/>
        <v>59.5</v>
      </c>
      <c r="CZ526" s="237">
        <f t="shared" si="391"/>
        <v>34</v>
      </c>
      <c r="DA526" s="263">
        <f>Table1[[#This Row],[OriginalDispatch]]-Table1[[#This Row],[QuickPayCharge]]</f>
        <v>25.5</v>
      </c>
      <c r="DB526" s="5">
        <v>0</v>
      </c>
      <c r="DC526" s="237" t="s">
        <v>133</v>
      </c>
      <c r="DD526" s="549">
        <f t="shared" si="392"/>
        <v>42559</v>
      </c>
      <c r="DE526" s="554">
        <f>MONTH(Table1[[#This Row],[Weekending]])</f>
        <v>7</v>
      </c>
      <c r="DF526" s="554">
        <f>YEAR(Table1[[#This Row],[Weekending]])</f>
        <v>2016</v>
      </c>
      <c r="DG526" s="235"/>
    </row>
    <row r="527" spans="1:111">
      <c r="A527" s="548" t="str">
        <f t="shared" si="380"/>
        <v>65868649</v>
      </c>
      <c r="B527" s="549">
        <v>42563</v>
      </c>
      <c r="C527" s="550">
        <v>16165</v>
      </c>
      <c r="D527" s="548" t="s">
        <v>3347</v>
      </c>
      <c r="E527" s="550">
        <v>0</v>
      </c>
      <c r="F527" s="551" t="str">
        <f>INDEX(BrokerTBL!$B:$B,MATCH(D527,BrokerTBL!$A:$A,0))</f>
        <v>PO BOX 141140</v>
      </c>
      <c r="G527" s="550" t="str">
        <f>INDEX(BrokerTBL!$C:$C,MATCH(D527,BrokerTBL!$A:$A,0))</f>
        <v>CINCINNATI</v>
      </c>
      <c r="H527" s="235" t="str">
        <f>INDEX(BrokerTBL!$D:$D,MATCH(D527,BrokerTBL!$A:$A,0))</f>
        <v>Ohio</v>
      </c>
      <c r="I527" s="235" t="str">
        <f>INDEX(BrokerTBL!$E:$E,MATCH(D527,BrokerTBL!$A:$A,0))</f>
        <v>US</v>
      </c>
      <c r="J527" s="235">
        <f>INDEX(BrokerTBL!$F:$F,MATCH(D527,BrokerTBL!$A:$A,0))</f>
        <v>45250</v>
      </c>
      <c r="K527" s="548" t="s">
        <v>3348</v>
      </c>
      <c r="L527" s="552" t="s">
        <v>3349</v>
      </c>
      <c r="M527" s="549">
        <v>42559</v>
      </c>
      <c r="N527" s="550" t="s">
        <v>123</v>
      </c>
      <c r="O527" s="550" t="s">
        <v>3350</v>
      </c>
      <c r="P527" s="548" t="s">
        <v>2544</v>
      </c>
      <c r="Q527" s="548" t="s">
        <v>2206</v>
      </c>
      <c r="R527" s="548">
        <v>94607</v>
      </c>
      <c r="S527" s="548" t="s">
        <v>2207</v>
      </c>
      <c r="T527" s="548" t="s">
        <v>3351</v>
      </c>
      <c r="U527" s="548" t="s">
        <v>120</v>
      </c>
      <c r="V527" s="548">
        <v>53</v>
      </c>
      <c r="W527" s="548" t="s">
        <v>3352</v>
      </c>
      <c r="X527" s="553">
        <v>44000</v>
      </c>
      <c r="Y527" s="550" t="s">
        <v>123</v>
      </c>
      <c r="Z527" s="548" t="s">
        <v>123</v>
      </c>
      <c r="AA527" s="548" t="s">
        <v>123</v>
      </c>
      <c r="AB527" s="548" t="s">
        <v>123</v>
      </c>
      <c r="AC527" s="548" t="s">
        <v>3353</v>
      </c>
      <c r="AD527" s="552" t="s">
        <v>3349</v>
      </c>
      <c r="AE527" s="549">
        <v>42559</v>
      </c>
      <c r="AF527" s="560">
        <v>0.375</v>
      </c>
      <c r="AG527" s="548" t="s">
        <v>3354</v>
      </c>
      <c r="AH527" s="548" t="s">
        <v>3355</v>
      </c>
      <c r="AI527" s="548" t="s">
        <v>2206</v>
      </c>
      <c r="AJ527" s="548">
        <v>95776</v>
      </c>
      <c r="AK527" s="548" t="s">
        <v>2207</v>
      </c>
      <c r="AL527" s="416" t="s">
        <v>3356</v>
      </c>
      <c r="AM527" s="554" t="str">
        <f>INDEX(CarrierDriverTBL!$B:$B,MATCH(Table1[[#This Row],[DriverID]],CarrierDriverTBL!$A:$A,0))</f>
        <v>UBTrucking</v>
      </c>
      <c r="AN527" s="10" t="s">
        <v>192</v>
      </c>
      <c r="AO527" s="555" t="str">
        <f>INDEX(CarrierDriverTBL!$C:$C,MATCH(Table1[[#This Row],[DriverID]],CarrierDriverTBL!$A:$A,0))</f>
        <v>Albel</v>
      </c>
      <c r="AP527" s="555" t="str">
        <f>INDEX(CarrierDriverTBL!$D:$D,MATCH(Table1[[#This Row],[DriverID]],CarrierDriverTBL!$A:$A,0))</f>
        <v>Chahil</v>
      </c>
      <c r="AQ527" s="555" t="str">
        <f>INDEX(CarrierDriverTBL!$X:$X,MATCH(Table1[[#This Row],[DriverID]],CarrierDriverTBL!$A:$A,0))</f>
        <v>A8390649</v>
      </c>
      <c r="AR527" s="556">
        <f>INDEX(CarrierDriverTBL!$Y:$Y,MATCH(Table1[[#This Row],[DriverID]],CarrierDriverTBL!$A:$A,0))</f>
        <v>42402</v>
      </c>
      <c r="AS527" s="554" t="str">
        <f t="shared" si="381"/>
        <v>EXPIRED</v>
      </c>
      <c r="AT527" s="556">
        <f>INDEX(CarrierDriverTBL!$E:$E,MATCH(Table1[[#This Row],[DriverID]],CarrierDriverTBL!$A:$A,0))</f>
        <v>22314</v>
      </c>
      <c r="AU527" s="557">
        <f ca="1">INDEX(CarrierDriverTBL!$F:$F,MATCH(Table1[[#This Row],[DriverID]],CarrierDriverTBL!$A:$A,0))</f>
        <v>55.512328767123286</v>
      </c>
      <c r="AV527" s="554" t="str">
        <f>INDEX(CarrierDriverTBL!$K:$K,MATCH(Table1[[#This Row],[DriverID]],CarrierDriverTBL!$A:$A,0))</f>
        <v>510-773-9450</v>
      </c>
      <c r="AW527" s="554" t="str">
        <f>INDEX(CarrierDriverTBL!$M:$M,MATCH(Table1[[#This Row],[DriverID]],CarrierDriverTBL!$A:$A,0))</f>
        <v>3124 Cynthia CT</v>
      </c>
      <c r="AX527" s="554" t="str">
        <f>INDEX(CarrierDriverTBL!$N:$N,MATCH(Table1[[#This Row],[DriverID]],CarrierDriverTBL!$A:$A,0))</f>
        <v>Tracy</v>
      </c>
      <c r="AY527" s="554" t="str">
        <f>INDEX(CarrierDriverTBL!$O:$O,MATCH(Table1[[#This Row],[DriverID]],CarrierDriverTBL!$A:$A,0))</f>
        <v>CA</v>
      </c>
      <c r="AZ527" s="554">
        <f>INDEX(CarrierDriverTBL!$P:$P,MATCH(Table1[[#This Row],[DriverID]],CarrierDriverTBL!$A:$A,0))</f>
        <v>95377</v>
      </c>
      <c r="BA527" s="554" t="str">
        <f>INDEX(CarrierDriverTBL!$Q:$Q,MATCH(Table1[[#This Row],[DriverID]],CarrierDriverTBL!$A:$A,0))</f>
        <v>US</v>
      </c>
      <c r="BB527" s="554" t="str">
        <f>INDEX(CarrierDriverTBL!$R:$R,MATCH(Table1[[#This Row],[DriverID]],CarrierDriverTBL!$A:$A,0))</f>
        <v>ubgollc@gmail.com</v>
      </c>
      <c r="BC527" s="556">
        <f>INDEX(CarrierDriverTBL!$AB:$AB,MATCH(Table1[[#This Row],[DriverID]],CarrierDriverTBL!$A:$A,0))</f>
        <v>42167</v>
      </c>
      <c r="BD527" s="555" t="str">
        <f ca="1">INDEX(CarrierDriverTBL!$AD:$AD,MATCH(LoadMaster!$AN:$AN,CarrierDriverTBL!$A:$A,0))</f>
        <v>MISSING</v>
      </c>
      <c r="BE527" s="555">
        <f>INDEX(CarrierDriverTBL!$AE:$AE,MATCH(Table1[DriverID],CarrierDriverTBL!$A:$A,0))</f>
        <v>913971</v>
      </c>
      <c r="BF527" s="554">
        <f>INDEX(CarrierDriverTBL!$AF:$AF,MATCH(Table1[DriverID],CarrierDriverTBL!$A:$A,0))</f>
        <v>2627544</v>
      </c>
      <c r="BG527" s="236">
        <f>INDEX(CarrierDriverTBL!$AG:$AG,MATCH(Table1[DriverID],CarrierDriverTBL!$A:$A,0))</f>
        <v>466133</v>
      </c>
      <c r="BH527" s="554" t="str">
        <f>INDEX(CarrierDriverTBL!$AH:$AH,MATCH(Table1[DriverID],CarrierDriverTBL!$A:$A,0))</f>
        <v>GM Lawrence Ins</v>
      </c>
      <c r="BI527" s="554" t="str">
        <f>INDEX(CarrierDriverTBL!$AI:$AI,MATCH(Table1[DriverID],CarrierDriverTBL!$A:$A,0))</f>
        <v>DSK2842P160210</v>
      </c>
      <c r="BJ527" s="556">
        <f>INDEX(CarrierDriverTBL!$AJ:$AJ,MATCH(Table1[[#This Row],[DriverID]],CarrierDriverTBL!$A:$A,0))</f>
        <v>42778</v>
      </c>
      <c r="BK527" s="554">
        <f t="shared" si="382"/>
        <v>219</v>
      </c>
      <c r="BL527" s="558">
        <v>500</v>
      </c>
      <c r="BM527" s="554">
        <v>75</v>
      </c>
      <c r="BN527" s="558">
        <f t="shared" si="443"/>
        <v>6.666666666666667</v>
      </c>
      <c r="BO527" s="241">
        <f>0.93*500</f>
        <v>465</v>
      </c>
      <c r="BP527" s="558">
        <f t="shared" si="444"/>
        <v>6.2</v>
      </c>
      <c r="BQ527" s="558">
        <v>2.8</v>
      </c>
      <c r="BR527" s="559">
        <f t="shared" si="445"/>
        <v>0.15</v>
      </c>
      <c r="BS527" s="558">
        <f t="shared" si="446"/>
        <v>6.05</v>
      </c>
      <c r="BT527" s="558">
        <f t="shared" si="447"/>
        <v>11.25</v>
      </c>
      <c r="BU527" s="236" t="str">
        <f t="shared" si="448"/>
        <v>CPL Logistics</v>
      </c>
      <c r="BV527" s="554"/>
      <c r="BW527" s="236" t="str">
        <f>Table1[[#This Row],[BrokerAddress]]</f>
        <v>PO BOX 141140</v>
      </c>
      <c r="BX527" s="236" t="str">
        <f t="shared" si="449"/>
        <v>CINCINNATI</v>
      </c>
      <c r="BY527" s="269" t="str">
        <f t="shared" si="450"/>
        <v>Ohio</v>
      </c>
      <c r="BZ527" s="236">
        <f t="shared" si="451"/>
        <v>45250</v>
      </c>
      <c r="CA527" s="236" t="str">
        <f t="shared" si="452"/>
        <v>US</v>
      </c>
      <c r="CB527" s="15" t="s">
        <v>131</v>
      </c>
      <c r="CC527" s="561"/>
      <c r="CD527" s="15" t="s">
        <v>132</v>
      </c>
      <c r="CE527" s="64">
        <v>0</v>
      </c>
      <c r="CF527" s="4">
        <v>0</v>
      </c>
      <c r="CG527" s="132">
        <f t="shared" ref="CG527" si="467">CE527*CF527</f>
        <v>0</v>
      </c>
      <c r="CH527" s="4" t="s">
        <v>132</v>
      </c>
      <c r="CI527" s="5">
        <v>0</v>
      </c>
      <c r="CJ527" s="4">
        <v>0</v>
      </c>
      <c r="CK527" s="132">
        <f t="shared" ref="CK527" si="468">CI527*CJ527</f>
        <v>0</v>
      </c>
      <c r="CL527" s="4" t="s">
        <v>132</v>
      </c>
      <c r="CM527" s="5">
        <v>0</v>
      </c>
      <c r="CN527" s="4">
        <v>0</v>
      </c>
      <c r="CO527" s="132">
        <f t="shared" ref="CO527" si="469">CM527*CN527</f>
        <v>0</v>
      </c>
      <c r="CP527" s="4" t="s">
        <v>132</v>
      </c>
      <c r="CQ527" s="5">
        <v>0</v>
      </c>
      <c r="CR527" s="4">
        <v>0</v>
      </c>
      <c r="CS527" s="412">
        <f t="shared" ref="CS527" si="470">CQ527*CR527</f>
        <v>0</v>
      </c>
      <c r="CT527" s="412">
        <f t="shared" ref="CT527" si="471">CG527+CK527+CO527+CS527</f>
        <v>0</v>
      </c>
      <c r="CU527" s="238">
        <f t="shared" si="453"/>
        <v>500</v>
      </c>
      <c r="CV527" s="239">
        <f t="shared" si="454"/>
        <v>0</v>
      </c>
      <c r="CW527" s="240">
        <f t="shared" si="455"/>
        <v>465</v>
      </c>
      <c r="CX527" s="79">
        <f>IF(ISBLANK(E527),"AddQuickPay",IF(E527=2,CU527*0.98,IF(E527=2.4,CU527*0.976,IF(E527=3,CU527*0.97,IF(E527=5,CU527*0.95,IF(E527=1.5,CU527*0.985,IF(E527=2.5,CU527*0.975,IF(E527=1.3,CU527*0.987,IF(E527=1,CU527*0.99,IF(E527=4,CU527*0.96,CU527*1))))))))))-Table1[[#This Row],[ComCheck+QuickPayFee]]</f>
        <v>500</v>
      </c>
      <c r="CY527" s="237">
        <f t="shared" si="456"/>
        <v>35</v>
      </c>
      <c r="CZ527" s="237">
        <f t="shared" si="391"/>
        <v>0</v>
      </c>
      <c r="DA527" s="263">
        <f>Table1[[#This Row],[OriginalDispatch]]-Table1[[#This Row],[QuickPayCharge]]</f>
        <v>35</v>
      </c>
      <c r="DB527" s="5">
        <v>0</v>
      </c>
      <c r="DC527" s="237" t="s">
        <v>133</v>
      </c>
      <c r="DD527" s="549">
        <f t="shared" si="392"/>
        <v>42559</v>
      </c>
      <c r="DE527" s="554">
        <f>MONTH(Table1[[#This Row],[Weekending]])</f>
        <v>7</v>
      </c>
      <c r="DF527" s="554">
        <f>YEAR(Table1[[#This Row],[Weekending]])</f>
        <v>2016</v>
      </c>
      <c r="DG527" s="235"/>
    </row>
    <row r="528" spans="1:111">
      <c r="A528" s="548" t="str">
        <f t="shared" si="380"/>
        <v>39wnwn93</v>
      </c>
      <c r="B528" s="549">
        <v>42563</v>
      </c>
      <c r="C528" s="550">
        <v>3336239</v>
      </c>
      <c r="D528" s="548" t="s">
        <v>3357</v>
      </c>
      <c r="E528" s="550">
        <v>0</v>
      </c>
      <c r="F528" s="551" t="str">
        <f>INDEX(BrokerTBL!$B:$B,MATCH(D528,BrokerTBL!$A:$A,0))</f>
        <v>PO BOX 339</v>
      </c>
      <c r="G528" s="550" t="str">
        <f>INDEX(BrokerTBL!$C:$C,MATCH(D528,BrokerTBL!$A:$A,0))</f>
        <v>LA CANADA</v>
      </c>
      <c r="H528" s="235" t="str">
        <f>INDEX(BrokerTBL!$D:$D,MATCH(D528,BrokerTBL!$A:$A,0))</f>
        <v>CA</v>
      </c>
      <c r="I528" s="235" t="str">
        <f>INDEX(BrokerTBL!$E:$E,MATCH(D528,BrokerTBL!$A:$A,0))</f>
        <v>US</v>
      </c>
      <c r="J528" s="235">
        <f>INDEX(BrokerTBL!$F:$F,MATCH(D528,BrokerTBL!$A:$A,0))</f>
        <v>91012</v>
      </c>
      <c r="K528" s="284" t="s">
        <v>3358</v>
      </c>
      <c r="L528" s="81" t="s">
        <v>1205</v>
      </c>
      <c r="M528" s="549">
        <v>42562</v>
      </c>
      <c r="N528" s="15" t="s">
        <v>123</v>
      </c>
      <c r="O528" s="284" t="s">
        <v>3359</v>
      </c>
      <c r="P528" s="416" t="s">
        <v>2466</v>
      </c>
      <c r="Q528" s="416" t="s">
        <v>2233</v>
      </c>
      <c r="R528" s="440">
        <v>89502</v>
      </c>
      <c r="S528" s="416" t="s">
        <v>2207</v>
      </c>
      <c r="T528" s="416" t="s">
        <v>3360</v>
      </c>
      <c r="U528" s="416" t="s">
        <v>120</v>
      </c>
      <c r="V528" s="548">
        <v>53</v>
      </c>
      <c r="W528" s="284" t="s">
        <v>2866</v>
      </c>
      <c r="X528" s="553">
        <v>43500</v>
      </c>
      <c r="Y528" s="550" t="s">
        <v>123</v>
      </c>
      <c r="Z528" s="548" t="s">
        <v>123</v>
      </c>
      <c r="AA528" s="548" t="s">
        <v>123</v>
      </c>
      <c r="AB528" s="548" t="s">
        <v>123</v>
      </c>
      <c r="AC528" s="284" t="s">
        <v>3361</v>
      </c>
      <c r="AD528" s="81" t="s">
        <v>1205</v>
      </c>
      <c r="AE528" s="549">
        <v>42563</v>
      </c>
      <c r="AF528" s="560">
        <v>0.25</v>
      </c>
      <c r="AG528" s="284" t="s">
        <v>3362</v>
      </c>
      <c r="AH528" s="284" t="s">
        <v>3112</v>
      </c>
      <c r="AI528" s="416" t="s">
        <v>2206</v>
      </c>
      <c r="AJ528" s="440">
        <v>94577</v>
      </c>
      <c r="AK528" s="548" t="s">
        <v>2207</v>
      </c>
      <c r="AL528" s="548" t="s">
        <v>3363</v>
      </c>
      <c r="AM528" s="554" t="str">
        <f>INDEX(CarrierDriverTBL!$B:$B,MATCH(Table1[[#This Row],[DriverID]],CarrierDriverTBL!$A:$A,0))</f>
        <v>UBTrucking</v>
      </c>
      <c r="AN528" s="10" t="s">
        <v>2234</v>
      </c>
      <c r="AO528" s="555" t="str">
        <f>INDEX(CarrierDriverTBL!$C:$C,MATCH(Table1[[#This Row],[DriverID]],CarrierDriverTBL!$A:$A,0))</f>
        <v>Arturo</v>
      </c>
      <c r="AP528" s="555" t="str">
        <f>INDEX(CarrierDriverTBL!$D:$D,MATCH(Table1[[#This Row],[DriverID]],CarrierDriverTBL!$A:$A,0))</f>
        <v>Carrillo</v>
      </c>
      <c r="AQ528" s="555" t="str">
        <f>INDEX(CarrierDriverTBL!$X:$X,MATCH(Table1[[#This Row],[DriverID]],CarrierDriverTBL!$A:$A,0))</f>
        <v>C7056793</v>
      </c>
      <c r="AR528" s="556">
        <f>INDEX(CarrierDriverTBL!$Y:$Y,MATCH(Table1[[#This Row],[DriverID]],CarrierDriverTBL!$A:$A,0))</f>
        <v>43410</v>
      </c>
      <c r="AS528" s="554" t="str">
        <f t="shared" si="381"/>
        <v>GOOD</v>
      </c>
      <c r="AT528" s="556">
        <f>INDEX(CarrierDriverTBL!$E:$E,MATCH(Table1[[#This Row],[DriverID]],CarrierDriverTBL!$A:$A,0))</f>
        <v>24782</v>
      </c>
      <c r="AU528" s="557">
        <f ca="1">INDEX(CarrierDriverTBL!$F:$F,MATCH(Table1[[#This Row],[DriverID]],CarrierDriverTBL!$A:$A,0))</f>
        <v>48.750684931506846</v>
      </c>
      <c r="AV528" s="554" t="str">
        <f>INDEX(CarrierDriverTBL!$K:$K,MATCH(Table1[[#This Row],[DriverID]],CarrierDriverTBL!$A:$A,0))</f>
        <v>209-276-9785</v>
      </c>
      <c r="AW528" s="554" t="str">
        <f>INDEX(CarrierDriverTBL!$M:$M,MATCH(Table1[[#This Row],[DriverID]],CarrierDriverTBL!$A:$A,0))</f>
        <v>1685 Winthrop Ln</v>
      </c>
      <c r="AX528" s="554" t="str">
        <f>INDEX(CarrierDriverTBL!$N:$N,MATCH(Table1[[#This Row],[DriverID]],CarrierDriverTBL!$A:$A,0))</f>
        <v>Ceres</v>
      </c>
      <c r="AY528" s="554" t="str">
        <f>INDEX(CarrierDriverTBL!$O:$O,MATCH(Table1[[#This Row],[DriverID]],CarrierDriverTBL!$A:$A,0))</f>
        <v>CA</v>
      </c>
      <c r="AZ528" s="554">
        <f>INDEX(CarrierDriverTBL!$P:$P,MATCH(Table1[[#This Row],[DriverID]],CarrierDriverTBL!$A:$A,0))</f>
        <v>95307</v>
      </c>
      <c r="BA528" s="554" t="str">
        <f>INDEX(CarrierDriverTBL!$Q:$Q,MATCH(Table1[[#This Row],[DriverID]],CarrierDriverTBL!$A:$A,0))</f>
        <v>US</v>
      </c>
      <c r="BB528" s="554" t="str">
        <f>INDEX(CarrierDriverTBL!$R:$R,MATCH(Table1[[#This Row],[DriverID]],CarrierDriverTBL!$A:$A,0))</f>
        <v>arturocarr777@gmail.com</v>
      </c>
      <c r="BC528" s="556">
        <f>INDEX(CarrierDriverTBL!$AB:$AB,MATCH(Table1[[#This Row],[DriverID]],CarrierDriverTBL!$A:$A,0))</f>
        <v>42418</v>
      </c>
      <c r="BD528" s="555" t="str">
        <f ca="1">INDEX(CarrierDriverTBL!$AD:$AD,MATCH(LoadMaster!$AN:$AN,CarrierDriverTBL!$A:$A,0))</f>
        <v>MISSING</v>
      </c>
      <c r="BE528" s="555">
        <f>INDEX(CarrierDriverTBL!$AE:$AE,MATCH(Table1[DriverID],CarrierDriverTBL!$A:$A,0))</f>
        <v>913971</v>
      </c>
      <c r="BF528" s="554">
        <f>INDEX(CarrierDriverTBL!$AF:$AF,MATCH(Table1[DriverID],CarrierDriverTBL!$A:$A,0))</f>
        <v>2627544</v>
      </c>
      <c r="BG528" s="236">
        <f>INDEX(CarrierDriverTBL!$AG:$AG,MATCH(Table1[DriverID],CarrierDriverTBL!$A:$A,0))</f>
        <v>466133</v>
      </c>
      <c r="BH528" s="554" t="str">
        <f>INDEX(CarrierDriverTBL!$AH:$AH,MATCH(Table1[DriverID],CarrierDriverTBL!$A:$A,0))</f>
        <v>GM Lawrence Ins</v>
      </c>
      <c r="BI528" s="554" t="str">
        <f>INDEX(CarrierDriverTBL!$AI:$AI,MATCH(Table1[DriverID],CarrierDriverTBL!$A:$A,0))</f>
        <v>DSK2842P160210</v>
      </c>
      <c r="BJ528" s="556">
        <f>INDEX(CarrierDriverTBL!$AJ:$AJ,MATCH(Table1[[#This Row],[DriverID]],CarrierDriverTBL!$A:$A,0))</f>
        <v>42778</v>
      </c>
      <c r="BK528" s="554">
        <f t="shared" si="382"/>
        <v>216</v>
      </c>
      <c r="BL528" s="558">
        <v>400</v>
      </c>
      <c r="BM528" s="554">
        <v>223.7</v>
      </c>
      <c r="BN528" s="558">
        <f t="shared" si="443"/>
        <v>1.788109074653554</v>
      </c>
      <c r="BO528" s="241">
        <f>0.93*400</f>
        <v>372</v>
      </c>
      <c r="BP528" s="558">
        <f t="shared" si="444"/>
        <v>1.6629414394278053</v>
      </c>
      <c r="BQ528" s="558">
        <v>2.8</v>
      </c>
      <c r="BR528" s="559">
        <f t="shared" si="445"/>
        <v>0.15</v>
      </c>
      <c r="BS528" s="558">
        <f t="shared" si="446"/>
        <v>1.5129414394278053</v>
      </c>
      <c r="BT528" s="558">
        <f t="shared" si="447"/>
        <v>33.555</v>
      </c>
      <c r="BU528" s="236" t="str">
        <f t="shared" si="448"/>
        <v>ALLEN LUND</v>
      </c>
      <c r="BV528" s="554"/>
      <c r="BW528" s="236" t="str">
        <f>Table1[[#This Row],[BrokerAddress]]</f>
        <v>PO BOX 339</v>
      </c>
      <c r="BX528" s="236" t="str">
        <f t="shared" si="449"/>
        <v>LA CANADA</v>
      </c>
      <c r="BY528" s="269" t="str">
        <f t="shared" si="450"/>
        <v>CA</v>
      </c>
      <c r="BZ528" s="236">
        <f t="shared" si="451"/>
        <v>91012</v>
      </c>
      <c r="CA528" s="236" t="str">
        <f t="shared" si="452"/>
        <v>US</v>
      </c>
      <c r="CB528" s="15" t="s">
        <v>3364</v>
      </c>
      <c r="CC528" s="561"/>
      <c r="CD528" s="15" t="s">
        <v>132</v>
      </c>
      <c r="CE528" s="64">
        <v>0</v>
      </c>
      <c r="CF528" s="4">
        <v>0</v>
      </c>
      <c r="CG528" s="132">
        <f t="shared" ref="CG528" si="472">CE528*CF528</f>
        <v>0</v>
      </c>
      <c r="CH528" s="4" t="s">
        <v>132</v>
      </c>
      <c r="CI528" s="5">
        <v>0</v>
      </c>
      <c r="CJ528" s="4">
        <v>0</v>
      </c>
      <c r="CK528" s="132">
        <f t="shared" ref="CK528" si="473">CI528*CJ528</f>
        <v>0</v>
      </c>
      <c r="CL528" s="4" t="s">
        <v>132</v>
      </c>
      <c r="CM528" s="5">
        <v>0</v>
      </c>
      <c r="CN528" s="4">
        <v>0</v>
      </c>
      <c r="CO528" s="132">
        <f t="shared" ref="CO528" si="474">CM528*CN528</f>
        <v>0</v>
      </c>
      <c r="CP528" s="4" t="s">
        <v>132</v>
      </c>
      <c r="CQ528" s="5">
        <v>0</v>
      </c>
      <c r="CR528" s="4">
        <v>0</v>
      </c>
      <c r="CS528" s="412">
        <f t="shared" ref="CS528" si="475">CQ528*CR528</f>
        <v>0</v>
      </c>
      <c r="CT528" s="412">
        <f t="shared" ref="CT528" si="476">CG528+CK528+CO528+CS528</f>
        <v>0</v>
      </c>
      <c r="CU528" s="238">
        <f t="shared" si="453"/>
        <v>400</v>
      </c>
      <c r="CV528" s="239">
        <f t="shared" si="454"/>
        <v>0</v>
      </c>
      <c r="CW528" s="240">
        <f t="shared" si="455"/>
        <v>372</v>
      </c>
      <c r="CX528" s="79">
        <f>IF(ISBLANK(E528),"AddQuickPay",IF(E528=2,CU528*0.98,IF(E528=2.4,CU528*0.976,IF(E528=3,CU528*0.97,IF(E528=5,CU528*0.95,IF(E528=1.5,CU528*0.985,IF(E528=2.5,CU528*0.975,IF(E528=1.3,CU528*0.987,IF(E528=1,CU528*0.99,IF(E528=4,CU528*0.96,CU528*1))))))))))-Table1[[#This Row],[ComCheck+QuickPayFee]]</f>
        <v>370.5</v>
      </c>
      <c r="CY528" s="237">
        <f t="shared" si="456"/>
        <v>28</v>
      </c>
      <c r="CZ528" s="237">
        <f t="shared" si="391"/>
        <v>0</v>
      </c>
      <c r="DA528" s="263">
        <f>Table1[[#This Row],[OriginalDispatch]]-Table1[[#This Row],[QuickPayCharge]]</f>
        <v>28</v>
      </c>
      <c r="DB528" s="5">
        <v>29.5</v>
      </c>
      <c r="DC528" s="237" t="s">
        <v>133</v>
      </c>
      <c r="DD528" s="549">
        <f t="shared" si="392"/>
        <v>42566</v>
      </c>
      <c r="DE528" s="554">
        <f>MONTH(Table1[[#This Row],[Weekending]])</f>
        <v>7</v>
      </c>
      <c r="DF528" s="554">
        <f>YEAR(Table1[[#This Row],[Weekending]])</f>
        <v>2016</v>
      </c>
      <c r="DG528" s="235"/>
    </row>
    <row r="529" spans="1:111">
      <c r="A529" s="548" t="str">
        <f t="shared" si="380"/>
        <v>87L36719</v>
      </c>
      <c r="B529" s="549">
        <v>42563</v>
      </c>
      <c r="C529" s="550">
        <v>75213587</v>
      </c>
      <c r="D529" s="548" t="s">
        <v>2837</v>
      </c>
      <c r="E529" s="550">
        <v>2</v>
      </c>
      <c r="F529" s="551" t="str">
        <f>INDEX(BrokerTBL!$B:$B,MATCH(D529,BrokerTBL!$A:$A,0))</f>
        <v>901 West Carondelet Drive</v>
      </c>
      <c r="G529" s="550" t="str">
        <f>INDEX(BrokerTBL!$C:$C,MATCH(D529,BrokerTBL!$A:$A,0))</f>
        <v>Kansas City</v>
      </c>
      <c r="H529" s="235" t="str">
        <f>INDEX(BrokerTBL!$D:$D,MATCH(D529,BrokerTBL!$A:$A,0))</f>
        <v>MO</v>
      </c>
      <c r="I529" s="235" t="str">
        <f>INDEX(BrokerTBL!$E:$E,MATCH(D529,BrokerTBL!$A:$A,0))</f>
        <v>US</v>
      </c>
      <c r="J529" s="235">
        <f>INDEX(BrokerTBL!$F:$F,MATCH(D529,BrokerTBL!$A:$A,0))</f>
        <v>64114</v>
      </c>
      <c r="K529" s="284" t="s">
        <v>3365</v>
      </c>
      <c r="L529" s="284" t="s">
        <v>3366</v>
      </c>
      <c r="M529" s="549">
        <v>42562</v>
      </c>
      <c r="N529" s="550" t="s">
        <v>3367</v>
      </c>
      <c r="O529" s="284" t="s">
        <v>3368</v>
      </c>
      <c r="P529" s="284" t="s">
        <v>429</v>
      </c>
      <c r="Q529" s="416" t="s">
        <v>2206</v>
      </c>
      <c r="R529" s="440">
        <v>93446</v>
      </c>
      <c r="S529" s="416" t="s">
        <v>2207</v>
      </c>
      <c r="T529" s="416" t="s">
        <v>3369</v>
      </c>
      <c r="U529" s="416" t="s">
        <v>120</v>
      </c>
      <c r="V529" s="548">
        <v>53</v>
      </c>
      <c r="W529" s="284" t="s">
        <v>3370</v>
      </c>
      <c r="X529" s="553">
        <v>12500</v>
      </c>
      <c r="Y529" s="284" t="s">
        <v>123</v>
      </c>
      <c r="Z529" s="548" t="s">
        <v>123</v>
      </c>
      <c r="AA529" s="548" t="s">
        <v>123</v>
      </c>
      <c r="AB529" s="548" t="s">
        <v>123</v>
      </c>
      <c r="AC529" s="283" t="s">
        <v>3371</v>
      </c>
      <c r="AD529" s="284" t="s">
        <v>3372</v>
      </c>
      <c r="AE529" s="549">
        <v>42562</v>
      </c>
      <c r="AF529" s="104" t="s">
        <v>3373</v>
      </c>
      <c r="AG529" s="284" t="s">
        <v>3374</v>
      </c>
      <c r="AH529" s="284" t="s">
        <v>3375</v>
      </c>
      <c r="AI529" s="416" t="s">
        <v>2206</v>
      </c>
      <c r="AJ529" s="440">
        <v>90810</v>
      </c>
      <c r="AK529" s="416" t="s">
        <v>2207</v>
      </c>
      <c r="AL529" s="416" t="s">
        <v>3376</v>
      </c>
      <c r="AM529" s="554" t="str">
        <f>INDEX(CarrierDriverTBL!$B:$B,MATCH(Table1[[#This Row],[DriverID]],CarrierDriverTBL!$A:$A,0))</f>
        <v>UBTrucking</v>
      </c>
      <c r="AN529" s="10" t="s">
        <v>1409</v>
      </c>
      <c r="AO529" s="555" t="str">
        <f>INDEX(CarrierDriverTBL!$C:$C,MATCH(Table1[[#This Row],[DriverID]],CarrierDriverTBL!$A:$A,0))</f>
        <v>Miguel Jaime</v>
      </c>
      <c r="AP529" s="555" t="str">
        <f>INDEX(CarrierDriverTBL!$D:$D,MATCH(Table1[[#This Row],[DriverID]],CarrierDriverTBL!$A:$A,0))</f>
        <v>Martin Del Campo Velarca</v>
      </c>
      <c r="AQ529" s="555" t="str">
        <f>INDEX(CarrierDriverTBL!$X:$X,MATCH(Table1[[#This Row],[DriverID]],CarrierDriverTBL!$A:$A,0))</f>
        <v>D5179619</v>
      </c>
      <c r="AR529" s="556">
        <f>INDEX(CarrierDriverTBL!$Y:$Y,MATCH(Table1[[#This Row],[DriverID]],CarrierDriverTBL!$A:$A,0))</f>
        <v>43843</v>
      </c>
      <c r="AS529" s="554" t="str">
        <f t="shared" si="381"/>
        <v>GOOD</v>
      </c>
      <c r="AT529" s="556">
        <f>INDEX(CarrierDriverTBL!$E:$E,MATCH(Table1[[#This Row],[DriverID]],CarrierDriverTBL!$A:$A,0))</f>
        <v>21198</v>
      </c>
      <c r="AU529" s="557">
        <f ca="1">INDEX(CarrierDriverTBL!$F:$F,MATCH(Table1[[#This Row],[DriverID]],CarrierDriverTBL!$A:$A,0))</f>
        <v>58.56986301369863</v>
      </c>
      <c r="AV529" s="554" t="str">
        <f>INDEX(CarrierDriverTBL!$K:$K,MATCH(Table1[[#This Row],[DriverID]],CarrierDriverTBL!$A:$A,0))</f>
        <v>209-322-5231</v>
      </c>
      <c r="AW529" s="554" t="str">
        <f>INDEX(CarrierDriverTBL!$M:$M,MATCH(Table1[[#This Row],[DriverID]],CarrierDriverTBL!$A:$A,0))</f>
        <v>572 Predersen RD</v>
      </c>
      <c r="AX529" s="554" t="str">
        <f>INDEX(CarrierDriverTBL!$N:$N,MATCH(Table1[[#This Row],[DriverID]],CarrierDriverTBL!$A:$A,0))</f>
        <v>Oakdale</v>
      </c>
      <c r="AY529" s="554" t="str">
        <f>INDEX(CarrierDriverTBL!$O:$O,MATCH(Table1[[#This Row],[DriverID]],CarrierDriverTBL!$A:$A,0))</f>
        <v>CA</v>
      </c>
      <c r="AZ529" s="554">
        <f>INDEX(CarrierDriverTBL!$P:$P,MATCH(Table1[[#This Row],[DriverID]],CarrierDriverTBL!$A:$A,0))</f>
        <v>95361</v>
      </c>
      <c r="BA529" s="554" t="str">
        <f>INDEX(CarrierDriverTBL!$Q:$Q,MATCH(Table1[[#This Row],[DriverID]],CarrierDriverTBL!$A:$A,0))</f>
        <v>US</v>
      </c>
      <c r="BB529" s="554" t="str">
        <f>INDEX(CarrierDriverTBL!$R:$R,MATCH(Table1[[#This Row],[DriverID]],CarrierDriverTBL!$A:$A,0))</f>
        <v>Miguelmartin52@yahoo.com</v>
      </c>
      <c r="BC529" s="556">
        <f>INDEX(CarrierDriverTBL!$AB:$AB,MATCH(Table1[[#This Row],[DriverID]],CarrierDriverTBL!$A:$A,0))</f>
        <v>42334</v>
      </c>
      <c r="BD529" s="555" t="str">
        <f ca="1">INDEX(CarrierDriverTBL!$AD:$AD,MATCH(LoadMaster!$AN:$AN,CarrierDriverTBL!$A:$A,0))</f>
        <v>MISSING</v>
      </c>
      <c r="BE529" s="555">
        <f>INDEX(CarrierDriverTBL!$AE:$AE,MATCH(Table1[DriverID],CarrierDriverTBL!$A:$A,0))</f>
        <v>913971</v>
      </c>
      <c r="BF529" s="554">
        <f>INDEX(CarrierDriverTBL!$AF:$AF,MATCH(Table1[DriverID],CarrierDriverTBL!$A:$A,0))</f>
        <v>2627544</v>
      </c>
      <c r="BG529" s="236">
        <f>INDEX(CarrierDriverTBL!$AG:$AG,MATCH(Table1[DriverID],CarrierDriverTBL!$A:$A,0))</f>
        <v>466133</v>
      </c>
      <c r="BH529" s="554" t="str">
        <f>INDEX(CarrierDriverTBL!$AH:$AH,MATCH(Table1[DriverID],CarrierDriverTBL!$A:$A,0))</f>
        <v>GM Lawrence Ins</v>
      </c>
      <c r="BI529" s="554" t="str">
        <f>INDEX(CarrierDriverTBL!$AI:$AI,MATCH(Table1[DriverID],CarrierDriverTBL!$A:$A,0))</f>
        <v>DSK2842P160210</v>
      </c>
      <c r="BJ529" s="556">
        <f>INDEX(CarrierDriverTBL!$AJ:$AJ,MATCH(Table1[[#This Row],[DriverID]],CarrierDriverTBL!$A:$A,0))</f>
        <v>42778</v>
      </c>
      <c r="BK529" s="554">
        <f t="shared" si="382"/>
        <v>216</v>
      </c>
      <c r="BL529" s="558">
        <v>550</v>
      </c>
      <c r="BM529" s="554">
        <v>224</v>
      </c>
      <c r="BN529" s="558">
        <f t="shared" si="443"/>
        <v>2.4553571428571428</v>
      </c>
      <c r="BO529" s="241">
        <f>0.93*550</f>
        <v>511.5</v>
      </c>
      <c r="BP529" s="558">
        <f t="shared" si="444"/>
        <v>2.2834821428571428</v>
      </c>
      <c r="BQ529" s="558">
        <v>2.8</v>
      </c>
      <c r="BR529" s="559">
        <f t="shared" si="445"/>
        <v>0.15</v>
      </c>
      <c r="BS529" s="558">
        <f t="shared" si="446"/>
        <v>2.1334821428571429</v>
      </c>
      <c r="BT529" s="558">
        <f t="shared" si="447"/>
        <v>33.6</v>
      </c>
      <c r="BU529" s="236" t="str">
        <f t="shared" si="448"/>
        <v>Freightquote</v>
      </c>
      <c r="BV529" s="554"/>
      <c r="BW529" s="236" t="str">
        <f>Table1[[#This Row],[BrokerAddress]]</f>
        <v>901 West Carondelet Drive</v>
      </c>
      <c r="BX529" s="236" t="str">
        <f t="shared" si="449"/>
        <v>Kansas City</v>
      </c>
      <c r="BY529" s="269" t="str">
        <f t="shared" si="450"/>
        <v>MO</v>
      </c>
      <c r="BZ529" s="236">
        <f t="shared" si="451"/>
        <v>64114</v>
      </c>
      <c r="CA529" s="236" t="str">
        <f t="shared" si="452"/>
        <v>US</v>
      </c>
      <c r="CB529" s="15" t="s">
        <v>131</v>
      </c>
      <c r="CC529" s="561"/>
      <c r="CD529" s="15" t="s">
        <v>132</v>
      </c>
      <c r="CE529" s="64">
        <v>0</v>
      </c>
      <c r="CF529" s="4">
        <v>0</v>
      </c>
      <c r="CG529" s="132">
        <f t="shared" ref="CG529" si="477">CE529*CF529</f>
        <v>0</v>
      </c>
      <c r="CH529" s="4" t="s">
        <v>132</v>
      </c>
      <c r="CI529" s="5">
        <v>0</v>
      </c>
      <c r="CJ529" s="4">
        <v>0</v>
      </c>
      <c r="CK529" s="132">
        <f t="shared" ref="CK529" si="478">CI529*CJ529</f>
        <v>0</v>
      </c>
      <c r="CL529" s="4" t="s">
        <v>132</v>
      </c>
      <c r="CM529" s="5">
        <v>0</v>
      </c>
      <c r="CN529" s="4">
        <v>0</v>
      </c>
      <c r="CO529" s="132">
        <f t="shared" ref="CO529" si="479">CM529*CN529</f>
        <v>0</v>
      </c>
      <c r="CP529" s="4" t="s">
        <v>132</v>
      </c>
      <c r="CQ529" s="5">
        <v>0</v>
      </c>
      <c r="CR529" s="4">
        <v>0</v>
      </c>
      <c r="CS529" s="412">
        <f t="shared" ref="CS529" si="480">CQ529*CR529</f>
        <v>0</v>
      </c>
      <c r="CT529" s="412">
        <f t="shared" ref="CT529" si="481">CG529+CK529+CO529+CS529</f>
        <v>0</v>
      </c>
      <c r="CU529" s="238">
        <f t="shared" si="453"/>
        <v>550</v>
      </c>
      <c r="CV529" s="239">
        <f t="shared" si="454"/>
        <v>0</v>
      </c>
      <c r="CW529" s="240">
        <f t="shared" si="455"/>
        <v>511.5</v>
      </c>
      <c r="CX529" s="79">
        <f>IF(ISBLANK(E529),"AddQuickPay",IF(E529=2,CU529*0.98,IF(E529=2.4,CU529*0.976,IF(E529=3,CU529*0.97,IF(E529=5,CU529*0.95,IF(E529=1.5,CU529*0.985,IF(E529=2.5,CU529*0.975,IF(E529=1.3,CU529*0.987,IF(E529=1,CU529*0.99,IF(E529=4,CU529*0.96,CU529*1))))))))))-Table1[[#This Row],[ComCheck+QuickPayFee]]</f>
        <v>539</v>
      </c>
      <c r="CY529" s="237">
        <f t="shared" si="456"/>
        <v>38.5</v>
      </c>
      <c r="CZ529" s="237">
        <f t="shared" si="391"/>
        <v>11</v>
      </c>
      <c r="DA529" s="263">
        <f>Table1[[#This Row],[OriginalDispatch]]-Table1[[#This Row],[QuickPayCharge]]</f>
        <v>27.5</v>
      </c>
      <c r="DB529" s="5">
        <v>0</v>
      </c>
      <c r="DC529" s="237" t="s">
        <v>133</v>
      </c>
      <c r="DD529" s="549">
        <f t="shared" si="392"/>
        <v>42566</v>
      </c>
      <c r="DE529" s="554">
        <f>MONTH(Table1[[#This Row],[Weekending]])</f>
        <v>7</v>
      </c>
      <c r="DF529" s="554">
        <f>YEAR(Table1[[#This Row],[Weekending]])</f>
        <v>2016</v>
      </c>
      <c r="DG529" s="235"/>
    </row>
    <row r="530" spans="1:111">
      <c r="A530" s="548" t="str">
        <f t="shared" si="380"/>
        <v>1 08-393</v>
      </c>
      <c r="B530" s="549">
        <v>42563</v>
      </c>
      <c r="C530" s="550" t="s">
        <v>3377</v>
      </c>
      <c r="D530" s="548" t="s">
        <v>3378</v>
      </c>
      <c r="E530" s="550">
        <v>0</v>
      </c>
      <c r="F530" s="551" t="str">
        <f>INDEX(BrokerTBL!$B:$B,MATCH(D530,BrokerTBL!$A:$A,0))</f>
        <v>1000 Windham Pkwy.</v>
      </c>
      <c r="G530" s="550" t="str">
        <f>INDEX(BrokerTBL!$C:$C,MATCH(D530,BrokerTBL!$A:$A,0))</f>
        <v>Bolingbrook</v>
      </c>
      <c r="H530" s="235" t="str">
        <f>INDEX(BrokerTBL!$D:$D,MATCH(D530,BrokerTBL!$A:$A,0))</f>
        <v>IL</v>
      </c>
      <c r="I530" s="235" t="str">
        <f>INDEX(BrokerTBL!$E:$E,MATCH(D530,BrokerTBL!$A:$A,0))</f>
        <v>US</v>
      </c>
      <c r="J530" s="235">
        <f>INDEX(BrokerTBL!$F:$F,MATCH(D530,BrokerTBL!$A:$A,0))</f>
        <v>60490</v>
      </c>
      <c r="K530" s="548" t="s">
        <v>3379</v>
      </c>
      <c r="L530" s="552" t="s">
        <v>3380</v>
      </c>
      <c r="M530" s="549">
        <v>42563</v>
      </c>
      <c r="N530" s="550" t="s">
        <v>3381</v>
      </c>
      <c r="O530" s="550" t="s">
        <v>3382</v>
      </c>
      <c r="P530" s="416" t="s">
        <v>3112</v>
      </c>
      <c r="Q530" s="416" t="s">
        <v>2206</v>
      </c>
      <c r="R530" s="548">
        <v>94577</v>
      </c>
      <c r="S530" s="416" t="s">
        <v>2207</v>
      </c>
      <c r="T530" s="548" t="s">
        <v>3383</v>
      </c>
      <c r="U530" s="416" t="s">
        <v>120</v>
      </c>
      <c r="V530" s="548">
        <v>53</v>
      </c>
      <c r="W530" s="548" t="s">
        <v>2617</v>
      </c>
      <c r="X530" s="553">
        <v>40000</v>
      </c>
      <c r="Y530" s="550" t="s">
        <v>566</v>
      </c>
      <c r="Z530" s="548">
        <v>26</v>
      </c>
      <c r="AA530" s="548" t="s">
        <v>123</v>
      </c>
      <c r="AB530" s="548" t="s">
        <v>123</v>
      </c>
      <c r="AC530" s="548" t="s">
        <v>3384</v>
      </c>
      <c r="AD530" s="552" t="s">
        <v>3385</v>
      </c>
      <c r="AE530" s="549">
        <v>42563</v>
      </c>
      <c r="AF530" s="549" t="s">
        <v>3386</v>
      </c>
      <c r="AG530" s="548" t="s">
        <v>3387</v>
      </c>
      <c r="AH530" s="548" t="s">
        <v>3388</v>
      </c>
      <c r="AI530" s="548" t="s">
        <v>2206</v>
      </c>
      <c r="AJ530" s="548">
        <v>95050</v>
      </c>
      <c r="AK530" s="548" t="s">
        <v>2207</v>
      </c>
      <c r="AL530" s="548" t="s">
        <v>3389</v>
      </c>
      <c r="AM530" s="554" t="str">
        <f>INDEX(CarrierDriverTBL!$B:$B,MATCH(Table1[[#This Row],[DriverID]],CarrierDriverTBL!$A:$A,0))</f>
        <v>UBTrucking</v>
      </c>
      <c r="AN530" s="10" t="s">
        <v>2234</v>
      </c>
      <c r="AO530" s="555" t="str">
        <f>INDEX(CarrierDriverTBL!$C:$C,MATCH(Table1[[#This Row],[DriverID]],CarrierDriverTBL!$A:$A,0))</f>
        <v>Arturo</v>
      </c>
      <c r="AP530" s="555" t="str">
        <f>INDEX(CarrierDriverTBL!$D:$D,MATCH(Table1[[#This Row],[DriverID]],CarrierDriverTBL!$A:$A,0))</f>
        <v>Carrillo</v>
      </c>
      <c r="AQ530" s="555" t="str">
        <f>INDEX(CarrierDriverTBL!$X:$X,MATCH(Table1[[#This Row],[DriverID]],CarrierDriverTBL!$A:$A,0))</f>
        <v>C7056793</v>
      </c>
      <c r="AR530" s="556">
        <f>INDEX(CarrierDriverTBL!$Y:$Y,MATCH(Table1[[#This Row],[DriverID]],CarrierDriverTBL!$A:$A,0))</f>
        <v>43410</v>
      </c>
      <c r="AS530" s="554" t="str">
        <f t="shared" si="381"/>
        <v>GOOD</v>
      </c>
      <c r="AT530" s="556">
        <f>INDEX(CarrierDriverTBL!$E:$E,MATCH(Table1[[#This Row],[DriverID]],CarrierDriverTBL!$A:$A,0))</f>
        <v>24782</v>
      </c>
      <c r="AU530" s="557">
        <f ca="1">INDEX(CarrierDriverTBL!$F:$F,MATCH(Table1[[#This Row],[DriverID]],CarrierDriverTBL!$A:$A,0))</f>
        <v>48.750684931506846</v>
      </c>
      <c r="AV530" s="554" t="str">
        <f>INDEX(CarrierDriverTBL!$K:$K,MATCH(Table1[[#This Row],[DriverID]],CarrierDriverTBL!$A:$A,0))</f>
        <v>209-276-9785</v>
      </c>
      <c r="AW530" s="554" t="str">
        <f>INDEX(CarrierDriverTBL!$M:$M,MATCH(Table1[[#This Row],[DriverID]],CarrierDriverTBL!$A:$A,0))</f>
        <v>1685 Winthrop Ln</v>
      </c>
      <c r="AX530" s="554" t="str">
        <f>INDEX(CarrierDriverTBL!$N:$N,MATCH(Table1[[#This Row],[DriverID]],CarrierDriverTBL!$A:$A,0))</f>
        <v>Ceres</v>
      </c>
      <c r="AY530" s="554" t="str">
        <f>INDEX(CarrierDriverTBL!$O:$O,MATCH(Table1[[#This Row],[DriverID]],CarrierDriverTBL!$A:$A,0))</f>
        <v>CA</v>
      </c>
      <c r="AZ530" s="554">
        <f>INDEX(CarrierDriverTBL!$P:$P,MATCH(Table1[[#This Row],[DriverID]],CarrierDriverTBL!$A:$A,0))</f>
        <v>95307</v>
      </c>
      <c r="BA530" s="554" t="str">
        <f>INDEX(CarrierDriverTBL!$Q:$Q,MATCH(Table1[[#This Row],[DriverID]],CarrierDriverTBL!$A:$A,0))</f>
        <v>US</v>
      </c>
      <c r="BB530" s="554" t="str">
        <f>INDEX(CarrierDriverTBL!$R:$R,MATCH(Table1[[#This Row],[DriverID]],CarrierDriverTBL!$A:$A,0))</f>
        <v>arturocarr777@gmail.com</v>
      </c>
      <c r="BC530" s="556">
        <f>INDEX(CarrierDriverTBL!$AB:$AB,MATCH(Table1[[#This Row],[DriverID]],CarrierDriverTBL!$A:$A,0))</f>
        <v>42418</v>
      </c>
      <c r="BD530" s="555" t="str">
        <f ca="1">INDEX(CarrierDriverTBL!$AD:$AD,MATCH(LoadMaster!$AN:$AN,CarrierDriverTBL!$A:$A,0))</f>
        <v>MISSING</v>
      </c>
      <c r="BE530" s="555">
        <f>INDEX(CarrierDriverTBL!$AE:$AE,MATCH(Table1[DriverID],CarrierDriverTBL!$A:$A,0))</f>
        <v>913971</v>
      </c>
      <c r="BF530" s="554">
        <f>INDEX(CarrierDriverTBL!$AF:$AF,MATCH(Table1[DriverID],CarrierDriverTBL!$A:$A,0))</f>
        <v>2627544</v>
      </c>
      <c r="BG530" s="236">
        <f>INDEX(CarrierDriverTBL!$AG:$AG,MATCH(Table1[DriverID],CarrierDriverTBL!$A:$A,0))</f>
        <v>466133</v>
      </c>
      <c r="BH530" s="554" t="str">
        <f>INDEX(CarrierDriverTBL!$AH:$AH,MATCH(Table1[DriverID],CarrierDriverTBL!$A:$A,0))</f>
        <v>GM Lawrence Ins</v>
      </c>
      <c r="BI530" s="554" t="str">
        <f>INDEX(CarrierDriverTBL!$AI:$AI,MATCH(Table1[DriverID],CarrierDriverTBL!$A:$A,0))</f>
        <v>DSK2842P160210</v>
      </c>
      <c r="BJ530" s="556">
        <f>INDEX(CarrierDriverTBL!$AJ:$AJ,MATCH(Table1[[#This Row],[DriverID]],CarrierDriverTBL!$A:$A,0))</f>
        <v>42778</v>
      </c>
      <c r="BK530" s="554">
        <f t="shared" si="382"/>
        <v>215</v>
      </c>
      <c r="BL530" s="558">
        <v>300</v>
      </c>
      <c r="BM530" s="554">
        <v>35.5</v>
      </c>
      <c r="BN530" s="558">
        <f t="shared" si="443"/>
        <v>8.4507042253521121</v>
      </c>
      <c r="BO530" s="241">
        <f>0.93*300</f>
        <v>279</v>
      </c>
      <c r="BP530" s="558">
        <f t="shared" si="444"/>
        <v>7.859154929577465</v>
      </c>
      <c r="BQ530" s="558">
        <v>2.8</v>
      </c>
      <c r="BR530" s="559">
        <f t="shared" si="445"/>
        <v>0.15</v>
      </c>
      <c r="BS530" s="558">
        <f t="shared" si="446"/>
        <v>7.7091549295774646</v>
      </c>
      <c r="BT530" s="558">
        <f t="shared" si="447"/>
        <v>5.3250000000000002</v>
      </c>
      <c r="BU530" s="236" t="str">
        <f t="shared" si="448"/>
        <v>RR Donnelley</v>
      </c>
      <c r="BV530" s="554"/>
      <c r="BW530" s="236" t="str">
        <f>Table1[[#This Row],[BrokerAddress]]</f>
        <v>1000 Windham Pkwy.</v>
      </c>
      <c r="BX530" s="236" t="str">
        <f t="shared" si="449"/>
        <v>Bolingbrook</v>
      </c>
      <c r="BY530" s="269" t="str">
        <f t="shared" si="450"/>
        <v>IL</v>
      </c>
      <c r="BZ530" s="236">
        <f t="shared" si="451"/>
        <v>60490</v>
      </c>
      <c r="CA530" s="236" t="str">
        <f t="shared" si="452"/>
        <v>US</v>
      </c>
      <c r="CB530" s="15" t="s">
        <v>131</v>
      </c>
      <c r="CC530" s="561"/>
      <c r="CD530" s="15" t="s">
        <v>132</v>
      </c>
      <c r="CE530" s="64">
        <v>0</v>
      </c>
      <c r="CF530" s="4">
        <v>0</v>
      </c>
      <c r="CG530" s="132">
        <f t="shared" ref="CG530" si="482">CE530*CF530</f>
        <v>0</v>
      </c>
      <c r="CH530" s="4" t="s">
        <v>132</v>
      </c>
      <c r="CI530" s="5">
        <v>0</v>
      </c>
      <c r="CJ530" s="4">
        <v>0</v>
      </c>
      <c r="CK530" s="132">
        <f t="shared" ref="CK530" si="483">CI530*CJ530</f>
        <v>0</v>
      </c>
      <c r="CL530" s="4" t="s">
        <v>132</v>
      </c>
      <c r="CM530" s="5">
        <v>0</v>
      </c>
      <c r="CN530" s="4">
        <v>0</v>
      </c>
      <c r="CO530" s="132">
        <f t="shared" ref="CO530" si="484">CM530*CN530</f>
        <v>0</v>
      </c>
      <c r="CP530" s="4" t="s">
        <v>132</v>
      </c>
      <c r="CQ530" s="5">
        <v>0</v>
      </c>
      <c r="CR530" s="4">
        <v>0</v>
      </c>
      <c r="CS530" s="412">
        <f t="shared" ref="CS530" si="485">CQ530*CR530</f>
        <v>0</v>
      </c>
      <c r="CT530" s="412">
        <f t="shared" ref="CT530" si="486">CG530+CK530+CO530+CS530</f>
        <v>0</v>
      </c>
      <c r="CU530" s="238">
        <f t="shared" si="453"/>
        <v>300</v>
      </c>
      <c r="CV530" s="239">
        <f t="shared" si="454"/>
        <v>0</v>
      </c>
      <c r="CW530" s="240">
        <f t="shared" si="455"/>
        <v>279</v>
      </c>
      <c r="CX530" s="79">
        <f>IF(ISBLANK(E530),"AddQuickPay",IF(E530=2,CU530*0.98,IF(E530=2.4,CU530*0.976,IF(E530=3,CU530*0.97,IF(E530=5,CU530*0.95,IF(E530=1.5,CU530*0.985,IF(E530=2.5,CU530*0.975,IF(E530=1.3,CU530*0.987,IF(E530=1,CU530*0.99,IF(E530=4,CU530*0.96,CU530*1))))))))))-Table1[[#This Row],[ComCheck+QuickPayFee]]</f>
        <v>300</v>
      </c>
      <c r="CY530" s="237">
        <f t="shared" si="456"/>
        <v>21</v>
      </c>
      <c r="CZ530" s="237">
        <f t="shared" si="391"/>
        <v>0</v>
      </c>
      <c r="DA530" s="263">
        <f>Table1[[#This Row],[OriginalDispatch]]-Table1[[#This Row],[QuickPayCharge]]</f>
        <v>21</v>
      </c>
      <c r="DB530" s="5">
        <v>0</v>
      </c>
      <c r="DC530" s="237" t="s">
        <v>133</v>
      </c>
      <c r="DD530" s="549">
        <f t="shared" si="392"/>
        <v>42566</v>
      </c>
      <c r="DE530" s="554">
        <f>MONTH(Table1[[#This Row],[Weekending]])</f>
        <v>7</v>
      </c>
      <c r="DF530" s="554">
        <f>YEAR(Table1[[#This Row],[Weekending]])</f>
        <v>2016</v>
      </c>
      <c r="DG530" s="235"/>
    </row>
    <row r="531" spans="1:111">
      <c r="A531" s="548" t="str">
        <f t="shared" si="380"/>
        <v>92270793</v>
      </c>
      <c r="B531" s="549">
        <v>42563</v>
      </c>
      <c r="C531" s="550">
        <v>573792</v>
      </c>
      <c r="D531" s="548" t="s">
        <v>1997</v>
      </c>
      <c r="E531" s="550">
        <v>2</v>
      </c>
      <c r="F531" s="551" t="str">
        <f>INDEX(BrokerTBL!$B:$B,MATCH(D531,BrokerTBL!$A:$A,0))</f>
        <v>12755 East Nine Mile Road</v>
      </c>
      <c r="G531" s="550" t="str">
        <f>INDEX(BrokerTBL!$C:$C,MATCH(D531,BrokerTBL!$A:$A,0))</f>
        <v>Warren</v>
      </c>
      <c r="H531" s="235" t="str">
        <f>INDEX(BrokerTBL!$D:$D,MATCH(D531,BrokerTBL!$A:$A,0))</f>
        <v>Mi</v>
      </c>
      <c r="I531" s="235" t="str">
        <f>INDEX(BrokerTBL!$E:$E,MATCH(D531,BrokerTBL!$A:$A,0))</f>
        <v>US</v>
      </c>
      <c r="J531" s="235">
        <f>INDEX(BrokerTBL!$F:$F,MATCH(D531,BrokerTBL!$A:$A,0))</f>
        <v>48089</v>
      </c>
      <c r="K531" s="548" t="s">
        <v>3390</v>
      </c>
      <c r="L531" s="552" t="s">
        <v>3391</v>
      </c>
      <c r="M531" s="549">
        <v>42563</v>
      </c>
      <c r="N531" s="550" t="s">
        <v>1559</v>
      </c>
      <c r="O531" s="550" t="s">
        <v>3392</v>
      </c>
      <c r="P531" s="548" t="s">
        <v>449</v>
      </c>
      <c r="Q531" s="548" t="s">
        <v>2206</v>
      </c>
      <c r="R531" s="548">
        <v>95050</v>
      </c>
      <c r="S531" s="548" t="s">
        <v>2207</v>
      </c>
      <c r="T531" s="548" t="s">
        <v>123</v>
      </c>
      <c r="U531" s="548" t="s">
        <v>120</v>
      </c>
      <c r="V531" s="548">
        <v>53</v>
      </c>
      <c r="W531" s="548" t="s">
        <v>1205</v>
      </c>
      <c r="X531" s="553">
        <v>44000</v>
      </c>
      <c r="Y531" s="550" t="s">
        <v>123</v>
      </c>
      <c r="Z531" s="548" t="s">
        <v>123</v>
      </c>
      <c r="AA531" s="548" t="s">
        <v>123</v>
      </c>
      <c r="AB531" s="548" t="s">
        <v>123</v>
      </c>
      <c r="AC531" s="548" t="s">
        <v>3393</v>
      </c>
      <c r="AD531" s="552">
        <v>13607</v>
      </c>
      <c r="AE531" s="549">
        <v>42563</v>
      </c>
      <c r="AF531" s="549" t="s">
        <v>3346</v>
      </c>
      <c r="AG531" s="548" t="s">
        <v>3394</v>
      </c>
      <c r="AH531" s="548" t="s">
        <v>184</v>
      </c>
      <c r="AI531" s="548" t="s">
        <v>2206</v>
      </c>
      <c r="AJ531" s="548">
        <v>95201</v>
      </c>
      <c r="AK531" s="548" t="s">
        <v>2207</v>
      </c>
      <c r="AL531" s="548" t="s">
        <v>123</v>
      </c>
      <c r="AM531" s="554" t="str">
        <f>INDEX(CarrierDriverTBL!$B:$B,MATCH(Table1[[#This Row],[DriverID]],CarrierDriverTBL!$A:$A,0))</f>
        <v>UBTrucking</v>
      </c>
      <c r="AN531" s="10" t="s">
        <v>2234</v>
      </c>
      <c r="AO531" s="555" t="str">
        <f>INDEX(CarrierDriverTBL!$C:$C,MATCH(Table1[[#This Row],[DriverID]],CarrierDriverTBL!$A:$A,0))</f>
        <v>Arturo</v>
      </c>
      <c r="AP531" s="555" t="str">
        <f>INDEX(CarrierDriverTBL!$D:$D,MATCH(Table1[[#This Row],[DriverID]],CarrierDriverTBL!$A:$A,0))</f>
        <v>Carrillo</v>
      </c>
      <c r="AQ531" s="555" t="str">
        <f>INDEX(CarrierDriverTBL!$X:$X,MATCH(Table1[[#This Row],[DriverID]],CarrierDriverTBL!$A:$A,0))</f>
        <v>C7056793</v>
      </c>
      <c r="AR531" s="556">
        <f>INDEX(CarrierDriverTBL!$Y:$Y,MATCH(Table1[[#This Row],[DriverID]],CarrierDriverTBL!$A:$A,0))</f>
        <v>43410</v>
      </c>
      <c r="AS531" s="554" t="str">
        <f t="shared" si="381"/>
        <v>GOOD</v>
      </c>
      <c r="AT531" s="556">
        <f>INDEX(CarrierDriverTBL!$E:$E,MATCH(Table1[[#This Row],[DriverID]],CarrierDriverTBL!$A:$A,0))</f>
        <v>24782</v>
      </c>
      <c r="AU531" s="557">
        <f ca="1">INDEX(CarrierDriverTBL!$F:$F,MATCH(Table1[[#This Row],[DriverID]],CarrierDriverTBL!$A:$A,0))</f>
        <v>48.750684931506846</v>
      </c>
      <c r="AV531" s="554" t="str">
        <f>INDEX(CarrierDriverTBL!$K:$K,MATCH(Table1[[#This Row],[DriverID]],CarrierDriverTBL!$A:$A,0))</f>
        <v>209-276-9785</v>
      </c>
      <c r="AW531" s="554" t="str">
        <f>INDEX(CarrierDriverTBL!$M:$M,MATCH(Table1[[#This Row],[DriverID]],CarrierDriverTBL!$A:$A,0))</f>
        <v>1685 Winthrop Ln</v>
      </c>
      <c r="AX531" s="554" t="str">
        <f>INDEX(CarrierDriverTBL!$N:$N,MATCH(Table1[[#This Row],[DriverID]],CarrierDriverTBL!$A:$A,0))</f>
        <v>Ceres</v>
      </c>
      <c r="AY531" s="554" t="str">
        <f>INDEX(CarrierDriverTBL!$O:$O,MATCH(Table1[[#This Row],[DriverID]],CarrierDriverTBL!$A:$A,0))</f>
        <v>CA</v>
      </c>
      <c r="AZ531" s="554">
        <f>INDEX(CarrierDriverTBL!$P:$P,MATCH(Table1[[#This Row],[DriverID]],CarrierDriverTBL!$A:$A,0))</f>
        <v>95307</v>
      </c>
      <c r="BA531" s="554" t="str">
        <f>INDEX(CarrierDriverTBL!$Q:$Q,MATCH(Table1[[#This Row],[DriverID]],CarrierDriverTBL!$A:$A,0))</f>
        <v>US</v>
      </c>
      <c r="BB531" s="554" t="str">
        <f>INDEX(CarrierDriverTBL!$R:$R,MATCH(Table1[[#This Row],[DriverID]],CarrierDriverTBL!$A:$A,0))</f>
        <v>arturocarr777@gmail.com</v>
      </c>
      <c r="BC531" s="556">
        <f>INDEX(CarrierDriverTBL!$AB:$AB,MATCH(Table1[[#This Row],[DriverID]],CarrierDriverTBL!$A:$A,0))</f>
        <v>42418</v>
      </c>
      <c r="BD531" s="555" t="str">
        <f ca="1">INDEX(CarrierDriverTBL!$AD:$AD,MATCH(LoadMaster!$AN:$AN,CarrierDriverTBL!$A:$A,0))</f>
        <v>MISSING</v>
      </c>
      <c r="BE531" s="555">
        <f>INDEX(CarrierDriverTBL!$AE:$AE,MATCH(Table1[DriverID],CarrierDriverTBL!$A:$A,0))</f>
        <v>913971</v>
      </c>
      <c r="BF531" s="554">
        <f>INDEX(CarrierDriverTBL!$AF:$AF,MATCH(Table1[DriverID],CarrierDriverTBL!$A:$A,0))</f>
        <v>2627544</v>
      </c>
      <c r="BG531" s="236">
        <f>INDEX(CarrierDriverTBL!$AG:$AG,MATCH(Table1[DriverID],CarrierDriverTBL!$A:$A,0))</f>
        <v>466133</v>
      </c>
      <c r="BH531" s="554" t="str">
        <f>INDEX(CarrierDriverTBL!$AH:$AH,MATCH(Table1[DriverID],CarrierDriverTBL!$A:$A,0))</f>
        <v>GM Lawrence Ins</v>
      </c>
      <c r="BI531" s="554" t="str">
        <f>INDEX(CarrierDriverTBL!$AI:$AI,MATCH(Table1[DriverID],CarrierDriverTBL!$A:$A,0))</f>
        <v>DSK2842P160210</v>
      </c>
      <c r="BJ531" s="556">
        <f>INDEX(CarrierDriverTBL!$AJ:$AJ,MATCH(Table1[[#This Row],[DriverID]],CarrierDriverTBL!$A:$A,0))</f>
        <v>42778</v>
      </c>
      <c r="BK531" s="554">
        <f t="shared" si="382"/>
        <v>215</v>
      </c>
      <c r="BL531" s="558">
        <v>400</v>
      </c>
      <c r="BM531" s="554">
        <v>79.599999999999994</v>
      </c>
      <c r="BN531" s="558">
        <f t="shared" si="443"/>
        <v>5.025125628140704</v>
      </c>
      <c r="BO531" s="241">
        <f>0.93*400</f>
        <v>372</v>
      </c>
      <c r="BP531" s="558">
        <f t="shared" si="444"/>
        <v>4.6733668341708547</v>
      </c>
      <c r="BQ531" s="558">
        <v>2.8</v>
      </c>
      <c r="BR531" s="559">
        <f t="shared" si="445"/>
        <v>0.15</v>
      </c>
      <c r="BS531" s="558">
        <f t="shared" si="446"/>
        <v>4.5233668341708544</v>
      </c>
      <c r="BT531" s="558">
        <f t="shared" si="447"/>
        <v>11.94</v>
      </c>
      <c r="BU531" s="236" t="str">
        <f t="shared" si="448"/>
        <v>Cavalry Logistics</v>
      </c>
      <c r="BV531" s="554"/>
      <c r="BW531" s="236" t="str">
        <f>Table1[[#This Row],[BrokerAddress]]</f>
        <v>12755 East Nine Mile Road</v>
      </c>
      <c r="BX531" s="236" t="str">
        <f t="shared" si="449"/>
        <v>Warren</v>
      </c>
      <c r="BY531" s="269" t="str">
        <f t="shared" si="450"/>
        <v>Mi</v>
      </c>
      <c r="BZ531" s="236">
        <f t="shared" si="451"/>
        <v>48089</v>
      </c>
      <c r="CA531" s="236" t="str">
        <f t="shared" si="452"/>
        <v>US</v>
      </c>
      <c r="CB531" s="15" t="s">
        <v>131</v>
      </c>
      <c r="CC531" s="561"/>
      <c r="CD531" s="15" t="s">
        <v>132</v>
      </c>
      <c r="CE531" s="64">
        <v>0</v>
      </c>
      <c r="CF531" s="4">
        <v>0</v>
      </c>
      <c r="CG531" s="132">
        <f t="shared" ref="CG531" si="487">CE531*CF531</f>
        <v>0</v>
      </c>
      <c r="CH531" s="4" t="s">
        <v>132</v>
      </c>
      <c r="CI531" s="5">
        <v>0</v>
      </c>
      <c r="CJ531" s="4">
        <v>0</v>
      </c>
      <c r="CK531" s="132">
        <f t="shared" ref="CK531" si="488">CI531*CJ531</f>
        <v>0</v>
      </c>
      <c r="CL531" s="4" t="s">
        <v>132</v>
      </c>
      <c r="CM531" s="5">
        <v>0</v>
      </c>
      <c r="CN531" s="4">
        <v>0</v>
      </c>
      <c r="CO531" s="132">
        <f t="shared" ref="CO531" si="489">CM531*CN531</f>
        <v>0</v>
      </c>
      <c r="CP531" s="4" t="s">
        <v>132</v>
      </c>
      <c r="CQ531" s="5">
        <v>0</v>
      </c>
      <c r="CR531" s="4">
        <v>0</v>
      </c>
      <c r="CS531" s="412">
        <f t="shared" ref="CS531" si="490">CQ531*CR531</f>
        <v>0</v>
      </c>
      <c r="CT531" s="412">
        <f t="shared" ref="CT531" si="491">CG531+CK531+CO531+CS531</f>
        <v>0</v>
      </c>
      <c r="CU531" s="238">
        <f t="shared" si="453"/>
        <v>400</v>
      </c>
      <c r="CV531" s="239">
        <f t="shared" si="454"/>
        <v>0</v>
      </c>
      <c r="CW531" s="240">
        <f t="shared" si="455"/>
        <v>372</v>
      </c>
      <c r="CX531" s="79">
        <f>IF(ISBLANK(E531),"AddQuickPay",IF(E531=2,CU531*0.98,IF(E531=2.4,CU531*0.976,IF(E531=3,CU531*0.97,IF(E531=5,CU531*0.95,IF(E531=1.5,CU531*0.985,IF(E531=2.5,CU531*0.975,IF(E531=1.3,CU531*0.987,IF(E531=1,CU531*0.99,IF(E531=4,CU531*0.96,CU531*1))))))))))-Table1[[#This Row],[ComCheck+QuickPayFee]]</f>
        <v>392</v>
      </c>
      <c r="CY531" s="237">
        <f t="shared" si="456"/>
        <v>28</v>
      </c>
      <c r="CZ531" s="237">
        <f t="shared" si="391"/>
        <v>8</v>
      </c>
      <c r="DA531" s="263">
        <f>Table1[[#This Row],[OriginalDispatch]]-Table1[[#This Row],[QuickPayCharge]]</f>
        <v>20</v>
      </c>
      <c r="DB531" s="5">
        <v>0</v>
      </c>
      <c r="DC531" s="237" t="s">
        <v>133</v>
      </c>
      <c r="DD531" s="549">
        <f t="shared" si="392"/>
        <v>42566</v>
      </c>
      <c r="DE531" s="554">
        <f>MONTH(Table1[[#This Row],[Weekending]])</f>
        <v>7</v>
      </c>
      <c r="DF531" s="554">
        <f>YEAR(Table1[[#This Row],[Weekending]])</f>
        <v>2016</v>
      </c>
      <c r="DG531" s="235"/>
    </row>
    <row r="532" spans="1:111">
      <c r="A532" s="548" t="str">
        <f t="shared" si="380"/>
        <v>59555519</v>
      </c>
      <c r="B532" s="549">
        <v>42563</v>
      </c>
      <c r="C532" s="550">
        <v>7725559</v>
      </c>
      <c r="D532" s="548" t="s">
        <v>445</v>
      </c>
      <c r="E532" s="550">
        <v>3</v>
      </c>
      <c r="F532" s="551" t="str">
        <f>INDEX(BrokerTBL!$B:$B,MATCH(D532,BrokerTBL!$A:$A,0))</f>
        <v>960 Northpoint Parkway Suite 150</v>
      </c>
      <c r="G532" s="550" t="str">
        <f>INDEX(BrokerTBL!$C:$C,MATCH(D532,BrokerTBL!$A:$A,0))</f>
        <v>Alpharetta</v>
      </c>
      <c r="H532" s="235" t="str">
        <f>INDEX(BrokerTBL!$D:$D,MATCH(D532,BrokerTBL!$A:$A,0))</f>
        <v>Ga</v>
      </c>
      <c r="I532" s="235" t="str">
        <f>INDEX(BrokerTBL!$E:$E,MATCH(D532,BrokerTBL!$A:$A,0))</f>
        <v>US</v>
      </c>
      <c r="J532" s="235">
        <f>INDEX(BrokerTBL!$F:$F,MATCH(D532,BrokerTBL!$A:$A,0))</f>
        <v>30005</v>
      </c>
      <c r="K532" s="548" t="s">
        <v>3395</v>
      </c>
      <c r="L532" s="552" t="s">
        <v>3396</v>
      </c>
      <c r="M532" s="549">
        <v>42563</v>
      </c>
      <c r="N532" s="560">
        <v>0.54166666666666663</v>
      </c>
      <c r="O532" s="550" t="s">
        <v>3397</v>
      </c>
      <c r="P532" s="548" t="s">
        <v>1906</v>
      </c>
      <c r="Q532" s="548" t="s">
        <v>2206</v>
      </c>
      <c r="R532" s="548">
        <v>90749</v>
      </c>
      <c r="S532" s="548" t="s">
        <v>2207</v>
      </c>
      <c r="T532" s="548" t="s">
        <v>123</v>
      </c>
      <c r="U532" s="548" t="s">
        <v>120</v>
      </c>
      <c r="V532" s="548">
        <v>53</v>
      </c>
      <c r="W532" s="548" t="s">
        <v>141</v>
      </c>
      <c r="X532" s="553">
        <v>6871</v>
      </c>
      <c r="Y532" s="550" t="s">
        <v>566</v>
      </c>
      <c r="Z532" s="548">
        <v>325</v>
      </c>
      <c r="AA532" s="548" t="s">
        <v>123</v>
      </c>
      <c r="AB532" s="548" t="s">
        <v>123</v>
      </c>
      <c r="AC532" s="548" t="s">
        <v>3398</v>
      </c>
      <c r="AD532" s="552" t="s">
        <v>3396</v>
      </c>
      <c r="AE532" s="549">
        <v>42564</v>
      </c>
      <c r="AF532" s="560">
        <v>0.33333333333333331</v>
      </c>
      <c r="AG532" s="548" t="s">
        <v>3399</v>
      </c>
      <c r="AH532" s="548" t="s">
        <v>366</v>
      </c>
      <c r="AI532" s="548" t="s">
        <v>2206</v>
      </c>
      <c r="AJ532" s="548">
        <v>95776</v>
      </c>
      <c r="AK532" s="548" t="s">
        <v>2207</v>
      </c>
      <c r="AL532" s="548" t="s">
        <v>123</v>
      </c>
      <c r="AM532" s="554" t="str">
        <f>INDEX(CarrierDriverTBL!$B:$B,MATCH(Table1[[#This Row],[DriverID]],CarrierDriverTBL!$A:$A,0))</f>
        <v>UBTrucking</v>
      </c>
      <c r="AN532" s="10" t="s">
        <v>1409</v>
      </c>
      <c r="AO532" s="555" t="str">
        <f>INDEX(CarrierDriverTBL!$C:$C,MATCH(Table1[[#This Row],[DriverID]],CarrierDriverTBL!$A:$A,0))</f>
        <v>Miguel Jaime</v>
      </c>
      <c r="AP532" s="555" t="str">
        <f>INDEX(CarrierDriverTBL!$D:$D,MATCH(Table1[[#This Row],[DriverID]],CarrierDriverTBL!$A:$A,0))</f>
        <v>Martin Del Campo Velarca</v>
      </c>
      <c r="AQ532" s="555" t="str">
        <f>INDEX(CarrierDriverTBL!$X:$X,MATCH(Table1[[#This Row],[DriverID]],CarrierDriverTBL!$A:$A,0))</f>
        <v>D5179619</v>
      </c>
      <c r="AR532" s="556">
        <f>INDEX(CarrierDriverTBL!$Y:$Y,MATCH(Table1[[#This Row],[DriverID]],CarrierDriverTBL!$A:$A,0))</f>
        <v>43843</v>
      </c>
      <c r="AS532" s="554" t="str">
        <f t="shared" si="381"/>
        <v>GOOD</v>
      </c>
      <c r="AT532" s="556">
        <f>INDEX(CarrierDriverTBL!$E:$E,MATCH(Table1[[#This Row],[DriverID]],CarrierDriverTBL!$A:$A,0))</f>
        <v>21198</v>
      </c>
      <c r="AU532" s="557">
        <f ca="1">INDEX(CarrierDriverTBL!$F:$F,MATCH(Table1[[#This Row],[DriverID]],CarrierDriverTBL!$A:$A,0))</f>
        <v>58.56986301369863</v>
      </c>
      <c r="AV532" s="554" t="str">
        <f>INDEX(CarrierDriverTBL!$K:$K,MATCH(Table1[[#This Row],[DriverID]],CarrierDriverTBL!$A:$A,0))</f>
        <v>209-322-5231</v>
      </c>
      <c r="AW532" s="554" t="str">
        <f>INDEX(CarrierDriverTBL!$M:$M,MATCH(Table1[[#This Row],[DriverID]],CarrierDriverTBL!$A:$A,0))</f>
        <v>572 Predersen RD</v>
      </c>
      <c r="AX532" s="554" t="str">
        <f>INDEX(CarrierDriverTBL!$N:$N,MATCH(Table1[[#This Row],[DriverID]],CarrierDriverTBL!$A:$A,0))</f>
        <v>Oakdale</v>
      </c>
      <c r="AY532" s="554" t="str">
        <f>INDEX(CarrierDriverTBL!$O:$O,MATCH(Table1[[#This Row],[DriverID]],CarrierDriverTBL!$A:$A,0))</f>
        <v>CA</v>
      </c>
      <c r="AZ532" s="554">
        <f>INDEX(CarrierDriverTBL!$P:$P,MATCH(Table1[[#This Row],[DriverID]],CarrierDriverTBL!$A:$A,0))</f>
        <v>95361</v>
      </c>
      <c r="BA532" s="554" t="str">
        <f>INDEX(CarrierDriverTBL!$Q:$Q,MATCH(Table1[[#This Row],[DriverID]],CarrierDriverTBL!$A:$A,0))</f>
        <v>US</v>
      </c>
      <c r="BB532" s="554" t="str">
        <f>INDEX(CarrierDriverTBL!$R:$R,MATCH(Table1[[#This Row],[DriverID]],CarrierDriverTBL!$A:$A,0))</f>
        <v>Miguelmartin52@yahoo.com</v>
      </c>
      <c r="BC532" s="556">
        <f>INDEX(CarrierDriverTBL!$AB:$AB,MATCH(Table1[[#This Row],[DriverID]],CarrierDriverTBL!$A:$A,0))</f>
        <v>42334</v>
      </c>
      <c r="BD532" s="555" t="str">
        <f ca="1">INDEX(CarrierDriverTBL!$AD:$AD,MATCH(LoadMaster!$AN:$AN,CarrierDriverTBL!$A:$A,0))</f>
        <v>MISSING</v>
      </c>
      <c r="BE532" s="555">
        <f>INDEX(CarrierDriverTBL!$AE:$AE,MATCH(Table1[DriverID],CarrierDriverTBL!$A:$A,0))</f>
        <v>913971</v>
      </c>
      <c r="BF532" s="554">
        <f>INDEX(CarrierDriverTBL!$AF:$AF,MATCH(Table1[DriverID],CarrierDriverTBL!$A:$A,0))</f>
        <v>2627544</v>
      </c>
      <c r="BG532" s="236">
        <f>INDEX(CarrierDriverTBL!$AG:$AG,MATCH(Table1[DriverID],CarrierDriverTBL!$A:$A,0))</f>
        <v>466133</v>
      </c>
      <c r="BH532" s="554" t="str">
        <f>INDEX(CarrierDriverTBL!$AH:$AH,MATCH(Table1[DriverID],CarrierDriverTBL!$A:$A,0))</f>
        <v>GM Lawrence Ins</v>
      </c>
      <c r="BI532" s="554" t="str">
        <f>INDEX(CarrierDriverTBL!$AI:$AI,MATCH(Table1[DriverID],CarrierDriverTBL!$A:$A,0))</f>
        <v>DSK2842P160210</v>
      </c>
      <c r="BJ532" s="556">
        <f>INDEX(CarrierDriverTBL!$AJ:$AJ,MATCH(Table1[[#This Row],[DriverID]],CarrierDriverTBL!$A:$A,0))</f>
        <v>42778</v>
      </c>
      <c r="BK532" s="554">
        <f t="shared" si="382"/>
        <v>215</v>
      </c>
      <c r="BL532" s="558">
        <v>900</v>
      </c>
      <c r="BM532" s="554">
        <v>418.4</v>
      </c>
      <c r="BN532" s="558">
        <f t="shared" si="443"/>
        <v>2.1510516252390057</v>
      </c>
      <c r="BO532" s="241">
        <f>0.93*1050</f>
        <v>976.5</v>
      </c>
      <c r="BP532" s="558">
        <f t="shared" si="444"/>
        <v>2.3338910133843211</v>
      </c>
      <c r="BQ532" s="558">
        <v>2.8</v>
      </c>
      <c r="BR532" s="559">
        <f t="shared" si="445"/>
        <v>0.15</v>
      </c>
      <c r="BS532" s="558">
        <f t="shared" si="446"/>
        <v>2.1838910133843212</v>
      </c>
      <c r="BT532" s="558">
        <f t="shared" si="447"/>
        <v>62.759999999999991</v>
      </c>
      <c r="BU532" s="236" t="str">
        <f t="shared" si="448"/>
        <v>Coyote</v>
      </c>
      <c r="BV532" s="554"/>
      <c r="BW532" s="236" t="str">
        <f>Table1[[#This Row],[BrokerAddress]]</f>
        <v>960 Northpoint Parkway Suite 150</v>
      </c>
      <c r="BX532" s="236" t="str">
        <f t="shared" si="449"/>
        <v>Alpharetta</v>
      </c>
      <c r="BY532" s="269" t="str">
        <f t="shared" si="450"/>
        <v>Ga</v>
      </c>
      <c r="BZ532" s="236">
        <f t="shared" si="451"/>
        <v>30005</v>
      </c>
      <c r="CA532" s="236" t="str">
        <f t="shared" si="452"/>
        <v>US</v>
      </c>
      <c r="CB532" s="15" t="s">
        <v>131</v>
      </c>
      <c r="CC532" s="561"/>
      <c r="CD532" s="15" t="s">
        <v>3400</v>
      </c>
      <c r="CE532" s="64">
        <v>150</v>
      </c>
      <c r="CF532" s="4">
        <v>1</v>
      </c>
      <c r="CG532" s="132">
        <f t="shared" ref="CG532" si="492">CE532*CF532</f>
        <v>150</v>
      </c>
      <c r="CH532" s="4" t="s">
        <v>132</v>
      </c>
      <c r="CI532" s="5">
        <v>0</v>
      </c>
      <c r="CJ532" s="4">
        <v>0</v>
      </c>
      <c r="CK532" s="132">
        <f t="shared" ref="CK532" si="493">CI532*CJ532</f>
        <v>0</v>
      </c>
      <c r="CL532" s="4" t="s">
        <v>132</v>
      </c>
      <c r="CM532" s="5">
        <v>0</v>
      </c>
      <c r="CN532" s="4">
        <v>0</v>
      </c>
      <c r="CO532" s="132">
        <f t="shared" ref="CO532" si="494">CM532*CN532</f>
        <v>0</v>
      </c>
      <c r="CP532" s="4" t="s">
        <v>132</v>
      </c>
      <c r="CQ532" s="5">
        <v>0</v>
      </c>
      <c r="CR532" s="4">
        <v>0</v>
      </c>
      <c r="CS532" s="412">
        <f t="shared" ref="CS532" si="495">CQ532*CR532</f>
        <v>0</v>
      </c>
      <c r="CT532" s="412">
        <f t="shared" ref="CT532" si="496">CG532+CK532+CO532+CS532</f>
        <v>150</v>
      </c>
      <c r="CU532" s="238">
        <f t="shared" si="453"/>
        <v>1050</v>
      </c>
      <c r="CV532" s="239">
        <f t="shared" si="454"/>
        <v>139.5</v>
      </c>
      <c r="CW532" s="240">
        <f t="shared" si="455"/>
        <v>1116</v>
      </c>
      <c r="CX532" s="79">
        <f>IF(ISBLANK(E532),"AddQuickPay",IF(E532=2,CU532*0.98,IF(E532=2.4,CU532*0.976,IF(E532=3,CU532*0.97,IF(E532=5,CU532*0.95,IF(E532=1.5,CU532*0.985,IF(E532=2.5,CU532*0.975,IF(E532=1.3,CU532*0.987,IF(E532=1,CU532*0.99,IF(E532=4,CU532*0.96,CU532*1))))))))))-Table1[[#This Row],[ComCheck+QuickPayFee]]</f>
        <v>1018.5</v>
      </c>
      <c r="CY532" s="237">
        <f t="shared" si="456"/>
        <v>-66</v>
      </c>
      <c r="CZ532" s="237">
        <f t="shared" si="391"/>
        <v>31.5</v>
      </c>
      <c r="DA532" s="263">
        <f>Table1[[#This Row],[OriginalDispatch]]-Table1[[#This Row],[QuickPayCharge]]</f>
        <v>-97.5</v>
      </c>
      <c r="DB532" s="5">
        <v>0</v>
      </c>
      <c r="DC532" s="237" t="s">
        <v>133</v>
      </c>
      <c r="DD532" s="549">
        <f t="shared" si="392"/>
        <v>42566</v>
      </c>
      <c r="DE532" s="554">
        <f>MONTH(Table1[[#This Row],[Weekending]])</f>
        <v>7</v>
      </c>
      <c r="DF532" s="554">
        <f>YEAR(Table1[[#This Row],[Weekending]])</f>
        <v>2016</v>
      </c>
      <c r="DG532" s="235"/>
    </row>
    <row r="533" spans="1:111">
      <c r="A533" s="548" t="str">
        <f t="shared" si="380"/>
        <v>81wnwn49</v>
      </c>
      <c r="B533" s="549">
        <v>42563</v>
      </c>
      <c r="C533" s="550">
        <v>244081</v>
      </c>
      <c r="D533" s="91" t="s">
        <v>3401</v>
      </c>
      <c r="E533" s="550">
        <v>0</v>
      </c>
      <c r="F533" s="551" t="str">
        <f>INDEX(BrokerTBL!$B:$B,MATCH(D533,BrokerTBL!$A:$A,0))</f>
        <v>PO BOX 956968</v>
      </c>
      <c r="G533" s="550" t="str">
        <f>INDEX(BrokerTBL!$C:$C,MATCH(D533,BrokerTBL!$A:$A,0))</f>
        <v>Duluth</v>
      </c>
      <c r="H533" s="235" t="str">
        <f>INDEX(BrokerTBL!$D:$D,MATCH(D533,BrokerTBL!$A:$A,0))</f>
        <v>GA</v>
      </c>
      <c r="I533" s="235" t="str">
        <f>INDEX(BrokerTBL!$E:$E,MATCH(D533,BrokerTBL!$A:$A,0))</f>
        <v>US</v>
      </c>
      <c r="J533" s="235">
        <f>INDEX(BrokerTBL!$F:$F,MATCH(D533,BrokerTBL!$A:$A,0))</f>
        <v>30095</v>
      </c>
      <c r="K533" s="548" t="s">
        <v>3402</v>
      </c>
      <c r="L533" s="552" t="s">
        <v>1205</v>
      </c>
      <c r="M533" s="549">
        <v>42563</v>
      </c>
      <c r="N533" s="550" t="s">
        <v>3403</v>
      </c>
      <c r="O533" s="550" t="s">
        <v>3404</v>
      </c>
      <c r="P533" s="548" t="s">
        <v>3405</v>
      </c>
      <c r="Q533" s="548" t="s">
        <v>2206</v>
      </c>
      <c r="R533" s="548">
        <v>93458</v>
      </c>
      <c r="S533" s="548" t="s">
        <v>2207</v>
      </c>
      <c r="T533" s="548" t="s">
        <v>123</v>
      </c>
      <c r="U533" s="548" t="s">
        <v>120</v>
      </c>
      <c r="V533" s="548">
        <v>53</v>
      </c>
      <c r="W533" s="548" t="s">
        <v>3406</v>
      </c>
      <c r="X533" s="553">
        <v>7100</v>
      </c>
      <c r="Y533" s="550" t="s">
        <v>123</v>
      </c>
      <c r="Z533" s="548" t="s">
        <v>123</v>
      </c>
      <c r="AA533" s="548" t="s">
        <v>123</v>
      </c>
      <c r="AB533" s="548" t="s">
        <v>123</v>
      </c>
      <c r="AC533" s="548" t="s">
        <v>3407</v>
      </c>
      <c r="AD533" s="552" t="s">
        <v>1205</v>
      </c>
      <c r="AE533" s="549">
        <v>42564</v>
      </c>
      <c r="AF533" s="549" t="s">
        <v>218</v>
      </c>
      <c r="AG533" s="548" t="s">
        <v>3408</v>
      </c>
      <c r="AH533" s="548" t="s">
        <v>3409</v>
      </c>
      <c r="AI533" s="548" t="s">
        <v>2206</v>
      </c>
      <c r="AJ533" s="548">
        <v>94927</v>
      </c>
      <c r="AK533" s="548" t="s">
        <v>2207</v>
      </c>
      <c r="AL533" s="548" t="s">
        <v>123</v>
      </c>
      <c r="AM533" s="554" t="str">
        <f>INDEX(CarrierDriverTBL!$B:$B,MATCH(Table1[[#This Row],[DriverID]],CarrierDriverTBL!$A:$A,0))</f>
        <v>UBTrucking</v>
      </c>
      <c r="AN533" s="10" t="s">
        <v>192</v>
      </c>
      <c r="AO533" s="555" t="str">
        <f>INDEX(CarrierDriverTBL!$C:$C,MATCH(Table1[[#This Row],[DriverID]],CarrierDriverTBL!$A:$A,0))</f>
        <v>Albel</v>
      </c>
      <c r="AP533" s="555" t="str">
        <f>INDEX(CarrierDriverTBL!$D:$D,MATCH(Table1[[#This Row],[DriverID]],CarrierDriverTBL!$A:$A,0))</f>
        <v>Chahil</v>
      </c>
      <c r="AQ533" s="555" t="str">
        <f>INDEX(CarrierDriverTBL!$X:$X,MATCH(Table1[[#This Row],[DriverID]],CarrierDriverTBL!$A:$A,0))</f>
        <v>A8390649</v>
      </c>
      <c r="AR533" s="556">
        <f>INDEX(CarrierDriverTBL!$Y:$Y,MATCH(Table1[[#This Row],[DriverID]],CarrierDriverTBL!$A:$A,0))</f>
        <v>42402</v>
      </c>
      <c r="AS533" s="554" t="str">
        <f t="shared" si="381"/>
        <v>EXPIRED</v>
      </c>
      <c r="AT533" s="556">
        <f>INDEX(CarrierDriverTBL!$E:$E,MATCH(Table1[[#This Row],[DriverID]],CarrierDriverTBL!$A:$A,0))</f>
        <v>22314</v>
      </c>
      <c r="AU533" s="557">
        <f ca="1">INDEX(CarrierDriverTBL!$F:$F,MATCH(Table1[[#This Row],[DriverID]],CarrierDriverTBL!$A:$A,0))</f>
        <v>55.512328767123286</v>
      </c>
      <c r="AV533" s="554" t="str">
        <f>INDEX(CarrierDriverTBL!$K:$K,MATCH(Table1[[#This Row],[DriverID]],CarrierDriverTBL!$A:$A,0))</f>
        <v>510-773-9450</v>
      </c>
      <c r="AW533" s="554" t="str">
        <f>INDEX(CarrierDriverTBL!$M:$M,MATCH(Table1[[#This Row],[DriverID]],CarrierDriverTBL!$A:$A,0))</f>
        <v>3124 Cynthia CT</v>
      </c>
      <c r="AX533" s="554" t="str">
        <f>INDEX(CarrierDriverTBL!$N:$N,MATCH(Table1[[#This Row],[DriverID]],CarrierDriverTBL!$A:$A,0))</f>
        <v>Tracy</v>
      </c>
      <c r="AY533" s="554" t="str">
        <f>INDEX(CarrierDriverTBL!$O:$O,MATCH(Table1[[#This Row],[DriverID]],CarrierDriverTBL!$A:$A,0))</f>
        <v>CA</v>
      </c>
      <c r="AZ533" s="554">
        <f>INDEX(CarrierDriverTBL!$P:$P,MATCH(Table1[[#This Row],[DriverID]],CarrierDriverTBL!$A:$A,0))</f>
        <v>95377</v>
      </c>
      <c r="BA533" s="554" t="str">
        <f>INDEX(CarrierDriverTBL!$Q:$Q,MATCH(Table1[[#This Row],[DriverID]],CarrierDriverTBL!$A:$A,0))</f>
        <v>US</v>
      </c>
      <c r="BB533" s="554" t="str">
        <f>INDEX(CarrierDriverTBL!$R:$R,MATCH(Table1[[#This Row],[DriverID]],CarrierDriverTBL!$A:$A,0))</f>
        <v>ubgollc@gmail.com</v>
      </c>
      <c r="BC533" s="556">
        <f>INDEX(CarrierDriverTBL!$AB:$AB,MATCH(Table1[[#This Row],[DriverID]],CarrierDriverTBL!$A:$A,0))</f>
        <v>42167</v>
      </c>
      <c r="BD533" s="555" t="str">
        <f ca="1">INDEX(CarrierDriverTBL!$AD:$AD,MATCH(LoadMaster!$AN:$AN,CarrierDriverTBL!$A:$A,0))</f>
        <v>MISSING</v>
      </c>
      <c r="BE533" s="555">
        <f>INDEX(CarrierDriverTBL!$AE:$AE,MATCH(Table1[DriverID],CarrierDriverTBL!$A:$A,0))</f>
        <v>913971</v>
      </c>
      <c r="BF533" s="554">
        <f>INDEX(CarrierDriverTBL!$AF:$AF,MATCH(Table1[DriverID],CarrierDriverTBL!$A:$A,0))</f>
        <v>2627544</v>
      </c>
      <c r="BG533" s="236">
        <f>INDEX(CarrierDriverTBL!$AG:$AG,MATCH(Table1[DriverID],CarrierDriverTBL!$A:$A,0))</f>
        <v>466133</v>
      </c>
      <c r="BH533" s="554" t="str">
        <f>INDEX(CarrierDriverTBL!$AH:$AH,MATCH(Table1[DriverID],CarrierDriverTBL!$A:$A,0))</f>
        <v>GM Lawrence Ins</v>
      </c>
      <c r="BI533" s="554" t="str">
        <f>INDEX(CarrierDriverTBL!$AI:$AI,MATCH(Table1[DriverID],CarrierDriverTBL!$A:$A,0))</f>
        <v>DSK2842P160210</v>
      </c>
      <c r="BJ533" s="556">
        <f>INDEX(CarrierDriverTBL!$AJ:$AJ,MATCH(Table1[[#This Row],[DriverID]],CarrierDriverTBL!$A:$A,0))</f>
        <v>42778</v>
      </c>
      <c r="BK533" s="554">
        <f t="shared" si="382"/>
        <v>215</v>
      </c>
      <c r="BL533" s="558">
        <v>835</v>
      </c>
      <c r="BM533" s="554">
        <v>305</v>
      </c>
      <c r="BN533" s="558">
        <f t="shared" si="443"/>
        <v>2.737704918032787</v>
      </c>
      <c r="BO533" s="241">
        <f>0.93*835</f>
        <v>776.55000000000007</v>
      </c>
      <c r="BP533" s="558">
        <f t="shared" si="444"/>
        <v>2.546065573770492</v>
      </c>
      <c r="BQ533" s="558">
        <v>2.8</v>
      </c>
      <c r="BR533" s="559">
        <f t="shared" si="445"/>
        <v>0.15</v>
      </c>
      <c r="BS533" s="558">
        <f t="shared" si="446"/>
        <v>2.3960655737704921</v>
      </c>
      <c r="BT533" s="558">
        <f t="shared" si="447"/>
        <v>45.75</v>
      </c>
      <c r="BU533" s="236" t="str">
        <f t="shared" si="448"/>
        <v xml:space="preserve">Trans Dynamics, Inc. </v>
      </c>
      <c r="BV533" s="554"/>
      <c r="BW533" s="236" t="str">
        <f>Table1[[#This Row],[BrokerAddress]]</f>
        <v>PO BOX 956968</v>
      </c>
      <c r="BX533" s="236" t="str">
        <f t="shared" si="449"/>
        <v>Duluth</v>
      </c>
      <c r="BY533" s="269" t="str">
        <f t="shared" si="450"/>
        <v>GA</v>
      </c>
      <c r="BZ533" s="236">
        <f t="shared" si="451"/>
        <v>30095</v>
      </c>
      <c r="CA533" s="236" t="str">
        <f t="shared" si="452"/>
        <v>US</v>
      </c>
      <c r="CB533" s="15" t="s">
        <v>131</v>
      </c>
      <c r="CC533" s="561"/>
      <c r="CD533" s="15" t="s">
        <v>132</v>
      </c>
      <c r="CE533" s="64">
        <v>0</v>
      </c>
      <c r="CF533" s="4">
        <v>0</v>
      </c>
      <c r="CG533" s="132">
        <f t="shared" ref="CG533" si="497">CE533*CF533</f>
        <v>0</v>
      </c>
      <c r="CH533" s="4" t="s">
        <v>132</v>
      </c>
      <c r="CI533" s="5">
        <v>0</v>
      </c>
      <c r="CJ533" s="4">
        <v>0</v>
      </c>
      <c r="CK533" s="132">
        <f t="shared" ref="CK533" si="498">CI533*CJ533</f>
        <v>0</v>
      </c>
      <c r="CL533" s="4" t="s">
        <v>132</v>
      </c>
      <c r="CM533" s="5">
        <v>0</v>
      </c>
      <c r="CN533" s="4">
        <v>0</v>
      </c>
      <c r="CO533" s="132">
        <f t="shared" ref="CO533" si="499">CM533*CN533</f>
        <v>0</v>
      </c>
      <c r="CP533" s="4" t="s">
        <v>132</v>
      </c>
      <c r="CQ533" s="5">
        <v>0</v>
      </c>
      <c r="CR533" s="4">
        <v>0</v>
      </c>
      <c r="CS533" s="412">
        <f t="shared" ref="CS533" si="500">CQ533*CR533</f>
        <v>0</v>
      </c>
      <c r="CT533" s="412">
        <f t="shared" ref="CT533" si="501">CG533+CK533+CO533+CS533</f>
        <v>0</v>
      </c>
      <c r="CU533" s="238">
        <f t="shared" si="453"/>
        <v>835</v>
      </c>
      <c r="CV533" s="239">
        <f t="shared" si="454"/>
        <v>0</v>
      </c>
      <c r="CW533" s="240">
        <f t="shared" si="455"/>
        <v>776.55000000000007</v>
      </c>
      <c r="CX533" s="79">
        <f>IF(ISBLANK(E533),"AddQuickPay",IF(E533=2,CU533*0.98,IF(E533=2.4,CU533*0.976,IF(E533=3,CU533*0.97,IF(E533=5,CU533*0.95,IF(E533=1.5,CU533*0.985,IF(E533=2.5,CU533*0.975,IF(E533=1.3,CU533*0.987,IF(E533=1,CU533*0.99,IF(E533=4,CU533*0.96,CU533*1))))))))))-Table1[[#This Row],[ComCheck+QuickPayFee]]</f>
        <v>835</v>
      </c>
      <c r="CY533" s="237">
        <f t="shared" si="456"/>
        <v>58.449999999999932</v>
      </c>
      <c r="CZ533" s="237">
        <f t="shared" si="391"/>
        <v>0</v>
      </c>
      <c r="DA533" s="263">
        <f>Table1[[#This Row],[OriginalDispatch]]-Table1[[#This Row],[QuickPayCharge]]</f>
        <v>58.449999999999932</v>
      </c>
      <c r="DB533" s="5">
        <v>0</v>
      </c>
      <c r="DC533" s="237" t="s">
        <v>133</v>
      </c>
      <c r="DD533" s="549">
        <f t="shared" si="392"/>
        <v>42566</v>
      </c>
      <c r="DE533" s="554">
        <f>MONTH(Table1[[#This Row],[Weekending]])</f>
        <v>7</v>
      </c>
      <c r="DF533" s="554">
        <f>YEAR(Table1[[#This Row],[Weekending]])</f>
        <v>2016</v>
      </c>
      <c r="DG533" s="235"/>
    </row>
    <row r="534" spans="1:111">
      <c r="A534" s="416" t="str">
        <f t="shared" si="380"/>
        <v>7399ng49</v>
      </c>
      <c r="B534" s="549">
        <v>42563</v>
      </c>
      <c r="C534" s="15">
        <v>3327673</v>
      </c>
      <c r="D534" s="416" t="s">
        <v>3357</v>
      </c>
      <c r="E534" s="15">
        <v>0</v>
      </c>
      <c r="F534" s="144" t="str">
        <f>INDEX(BrokerTBL!$B:$B,MATCH(D534,BrokerTBL!$A:$A,0))</f>
        <v>PO BOX 339</v>
      </c>
      <c r="G534" s="15" t="str">
        <f>INDEX(BrokerTBL!$C:$C,MATCH(D534,BrokerTBL!$A:$A,0))</f>
        <v>LA CANADA</v>
      </c>
      <c r="H534" s="4" t="str">
        <f>INDEX(BrokerTBL!$D:$D,MATCH(D534,BrokerTBL!$A:$A,0))</f>
        <v>CA</v>
      </c>
      <c r="I534" s="4" t="str">
        <f>INDEX(BrokerTBL!$E:$E,MATCH(D534,BrokerTBL!$A:$A,0))</f>
        <v>US</v>
      </c>
      <c r="J534" s="4">
        <f>INDEX(BrokerTBL!$F:$F,MATCH(D534,BrokerTBL!$A:$A,0))</f>
        <v>91012</v>
      </c>
      <c r="K534" s="284" t="s">
        <v>3358</v>
      </c>
      <c r="L534" s="81">
        <v>7753581999</v>
      </c>
      <c r="M534" s="104">
        <v>42558</v>
      </c>
      <c r="N534" s="15" t="s">
        <v>123</v>
      </c>
      <c r="O534" s="15" t="s">
        <v>3359</v>
      </c>
      <c r="P534" s="416" t="s">
        <v>738</v>
      </c>
      <c r="Q534" s="416" t="s">
        <v>2233</v>
      </c>
      <c r="R534" s="416">
        <v>89502</v>
      </c>
      <c r="S534" s="416" t="s">
        <v>2207</v>
      </c>
      <c r="T534" s="416">
        <v>7753581999</v>
      </c>
      <c r="U534" s="416" t="s">
        <v>120</v>
      </c>
      <c r="V534" s="416">
        <v>53</v>
      </c>
      <c r="W534" s="416" t="s">
        <v>123</v>
      </c>
      <c r="X534" s="225">
        <v>43500</v>
      </c>
      <c r="Y534" s="15" t="s">
        <v>123</v>
      </c>
      <c r="Z534" s="416" t="s">
        <v>123</v>
      </c>
      <c r="AA534" s="416" t="s">
        <v>123</v>
      </c>
      <c r="AB534" s="416" t="s">
        <v>123</v>
      </c>
      <c r="AC534" s="416" t="s">
        <v>3361</v>
      </c>
      <c r="AD534" s="81" t="s">
        <v>1309</v>
      </c>
      <c r="AE534" s="549">
        <v>42559</v>
      </c>
      <c r="AF534" s="104" t="s">
        <v>123</v>
      </c>
      <c r="AG534" s="416" t="s">
        <v>3362</v>
      </c>
      <c r="AH534" s="416" t="s">
        <v>3112</v>
      </c>
      <c r="AI534" s="416" t="s">
        <v>2206</v>
      </c>
      <c r="AJ534" s="416">
        <v>94577</v>
      </c>
      <c r="AK534" s="416" t="s">
        <v>2207</v>
      </c>
      <c r="AL534" s="416">
        <v>5103523900</v>
      </c>
      <c r="AM534" s="171" t="str">
        <f>INDEX(CarrierDriverTBL!$B:$B,MATCH(Table1[[#This Row],[DriverID]],CarrierDriverTBL!$A:$A,0))</f>
        <v>UBTrucking</v>
      </c>
      <c r="AN534" s="10" t="s">
        <v>192</v>
      </c>
      <c r="AO534" s="2" t="str">
        <f>INDEX(CarrierDriverTBL!$C:$C,MATCH(Table1[[#This Row],[DriverID]],CarrierDriverTBL!$A:$A,0))</f>
        <v>Albel</v>
      </c>
      <c r="AP534" s="2" t="str">
        <f>INDEX(CarrierDriverTBL!$D:$D,MATCH(Table1[[#This Row],[DriverID]],CarrierDriverTBL!$A:$A,0))</f>
        <v>Chahil</v>
      </c>
      <c r="AQ534" s="2" t="str">
        <f>INDEX(CarrierDriverTBL!$X:$X,MATCH(Table1[[#This Row],[DriverID]],CarrierDriverTBL!$A:$A,0))</f>
        <v>A8390649</v>
      </c>
      <c r="AR534" s="172">
        <f>INDEX(CarrierDriverTBL!$Y:$Y,MATCH(Table1[[#This Row],[DriverID]],CarrierDriverTBL!$A:$A,0))</f>
        <v>42402</v>
      </c>
      <c r="AS534" s="171" t="str">
        <f t="shared" si="381"/>
        <v>EXPIRED</v>
      </c>
      <c r="AT534" s="172">
        <f>INDEX(CarrierDriverTBL!$E:$E,MATCH(Table1[[#This Row],[DriverID]],CarrierDriverTBL!$A:$A,0))</f>
        <v>22314</v>
      </c>
      <c r="AU534" s="277">
        <f ca="1">INDEX(CarrierDriverTBL!$F:$F,MATCH(Table1[[#This Row],[DriverID]],CarrierDriverTBL!$A:$A,0))</f>
        <v>55.512328767123286</v>
      </c>
      <c r="AV534" s="171" t="str">
        <f>INDEX(CarrierDriverTBL!$K:$K,MATCH(Table1[[#This Row],[DriverID]],CarrierDriverTBL!$A:$A,0))</f>
        <v>510-773-9450</v>
      </c>
      <c r="AW534" s="171" t="str">
        <f>INDEX(CarrierDriverTBL!$M:$M,MATCH(Table1[[#This Row],[DriverID]],CarrierDriverTBL!$A:$A,0))</f>
        <v>3124 Cynthia CT</v>
      </c>
      <c r="AX534" s="171" t="str">
        <f>INDEX(CarrierDriverTBL!$N:$N,MATCH(Table1[[#This Row],[DriverID]],CarrierDriverTBL!$A:$A,0))</f>
        <v>Tracy</v>
      </c>
      <c r="AY534" s="171" t="str">
        <f>INDEX(CarrierDriverTBL!$O:$O,MATCH(Table1[[#This Row],[DriverID]],CarrierDriverTBL!$A:$A,0))</f>
        <v>CA</v>
      </c>
      <c r="AZ534" s="171">
        <f>INDEX(CarrierDriverTBL!$P:$P,MATCH(Table1[[#This Row],[DriverID]],CarrierDriverTBL!$A:$A,0))</f>
        <v>95377</v>
      </c>
      <c r="BA534" s="171" t="str">
        <f>INDEX(CarrierDriverTBL!$Q:$Q,MATCH(Table1[[#This Row],[DriverID]],CarrierDriverTBL!$A:$A,0))</f>
        <v>US</v>
      </c>
      <c r="BB534" s="171" t="str">
        <f>INDEX(CarrierDriverTBL!$R:$R,MATCH(Table1[[#This Row],[DriverID]],CarrierDriverTBL!$A:$A,0))</f>
        <v>ubgollc@gmail.com</v>
      </c>
      <c r="BC534" s="172">
        <f>INDEX(CarrierDriverTBL!$AB:$AB,MATCH(Table1[[#This Row],[DriverID]],CarrierDriverTBL!$A:$A,0))</f>
        <v>42167</v>
      </c>
      <c r="BD534" s="2" t="str">
        <f ca="1">INDEX(CarrierDriverTBL!$AD:$AD,MATCH(LoadMaster!$AN:$AN,CarrierDriverTBL!$A:$A,0))</f>
        <v>MISSING</v>
      </c>
      <c r="BE534" s="2">
        <f>INDEX(CarrierDriverTBL!$AE:$AE,MATCH(Table1[DriverID],CarrierDriverTBL!$A:$A,0))</f>
        <v>913971</v>
      </c>
      <c r="BF534" s="171">
        <f>INDEX(CarrierDriverTBL!$AF:$AF,MATCH(Table1[DriverID],CarrierDriverTBL!$A:$A,0))</f>
        <v>2627544</v>
      </c>
      <c r="BG534" s="10">
        <f>INDEX(CarrierDriverTBL!$AG:$AG,MATCH(Table1[DriverID],CarrierDriverTBL!$A:$A,0))</f>
        <v>466133</v>
      </c>
      <c r="BH534" s="171" t="str">
        <f>INDEX(CarrierDriverTBL!$AH:$AH,MATCH(Table1[DriverID],CarrierDriverTBL!$A:$A,0))</f>
        <v>GM Lawrence Ins</v>
      </c>
      <c r="BI534" s="171" t="str">
        <f>INDEX(CarrierDriverTBL!$AI:$AI,MATCH(Table1[DriverID],CarrierDriverTBL!$A:$A,0))</f>
        <v>DSK2842P160210</v>
      </c>
      <c r="BJ534" s="172">
        <f>INDEX(CarrierDriverTBL!$AJ:$AJ,MATCH(Table1[[#This Row],[DriverID]],CarrierDriverTBL!$A:$A,0))</f>
        <v>42778</v>
      </c>
      <c r="BK534" s="171">
        <f t="shared" si="382"/>
        <v>220</v>
      </c>
      <c r="BL534" s="133">
        <v>400</v>
      </c>
      <c r="BM534" s="171">
        <v>224</v>
      </c>
      <c r="BN534" s="133">
        <f t="shared" ref="BN534:BN544" si="502">BL534/BM534</f>
        <v>1.7857142857142858</v>
      </c>
      <c r="BO534" s="134">
        <f>0.93*Table1[[#This Row],[ChargeBroker]]</f>
        <v>372</v>
      </c>
      <c r="BP534" s="133">
        <f t="shared" ref="BP534:BP544" si="503">BO534/BM534</f>
        <v>1.6607142857142858</v>
      </c>
      <c r="BQ534" s="558">
        <v>2.8</v>
      </c>
      <c r="BR534" s="215">
        <f t="shared" ref="BR534:BR544" si="504">(BQ534-1.9)/6</f>
        <v>0.15</v>
      </c>
      <c r="BS534" s="133">
        <f t="shared" ref="BS534:BS544" si="505">BP534-BR534</f>
        <v>1.5107142857142859</v>
      </c>
      <c r="BT534" s="133">
        <f t="shared" ref="BT534:BT544" si="506">BM534*BR534</f>
        <v>33.6</v>
      </c>
      <c r="BU534" s="10" t="str">
        <f t="shared" ref="BU534:BU544" si="507">D534</f>
        <v>ALLEN LUND</v>
      </c>
      <c r="BV534" s="171"/>
      <c r="BW534" s="10" t="str">
        <f>Table1[[#This Row],[BrokerAddress]]</f>
        <v>PO BOX 339</v>
      </c>
      <c r="BX534" s="10" t="str">
        <f t="shared" ref="BX534:BY536" si="508">G534</f>
        <v>LA CANADA</v>
      </c>
      <c r="BY534" s="278" t="str">
        <f t="shared" si="508"/>
        <v>CA</v>
      </c>
      <c r="BZ534" s="10">
        <f t="shared" ref="BZ534:BZ544" si="509">J534</f>
        <v>91012</v>
      </c>
      <c r="CA534" s="10" t="str">
        <f t="shared" ref="CA534:CA544" si="510">I534</f>
        <v>US</v>
      </c>
      <c r="CB534" s="15" t="s">
        <v>3364</v>
      </c>
      <c r="CC534" s="561"/>
      <c r="CD534" s="15" t="s">
        <v>132</v>
      </c>
      <c r="CE534" s="64">
        <v>0</v>
      </c>
      <c r="CF534" s="4">
        <v>0</v>
      </c>
      <c r="CG534" s="132">
        <f t="shared" ref="CG534" si="511">CE534*CF534</f>
        <v>0</v>
      </c>
      <c r="CH534" s="4" t="s">
        <v>132</v>
      </c>
      <c r="CI534" s="5">
        <v>0</v>
      </c>
      <c r="CJ534" s="4">
        <v>0</v>
      </c>
      <c r="CK534" s="132">
        <f t="shared" ref="CK534" si="512">CI534*CJ534</f>
        <v>0</v>
      </c>
      <c r="CL534" s="4" t="s">
        <v>132</v>
      </c>
      <c r="CM534" s="5">
        <v>0</v>
      </c>
      <c r="CN534" s="4">
        <v>0</v>
      </c>
      <c r="CO534" s="132">
        <f t="shared" ref="CO534" si="513">CM534*CN534</f>
        <v>0</v>
      </c>
      <c r="CP534" s="4" t="s">
        <v>132</v>
      </c>
      <c r="CQ534" s="5">
        <v>0</v>
      </c>
      <c r="CR534" s="4">
        <v>0</v>
      </c>
      <c r="CS534" s="412">
        <f t="shared" ref="CS534" si="514">CQ534*CR534</f>
        <v>0</v>
      </c>
      <c r="CT534" s="412">
        <f t="shared" ref="CT534" si="515">CG534+CK534+CO534+CS534</f>
        <v>0</v>
      </c>
      <c r="CU534" s="168">
        <f t="shared" ref="CU534:CU544" si="516">(CT534+BL534)-CC534</f>
        <v>400</v>
      </c>
      <c r="CV534" s="177">
        <f t="shared" ref="CV534:CV544" si="517">IF(AO534="Albel",(CT534*1),(CT534*0.93))</f>
        <v>0</v>
      </c>
      <c r="CW534" s="82">
        <f t="shared" ref="CW534:CW544" si="518">BO534+CV534</f>
        <v>372</v>
      </c>
      <c r="CX534" s="79">
        <f>IF(ISBLANK(E534),"AddQuickPay",IF(E534=2,CU534*0.98,IF(E534=2.4,CU534*0.976,IF(E534=3,CU534*0.97,IF(E534=5,CU534*0.95,IF(E534=1.5,CU534*0.985,IF(E534=2.5,CU534*0.975,IF(E534=1.3,CU534*0.987,IF(E534=1,CU534*0.99,IF(E534=4,CU534*0.96,CU534*1))))))))))-Table1[[#This Row],[ComCheck+QuickPayFee]]</f>
        <v>370.5</v>
      </c>
      <c r="CY534" s="5">
        <f t="shared" ref="CY534:CY544" si="519">CU534-CW534</f>
        <v>28</v>
      </c>
      <c r="CZ534" s="5">
        <f t="shared" si="391"/>
        <v>0</v>
      </c>
      <c r="DA534" s="258">
        <f>Table1[[#This Row],[OriginalDispatch]]-Table1[[#This Row],[QuickPayCharge]]</f>
        <v>28</v>
      </c>
      <c r="DB534" s="5">
        <v>29.5</v>
      </c>
      <c r="DC534" s="5" t="s">
        <v>133</v>
      </c>
      <c r="DD534" s="104">
        <f t="shared" si="392"/>
        <v>42559</v>
      </c>
      <c r="DE534" s="171">
        <f>MONTH(Table1[[#This Row],[Weekending]])</f>
        <v>7</v>
      </c>
      <c r="DF534" s="171">
        <f>YEAR(Table1[[#This Row],[Weekending]])</f>
        <v>2016</v>
      </c>
      <c r="DG534" s="4"/>
    </row>
    <row r="535" spans="1:111">
      <c r="A535" s="416" t="str">
        <f t="shared" ref="A535:A544" si="520">RIGHT(C535,2)&amp;RIGHT(L535,2)&amp;RIGHT(AD535,2)&amp;RIGHT(AQ535,2)</f>
        <v>83338493</v>
      </c>
      <c r="B535" s="104">
        <v>42565</v>
      </c>
      <c r="C535" s="442" t="s">
        <v>3410</v>
      </c>
      <c r="D535" s="548" t="s">
        <v>2795</v>
      </c>
      <c r="E535" s="15">
        <v>0</v>
      </c>
      <c r="F535" s="144" t="str">
        <f>INDEX(BrokerTBL!$B:$B,MATCH(D535,BrokerTBL!$A:$A,0))</f>
        <v>3091 Governors Lake Drive Suite 350</v>
      </c>
      <c r="G535" s="15" t="str">
        <f>INDEX(BrokerTBL!$C:$C,MATCH(D535,BrokerTBL!$A:$A,0))</f>
        <v>Norcross</v>
      </c>
      <c r="H535" s="4" t="str">
        <f>INDEX(BrokerTBL!$D:$D,MATCH(D535,BrokerTBL!$A:$A,0))</f>
        <v>GA</v>
      </c>
      <c r="I535" s="4" t="str">
        <f>INDEX(BrokerTBL!$E:$E,MATCH(D535,BrokerTBL!$A:$A,0))</f>
        <v>US</v>
      </c>
      <c r="J535" s="4">
        <f>INDEX(BrokerTBL!$F:$F,MATCH(D535,BrokerTBL!$A:$A,0))</f>
        <v>30071</v>
      </c>
      <c r="K535" s="416" t="s">
        <v>3307</v>
      </c>
      <c r="L535" s="81" t="s">
        <v>3411</v>
      </c>
      <c r="M535" s="104">
        <v>42558</v>
      </c>
      <c r="N535" s="15" t="s">
        <v>123</v>
      </c>
      <c r="O535" s="15" t="s">
        <v>3309</v>
      </c>
      <c r="P535" s="416" t="s">
        <v>263</v>
      </c>
      <c r="Q535" s="416" t="s">
        <v>2233</v>
      </c>
      <c r="R535" s="416">
        <v>89431</v>
      </c>
      <c r="S535" s="416" t="s">
        <v>2207</v>
      </c>
      <c r="T535" s="416" t="s">
        <v>123</v>
      </c>
      <c r="U535" s="416" t="s">
        <v>120</v>
      </c>
      <c r="V535" s="416">
        <v>53</v>
      </c>
      <c r="W535" s="416" t="s">
        <v>123</v>
      </c>
      <c r="X535" s="225" t="s">
        <v>123</v>
      </c>
      <c r="Y535" s="15" t="s">
        <v>123</v>
      </c>
      <c r="Z535" s="416" t="s">
        <v>123</v>
      </c>
      <c r="AA535" s="416" t="s">
        <v>123</v>
      </c>
      <c r="AB535" s="416" t="s">
        <v>123</v>
      </c>
      <c r="AC535" s="416" t="s">
        <v>1416</v>
      </c>
      <c r="AD535" s="81" t="s">
        <v>3412</v>
      </c>
      <c r="AE535" s="104">
        <v>42559</v>
      </c>
      <c r="AF535" s="104" t="s">
        <v>123</v>
      </c>
      <c r="AG535" s="416" t="s">
        <v>3310</v>
      </c>
      <c r="AH535" s="416" t="s">
        <v>900</v>
      </c>
      <c r="AI535" s="416" t="s">
        <v>2206</v>
      </c>
      <c r="AJ535" s="416">
        <v>95348</v>
      </c>
      <c r="AK535" s="416" t="s">
        <v>2207</v>
      </c>
      <c r="AL535" s="416" t="s">
        <v>123</v>
      </c>
      <c r="AM535" s="171" t="str">
        <f>INDEX(CarrierDriverTBL!$B:$B,MATCH(Table1[[#This Row],[DriverID]],CarrierDriverTBL!$A:$A,0))</f>
        <v>UBTrucking</v>
      </c>
      <c r="AN535" s="171" t="s">
        <v>2234</v>
      </c>
      <c r="AO535" s="2" t="str">
        <f>INDEX(CarrierDriverTBL!$C:$C,MATCH(Table1[[#This Row],[DriverID]],CarrierDriverTBL!$A:$A,0))</f>
        <v>Arturo</v>
      </c>
      <c r="AP535" s="2" t="str">
        <f>INDEX(CarrierDriverTBL!$D:$D,MATCH(Table1[[#This Row],[DriverID]],CarrierDriverTBL!$A:$A,0))</f>
        <v>Carrillo</v>
      </c>
      <c r="AQ535" s="2" t="str">
        <f>INDEX(CarrierDriverTBL!$X:$X,MATCH(Table1[[#This Row],[DriverID]],CarrierDriverTBL!$A:$A,0))</f>
        <v>C7056793</v>
      </c>
      <c r="AR535" s="172">
        <f>INDEX(CarrierDriverTBL!$Y:$Y,MATCH(Table1[[#This Row],[DriverID]],CarrierDriverTBL!$A:$A,0))</f>
        <v>43410</v>
      </c>
      <c r="AS535" s="171" t="str">
        <f t="shared" ref="AS535:AS544" si="521">IF(AR535&gt;M535,"GOOD","EXPIRED")</f>
        <v>GOOD</v>
      </c>
      <c r="AT535" s="172">
        <f>INDEX(CarrierDriverTBL!$E:$E,MATCH(Table1[[#This Row],[DriverID]],CarrierDriverTBL!$A:$A,0))</f>
        <v>24782</v>
      </c>
      <c r="AU535" s="277">
        <f ca="1">INDEX(CarrierDriverTBL!$F:$F,MATCH(Table1[[#This Row],[DriverID]],CarrierDriverTBL!$A:$A,0))</f>
        <v>48.750684931506846</v>
      </c>
      <c r="AV535" s="171" t="str">
        <f>INDEX(CarrierDriverTBL!$K:$K,MATCH(Table1[[#This Row],[DriverID]],CarrierDriverTBL!$A:$A,0))</f>
        <v>209-276-9785</v>
      </c>
      <c r="AW535" s="171" t="str">
        <f>INDEX(CarrierDriverTBL!$M:$M,MATCH(Table1[[#This Row],[DriverID]],CarrierDriverTBL!$A:$A,0))</f>
        <v>1685 Winthrop Ln</v>
      </c>
      <c r="AX535" s="171" t="str">
        <f>INDEX(CarrierDriverTBL!$N:$N,MATCH(Table1[[#This Row],[DriverID]],CarrierDriverTBL!$A:$A,0))</f>
        <v>Ceres</v>
      </c>
      <c r="AY535" s="171" t="str">
        <f>INDEX(CarrierDriverTBL!$O:$O,MATCH(Table1[[#This Row],[DriverID]],CarrierDriverTBL!$A:$A,0))</f>
        <v>CA</v>
      </c>
      <c r="AZ535" s="171">
        <f>INDEX(CarrierDriverTBL!$P:$P,MATCH(Table1[[#This Row],[DriverID]],CarrierDriverTBL!$A:$A,0))</f>
        <v>95307</v>
      </c>
      <c r="BA535" s="171" t="str">
        <f>INDEX(CarrierDriverTBL!$Q:$Q,MATCH(Table1[[#This Row],[DriverID]],CarrierDriverTBL!$A:$A,0))</f>
        <v>US</v>
      </c>
      <c r="BB535" s="171" t="str">
        <f>INDEX(CarrierDriverTBL!$R:$R,MATCH(Table1[[#This Row],[DriverID]],CarrierDriverTBL!$A:$A,0))</f>
        <v>arturocarr777@gmail.com</v>
      </c>
      <c r="BC535" s="172">
        <f>INDEX(CarrierDriverTBL!$AB:$AB,MATCH(Table1[[#This Row],[DriverID]],CarrierDriverTBL!$A:$A,0))</f>
        <v>42418</v>
      </c>
      <c r="BD535" s="2" t="str">
        <f ca="1">INDEX(CarrierDriverTBL!$AD:$AD,MATCH(LoadMaster!$AN:$AN,CarrierDriverTBL!$A:$A,0))</f>
        <v>MISSING</v>
      </c>
      <c r="BE535" s="2">
        <f>INDEX(CarrierDriverTBL!$AE:$AE,MATCH(Table1[DriverID],CarrierDriverTBL!$A:$A,0))</f>
        <v>913971</v>
      </c>
      <c r="BF535" s="171">
        <f>INDEX(CarrierDriverTBL!$AF:$AF,MATCH(Table1[DriverID],CarrierDriverTBL!$A:$A,0))</f>
        <v>2627544</v>
      </c>
      <c r="BG535" s="10">
        <f>INDEX(CarrierDriverTBL!$AG:$AG,MATCH(Table1[DriverID],CarrierDriverTBL!$A:$A,0))</f>
        <v>466133</v>
      </c>
      <c r="BH535" s="171" t="str">
        <f>INDEX(CarrierDriverTBL!$AH:$AH,MATCH(Table1[DriverID],CarrierDriverTBL!$A:$A,0))</f>
        <v>GM Lawrence Ins</v>
      </c>
      <c r="BI535" s="171" t="str">
        <f>INDEX(CarrierDriverTBL!$AI:$AI,MATCH(Table1[DriverID],CarrierDriverTBL!$A:$A,0))</f>
        <v>DSK2842P160210</v>
      </c>
      <c r="BJ535" s="172">
        <f>INDEX(CarrierDriverTBL!$AJ:$AJ,MATCH(Table1[[#This Row],[DriverID]],CarrierDriverTBL!$A:$A,0))</f>
        <v>42778</v>
      </c>
      <c r="BK535" s="171">
        <f t="shared" ref="BK535:BK544" si="522">IFERROR(BJ535-M535,"MISSING")</f>
        <v>220</v>
      </c>
      <c r="BL535" s="133">
        <v>475</v>
      </c>
      <c r="BM535" s="171">
        <v>246</v>
      </c>
      <c r="BN535" s="133">
        <f t="shared" si="502"/>
        <v>1.9308943089430894</v>
      </c>
      <c r="BO535" s="134">
        <f>0.93*475</f>
        <v>441.75</v>
      </c>
      <c r="BP535" s="133">
        <f t="shared" si="503"/>
        <v>1.7957317073170731</v>
      </c>
      <c r="BQ535" s="133">
        <v>2.8</v>
      </c>
      <c r="BR535" s="215">
        <f t="shared" si="504"/>
        <v>0.15</v>
      </c>
      <c r="BS535" s="133">
        <f t="shared" si="505"/>
        <v>1.6457317073170732</v>
      </c>
      <c r="BT535" s="133">
        <f t="shared" si="506"/>
        <v>36.9</v>
      </c>
      <c r="BU535" s="10" t="str">
        <f t="shared" si="507"/>
        <v>Veritiv</v>
      </c>
      <c r="BV535" s="171"/>
      <c r="BW535" s="10" t="str">
        <f>Table1[[#This Row],[BrokerAddress]]</f>
        <v>3091 Governors Lake Drive Suite 350</v>
      </c>
      <c r="BX535" s="10" t="str">
        <f t="shared" si="508"/>
        <v>Norcross</v>
      </c>
      <c r="BY535" s="278" t="str">
        <f t="shared" si="508"/>
        <v>GA</v>
      </c>
      <c r="BZ535" s="10">
        <f t="shared" si="509"/>
        <v>30071</v>
      </c>
      <c r="CA535" s="10" t="str">
        <f t="shared" si="510"/>
        <v>US</v>
      </c>
      <c r="CB535" s="15" t="s">
        <v>453</v>
      </c>
      <c r="CC535" s="62"/>
      <c r="CD535" s="15" t="s">
        <v>132</v>
      </c>
      <c r="CE535" s="64">
        <v>0</v>
      </c>
      <c r="CF535" s="4">
        <v>0</v>
      </c>
      <c r="CG535" s="132">
        <f t="shared" ref="CG535" si="523">CE535*CF535</f>
        <v>0</v>
      </c>
      <c r="CH535" s="4" t="s">
        <v>132</v>
      </c>
      <c r="CI535" s="5">
        <v>0</v>
      </c>
      <c r="CJ535" s="4">
        <v>0</v>
      </c>
      <c r="CK535" s="132">
        <f t="shared" ref="CK535" si="524">CI535*CJ535</f>
        <v>0</v>
      </c>
      <c r="CL535" s="4" t="s">
        <v>132</v>
      </c>
      <c r="CM535" s="5">
        <v>0</v>
      </c>
      <c r="CN535" s="4">
        <v>0</v>
      </c>
      <c r="CO535" s="132">
        <f t="shared" ref="CO535" si="525">CM535*CN535</f>
        <v>0</v>
      </c>
      <c r="CP535" s="4" t="s">
        <v>132</v>
      </c>
      <c r="CQ535" s="5">
        <v>0</v>
      </c>
      <c r="CR535" s="4">
        <v>0</v>
      </c>
      <c r="CS535" s="412">
        <f t="shared" ref="CS535" si="526">CQ535*CR535</f>
        <v>0</v>
      </c>
      <c r="CT535" s="412">
        <f t="shared" ref="CT535" si="527">CG535+CK535+CO535+CS535</f>
        <v>0</v>
      </c>
      <c r="CU535" s="168">
        <f t="shared" si="516"/>
        <v>475</v>
      </c>
      <c r="CV535" s="177">
        <f t="shared" si="517"/>
        <v>0</v>
      </c>
      <c r="CW535" s="82">
        <f t="shared" si="518"/>
        <v>441.75</v>
      </c>
      <c r="CX535" s="79">
        <f>IF(ISBLANK(E535),"AddQuickPay",IF(E535=2,CU535*0.98,IF(E535=2.4,CU535*0.976,IF(E535=3,CU535*0.97,IF(E535=5,CU535*0.95,IF(E535=1.5,CU535*0.985,IF(E535=2.5,CU535*0.975,IF(E535=1.3,CU535*0.987,IF(E535=1,CU535*0.99,IF(E535=4,CU535*0.96,CU535*1))))))))))-Table1[[#This Row],[ComCheck+QuickPayFee]]</f>
        <v>475</v>
      </c>
      <c r="CY535" s="5">
        <f t="shared" si="519"/>
        <v>33.25</v>
      </c>
      <c r="CZ535" s="5">
        <f t="shared" ref="CZ535:CZ544" si="528">IF(ISBLANK(E535),"AddQuickPay",IF(E535=2,CU535*0.02,IF(E535=2.4,CU535*0.024,IF(E535=3,CU535*0.03,IF(E535=5,CU535*0.05,IF(E535=1.5,CU535*0.015,IF(E535=2.5,CU535*0.025,IF(E535=4,CU535*0.04,IF(E535=1.3,CU535*0.013,IF(E535=1,CU535*0.01,CU535*0))))))))))</f>
        <v>0</v>
      </c>
      <c r="DA535" s="258">
        <f>Table1[[#This Row],[OriginalDispatch]]-Table1[[#This Row],[QuickPayCharge]]</f>
        <v>33.25</v>
      </c>
      <c r="DB535" s="5">
        <v>0</v>
      </c>
      <c r="DC535" s="5" t="s">
        <v>133</v>
      </c>
      <c r="DD535" s="104">
        <f t="shared" ref="DD535:DD540" si="529">(5-WEEKDAY(M535,2))+M535</f>
        <v>42559</v>
      </c>
      <c r="DE535" s="171">
        <f>MONTH(Table1[[#This Row],[Weekending]])</f>
        <v>7</v>
      </c>
      <c r="DF535" s="171">
        <f>YEAR(Table1[[#This Row],[Weekending]])</f>
        <v>2016</v>
      </c>
      <c r="DG535" s="4"/>
    </row>
    <row r="536" spans="1:111">
      <c r="A536" s="548" t="str">
        <f t="shared" si="520"/>
        <v>89183419</v>
      </c>
      <c r="B536" s="104">
        <v>42565</v>
      </c>
      <c r="C536" s="550">
        <v>205923389</v>
      </c>
      <c r="D536" s="548" t="s">
        <v>111</v>
      </c>
      <c r="E536" s="550">
        <v>2</v>
      </c>
      <c r="F536" s="551" t="str">
        <f>INDEX(BrokerTBL!$B:$B,MATCH(D536,BrokerTBL!$A:$A,0))</f>
        <v>P.O. Box 3474</v>
      </c>
      <c r="G536" s="550" t="str">
        <f>INDEX(BrokerTBL!$C:$C,MATCH(D536,BrokerTBL!$A:$A,0))</f>
        <v>Chicago</v>
      </c>
      <c r="H536" s="235" t="str">
        <f>INDEX(BrokerTBL!$D:$D,MATCH(D536,BrokerTBL!$A:$A,0))</f>
        <v>Il</v>
      </c>
      <c r="I536" s="235" t="str">
        <f>INDEX(BrokerTBL!$E:$E,MATCH(D536,BrokerTBL!$A:$A,0))</f>
        <v>US</v>
      </c>
      <c r="J536" s="235">
        <f>INDEX(BrokerTBL!$F:$F,MATCH(D536,BrokerTBL!$A:$A,0))</f>
        <v>60654</v>
      </c>
      <c r="K536" s="548" t="s">
        <v>3279</v>
      </c>
      <c r="L536" s="552">
        <v>4500630618</v>
      </c>
      <c r="M536" s="549">
        <v>42557</v>
      </c>
      <c r="N536" s="550" t="s">
        <v>123</v>
      </c>
      <c r="O536" s="550" t="s">
        <v>1798</v>
      </c>
      <c r="P536" s="548" t="s">
        <v>3413</v>
      </c>
      <c r="Q536" s="548" t="s">
        <v>2206</v>
      </c>
      <c r="R536" s="548" t="s">
        <v>1800</v>
      </c>
      <c r="S536" s="548" t="s">
        <v>2207</v>
      </c>
      <c r="T536" s="548" t="s">
        <v>123</v>
      </c>
      <c r="U536" s="416" t="s">
        <v>120</v>
      </c>
      <c r="V536" s="548">
        <v>53</v>
      </c>
      <c r="W536" s="548" t="s">
        <v>450</v>
      </c>
      <c r="X536" s="553">
        <v>40000</v>
      </c>
      <c r="Y536" s="550" t="s">
        <v>123</v>
      </c>
      <c r="Z536" s="548" t="s">
        <v>123</v>
      </c>
      <c r="AA536" s="548" t="s">
        <v>123</v>
      </c>
      <c r="AB536" s="548" t="s">
        <v>123</v>
      </c>
      <c r="AC536" s="548" t="s">
        <v>3280</v>
      </c>
      <c r="AD536" s="552">
        <v>4500628334</v>
      </c>
      <c r="AE536" s="549">
        <v>42558</v>
      </c>
      <c r="AF536" s="549" t="s">
        <v>123</v>
      </c>
      <c r="AG536" s="548" t="s">
        <v>3282</v>
      </c>
      <c r="AH536" s="548" t="s">
        <v>3283</v>
      </c>
      <c r="AI536" s="548" t="s">
        <v>2206</v>
      </c>
      <c r="AJ536" s="548">
        <v>94525</v>
      </c>
      <c r="AK536" s="548" t="s">
        <v>2207</v>
      </c>
      <c r="AL536" s="548" t="s">
        <v>123</v>
      </c>
      <c r="AM536" s="554" t="str">
        <f>INDEX(CarrierDriverTBL!$B:$B,MATCH(Table1[[#This Row],[DriverID]],CarrierDriverTBL!$A:$A,0))</f>
        <v>UBTrucking</v>
      </c>
      <c r="AN536" s="554" t="s">
        <v>1409</v>
      </c>
      <c r="AO536" s="555" t="str">
        <f>INDEX(CarrierDriverTBL!$C:$C,MATCH(Table1[[#This Row],[DriverID]],CarrierDriverTBL!$A:$A,0))</f>
        <v>Miguel Jaime</v>
      </c>
      <c r="AP536" s="555" t="str">
        <f>INDEX(CarrierDriverTBL!$D:$D,MATCH(Table1[[#This Row],[DriverID]],CarrierDriverTBL!$A:$A,0))</f>
        <v>Martin Del Campo Velarca</v>
      </c>
      <c r="AQ536" s="555" t="str">
        <f>INDEX(CarrierDriverTBL!$X:$X,MATCH(Table1[[#This Row],[DriverID]],CarrierDriverTBL!$A:$A,0))</f>
        <v>D5179619</v>
      </c>
      <c r="AR536" s="556">
        <f>INDEX(CarrierDriverTBL!$Y:$Y,MATCH(Table1[[#This Row],[DriverID]],CarrierDriverTBL!$A:$A,0))</f>
        <v>43843</v>
      </c>
      <c r="AS536" s="554" t="str">
        <f t="shared" si="521"/>
        <v>GOOD</v>
      </c>
      <c r="AT536" s="556">
        <f>INDEX(CarrierDriverTBL!$E:$E,MATCH(Table1[[#This Row],[DriverID]],CarrierDriverTBL!$A:$A,0))</f>
        <v>21198</v>
      </c>
      <c r="AU536" s="557">
        <f ca="1">INDEX(CarrierDriverTBL!$F:$F,MATCH(Table1[[#This Row],[DriverID]],CarrierDriverTBL!$A:$A,0))</f>
        <v>58.56986301369863</v>
      </c>
      <c r="AV536" s="554" t="str">
        <f>INDEX(CarrierDriverTBL!$K:$K,MATCH(Table1[[#This Row],[DriverID]],CarrierDriverTBL!$A:$A,0))</f>
        <v>209-322-5231</v>
      </c>
      <c r="AW536" s="554" t="str">
        <f>INDEX(CarrierDriverTBL!$M:$M,MATCH(Table1[[#This Row],[DriverID]],CarrierDriverTBL!$A:$A,0))</f>
        <v>572 Predersen RD</v>
      </c>
      <c r="AX536" s="554" t="str">
        <f>INDEX(CarrierDriverTBL!$N:$N,MATCH(Table1[[#This Row],[DriverID]],CarrierDriverTBL!$A:$A,0))</f>
        <v>Oakdale</v>
      </c>
      <c r="AY536" s="554" t="str">
        <f>INDEX(CarrierDriverTBL!$O:$O,MATCH(Table1[[#This Row],[DriverID]],CarrierDriverTBL!$A:$A,0))</f>
        <v>CA</v>
      </c>
      <c r="AZ536" s="554">
        <f>INDEX(CarrierDriverTBL!$P:$P,MATCH(Table1[[#This Row],[DriverID]],CarrierDriverTBL!$A:$A,0))</f>
        <v>95361</v>
      </c>
      <c r="BA536" s="554" t="str">
        <f>INDEX(CarrierDriverTBL!$Q:$Q,MATCH(Table1[[#This Row],[DriverID]],CarrierDriverTBL!$A:$A,0))</f>
        <v>US</v>
      </c>
      <c r="BB536" s="554" t="str">
        <f>INDEX(CarrierDriverTBL!$R:$R,MATCH(Table1[[#This Row],[DriverID]],CarrierDriverTBL!$A:$A,0))</f>
        <v>Miguelmartin52@yahoo.com</v>
      </c>
      <c r="BC536" s="556">
        <f>INDEX(CarrierDriverTBL!$AB:$AB,MATCH(Table1[[#This Row],[DriverID]],CarrierDriverTBL!$A:$A,0))</f>
        <v>42334</v>
      </c>
      <c r="BD536" s="555" t="str">
        <f ca="1">INDEX(CarrierDriverTBL!$AD:$AD,MATCH(LoadMaster!$AN:$AN,CarrierDriverTBL!$A:$A,0))</f>
        <v>MISSING</v>
      </c>
      <c r="BE536" s="555">
        <f>INDEX(CarrierDriverTBL!$AE:$AE,MATCH(Table1[DriverID],CarrierDriverTBL!$A:$A,0))</f>
        <v>913971</v>
      </c>
      <c r="BF536" s="554">
        <f>INDEX(CarrierDriverTBL!$AF:$AF,MATCH(Table1[DriverID],CarrierDriverTBL!$A:$A,0))</f>
        <v>2627544</v>
      </c>
      <c r="BG536" s="236">
        <f>INDEX(CarrierDriverTBL!$AG:$AG,MATCH(Table1[DriverID],CarrierDriverTBL!$A:$A,0))</f>
        <v>466133</v>
      </c>
      <c r="BH536" s="554" t="str">
        <f>INDEX(CarrierDriverTBL!$AH:$AH,MATCH(Table1[DriverID],CarrierDriverTBL!$A:$A,0))</f>
        <v>GM Lawrence Ins</v>
      </c>
      <c r="BI536" s="554" t="str">
        <f>INDEX(CarrierDriverTBL!$AI:$AI,MATCH(Table1[DriverID],CarrierDriverTBL!$A:$A,0))</f>
        <v>DSK2842P160210</v>
      </c>
      <c r="BJ536" s="556">
        <f>INDEX(CarrierDriverTBL!$AJ:$AJ,MATCH(Table1[[#This Row],[DriverID]],CarrierDriverTBL!$A:$A,0))</f>
        <v>42778</v>
      </c>
      <c r="BK536" s="554">
        <f t="shared" si="522"/>
        <v>221</v>
      </c>
      <c r="BL536" s="558">
        <v>550</v>
      </c>
      <c r="BM536" s="554">
        <v>147</v>
      </c>
      <c r="BN536" s="558">
        <f t="shared" si="502"/>
        <v>3.7414965986394559</v>
      </c>
      <c r="BO536" s="241">
        <f>0.93*Table1[[#This Row],[ChargeBroker]]</f>
        <v>511.5</v>
      </c>
      <c r="BP536" s="558">
        <f t="shared" si="503"/>
        <v>3.4795918367346941</v>
      </c>
      <c r="BQ536" s="558">
        <v>2.8</v>
      </c>
      <c r="BR536" s="559">
        <f t="shared" si="504"/>
        <v>0.15</v>
      </c>
      <c r="BS536" s="558">
        <f t="shared" si="505"/>
        <v>3.3295918367346942</v>
      </c>
      <c r="BT536" s="558">
        <f t="shared" si="506"/>
        <v>22.05</v>
      </c>
      <c r="BU536" s="236" t="str">
        <f t="shared" si="507"/>
        <v>Ch Robinson</v>
      </c>
      <c r="BV536" s="554"/>
      <c r="BW536" s="236" t="str">
        <f>Table1[[#This Row],[BrokerAddress]]</f>
        <v>P.O. Box 3474</v>
      </c>
      <c r="BX536" s="236" t="str">
        <f t="shared" si="508"/>
        <v>Chicago</v>
      </c>
      <c r="BY536" s="269" t="str">
        <f t="shared" si="508"/>
        <v>Il</v>
      </c>
      <c r="BZ536" s="236">
        <f t="shared" si="509"/>
        <v>60654</v>
      </c>
      <c r="CA536" s="236" t="str">
        <f t="shared" si="510"/>
        <v>US</v>
      </c>
      <c r="CB536" s="550" t="s">
        <v>131</v>
      </c>
      <c r="CC536" s="561"/>
      <c r="CD536" s="15" t="s">
        <v>132</v>
      </c>
      <c r="CE536" s="64">
        <v>0</v>
      </c>
      <c r="CF536" s="4">
        <v>0</v>
      </c>
      <c r="CG536" s="132">
        <f t="shared" ref="CG536" si="530">CE536*CF536</f>
        <v>0</v>
      </c>
      <c r="CH536" s="4" t="s">
        <v>132</v>
      </c>
      <c r="CI536" s="5">
        <v>0</v>
      </c>
      <c r="CJ536" s="4">
        <v>0</v>
      </c>
      <c r="CK536" s="132">
        <f t="shared" ref="CK536" si="531">CI536*CJ536</f>
        <v>0</v>
      </c>
      <c r="CL536" s="4" t="s">
        <v>132</v>
      </c>
      <c r="CM536" s="5">
        <v>0</v>
      </c>
      <c r="CN536" s="4">
        <v>0</v>
      </c>
      <c r="CO536" s="132">
        <f t="shared" ref="CO536" si="532">CM536*CN536</f>
        <v>0</v>
      </c>
      <c r="CP536" s="4" t="s">
        <v>132</v>
      </c>
      <c r="CQ536" s="5">
        <v>0</v>
      </c>
      <c r="CR536" s="4">
        <v>0</v>
      </c>
      <c r="CS536" s="412">
        <f t="shared" ref="CS536" si="533">CQ536*CR536</f>
        <v>0</v>
      </c>
      <c r="CT536" s="412">
        <f t="shared" ref="CT536" si="534">CG536+CK536+CO536+CS536</f>
        <v>0</v>
      </c>
      <c r="CU536" s="238">
        <f t="shared" si="516"/>
        <v>550</v>
      </c>
      <c r="CV536" s="239">
        <f t="shared" si="517"/>
        <v>0</v>
      </c>
      <c r="CW536" s="240">
        <f t="shared" si="518"/>
        <v>511.5</v>
      </c>
      <c r="CX536" s="79">
        <f>IF(ISBLANK(E536),"AddQuickPay",IF(E536=2,CU536*0.98,IF(E536=2.4,CU536*0.976,IF(E536=3,CU536*0.97,IF(E536=5,CU536*0.95,IF(E536=1.5,CU536*0.985,IF(E536=2.5,CU536*0.975,IF(E536=1.3,CU536*0.987,IF(E536=1,CU536*0.99,IF(E536=4,CU536*0.96,CU536*1))))))))))-Table1[[#This Row],[ComCheck+QuickPayFee]]</f>
        <v>539</v>
      </c>
      <c r="CY536" s="237">
        <f t="shared" si="519"/>
        <v>38.5</v>
      </c>
      <c r="CZ536" s="237">
        <f t="shared" si="528"/>
        <v>11</v>
      </c>
      <c r="DA536" s="263">
        <f>Table1[[#This Row],[OriginalDispatch]]-Table1[[#This Row],[QuickPayCharge]]</f>
        <v>27.5</v>
      </c>
      <c r="DB536" s="5">
        <v>0</v>
      </c>
      <c r="DC536" s="237" t="s">
        <v>133</v>
      </c>
      <c r="DD536" s="549">
        <f t="shared" si="529"/>
        <v>42559</v>
      </c>
      <c r="DE536" s="554">
        <f>MONTH(Table1[[#This Row],[Weekending]])</f>
        <v>7</v>
      </c>
      <c r="DF536" s="554">
        <f>YEAR(Table1[[#This Row],[Weekending]])</f>
        <v>2016</v>
      </c>
      <c r="DG536" s="235"/>
    </row>
    <row r="537" spans="1:111">
      <c r="A537" s="548" t="str">
        <f t="shared" si="520"/>
        <v>07969649</v>
      </c>
      <c r="B537" s="549">
        <v>42568</v>
      </c>
      <c r="C537" s="550">
        <v>103807</v>
      </c>
      <c r="D537" s="548" t="s">
        <v>3414</v>
      </c>
      <c r="E537" s="550">
        <v>0</v>
      </c>
      <c r="F537" s="551" t="str">
        <f>INDEX(BrokerTBL!$B:$B,MATCH(D537,BrokerTBL!$A:$A,0))</f>
        <v>4407 Monterey Oaks Blvd | Suite 150</v>
      </c>
      <c r="G537" s="550" t="str">
        <f>INDEX(BrokerTBL!$C:$C,MATCH(D537,BrokerTBL!$A:$A,0))</f>
        <v>Austin</v>
      </c>
      <c r="H537" s="235" t="str">
        <f>INDEX(BrokerTBL!$D:$D,MATCH(D537,BrokerTBL!$A:$A,0))</f>
        <v>TX</v>
      </c>
      <c r="I537" s="235" t="str">
        <f>INDEX(BrokerTBL!$E:$E,MATCH(D537,BrokerTBL!$A:$A,0))</f>
        <v>US</v>
      </c>
      <c r="J537" s="235">
        <f>INDEX(BrokerTBL!$F:$F,MATCH(D537,BrokerTBL!$A:$A,0))</f>
        <v>78749</v>
      </c>
      <c r="K537" s="548" t="s">
        <v>3415</v>
      </c>
      <c r="L537" s="552">
        <v>436896</v>
      </c>
      <c r="M537" s="549">
        <v>42564</v>
      </c>
      <c r="N537" s="550" t="s">
        <v>3403</v>
      </c>
      <c r="O537" s="550" t="s">
        <v>3416</v>
      </c>
      <c r="P537" s="548" t="s">
        <v>3409</v>
      </c>
      <c r="Q537" s="548" t="s">
        <v>2206</v>
      </c>
      <c r="R537" s="548">
        <v>94928</v>
      </c>
      <c r="S537" s="548" t="s">
        <v>2207</v>
      </c>
      <c r="T537" s="548" t="s">
        <v>3417</v>
      </c>
      <c r="U537" s="548" t="s">
        <v>120</v>
      </c>
      <c r="V537" s="548">
        <v>53</v>
      </c>
      <c r="W537" s="548" t="s">
        <v>1205</v>
      </c>
      <c r="X537" s="553">
        <v>6280</v>
      </c>
      <c r="Y537" s="550" t="s">
        <v>566</v>
      </c>
      <c r="Z537" s="548">
        <v>8</v>
      </c>
      <c r="AA537" s="548" t="s">
        <v>123</v>
      </c>
      <c r="AB537" s="548" t="s">
        <v>123</v>
      </c>
      <c r="AC537" s="548" t="s">
        <v>3418</v>
      </c>
      <c r="AD537" s="552">
        <v>436896</v>
      </c>
      <c r="AE537" s="549" t="s">
        <v>3419</v>
      </c>
      <c r="AF537" s="549" t="s">
        <v>3420</v>
      </c>
      <c r="AG537" s="548" t="s">
        <v>3421</v>
      </c>
      <c r="AH537" s="548" t="s">
        <v>3422</v>
      </c>
      <c r="AI537" s="548" t="s">
        <v>2206</v>
      </c>
      <c r="AJ537" s="548">
        <v>93631</v>
      </c>
      <c r="AK537" s="548" t="s">
        <v>2207</v>
      </c>
      <c r="AL537" s="548" t="s">
        <v>3423</v>
      </c>
      <c r="AM537" s="554" t="str">
        <f>INDEX(CarrierDriverTBL!$B:$B,MATCH(Table1[[#This Row],[DriverID]],CarrierDriverTBL!$A:$A,0))</f>
        <v>UBTrucking</v>
      </c>
      <c r="AN537" s="10" t="s">
        <v>192</v>
      </c>
      <c r="AO537" s="555" t="str">
        <f>INDEX(CarrierDriverTBL!$C:$C,MATCH(Table1[[#This Row],[DriverID]],CarrierDriverTBL!$A:$A,0))</f>
        <v>Albel</v>
      </c>
      <c r="AP537" s="555" t="str">
        <f>INDEX(CarrierDriverTBL!$D:$D,MATCH(Table1[[#This Row],[DriverID]],CarrierDriverTBL!$A:$A,0))</f>
        <v>Chahil</v>
      </c>
      <c r="AQ537" s="555" t="str">
        <f>INDEX(CarrierDriverTBL!$X:$X,MATCH(Table1[[#This Row],[DriverID]],CarrierDriverTBL!$A:$A,0))</f>
        <v>A8390649</v>
      </c>
      <c r="AR537" s="556">
        <f>INDEX(CarrierDriverTBL!$Y:$Y,MATCH(Table1[[#This Row],[DriverID]],CarrierDriverTBL!$A:$A,0))</f>
        <v>42402</v>
      </c>
      <c r="AS537" s="554" t="str">
        <f t="shared" si="521"/>
        <v>EXPIRED</v>
      </c>
      <c r="AT537" s="556">
        <f>INDEX(CarrierDriverTBL!$E:$E,MATCH(Table1[[#This Row],[DriverID]],CarrierDriverTBL!$A:$A,0))</f>
        <v>22314</v>
      </c>
      <c r="AU537" s="557">
        <f ca="1">INDEX(CarrierDriverTBL!$F:$F,MATCH(Table1[[#This Row],[DriverID]],CarrierDriverTBL!$A:$A,0))</f>
        <v>55.512328767123286</v>
      </c>
      <c r="AV537" s="554" t="str">
        <f>INDEX(CarrierDriverTBL!$K:$K,MATCH(Table1[[#This Row],[DriverID]],CarrierDriverTBL!$A:$A,0))</f>
        <v>510-773-9450</v>
      </c>
      <c r="AW537" s="554" t="str">
        <f>INDEX(CarrierDriverTBL!$M:$M,MATCH(Table1[[#This Row],[DriverID]],CarrierDriverTBL!$A:$A,0))</f>
        <v>3124 Cynthia CT</v>
      </c>
      <c r="AX537" s="554" t="str">
        <f>INDEX(CarrierDriverTBL!$N:$N,MATCH(Table1[[#This Row],[DriverID]],CarrierDriverTBL!$A:$A,0))</f>
        <v>Tracy</v>
      </c>
      <c r="AY537" s="554" t="str">
        <f>INDEX(CarrierDriverTBL!$O:$O,MATCH(Table1[[#This Row],[DriverID]],CarrierDriverTBL!$A:$A,0))</f>
        <v>CA</v>
      </c>
      <c r="AZ537" s="554">
        <f>INDEX(CarrierDriverTBL!$P:$P,MATCH(Table1[[#This Row],[DriverID]],CarrierDriverTBL!$A:$A,0))</f>
        <v>95377</v>
      </c>
      <c r="BA537" s="554" t="str">
        <f>INDEX(CarrierDriverTBL!$Q:$Q,MATCH(Table1[[#This Row],[DriverID]],CarrierDriverTBL!$A:$A,0))</f>
        <v>US</v>
      </c>
      <c r="BB537" s="554" t="str">
        <f>INDEX(CarrierDriverTBL!$R:$R,MATCH(Table1[[#This Row],[DriverID]],CarrierDriverTBL!$A:$A,0))</f>
        <v>ubgollc@gmail.com</v>
      </c>
      <c r="BC537" s="556">
        <f>INDEX(CarrierDriverTBL!$AB:$AB,MATCH(Table1[[#This Row],[DriverID]],CarrierDriverTBL!$A:$A,0))</f>
        <v>42167</v>
      </c>
      <c r="BD537" s="555" t="str">
        <f ca="1">INDEX(CarrierDriverTBL!$AD:$AD,MATCH(LoadMaster!$AN:$AN,CarrierDriverTBL!$A:$A,0))</f>
        <v>MISSING</v>
      </c>
      <c r="BE537" s="555">
        <f>INDEX(CarrierDriverTBL!$AE:$AE,MATCH(Table1[DriverID],CarrierDriverTBL!$A:$A,0))</f>
        <v>913971</v>
      </c>
      <c r="BF537" s="554">
        <f>INDEX(CarrierDriverTBL!$AF:$AF,MATCH(Table1[DriverID],CarrierDriverTBL!$A:$A,0))</f>
        <v>2627544</v>
      </c>
      <c r="BG537" s="236">
        <f>INDEX(CarrierDriverTBL!$AG:$AG,MATCH(Table1[DriverID],CarrierDriverTBL!$A:$A,0))</f>
        <v>466133</v>
      </c>
      <c r="BH537" s="554" t="str">
        <f>INDEX(CarrierDriverTBL!$AH:$AH,MATCH(Table1[DriverID],CarrierDriverTBL!$A:$A,0))</f>
        <v>GM Lawrence Ins</v>
      </c>
      <c r="BI537" s="554" t="str">
        <f>INDEX(CarrierDriverTBL!$AI:$AI,MATCH(Table1[DriverID],CarrierDriverTBL!$A:$A,0))</f>
        <v>DSK2842P160210</v>
      </c>
      <c r="BJ537" s="556">
        <f>INDEX(CarrierDriverTBL!$AJ:$AJ,MATCH(Table1[[#This Row],[DriverID]],CarrierDriverTBL!$A:$A,0))</f>
        <v>42778</v>
      </c>
      <c r="BK537" s="554">
        <f t="shared" si="522"/>
        <v>214</v>
      </c>
      <c r="BL537" s="558">
        <v>600</v>
      </c>
      <c r="BM537" s="554">
        <v>244</v>
      </c>
      <c r="BN537" s="558">
        <f t="shared" si="502"/>
        <v>2.459016393442623</v>
      </c>
      <c r="BO537" s="241">
        <f>0.93*600</f>
        <v>558</v>
      </c>
      <c r="BP537" s="558">
        <f t="shared" si="503"/>
        <v>2.2868852459016393</v>
      </c>
      <c r="BQ537" s="558">
        <v>2.8</v>
      </c>
      <c r="BR537" s="559">
        <f t="shared" si="504"/>
        <v>0.15</v>
      </c>
      <c r="BS537" s="558">
        <f t="shared" si="505"/>
        <v>2.1368852459016394</v>
      </c>
      <c r="BT537" s="558">
        <f t="shared" si="506"/>
        <v>36.6</v>
      </c>
      <c r="BU537" s="236" t="str">
        <f t="shared" si="507"/>
        <v>Arrive Logistics</v>
      </c>
      <c r="BV537" s="554"/>
      <c r="BW537" s="236" t="str">
        <f>Table1[[#This Row],[BrokerAddress]]</f>
        <v>4407 Monterey Oaks Blvd | Suite 150</v>
      </c>
      <c r="BX537" s="236" t="str">
        <f t="shared" ref="BX537:BY544" si="535">G537</f>
        <v>Austin</v>
      </c>
      <c r="BY537" s="269" t="str">
        <f t="shared" si="535"/>
        <v>TX</v>
      </c>
      <c r="BZ537" s="236">
        <f t="shared" si="509"/>
        <v>78749</v>
      </c>
      <c r="CA537" s="236" t="str">
        <f t="shared" si="510"/>
        <v>US</v>
      </c>
      <c r="CB537" s="550" t="s">
        <v>131</v>
      </c>
      <c r="CC537" s="561"/>
      <c r="CD537" s="15" t="s">
        <v>132</v>
      </c>
      <c r="CE537" s="64">
        <v>0</v>
      </c>
      <c r="CF537" s="4">
        <v>0</v>
      </c>
      <c r="CG537" s="132">
        <f t="shared" ref="CG537" si="536">CE537*CF537</f>
        <v>0</v>
      </c>
      <c r="CH537" s="4" t="s">
        <v>132</v>
      </c>
      <c r="CI537" s="5">
        <v>0</v>
      </c>
      <c r="CJ537" s="4">
        <v>0</v>
      </c>
      <c r="CK537" s="132">
        <f t="shared" ref="CK537" si="537">CI537*CJ537</f>
        <v>0</v>
      </c>
      <c r="CL537" s="4" t="s">
        <v>132</v>
      </c>
      <c r="CM537" s="5">
        <v>0</v>
      </c>
      <c r="CN537" s="4">
        <v>0</v>
      </c>
      <c r="CO537" s="132">
        <f t="shared" ref="CO537" si="538">CM537*CN537</f>
        <v>0</v>
      </c>
      <c r="CP537" s="4" t="s">
        <v>132</v>
      </c>
      <c r="CQ537" s="5">
        <v>0</v>
      </c>
      <c r="CR537" s="4">
        <v>0</v>
      </c>
      <c r="CS537" s="412">
        <f t="shared" ref="CS537" si="539">CQ537*CR537</f>
        <v>0</v>
      </c>
      <c r="CT537" s="412">
        <f t="shared" ref="CT537" si="540">CG537+CK537+CO537+CS537</f>
        <v>0</v>
      </c>
      <c r="CU537" s="238">
        <f t="shared" si="516"/>
        <v>600</v>
      </c>
      <c r="CV537" s="239">
        <f t="shared" si="517"/>
        <v>0</v>
      </c>
      <c r="CW537" s="240">
        <f t="shared" si="518"/>
        <v>558</v>
      </c>
      <c r="CX537" s="79">
        <f>IF(ISBLANK(E537),"AddQuickPay",IF(E537=2,CU537*0.98,IF(E537=2.4,CU537*0.976,IF(E537=3,CU537*0.97,IF(E537=5,CU537*0.95,IF(E537=1.5,CU537*0.985,IF(E537=2.5,CU537*0.975,IF(E537=1.3,CU537*0.987,IF(E537=1,CU537*0.99,IF(E537=4,CU537*0.96,CU537*1))))))))))-Table1[[#This Row],[ComCheck+QuickPayFee]]</f>
        <v>600</v>
      </c>
      <c r="CY537" s="237">
        <f t="shared" si="519"/>
        <v>42</v>
      </c>
      <c r="CZ537" s="237">
        <f t="shared" si="528"/>
        <v>0</v>
      </c>
      <c r="DA537" s="263">
        <f>Table1[[#This Row],[OriginalDispatch]]-Table1[[#This Row],[QuickPayCharge]]</f>
        <v>42</v>
      </c>
      <c r="DB537" s="5">
        <v>0</v>
      </c>
      <c r="DC537" s="237" t="s">
        <v>133</v>
      </c>
      <c r="DD537" s="549">
        <f t="shared" si="529"/>
        <v>42566</v>
      </c>
      <c r="DE537" s="554">
        <f>MONTH(Table1[[#This Row],[Weekending]])</f>
        <v>7</v>
      </c>
      <c r="DF537" s="554">
        <f>YEAR(Table1[[#This Row],[Weekending]])</f>
        <v>2016</v>
      </c>
      <c r="DG537" s="235"/>
    </row>
    <row r="538" spans="1:111">
      <c r="A538" s="548" t="str">
        <f t="shared" si="520"/>
        <v>67wnwn47</v>
      </c>
      <c r="B538" s="549">
        <v>42568</v>
      </c>
      <c r="C538" s="550">
        <v>3338667</v>
      </c>
      <c r="D538" s="548" t="s">
        <v>3357</v>
      </c>
      <c r="E538" s="550">
        <v>0</v>
      </c>
      <c r="F538" s="551" t="str">
        <f>INDEX(BrokerTBL!$B:$B,MATCH(D538,BrokerTBL!$A:$A,0))</f>
        <v>PO BOX 339</v>
      </c>
      <c r="G538" s="550" t="str">
        <f>INDEX(BrokerTBL!$C:$C,MATCH(D538,BrokerTBL!$A:$A,0))</f>
        <v>LA CANADA</v>
      </c>
      <c r="H538" s="235" t="str">
        <f>INDEX(BrokerTBL!$D:$D,MATCH(D538,BrokerTBL!$A:$A,0))</f>
        <v>CA</v>
      </c>
      <c r="I538" s="235" t="str">
        <f>INDEX(BrokerTBL!$E:$E,MATCH(D538,BrokerTBL!$A:$A,0))</f>
        <v>US</v>
      </c>
      <c r="J538" s="235">
        <f>INDEX(BrokerTBL!$F:$F,MATCH(D538,BrokerTBL!$A:$A,0))</f>
        <v>91012</v>
      </c>
      <c r="K538" s="284" t="s">
        <v>3358</v>
      </c>
      <c r="L538" s="81" t="s">
        <v>1205</v>
      </c>
      <c r="M538" s="549">
        <v>42565</v>
      </c>
      <c r="N538" s="550" t="s">
        <v>123</v>
      </c>
      <c r="O538" s="284" t="s">
        <v>3359</v>
      </c>
      <c r="P538" s="416" t="s">
        <v>2466</v>
      </c>
      <c r="Q538" s="416" t="s">
        <v>2233</v>
      </c>
      <c r="R538" s="440">
        <v>89502</v>
      </c>
      <c r="S538" s="416" t="s">
        <v>2207</v>
      </c>
      <c r="T538" s="416" t="s">
        <v>3360</v>
      </c>
      <c r="U538" s="416" t="s">
        <v>120</v>
      </c>
      <c r="V538" s="548">
        <v>53</v>
      </c>
      <c r="W538" s="284" t="s">
        <v>2866</v>
      </c>
      <c r="X538" s="553">
        <v>43500</v>
      </c>
      <c r="Y538" s="550" t="s">
        <v>123</v>
      </c>
      <c r="Z538" s="548" t="s">
        <v>123</v>
      </c>
      <c r="AA538" s="548" t="s">
        <v>123</v>
      </c>
      <c r="AB538" s="548" t="s">
        <v>123</v>
      </c>
      <c r="AC538" s="284" t="s">
        <v>3424</v>
      </c>
      <c r="AD538" s="81" t="s">
        <v>1205</v>
      </c>
      <c r="AE538" s="549">
        <v>42566</v>
      </c>
      <c r="AF538" s="560">
        <v>0.3125</v>
      </c>
      <c r="AG538" s="284" t="s">
        <v>3425</v>
      </c>
      <c r="AH538" s="284" t="s">
        <v>3097</v>
      </c>
      <c r="AI538" s="416" t="s">
        <v>2206</v>
      </c>
      <c r="AJ538" s="440">
        <v>94804</v>
      </c>
      <c r="AK538" s="416" t="s">
        <v>2207</v>
      </c>
      <c r="AL538" s="548" t="s">
        <v>3426</v>
      </c>
      <c r="AM538" s="554" t="str">
        <f>INDEX(CarrierDriverTBL!$B:$B,MATCH(Table1[[#This Row],[DriverID]],CarrierDriverTBL!$A:$A,0))</f>
        <v>UBTrucking</v>
      </c>
      <c r="AN538" s="443" t="s">
        <v>3427</v>
      </c>
      <c r="AO538" s="555" t="str">
        <f>INDEX(CarrierDriverTBL!$C:$C,MATCH(Table1[[#This Row],[DriverID]],CarrierDriverTBL!$A:$A,0))</f>
        <v>Anthony</v>
      </c>
      <c r="AP538" s="555" t="str">
        <f>INDEX(CarrierDriverTBL!$D:$D,MATCH(Table1[[#This Row],[DriverID]],CarrierDriverTBL!$A:$A,0))</f>
        <v>Fonseca</v>
      </c>
      <c r="AQ538" s="555" t="str">
        <f>INDEX(CarrierDriverTBL!$X:$X,MATCH(Table1[[#This Row],[DriverID]],CarrierDriverTBL!$A:$A,0))</f>
        <v>D7005547</v>
      </c>
      <c r="AR538" s="556">
        <f>INDEX(CarrierDriverTBL!$Y:$Y,MATCH(Table1[[#This Row],[DriverID]],CarrierDriverTBL!$A:$A,0))</f>
        <v>42963</v>
      </c>
      <c r="AS538" s="554" t="str">
        <f t="shared" si="521"/>
        <v>GOOD</v>
      </c>
      <c r="AT538" s="556">
        <f>INDEX(CarrierDriverTBL!$E:$E,MATCH(Table1[[#This Row],[DriverID]],CarrierDriverTBL!$A:$A,0))</f>
        <v>32371</v>
      </c>
      <c r="AU538" s="557">
        <f ca="1">INDEX(CarrierDriverTBL!$F:$F,MATCH(Table1[[#This Row],[DriverID]],CarrierDriverTBL!$A:$A,0))</f>
        <v>27.958904109589042</v>
      </c>
      <c r="AV538" s="554" t="str">
        <f>INDEX(CarrierDriverTBL!$K:$K,MATCH(Table1[[#This Row],[DriverID]],CarrierDriverTBL!$A:$A,0))</f>
        <v>209-405-4622</v>
      </c>
      <c r="AW538" s="554" t="str">
        <f>INDEX(CarrierDriverTBL!$M:$M,MATCH(Table1[[#This Row],[DriverID]],CarrierDriverTBL!$A:$A,0))</f>
        <v>367 Mosswood Ave</v>
      </c>
      <c r="AX538" s="554" t="str">
        <f>INDEX(CarrierDriverTBL!$N:$N,MATCH(Table1[[#This Row],[DriverID]],CarrierDriverTBL!$A:$A,0))</f>
        <v>Stockton</v>
      </c>
      <c r="AY538" s="554" t="str">
        <f>INDEX(CarrierDriverTBL!$O:$O,MATCH(Table1[[#This Row],[DriverID]],CarrierDriverTBL!$A:$A,0))</f>
        <v>CA</v>
      </c>
      <c r="AZ538" s="554">
        <f>INDEX(CarrierDriverTBL!$P:$P,MATCH(Table1[[#This Row],[DriverID]],CarrierDriverTBL!$A:$A,0))</f>
        <v>95206</v>
      </c>
      <c r="BA538" s="554" t="str">
        <f>INDEX(CarrierDriverTBL!$Q:$Q,MATCH(Table1[[#This Row],[DriverID]],CarrierDriverTBL!$A:$A,0))</f>
        <v>US</v>
      </c>
      <c r="BB538" s="554" t="str">
        <f>INDEX(CarrierDriverTBL!$R:$R,MATCH(Table1[[#This Row],[DriverID]],CarrierDriverTBL!$A:$A,0))</f>
        <v>anthony_fonseca@ymail.com</v>
      </c>
      <c r="BC538" s="556">
        <f>INDEX(CarrierDriverTBL!$AB:$AB,MATCH(Table1[[#This Row],[DriverID]],CarrierDriverTBL!$A:$A,0))</f>
        <v>42562</v>
      </c>
      <c r="BD538" s="555" t="str">
        <f ca="1">INDEX(CarrierDriverTBL!$AD:$AD,MATCH(LoadMaster!$AN:$AN,CarrierDriverTBL!$A:$A,0))</f>
        <v>PASS</v>
      </c>
      <c r="BE538" s="555">
        <f>INDEX(CarrierDriverTBL!$AE:$AE,MATCH(Table1[DriverID],CarrierDriverTBL!$A:$A,0))</f>
        <v>913971</v>
      </c>
      <c r="BF538" s="554">
        <f>INDEX(CarrierDriverTBL!$AF:$AF,MATCH(Table1[DriverID],CarrierDriverTBL!$A:$A,0))</f>
        <v>2627544</v>
      </c>
      <c r="BG538" s="236">
        <f>INDEX(CarrierDriverTBL!$AG:$AG,MATCH(Table1[DriverID],CarrierDriverTBL!$A:$A,0))</f>
        <v>466133</v>
      </c>
      <c r="BH538" s="554" t="str">
        <f>INDEX(CarrierDriverTBL!$AH:$AH,MATCH(Table1[DriverID],CarrierDriverTBL!$A:$A,0))</f>
        <v>GM Lawrence Ins</v>
      </c>
      <c r="BI538" s="554" t="str">
        <f>INDEX(CarrierDriverTBL!$AI:$AI,MATCH(Table1[DriverID],CarrierDriverTBL!$A:$A,0))</f>
        <v>DSK2842P160210</v>
      </c>
      <c r="BJ538" s="556">
        <f>INDEX(CarrierDriverTBL!$AJ:$AJ,MATCH(Table1[[#This Row],[DriverID]],CarrierDriverTBL!$A:$A,0))</f>
        <v>42778</v>
      </c>
      <c r="BK538" s="554">
        <f t="shared" si="522"/>
        <v>213</v>
      </c>
      <c r="BL538" s="558">
        <v>400</v>
      </c>
      <c r="BM538" s="554">
        <v>202.8</v>
      </c>
      <c r="BN538" s="558">
        <f t="shared" si="502"/>
        <v>1.972386587771203</v>
      </c>
      <c r="BO538" s="241">
        <f>0.93*400</f>
        <v>372</v>
      </c>
      <c r="BP538" s="558">
        <f t="shared" si="503"/>
        <v>1.8343195266272188</v>
      </c>
      <c r="BQ538" s="558">
        <v>2.8</v>
      </c>
      <c r="BR538" s="559">
        <f t="shared" si="504"/>
        <v>0.15</v>
      </c>
      <c r="BS538" s="558">
        <f t="shared" si="505"/>
        <v>1.6843195266272188</v>
      </c>
      <c r="BT538" s="558">
        <f t="shared" si="506"/>
        <v>30.42</v>
      </c>
      <c r="BU538" s="236" t="str">
        <f t="shared" si="507"/>
        <v>ALLEN LUND</v>
      </c>
      <c r="BV538" s="554"/>
      <c r="BW538" s="236" t="str">
        <f>Table1[[#This Row],[BrokerAddress]]</f>
        <v>PO BOX 339</v>
      </c>
      <c r="BX538" s="236" t="str">
        <f t="shared" si="535"/>
        <v>LA CANADA</v>
      </c>
      <c r="BY538" s="269" t="str">
        <f t="shared" si="535"/>
        <v>CA</v>
      </c>
      <c r="BZ538" s="236">
        <f t="shared" si="509"/>
        <v>91012</v>
      </c>
      <c r="CA538" s="236" t="str">
        <f t="shared" si="510"/>
        <v>US</v>
      </c>
      <c r="CB538" s="550" t="s">
        <v>3364</v>
      </c>
      <c r="CC538" s="561"/>
      <c r="CD538" s="15" t="s">
        <v>132</v>
      </c>
      <c r="CE538" s="64">
        <v>0</v>
      </c>
      <c r="CF538" s="4">
        <v>0</v>
      </c>
      <c r="CG538" s="132">
        <f t="shared" ref="CG538" si="541">CE538*CF538</f>
        <v>0</v>
      </c>
      <c r="CH538" s="4" t="s">
        <v>132</v>
      </c>
      <c r="CI538" s="5">
        <v>0</v>
      </c>
      <c r="CJ538" s="4">
        <v>0</v>
      </c>
      <c r="CK538" s="132">
        <f t="shared" ref="CK538" si="542">CI538*CJ538</f>
        <v>0</v>
      </c>
      <c r="CL538" s="4" t="s">
        <v>132</v>
      </c>
      <c r="CM538" s="5">
        <v>0</v>
      </c>
      <c r="CN538" s="4">
        <v>0</v>
      </c>
      <c r="CO538" s="132">
        <f t="shared" ref="CO538" si="543">CM538*CN538</f>
        <v>0</v>
      </c>
      <c r="CP538" s="4" t="s">
        <v>132</v>
      </c>
      <c r="CQ538" s="5">
        <v>0</v>
      </c>
      <c r="CR538" s="4">
        <v>0</v>
      </c>
      <c r="CS538" s="412">
        <f t="shared" ref="CS538" si="544">CQ538*CR538</f>
        <v>0</v>
      </c>
      <c r="CT538" s="412">
        <f t="shared" ref="CT538" si="545">CG538+CK538+CO538+CS538</f>
        <v>0</v>
      </c>
      <c r="CU538" s="238">
        <f t="shared" si="516"/>
        <v>400</v>
      </c>
      <c r="CV538" s="239">
        <f t="shared" si="517"/>
        <v>0</v>
      </c>
      <c r="CW538" s="240">
        <f t="shared" si="518"/>
        <v>372</v>
      </c>
      <c r="CX538" s="79">
        <f>IF(ISBLANK(E538),"AddQuickPay",IF(E538=2,CU538*0.98,IF(E538=2.4,CU538*0.976,IF(E538=3,CU538*0.97,IF(E538=5,CU538*0.95,IF(E538=1.5,CU538*0.985,IF(E538=2.5,CU538*0.975,IF(E538=1.3,CU538*0.987,IF(E538=1,CU538*0.99,IF(E538=4,CU538*0.96,CU538*1))))))))))-Table1[[#This Row],[ComCheck+QuickPayFee]]</f>
        <v>370.5</v>
      </c>
      <c r="CY538" s="237">
        <f t="shared" si="519"/>
        <v>28</v>
      </c>
      <c r="CZ538" s="237">
        <f t="shared" si="528"/>
        <v>0</v>
      </c>
      <c r="DA538" s="263">
        <f>Table1[[#This Row],[OriginalDispatch]]-Table1[[#This Row],[QuickPayCharge]]</f>
        <v>28</v>
      </c>
      <c r="DB538" s="5">
        <v>29.5</v>
      </c>
      <c r="DC538" s="237" t="s">
        <v>133</v>
      </c>
      <c r="DD538" s="549">
        <f t="shared" si="529"/>
        <v>42566</v>
      </c>
      <c r="DE538" s="554">
        <f>MONTH(Table1[[#This Row],[Weekending]])</f>
        <v>7</v>
      </c>
      <c r="DF538" s="554">
        <f>YEAR(Table1[[#This Row],[Weekending]])</f>
        <v>2016</v>
      </c>
      <c r="DG538" s="235"/>
    </row>
    <row r="539" spans="1:111">
      <c r="A539" s="548" t="str">
        <f t="shared" si="520"/>
        <v>17POPO19</v>
      </c>
      <c r="B539" s="549">
        <v>42568</v>
      </c>
      <c r="C539" s="550" t="s">
        <v>3428</v>
      </c>
      <c r="D539" s="548" t="s">
        <v>2795</v>
      </c>
      <c r="E539" s="550">
        <v>0</v>
      </c>
      <c r="F539" s="551" t="str">
        <f>INDEX(BrokerTBL!$B:$B,MATCH(D539,BrokerTBL!$A:$A,0))</f>
        <v>3091 Governors Lake Drive Suite 350</v>
      </c>
      <c r="G539" s="550" t="str">
        <f>INDEX(BrokerTBL!$C:$C,MATCH(D539,BrokerTBL!$A:$A,0))</f>
        <v>Norcross</v>
      </c>
      <c r="H539" s="235" t="str">
        <f>INDEX(BrokerTBL!$D:$D,MATCH(D539,BrokerTBL!$A:$A,0))</f>
        <v>GA</v>
      </c>
      <c r="I539" s="235" t="str">
        <f>INDEX(BrokerTBL!$E:$E,MATCH(D539,BrokerTBL!$A:$A,0))</f>
        <v>US</v>
      </c>
      <c r="J539" s="235">
        <f>INDEX(BrokerTBL!$F:$F,MATCH(D539,BrokerTBL!$A:$A,0))</f>
        <v>30071</v>
      </c>
      <c r="K539" s="548" t="s">
        <v>3429</v>
      </c>
      <c r="L539" s="552" t="s">
        <v>3430</v>
      </c>
      <c r="M539" s="549">
        <v>42565</v>
      </c>
      <c r="N539" s="565">
        <v>0.375</v>
      </c>
      <c r="O539" s="550" t="s">
        <v>3431</v>
      </c>
      <c r="P539" s="548" t="s">
        <v>395</v>
      </c>
      <c r="Q539" s="548" t="s">
        <v>2206</v>
      </c>
      <c r="R539" s="548">
        <v>95354</v>
      </c>
      <c r="S539" s="548" t="s">
        <v>2207</v>
      </c>
      <c r="T539" s="548" t="s">
        <v>123</v>
      </c>
      <c r="U539" s="548" t="s">
        <v>120</v>
      </c>
      <c r="V539" s="548">
        <v>53</v>
      </c>
      <c r="W539" s="548" t="s">
        <v>3432</v>
      </c>
      <c r="X539" s="553">
        <v>43000</v>
      </c>
      <c r="Y539" s="550" t="s">
        <v>26</v>
      </c>
      <c r="Z539" s="548" t="s">
        <v>123</v>
      </c>
      <c r="AA539" s="548">
        <v>18</v>
      </c>
      <c r="AB539" s="548" t="s">
        <v>123</v>
      </c>
      <c r="AC539" s="548" t="s">
        <v>3433</v>
      </c>
      <c r="AD539" s="552" t="s">
        <v>3430</v>
      </c>
      <c r="AE539" s="549">
        <v>42565</v>
      </c>
      <c r="AF539" s="565">
        <v>0.54166666666666663</v>
      </c>
      <c r="AG539" s="548" t="s">
        <v>3434</v>
      </c>
      <c r="AH539" s="548" t="s">
        <v>3435</v>
      </c>
      <c r="AI539" s="548" t="s">
        <v>2206</v>
      </c>
      <c r="AJ539" s="548">
        <v>94590</v>
      </c>
      <c r="AK539" s="548" t="s">
        <v>2207</v>
      </c>
      <c r="AL539" s="548" t="s">
        <v>123</v>
      </c>
      <c r="AM539" s="554" t="str">
        <f>INDEX(CarrierDriverTBL!$B:$B,MATCH(Table1[[#This Row],[DriverID]],CarrierDriverTBL!$A:$A,0))</f>
        <v>UBTrucking</v>
      </c>
      <c r="AN539" s="10" t="s">
        <v>1409</v>
      </c>
      <c r="AO539" s="555" t="str">
        <f>INDEX(CarrierDriverTBL!$C:$C,MATCH(Table1[[#This Row],[DriverID]],CarrierDriverTBL!$A:$A,0))</f>
        <v>Miguel Jaime</v>
      </c>
      <c r="AP539" s="555" t="str">
        <f>INDEX(CarrierDriverTBL!$D:$D,MATCH(Table1[[#This Row],[DriverID]],CarrierDriverTBL!$A:$A,0))</f>
        <v>Martin Del Campo Velarca</v>
      </c>
      <c r="AQ539" s="555" t="str">
        <f>INDEX(CarrierDriverTBL!$X:$X,MATCH(Table1[[#This Row],[DriverID]],CarrierDriverTBL!$A:$A,0))</f>
        <v>D5179619</v>
      </c>
      <c r="AR539" s="556">
        <f>INDEX(CarrierDriverTBL!$Y:$Y,MATCH(Table1[[#This Row],[DriverID]],CarrierDriverTBL!$A:$A,0))</f>
        <v>43843</v>
      </c>
      <c r="AS539" s="554" t="str">
        <f t="shared" si="521"/>
        <v>GOOD</v>
      </c>
      <c r="AT539" s="556">
        <f>INDEX(CarrierDriverTBL!$E:$E,MATCH(Table1[[#This Row],[DriverID]],CarrierDriverTBL!$A:$A,0))</f>
        <v>21198</v>
      </c>
      <c r="AU539" s="557">
        <f ca="1">INDEX(CarrierDriverTBL!$F:$F,MATCH(Table1[[#This Row],[DriverID]],CarrierDriverTBL!$A:$A,0))</f>
        <v>58.56986301369863</v>
      </c>
      <c r="AV539" s="554" t="str">
        <f>INDEX(CarrierDriverTBL!$K:$K,MATCH(Table1[[#This Row],[DriverID]],CarrierDriverTBL!$A:$A,0))</f>
        <v>209-322-5231</v>
      </c>
      <c r="AW539" s="554" t="str">
        <f>INDEX(CarrierDriverTBL!$M:$M,MATCH(Table1[[#This Row],[DriverID]],CarrierDriverTBL!$A:$A,0))</f>
        <v>572 Predersen RD</v>
      </c>
      <c r="AX539" s="554" t="str">
        <f>INDEX(CarrierDriverTBL!$N:$N,MATCH(Table1[[#This Row],[DriverID]],CarrierDriverTBL!$A:$A,0))</f>
        <v>Oakdale</v>
      </c>
      <c r="AY539" s="554" t="str">
        <f>INDEX(CarrierDriverTBL!$O:$O,MATCH(Table1[[#This Row],[DriverID]],CarrierDriverTBL!$A:$A,0))</f>
        <v>CA</v>
      </c>
      <c r="AZ539" s="554">
        <f>INDEX(CarrierDriverTBL!$P:$P,MATCH(Table1[[#This Row],[DriverID]],CarrierDriverTBL!$A:$A,0))</f>
        <v>95361</v>
      </c>
      <c r="BA539" s="554" t="str">
        <f>INDEX(CarrierDriverTBL!$Q:$Q,MATCH(Table1[[#This Row],[DriverID]],CarrierDriverTBL!$A:$A,0))</f>
        <v>US</v>
      </c>
      <c r="BB539" s="554" t="str">
        <f>INDEX(CarrierDriverTBL!$R:$R,MATCH(Table1[[#This Row],[DriverID]],CarrierDriverTBL!$A:$A,0))</f>
        <v>Miguelmartin52@yahoo.com</v>
      </c>
      <c r="BC539" s="556">
        <f>INDEX(CarrierDriverTBL!$AB:$AB,MATCH(Table1[[#This Row],[DriverID]],CarrierDriverTBL!$A:$A,0))</f>
        <v>42334</v>
      </c>
      <c r="BD539" s="555" t="str">
        <f ca="1">INDEX(CarrierDriverTBL!$AD:$AD,MATCH(LoadMaster!$AN:$AN,CarrierDriverTBL!$A:$A,0))</f>
        <v>MISSING</v>
      </c>
      <c r="BE539" s="555">
        <f>INDEX(CarrierDriverTBL!$AE:$AE,MATCH(Table1[DriverID],CarrierDriverTBL!$A:$A,0))</f>
        <v>913971</v>
      </c>
      <c r="BF539" s="554">
        <f>INDEX(CarrierDriverTBL!$AF:$AF,MATCH(Table1[DriverID],CarrierDriverTBL!$A:$A,0))</f>
        <v>2627544</v>
      </c>
      <c r="BG539" s="236">
        <f>INDEX(CarrierDriverTBL!$AG:$AG,MATCH(Table1[DriverID],CarrierDriverTBL!$A:$A,0))</f>
        <v>466133</v>
      </c>
      <c r="BH539" s="554" t="str">
        <f>INDEX(CarrierDriverTBL!$AH:$AH,MATCH(Table1[DriverID],CarrierDriverTBL!$A:$A,0))</f>
        <v>GM Lawrence Ins</v>
      </c>
      <c r="BI539" s="554" t="str">
        <f>INDEX(CarrierDriverTBL!$AI:$AI,MATCH(Table1[DriverID],CarrierDriverTBL!$A:$A,0))</f>
        <v>DSK2842P160210</v>
      </c>
      <c r="BJ539" s="556">
        <f>INDEX(CarrierDriverTBL!$AJ:$AJ,MATCH(Table1[[#This Row],[DriverID]],CarrierDriverTBL!$A:$A,0))</f>
        <v>42778</v>
      </c>
      <c r="BK539" s="554">
        <f t="shared" si="522"/>
        <v>213</v>
      </c>
      <c r="BL539" s="558">
        <v>440</v>
      </c>
      <c r="BM539" s="554">
        <v>91.86</v>
      </c>
      <c r="BN539" s="558">
        <f t="shared" si="502"/>
        <v>4.7898976703679512</v>
      </c>
      <c r="BO539" s="241">
        <f>0.93*Table1[[#This Row],[ChargeBroker]]</f>
        <v>409.20000000000005</v>
      </c>
      <c r="BP539" s="558">
        <f t="shared" si="503"/>
        <v>4.454604833442195</v>
      </c>
      <c r="BQ539" s="558">
        <v>2.8</v>
      </c>
      <c r="BR539" s="559">
        <f t="shared" si="504"/>
        <v>0.15</v>
      </c>
      <c r="BS539" s="558">
        <f t="shared" si="505"/>
        <v>4.3046048334421947</v>
      </c>
      <c r="BT539" s="558">
        <f t="shared" si="506"/>
        <v>13.779</v>
      </c>
      <c r="BU539" s="236" t="str">
        <f t="shared" si="507"/>
        <v>Veritiv</v>
      </c>
      <c r="BV539" s="554"/>
      <c r="BW539" s="236" t="str">
        <f>Table1[[#This Row],[BrokerAddress]]</f>
        <v>3091 Governors Lake Drive Suite 350</v>
      </c>
      <c r="BX539" s="236" t="str">
        <f t="shared" si="535"/>
        <v>Norcross</v>
      </c>
      <c r="BY539" s="269" t="str">
        <f t="shared" si="535"/>
        <v>GA</v>
      </c>
      <c r="BZ539" s="236">
        <f t="shared" si="509"/>
        <v>30071</v>
      </c>
      <c r="CA539" s="236" t="str">
        <f t="shared" si="510"/>
        <v>US</v>
      </c>
      <c r="CB539" s="550" t="s">
        <v>131</v>
      </c>
      <c r="CC539" s="561"/>
      <c r="CD539" s="15" t="s">
        <v>132</v>
      </c>
      <c r="CE539" s="64">
        <v>0</v>
      </c>
      <c r="CF539" s="4">
        <v>0</v>
      </c>
      <c r="CG539" s="132">
        <f t="shared" ref="CG539" si="546">CE539*CF539</f>
        <v>0</v>
      </c>
      <c r="CH539" s="4" t="s">
        <v>132</v>
      </c>
      <c r="CI539" s="5">
        <v>0</v>
      </c>
      <c r="CJ539" s="4">
        <v>0</v>
      </c>
      <c r="CK539" s="132">
        <f t="shared" ref="CK539" si="547">CI539*CJ539</f>
        <v>0</v>
      </c>
      <c r="CL539" s="4" t="s">
        <v>132</v>
      </c>
      <c r="CM539" s="5">
        <v>0</v>
      </c>
      <c r="CN539" s="4">
        <v>0</v>
      </c>
      <c r="CO539" s="132">
        <f t="shared" ref="CO539" si="548">CM539*CN539</f>
        <v>0</v>
      </c>
      <c r="CP539" s="4" t="s">
        <v>132</v>
      </c>
      <c r="CQ539" s="5">
        <v>0</v>
      </c>
      <c r="CR539" s="4">
        <v>0</v>
      </c>
      <c r="CS539" s="412">
        <f t="shared" ref="CS539" si="549">CQ539*CR539</f>
        <v>0</v>
      </c>
      <c r="CT539" s="412">
        <f t="shared" ref="CT539" si="550">CG539+CK539+CO539+CS539</f>
        <v>0</v>
      </c>
      <c r="CU539" s="238">
        <f t="shared" si="516"/>
        <v>440</v>
      </c>
      <c r="CV539" s="239">
        <f t="shared" si="517"/>
        <v>0</v>
      </c>
      <c r="CW539" s="240">
        <f t="shared" si="518"/>
        <v>409.20000000000005</v>
      </c>
      <c r="CX539" s="79">
        <f>IF(ISBLANK(E539),"AddQuickPay",IF(E539=2,CU539*0.98,IF(E539=2.4,CU539*0.976,IF(E539=3,CU539*0.97,IF(E539=5,CU539*0.95,IF(E539=1.5,CU539*0.985,IF(E539=2.5,CU539*0.975,IF(E539=1.3,CU539*0.987,IF(E539=1,CU539*0.99,IF(E539=4,CU539*0.96,CU539*1))))))))))-Table1[[#This Row],[ComCheck+QuickPayFee]]</f>
        <v>440</v>
      </c>
      <c r="CY539" s="237">
        <f t="shared" si="519"/>
        <v>30.799999999999955</v>
      </c>
      <c r="CZ539" s="237">
        <f t="shared" si="528"/>
        <v>0</v>
      </c>
      <c r="DA539" s="263">
        <f>Table1[[#This Row],[OriginalDispatch]]-Table1[[#This Row],[QuickPayCharge]]</f>
        <v>30.799999999999955</v>
      </c>
      <c r="DB539" s="5">
        <v>0</v>
      </c>
      <c r="DC539" s="237" t="s">
        <v>133</v>
      </c>
      <c r="DD539" s="549">
        <f t="shared" si="529"/>
        <v>42566</v>
      </c>
      <c r="DE539" s="554">
        <f>MONTH(Table1[[#This Row],[Weekending]])</f>
        <v>7</v>
      </c>
      <c r="DF539" s="554">
        <f>YEAR(Table1[[#This Row],[Weekending]])</f>
        <v>2016</v>
      </c>
      <c r="DG539" s="235"/>
    </row>
    <row r="540" spans="1:111">
      <c r="A540" s="548" t="str">
        <f t="shared" si="520"/>
        <v>26101049</v>
      </c>
      <c r="B540" s="549">
        <v>42568</v>
      </c>
      <c r="C540" s="550">
        <v>206576726</v>
      </c>
      <c r="D540" s="548" t="s">
        <v>111</v>
      </c>
      <c r="E540" s="550">
        <v>2</v>
      </c>
      <c r="F540" s="551" t="str">
        <f>INDEX(BrokerTBL!$B:$B,MATCH(D540,BrokerTBL!$A:$A,0))</f>
        <v>P.O. Box 3474</v>
      </c>
      <c r="G540" s="550" t="str">
        <f>INDEX(BrokerTBL!$C:$C,MATCH(D540,BrokerTBL!$A:$A,0))</f>
        <v>Chicago</v>
      </c>
      <c r="H540" s="235" t="str">
        <f>INDEX(BrokerTBL!$D:$D,MATCH(D540,BrokerTBL!$A:$A,0))</f>
        <v>Il</v>
      </c>
      <c r="I540" s="235" t="str">
        <f>INDEX(BrokerTBL!$E:$E,MATCH(D540,BrokerTBL!$A:$A,0))</f>
        <v>US</v>
      </c>
      <c r="J540" s="235">
        <f>INDEX(BrokerTBL!$F:$F,MATCH(D540,BrokerTBL!$A:$A,0))</f>
        <v>60654</v>
      </c>
      <c r="K540" s="548" t="s">
        <v>134</v>
      </c>
      <c r="L540" s="552" t="s">
        <v>3436</v>
      </c>
      <c r="M540" s="549">
        <v>42565</v>
      </c>
      <c r="N540" s="550" t="s">
        <v>123</v>
      </c>
      <c r="O540" s="550" t="s">
        <v>2985</v>
      </c>
      <c r="P540" s="548" t="s">
        <v>138</v>
      </c>
      <c r="Q540" s="548" t="s">
        <v>2206</v>
      </c>
      <c r="R540" s="548">
        <v>93230</v>
      </c>
      <c r="S540" s="548" t="s">
        <v>2207</v>
      </c>
      <c r="T540" s="548" t="s">
        <v>123</v>
      </c>
      <c r="U540" s="548" t="s">
        <v>120</v>
      </c>
      <c r="V540" s="548">
        <v>53</v>
      </c>
      <c r="W540" s="548" t="s">
        <v>2926</v>
      </c>
      <c r="X540" s="553">
        <v>2016</v>
      </c>
      <c r="Y540" s="550" t="s">
        <v>24</v>
      </c>
      <c r="Z540" s="548">
        <v>3</v>
      </c>
      <c r="AA540" s="548" t="s">
        <v>123</v>
      </c>
      <c r="AB540" s="548" t="s">
        <v>123</v>
      </c>
      <c r="AC540" s="548" t="s">
        <v>3437</v>
      </c>
      <c r="AD540" s="552" t="s">
        <v>3436</v>
      </c>
      <c r="AE540" s="549">
        <v>42566</v>
      </c>
      <c r="AF540" s="549" t="s">
        <v>2918</v>
      </c>
      <c r="AG540" s="548" t="s">
        <v>3438</v>
      </c>
      <c r="AH540" s="548" t="s">
        <v>3439</v>
      </c>
      <c r="AI540" s="548" t="s">
        <v>2206</v>
      </c>
      <c r="AJ540" s="548" t="s">
        <v>3440</v>
      </c>
      <c r="AK540" s="548" t="s">
        <v>2207</v>
      </c>
      <c r="AL540" s="548" t="s">
        <v>123</v>
      </c>
      <c r="AM540" s="554" t="str">
        <f>INDEX(CarrierDriverTBL!$B:$B,MATCH(Table1[[#This Row],[DriverID]],CarrierDriverTBL!$A:$A,0))</f>
        <v>UBTrucking</v>
      </c>
      <c r="AN540" s="10" t="s">
        <v>192</v>
      </c>
      <c r="AO540" s="555" t="str">
        <f>INDEX(CarrierDriverTBL!$C:$C,MATCH(Table1[[#This Row],[DriverID]],CarrierDriverTBL!$A:$A,0))</f>
        <v>Albel</v>
      </c>
      <c r="AP540" s="555" t="str">
        <f>INDEX(CarrierDriverTBL!$D:$D,MATCH(Table1[[#This Row],[DriverID]],CarrierDriverTBL!$A:$A,0))</f>
        <v>Chahil</v>
      </c>
      <c r="AQ540" s="555" t="str">
        <f>INDEX(CarrierDriverTBL!$X:$X,MATCH(Table1[[#This Row],[DriverID]],CarrierDriverTBL!$A:$A,0))</f>
        <v>A8390649</v>
      </c>
      <c r="AR540" s="556">
        <f>INDEX(CarrierDriverTBL!$Y:$Y,MATCH(Table1[[#This Row],[DriverID]],CarrierDriverTBL!$A:$A,0))</f>
        <v>42402</v>
      </c>
      <c r="AS540" s="554" t="str">
        <f t="shared" si="521"/>
        <v>EXPIRED</v>
      </c>
      <c r="AT540" s="556">
        <f>INDEX(CarrierDriverTBL!$E:$E,MATCH(Table1[[#This Row],[DriverID]],CarrierDriverTBL!$A:$A,0))</f>
        <v>22314</v>
      </c>
      <c r="AU540" s="557">
        <f ca="1">INDEX(CarrierDriverTBL!$F:$F,MATCH(Table1[[#This Row],[DriverID]],CarrierDriverTBL!$A:$A,0))</f>
        <v>55.512328767123286</v>
      </c>
      <c r="AV540" s="554" t="str">
        <f>INDEX(CarrierDriverTBL!$K:$K,MATCH(Table1[[#This Row],[DriverID]],CarrierDriverTBL!$A:$A,0))</f>
        <v>510-773-9450</v>
      </c>
      <c r="AW540" s="554" t="str">
        <f>INDEX(CarrierDriverTBL!$M:$M,MATCH(Table1[[#This Row],[DriverID]],CarrierDriverTBL!$A:$A,0))</f>
        <v>3124 Cynthia CT</v>
      </c>
      <c r="AX540" s="554" t="str">
        <f>INDEX(CarrierDriverTBL!$N:$N,MATCH(Table1[[#This Row],[DriverID]],CarrierDriverTBL!$A:$A,0))</f>
        <v>Tracy</v>
      </c>
      <c r="AY540" s="554" t="str">
        <f>INDEX(CarrierDriverTBL!$O:$O,MATCH(Table1[[#This Row],[DriverID]],CarrierDriverTBL!$A:$A,0))</f>
        <v>CA</v>
      </c>
      <c r="AZ540" s="554">
        <f>INDEX(CarrierDriverTBL!$P:$P,MATCH(Table1[[#This Row],[DriverID]],CarrierDriverTBL!$A:$A,0))</f>
        <v>95377</v>
      </c>
      <c r="BA540" s="554" t="str">
        <f>INDEX(CarrierDriverTBL!$Q:$Q,MATCH(Table1[[#This Row],[DriverID]],CarrierDriverTBL!$A:$A,0))</f>
        <v>US</v>
      </c>
      <c r="BB540" s="554" t="str">
        <f>INDEX(CarrierDriverTBL!$R:$R,MATCH(Table1[[#This Row],[DriverID]],CarrierDriverTBL!$A:$A,0))</f>
        <v>ubgollc@gmail.com</v>
      </c>
      <c r="BC540" s="556">
        <f>INDEX(CarrierDriverTBL!$AB:$AB,MATCH(Table1[[#This Row],[DriverID]],CarrierDriverTBL!$A:$A,0))</f>
        <v>42167</v>
      </c>
      <c r="BD540" s="555" t="str">
        <f ca="1">INDEX(CarrierDriverTBL!$AD:$AD,MATCH(LoadMaster!$AN:$AN,CarrierDriverTBL!$A:$A,0))</f>
        <v>MISSING</v>
      </c>
      <c r="BE540" s="555">
        <f>INDEX(CarrierDriverTBL!$AE:$AE,MATCH(Table1[DriverID],CarrierDriverTBL!$A:$A,0))</f>
        <v>913971</v>
      </c>
      <c r="BF540" s="554">
        <f>INDEX(CarrierDriverTBL!$AF:$AF,MATCH(Table1[DriverID],CarrierDriverTBL!$A:$A,0))</f>
        <v>2627544</v>
      </c>
      <c r="BG540" s="236">
        <f>INDEX(CarrierDriverTBL!$AG:$AG,MATCH(Table1[DriverID],CarrierDriverTBL!$A:$A,0))</f>
        <v>466133</v>
      </c>
      <c r="BH540" s="554" t="str">
        <f>INDEX(CarrierDriverTBL!$AH:$AH,MATCH(Table1[DriverID],CarrierDriverTBL!$A:$A,0))</f>
        <v>GM Lawrence Ins</v>
      </c>
      <c r="BI540" s="554" t="str">
        <f>INDEX(CarrierDriverTBL!$AI:$AI,MATCH(Table1[DriverID],CarrierDriverTBL!$A:$A,0))</f>
        <v>DSK2842P160210</v>
      </c>
      <c r="BJ540" s="556">
        <f>INDEX(CarrierDriverTBL!$AJ:$AJ,MATCH(Table1[[#This Row],[DriverID]],CarrierDriverTBL!$A:$A,0))</f>
        <v>42778</v>
      </c>
      <c r="BK540" s="554">
        <f t="shared" si="522"/>
        <v>213</v>
      </c>
      <c r="BL540" s="558">
        <v>1200</v>
      </c>
      <c r="BM540" s="554">
        <v>532</v>
      </c>
      <c r="BN540" s="558">
        <f t="shared" si="502"/>
        <v>2.255639097744361</v>
      </c>
      <c r="BO540" s="241">
        <f>0.93*1200</f>
        <v>1116</v>
      </c>
      <c r="BP540" s="558">
        <f t="shared" si="503"/>
        <v>2.0977443609022557</v>
      </c>
      <c r="BQ540" s="558">
        <v>2.8</v>
      </c>
      <c r="BR540" s="559">
        <f t="shared" si="504"/>
        <v>0.15</v>
      </c>
      <c r="BS540" s="558">
        <f t="shared" si="505"/>
        <v>1.9477443609022558</v>
      </c>
      <c r="BT540" s="558">
        <f t="shared" si="506"/>
        <v>79.8</v>
      </c>
      <c r="BU540" s="236" t="str">
        <f t="shared" si="507"/>
        <v>Ch Robinson</v>
      </c>
      <c r="BV540" s="554"/>
      <c r="BW540" s="236" t="str">
        <f>Table1[[#This Row],[BrokerAddress]]</f>
        <v>P.O. Box 3474</v>
      </c>
      <c r="BX540" s="236" t="str">
        <f t="shared" si="535"/>
        <v>Chicago</v>
      </c>
      <c r="BY540" s="269" t="str">
        <f t="shared" si="535"/>
        <v>Il</v>
      </c>
      <c r="BZ540" s="236">
        <f t="shared" si="509"/>
        <v>60654</v>
      </c>
      <c r="CA540" s="236" t="str">
        <f t="shared" si="510"/>
        <v>US</v>
      </c>
      <c r="CB540" s="550" t="s">
        <v>131</v>
      </c>
      <c r="CC540" s="561"/>
      <c r="CD540" s="15" t="s">
        <v>132</v>
      </c>
      <c r="CE540" s="64">
        <v>0</v>
      </c>
      <c r="CF540" s="4">
        <v>0</v>
      </c>
      <c r="CG540" s="132">
        <f t="shared" ref="CG540" si="551">CE540*CF540</f>
        <v>0</v>
      </c>
      <c r="CH540" s="4" t="s">
        <v>132</v>
      </c>
      <c r="CI540" s="5">
        <v>0</v>
      </c>
      <c r="CJ540" s="4">
        <v>0</v>
      </c>
      <c r="CK540" s="132">
        <f t="shared" ref="CK540" si="552">CI540*CJ540</f>
        <v>0</v>
      </c>
      <c r="CL540" s="4" t="s">
        <v>132</v>
      </c>
      <c r="CM540" s="5">
        <v>0</v>
      </c>
      <c r="CN540" s="4">
        <v>0</v>
      </c>
      <c r="CO540" s="132">
        <f t="shared" ref="CO540" si="553">CM540*CN540</f>
        <v>0</v>
      </c>
      <c r="CP540" s="4" t="s">
        <v>132</v>
      </c>
      <c r="CQ540" s="5">
        <v>0</v>
      </c>
      <c r="CR540" s="4">
        <v>0</v>
      </c>
      <c r="CS540" s="412">
        <f t="shared" ref="CS540" si="554">CQ540*CR540</f>
        <v>0</v>
      </c>
      <c r="CT540" s="412">
        <f t="shared" ref="CT540" si="555">CG540+CK540+CO540+CS540</f>
        <v>0</v>
      </c>
      <c r="CU540" s="238">
        <f t="shared" si="516"/>
        <v>1200</v>
      </c>
      <c r="CV540" s="239">
        <f t="shared" si="517"/>
        <v>0</v>
      </c>
      <c r="CW540" s="240">
        <f t="shared" si="518"/>
        <v>1116</v>
      </c>
      <c r="CX540" s="79">
        <f>IF(ISBLANK(E540),"AddQuickPay",IF(E540=2,CU540*0.98,IF(E540=2.4,CU540*0.976,IF(E540=3,CU540*0.97,IF(E540=5,CU540*0.95,IF(E540=1.5,CU540*0.985,IF(E540=2.5,CU540*0.975,IF(E540=1.3,CU540*0.987,IF(E540=1,CU540*0.99,IF(E540=4,CU540*0.96,CU540*1))))))))))-Table1[[#This Row],[ComCheck+QuickPayFee]]</f>
        <v>1176</v>
      </c>
      <c r="CY540" s="237">
        <f t="shared" si="519"/>
        <v>84</v>
      </c>
      <c r="CZ540" s="237">
        <f t="shared" si="528"/>
        <v>24</v>
      </c>
      <c r="DA540" s="263">
        <f>Table1[[#This Row],[OriginalDispatch]]-Table1[[#This Row],[QuickPayCharge]]</f>
        <v>60</v>
      </c>
      <c r="DB540" s="5">
        <v>0</v>
      </c>
      <c r="DC540" s="237" t="s">
        <v>133</v>
      </c>
      <c r="DD540" s="549">
        <f t="shared" si="529"/>
        <v>42566</v>
      </c>
      <c r="DE540" s="554">
        <f>MONTH(Table1[[#This Row],[Weekending]])</f>
        <v>7</v>
      </c>
      <c r="DF540" s="554">
        <f>YEAR(Table1[[#This Row],[Weekending]])</f>
        <v>2016</v>
      </c>
      <c r="DG540" s="235"/>
    </row>
    <row r="541" spans="1:111">
      <c r="A541" s="548" t="str">
        <f t="shared" si="520"/>
        <v>66818119</v>
      </c>
      <c r="B541" s="549">
        <v>42568</v>
      </c>
      <c r="C541" s="550">
        <v>205279266</v>
      </c>
      <c r="D541" s="548" t="s">
        <v>111</v>
      </c>
      <c r="E541" s="550">
        <v>2</v>
      </c>
      <c r="F541" s="551" t="str">
        <f>INDEX(BrokerTBL!$B:$B,MATCH(D541,BrokerTBL!$A:$A,0))</f>
        <v>P.O. Box 3474</v>
      </c>
      <c r="G541" s="550" t="str">
        <f>INDEX(BrokerTBL!$C:$C,MATCH(D541,BrokerTBL!$A:$A,0))</f>
        <v>Chicago</v>
      </c>
      <c r="H541" s="235" t="str">
        <f>INDEX(BrokerTBL!$D:$D,MATCH(D541,BrokerTBL!$A:$A,0))</f>
        <v>Il</v>
      </c>
      <c r="I541" s="235" t="str">
        <f>INDEX(BrokerTBL!$E:$E,MATCH(D541,BrokerTBL!$A:$A,0))</f>
        <v>US</v>
      </c>
      <c r="J541" s="235">
        <f>INDEX(BrokerTBL!$F:$F,MATCH(D541,BrokerTBL!$A:$A,0))</f>
        <v>60654</v>
      </c>
      <c r="K541" s="548" t="s">
        <v>3415</v>
      </c>
      <c r="L541" s="552">
        <v>2243181</v>
      </c>
      <c r="M541" s="549">
        <v>42565</v>
      </c>
      <c r="N541" s="550" t="s">
        <v>218</v>
      </c>
      <c r="O541" s="550" t="s">
        <v>3441</v>
      </c>
      <c r="P541" s="548" t="s">
        <v>3409</v>
      </c>
      <c r="Q541" s="548" t="s">
        <v>2206</v>
      </c>
      <c r="R541" s="548">
        <v>94928</v>
      </c>
      <c r="S541" s="548" t="s">
        <v>2207</v>
      </c>
      <c r="T541" s="548" t="s">
        <v>123</v>
      </c>
      <c r="U541" s="548" t="s">
        <v>120</v>
      </c>
      <c r="V541" s="548">
        <v>53</v>
      </c>
      <c r="W541" s="548" t="s">
        <v>3442</v>
      </c>
      <c r="X541" s="553">
        <v>22345</v>
      </c>
      <c r="Y541" s="550" t="s">
        <v>2220</v>
      </c>
      <c r="Z541" s="548" t="s">
        <v>123</v>
      </c>
      <c r="AA541" s="548" t="s">
        <v>3443</v>
      </c>
      <c r="AB541" s="548" t="s">
        <v>123</v>
      </c>
      <c r="AC541" s="548" t="s">
        <v>3444</v>
      </c>
      <c r="AD541" s="552">
        <v>2243181</v>
      </c>
      <c r="AE541" s="549">
        <v>42566</v>
      </c>
      <c r="AF541" s="549" t="s">
        <v>3445</v>
      </c>
      <c r="AG541" s="548" t="s">
        <v>3446</v>
      </c>
      <c r="AH541" s="548" t="s">
        <v>2651</v>
      </c>
      <c r="AI541" s="548" t="s">
        <v>2206</v>
      </c>
      <c r="AJ541" s="548">
        <v>93291</v>
      </c>
      <c r="AK541" s="548" t="s">
        <v>2207</v>
      </c>
      <c r="AL541" s="548" t="s">
        <v>123</v>
      </c>
      <c r="AM541" s="554" t="str">
        <f>INDEX(CarrierDriverTBL!$B:$B,MATCH(Table1[[#This Row],[DriverID]],CarrierDriverTBL!$A:$A,0))</f>
        <v>UBTrucking</v>
      </c>
      <c r="AN541" s="554" t="s">
        <v>1409</v>
      </c>
      <c r="AO541" s="555" t="str">
        <f>INDEX(CarrierDriverTBL!$C:$C,MATCH(Table1[[#This Row],[DriverID]],CarrierDriverTBL!$A:$A,0))</f>
        <v>Miguel Jaime</v>
      </c>
      <c r="AP541" s="555" t="str">
        <f>INDEX(CarrierDriverTBL!$D:$D,MATCH(Table1[[#This Row],[DriverID]],CarrierDriverTBL!$A:$A,0))</f>
        <v>Martin Del Campo Velarca</v>
      </c>
      <c r="AQ541" s="555" t="str">
        <f>INDEX(CarrierDriverTBL!$X:$X,MATCH(Table1[[#This Row],[DriverID]],CarrierDriverTBL!$A:$A,0))</f>
        <v>D5179619</v>
      </c>
      <c r="AR541" s="556">
        <f>INDEX(CarrierDriverTBL!$Y:$Y,MATCH(Table1[[#This Row],[DriverID]],CarrierDriverTBL!$A:$A,0))</f>
        <v>43843</v>
      </c>
      <c r="AS541" s="554" t="str">
        <f t="shared" si="521"/>
        <v>GOOD</v>
      </c>
      <c r="AT541" s="556">
        <f>INDEX(CarrierDriverTBL!$E:$E,MATCH(Table1[[#This Row],[DriverID]],CarrierDriverTBL!$A:$A,0))</f>
        <v>21198</v>
      </c>
      <c r="AU541" s="557">
        <f ca="1">INDEX(CarrierDriverTBL!$F:$F,MATCH(Table1[[#This Row],[DriverID]],CarrierDriverTBL!$A:$A,0))</f>
        <v>58.56986301369863</v>
      </c>
      <c r="AV541" s="554" t="str">
        <f>INDEX(CarrierDriverTBL!$K:$K,MATCH(Table1[[#This Row],[DriverID]],CarrierDriverTBL!$A:$A,0))</f>
        <v>209-322-5231</v>
      </c>
      <c r="AW541" s="554" t="str">
        <f>INDEX(CarrierDriverTBL!$M:$M,MATCH(Table1[[#This Row],[DriverID]],CarrierDriverTBL!$A:$A,0))</f>
        <v>572 Predersen RD</v>
      </c>
      <c r="AX541" s="554" t="str">
        <f>INDEX(CarrierDriverTBL!$N:$N,MATCH(Table1[[#This Row],[DriverID]],CarrierDriverTBL!$A:$A,0))</f>
        <v>Oakdale</v>
      </c>
      <c r="AY541" s="554" t="str">
        <f>INDEX(CarrierDriverTBL!$O:$O,MATCH(Table1[[#This Row],[DriverID]],CarrierDriverTBL!$A:$A,0))</f>
        <v>CA</v>
      </c>
      <c r="AZ541" s="554">
        <f>INDEX(CarrierDriverTBL!$P:$P,MATCH(Table1[[#This Row],[DriverID]],CarrierDriverTBL!$A:$A,0))</f>
        <v>95361</v>
      </c>
      <c r="BA541" s="554" t="str">
        <f>INDEX(CarrierDriverTBL!$Q:$Q,MATCH(Table1[[#This Row],[DriverID]],CarrierDriverTBL!$A:$A,0))</f>
        <v>US</v>
      </c>
      <c r="BB541" s="554" t="str">
        <f>INDEX(CarrierDriverTBL!$R:$R,MATCH(Table1[[#This Row],[DriverID]],CarrierDriverTBL!$A:$A,0))</f>
        <v>Miguelmartin52@yahoo.com</v>
      </c>
      <c r="BC541" s="556">
        <f>INDEX(CarrierDriverTBL!$AB:$AB,MATCH(Table1[[#This Row],[DriverID]],CarrierDriverTBL!$A:$A,0))</f>
        <v>42334</v>
      </c>
      <c r="BD541" s="555" t="str">
        <f ca="1">INDEX(CarrierDriverTBL!$AD:$AD,MATCH(LoadMaster!$AN:$AN,CarrierDriverTBL!$A:$A,0))</f>
        <v>MISSING</v>
      </c>
      <c r="BE541" s="555">
        <f>INDEX(CarrierDriverTBL!$AE:$AE,MATCH(Table1[DriverID],CarrierDriverTBL!$A:$A,0))</f>
        <v>913971</v>
      </c>
      <c r="BF541" s="554">
        <f>INDEX(CarrierDriverTBL!$AF:$AF,MATCH(Table1[DriverID],CarrierDriverTBL!$A:$A,0))</f>
        <v>2627544</v>
      </c>
      <c r="BG541" s="236">
        <f>INDEX(CarrierDriverTBL!$AG:$AG,MATCH(Table1[DriverID],CarrierDriverTBL!$A:$A,0))</f>
        <v>466133</v>
      </c>
      <c r="BH541" s="554" t="str">
        <f>INDEX(CarrierDriverTBL!$AH:$AH,MATCH(Table1[DriverID],CarrierDriverTBL!$A:$A,0))</f>
        <v>GM Lawrence Ins</v>
      </c>
      <c r="BI541" s="554" t="str">
        <f>INDEX(CarrierDriverTBL!$AI:$AI,MATCH(Table1[DriverID],CarrierDriverTBL!$A:$A,0))</f>
        <v>DSK2842P160210</v>
      </c>
      <c r="BJ541" s="556">
        <f>INDEX(CarrierDriverTBL!$AJ:$AJ,MATCH(Table1[[#This Row],[DriverID]],CarrierDriverTBL!$A:$A,0))</f>
        <v>42778</v>
      </c>
      <c r="BK541" s="554">
        <f t="shared" si="522"/>
        <v>213</v>
      </c>
      <c r="BL541" s="558">
        <v>500</v>
      </c>
      <c r="BM541" s="554">
        <v>267.60000000000002</v>
      </c>
      <c r="BN541" s="558">
        <f t="shared" si="502"/>
        <v>1.8684603886397606</v>
      </c>
      <c r="BO541" s="241">
        <f>0.93*500</f>
        <v>465</v>
      </c>
      <c r="BP541" s="558">
        <f t="shared" si="503"/>
        <v>1.7376681614349774</v>
      </c>
      <c r="BQ541" s="558">
        <v>2.8</v>
      </c>
      <c r="BR541" s="559">
        <f t="shared" si="504"/>
        <v>0.15</v>
      </c>
      <c r="BS541" s="558">
        <f t="shared" si="505"/>
        <v>1.5876681614349775</v>
      </c>
      <c r="BT541" s="558">
        <f t="shared" si="506"/>
        <v>40.14</v>
      </c>
      <c r="BU541" s="236" t="str">
        <f t="shared" si="507"/>
        <v>Ch Robinson</v>
      </c>
      <c r="BV541" s="554"/>
      <c r="BW541" s="236" t="str">
        <f>Table1[[#This Row],[BrokerAddress]]</f>
        <v>P.O. Box 3474</v>
      </c>
      <c r="BX541" s="236" t="str">
        <f t="shared" si="535"/>
        <v>Chicago</v>
      </c>
      <c r="BY541" s="269" t="str">
        <f t="shared" si="535"/>
        <v>Il</v>
      </c>
      <c r="BZ541" s="236">
        <f t="shared" si="509"/>
        <v>60654</v>
      </c>
      <c r="CA541" s="236" t="str">
        <f t="shared" si="510"/>
        <v>US</v>
      </c>
      <c r="CB541" s="550" t="s">
        <v>131</v>
      </c>
      <c r="CC541" s="561"/>
      <c r="CD541" s="15" t="s">
        <v>132</v>
      </c>
      <c r="CE541" s="64">
        <v>0</v>
      </c>
      <c r="CF541" s="4">
        <v>0</v>
      </c>
      <c r="CG541" s="132">
        <f t="shared" ref="CG541" si="556">CE541*CF541</f>
        <v>0</v>
      </c>
      <c r="CH541" s="4" t="s">
        <v>132</v>
      </c>
      <c r="CI541" s="5">
        <v>0</v>
      </c>
      <c r="CJ541" s="4">
        <v>0</v>
      </c>
      <c r="CK541" s="132">
        <f t="shared" ref="CK541" si="557">CI541*CJ541</f>
        <v>0</v>
      </c>
      <c r="CL541" s="4" t="s">
        <v>132</v>
      </c>
      <c r="CM541" s="5">
        <v>0</v>
      </c>
      <c r="CN541" s="4">
        <v>0</v>
      </c>
      <c r="CO541" s="132">
        <f t="shared" ref="CO541" si="558">CM541*CN541</f>
        <v>0</v>
      </c>
      <c r="CP541" s="4" t="s">
        <v>132</v>
      </c>
      <c r="CQ541" s="5">
        <v>0</v>
      </c>
      <c r="CR541" s="4">
        <v>0</v>
      </c>
      <c r="CS541" s="412">
        <f t="shared" ref="CS541" si="559">CQ541*CR541</f>
        <v>0</v>
      </c>
      <c r="CT541" s="412">
        <f t="shared" ref="CT541" si="560">CG541+CK541+CO541+CS541</f>
        <v>0</v>
      </c>
      <c r="CU541" s="238">
        <f t="shared" si="516"/>
        <v>500</v>
      </c>
      <c r="CV541" s="239">
        <f t="shared" si="517"/>
        <v>0</v>
      </c>
      <c r="CW541" s="240">
        <f t="shared" si="518"/>
        <v>465</v>
      </c>
      <c r="CX541" s="79">
        <f>IF(ISBLANK(E541),"AddQuickPay",IF(E541=2,CU541*0.98,IF(E541=2.4,CU541*0.976,IF(E541=3,CU541*0.97,IF(E541=5,CU541*0.95,IF(E541=1.5,CU541*0.985,IF(E541=2.5,CU541*0.975,IF(E541=1.3,CU541*0.987,IF(E541=1,CU541*0.99,IF(E541=4,CU541*0.96,CU541*1))))))))))-Table1[[#This Row],[ComCheck+QuickPayFee]]</f>
        <v>490</v>
      </c>
      <c r="CY541" s="237">
        <f t="shared" si="519"/>
        <v>35</v>
      </c>
      <c r="CZ541" s="237">
        <f t="shared" si="528"/>
        <v>10</v>
      </c>
      <c r="DA541" s="263">
        <f>Table1[[#This Row],[OriginalDispatch]]-Table1[[#This Row],[QuickPayCharge]]</f>
        <v>25</v>
      </c>
      <c r="DB541" s="5">
        <v>0</v>
      </c>
      <c r="DC541" s="237" t="s">
        <v>133</v>
      </c>
      <c r="DD541" s="549">
        <v>42566</v>
      </c>
      <c r="DE541" s="554">
        <f>MONTH(Table1[[#This Row],[Weekending]])</f>
        <v>7</v>
      </c>
      <c r="DF541" s="554">
        <f>YEAR(Table1[[#This Row],[Weekending]])</f>
        <v>2016</v>
      </c>
      <c r="DG541" s="235"/>
    </row>
    <row r="542" spans="1:111">
      <c r="A542" s="548" t="str">
        <f t="shared" si="520"/>
        <v>54818149</v>
      </c>
      <c r="B542" s="549">
        <v>42568</v>
      </c>
      <c r="C542" s="550">
        <v>206420254</v>
      </c>
      <c r="D542" s="548" t="s">
        <v>111</v>
      </c>
      <c r="E542" s="550">
        <v>2</v>
      </c>
      <c r="F542" s="551" t="str">
        <f>INDEX(BrokerTBL!$B:$B,MATCH(D542,BrokerTBL!$A:$A,0))</f>
        <v>P.O. Box 3474</v>
      </c>
      <c r="G542" s="550" t="str">
        <f>INDEX(BrokerTBL!$C:$C,MATCH(D542,BrokerTBL!$A:$A,0))</f>
        <v>Chicago</v>
      </c>
      <c r="H542" s="235" t="str">
        <f>INDEX(BrokerTBL!$D:$D,MATCH(D542,BrokerTBL!$A:$A,0))</f>
        <v>Il</v>
      </c>
      <c r="I542" s="235" t="str">
        <f>INDEX(BrokerTBL!$E:$E,MATCH(D542,BrokerTBL!$A:$A,0))</f>
        <v>US</v>
      </c>
      <c r="J542" s="235">
        <f>INDEX(BrokerTBL!$F:$F,MATCH(D542,BrokerTBL!$A:$A,0))</f>
        <v>60654</v>
      </c>
      <c r="K542" s="548" t="s">
        <v>3180</v>
      </c>
      <c r="L542" s="552" t="s">
        <v>3447</v>
      </c>
      <c r="M542" s="549">
        <v>42566</v>
      </c>
      <c r="N542" s="560" t="s">
        <v>3448</v>
      </c>
      <c r="O542" s="550" t="s">
        <v>3182</v>
      </c>
      <c r="P542" s="548" t="s">
        <v>2909</v>
      </c>
      <c r="Q542" s="548" t="s">
        <v>2206</v>
      </c>
      <c r="R542" s="548">
        <v>96021</v>
      </c>
      <c r="S542" s="548" t="s">
        <v>2207</v>
      </c>
      <c r="T542" s="548" t="s">
        <v>123</v>
      </c>
      <c r="U542" s="548" t="s">
        <v>120</v>
      </c>
      <c r="V542" s="548">
        <v>53</v>
      </c>
      <c r="W542" s="548" t="s">
        <v>3449</v>
      </c>
      <c r="X542" s="553">
        <v>40893</v>
      </c>
      <c r="Y542" s="550" t="s">
        <v>2220</v>
      </c>
      <c r="Z542" s="548" t="s">
        <v>123</v>
      </c>
      <c r="AA542" s="548">
        <v>18</v>
      </c>
      <c r="AB542" s="548" t="s">
        <v>123</v>
      </c>
      <c r="AC542" s="548" t="s">
        <v>3184</v>
      </c>
      <c r="AD542" s="552" t="s">
        <v>3450</v>
      </c>
      <c r="AE542" s="549">
        <v>42569</v>
      </c>
      <c r="AF542" s="549" t="s">
        <v>3451</v>
      </c>
      <c r="AG542" s="548" t="s">
        <v>3185</v>
      </c>
      <c r="AH542" s="548" t="s">
        <v>605</v>
      </c>
      <c r="AI542" s="548" t="s">
        <v>2206</v>
      </c>
      <c r="AJ542" s="548">
        <v>95330</v>
      </c>
      <c r="AK542" s="548" t="s">
        <v>2207</v>
      </c>
      <c r="AL542" s="548" t="s">
        <v>123</v>
      </c>
      <c r="AM542" s="554" t="str">
        <f>INDEX(CarrierDriverTBL!$B:$B,MATCH(Table1[[#This Row],[DriverID]],CarrierDriverTBL!$A:$A,0))</f>
        <v>UBTrucking</v>
      </c>
      <c r="AN542" s="10" t="s">
        <v>192</v>
      </c>
      <c r="AO542" s="555" t="str">
        <f>INDEX(CarrierDriverTBL!$C:$C,MATCH(Table1[[#This Row],[DriverID]],CarrierDriverTBL!$A:$A,0))</f>
        <v>Albel</v>
      </c>
      <c r="AP542" s="555" t="str">
        <f>INDEX(CarrierDriverTBL!$D:$D,MATCH(Table1[[#This Row],[DriverID]],CarrierDriverTBL!$A:$A,0))</f>
        <v>Chahil</v>
      </c>
      <c r="AQ542" s="555" t="str">
        <f>INDEX(CarrierDriverTBL!$X:$X,MATCH(Table1[[#This Row],[DriverID]],CarrierDriverTBL!$A:$A,0))</f>
        <v>A8390649</v>
      </c>
      <c r="AR542" s="556">
        <f>INDEX(CarrierDriverTBL!$Y:$Y,MATCH(Table1[[#This Row],[DriverID]],CarrierDriverTBL!$A:$A,0))</f>
        <v>42402</v>
      </c>
      <c r="AS542" s="554" t="str">
        <f t="shared" si="521"/>
        <v>EXPIRED</v>
      </c>
      <c r="AT542" s="556">
        <f>INDEX(CarrierDriverTBL!$E:$E,MATCH(Table1[[#This Row],[DriverID]],CarrierDriverTBL!$A:$A,0))</f>
        <v>22314</v>
      </c>
      <c r="AU542" s="557">
        <f ca="1">INDEX(CarrierDriverTBL!$F:$F,MATCH(Table1[[#This Row],[DriverID]],CarrierDriverTBL!$A:$A,0))</f>
        <v>55.512328767123286</v>
      </c>
      <c r="AV542" s="554" t="str">
        <f>INDEX(CarrierDriverTBL!$K:$K,MATCH(Table1[[#This Row],[DriverID]],CarrierDriverTBL!$A:$A,0))</f>
        <v>510-773-9450</v>
      </c>
      <c r="AW542" s="554" t="str">
        <f>INDEX(CarrierDriverTBL!$M:$M,MATCH(Table1[[#This Row],[DriverID]],CarrierDriverTBL!$A:$A,0))</f>
        <v>3124 Cynthia CT</v>
      </c>
      <c r="AX542" s="554" t="str">
        <f>INDEX(CarrierDriverTBL!$N:$N,MATCH(Table1[[#This Row],[DriverID]],CarrierDriverTBL!$A:$A,0))</f>
        <v>Tracy</v>
      </c>
      <c r="AY542" s="554" t="str">
        <f>INDEX(CarrierDriverTBL!$O:$O,MATCH(Table1[[#This Row],[DriverID]],CarrierDriverTBL!$A:$A,0))</f>
        <v>CA</v>
      </c>
      <c r="AZ542" s="554">
        <f>INDEX(CarrierDriverTBL!$P:$P,MATCH(Table1[[#This Row],[DriverID]],CarrierDriverTBL!$A:$A,0))</f>
        <v>95377</v>
      </c>
      <c r="BA542" s="554" t="str">
        <f>INDEX(CarrierDriverTBL!$Q:$Q,MATCH(Table1[[#This Row],[DriverID]],CarrierDriverTBL!$A:$A,0))</f>
        <v>US</v>
      </c>
      <c r="BB542" s="554" t="str">
        <f>INDEX(CarrierDriverTBL!$R:$R,MATCH(Table1[[#This Row],[DriverID]],CarrierDriverTBL!$A:$A,0))</f>
        <v>ubgollc@gmail.com</v>
      </c>
      <c r="BC542" s="556">
        <f>INDEX(CarrierDriverTBL!$AB:$AB,MATCH(Table1[[#This Row],[DriverID]],CarrierDriverTBL!$A:$A,0))</f>
        <v>42167</v>
      </c>
      <c r="BD542" s="555" t="str">
        <f ca="1">INDEX(CarrierDriverTBL!$AD:$AD,MATCH(LoadMaster!$AN:$AN,CarrierDriverTBL!$A:$A,0))</f>
        <v>MISSING</v>
      </c>
      <c r="BE542" s="555">
        <f>INDEX(CarrierDriverTBL!$AE:$AE,MATCH(Table1[DriverID],CarrierDriverTBL!$A:$A,0))</f>
        <v>913971</v>
      </c>
      <c r="BF542" s="554">
        <f>INDEX(CarrierDriverTBL!$AF:$AF,MATCH(Table1[DriverID],CarrierDriverTBL!$A:$A,0))</f>
        <v>2627544</v>
      </c>
      <c r="BG542" s="236">
        <f>INDEX(CarrierDriverTBL!$AG:$AG,MATCH(Table1[DriverID],CarrierDriverTBL!$A:$A,0))</f>
        <v>466133</v>
      </c>
      <c r="BH542" s="554" t="str">
        <f>INDEX(CarrierDriverTBL!$AH:$AH,MATCH(Table1[DriverID],CarrierDriverTBL!$A:$A,0))</f>
        <v>GM Lawrence Ins</v>
      </c>
      <c r="BI542" s="554" t="str">
        <f>INDEX(CarrierDriverTBL!$AI:$AI,MATCH(Table1[DriverID],CarrierDriverTBL!$A:$A,0))</f>
        <v>DSK2842P160210</v>
      </c>
      <c r="BJ542" s="556">
        <f>INDEX(CarrierDriverTBL!$AJ:$AJ,MATCH(Table1[[#This Row],[DriverID]],CarrierDriverTBL!$A:$A,0))</f>
        <v>42778</v>
      </c>
      <c r="BK542" s="554">
        <f t="shared" si="522"/>
        <v>212</v>
      </c>
      <c r="BL542" s="558">
        <v>370</v>
      </c>
      <c r="BM542" s="554">
        <v>174.2</v>
      </c>
      <c r="BN542" s="558">
        <f t="shared" si="502"/>
        <v>2.1239954075774974</v>
      </c>
      <c r="BO542" s="241">
        <f>0.93*370</f>
        <v>344.1</v>
      </c>
      <c r="BP542" s="558">
        <f t="shared" si="503"/>
        <v>1.9753157290470726</v>
      </c>
      <c r="BQ542" s="558">
        <v>2.8</v>
      </c>
      <c r="BR542" s="559">
        <f t="shared" si="504"/>
        <v>0.15</v>
      </c>
      <c r="BS542" s="558">
        <f t="shared" si="505"/>
        <v>1.8253157290470727</v>
      </c>
      <c r="BT542" s="558">
        <f t="shared" si="506"/>
        <v>26.13</v>
      </c>
      <c r="BU542" s="236" t="str">
        <f t="shared" si="507"/>
        <v>Ch Robinson</v>
      </c>
      <c r="BV542" s="554"/>
      <c r="BW542" s="236" t="str">
        <f>Table1[[#This Row],[BrokerAddress]]</f>
        <v>P.O. Box 3474</v>
      </c>
      <c r="BX542" s="236" t="str">
        <f t="shared" si="535"/>
        <v>Chicago</v>
      </c>
      <c r="BY542" s="269" t="str">
        <f t="shared" si="535"/>
        <v>Il</v>
      </c>
      <c r="BZ542" s="236">
        <f t="shared" si="509"/>
        <v>60654</v>
      </c>
      <c r="CA542" s="236" t="str">
        <f t="shared" si="510"/>
        <v>US</v>
      </c>
      <c r="CB542" s="550" t="s">
        <v>131</v>
      </c>
      <c r="CC542" s="561"/>
      <c r="CD542" s="15" t="s">
        <v>132</v>
      </c>
      <c r="CE542" s="64">
        <v>0</v>
      </c>
      <c r="CF542" s="4">
        <v>0</v>
      </c>
      <c r="CG542" s="132">
        <f t="shared" ref="CG542" si="561">CE542*CF542</f>
        <v>0</v>
      </c>
      <c r="CH542" s="4" t="s">
        <v>132</v>
      </c>
      <c r="CI542" s="5">
        <v>0</v>
      </c>
      <c r="CJ542" s="4">
        <v>0</v>
      </c>
      <c r="CK542" s="132">
        <f t="shared" ref="CK542" si="562">CI542*CJ542</f>
        <v>0</v>
      </c>
      <c r="CL542" s="4" t="s">
        <v>132</v>
      </c>
      <c r="CM542" s="5">
        <v>0</v>
      </c>
      <c r="CN542" s="4">
        <v>0</v>
      </c>
      <c r="CO542" s="132">
        <f t="shared" ref="CO542" si="563">CM542*CN542</f>
        <v>0</v>
      </c>
      <c r="CP542" s="4" t="s">
        <v>132</v>
      </c>
      <c r="CQ542" s="5">
        <v>0</v>
      </c>
      <c r="CR542" s="4">
        <v>0</v>
      </c>
      <c r="CS542" s="412">
        <f t="shared" ref="CS542" si="564">CQ542*CR542</f>
        <v>0</v>
      </c>
      <c r="CT542" s="412">
        <f t="shared" ref="CT542" si="565">CG542+CK542+CO542+CS542</f>
        <v>0</v>
      </c>
      <c r="CU542" s="238">
        <f t="shared" si="516"/>
        <v>370</v>
      </c>
      <c r="CV542" s="239">
        <f t="shared" si="517"/>
        <v>0</v>
      </c>
      <c r="CW542" s="240">
        <f t="shared" si="518"/>
        <v>344.1</v>
      </c>
      <c r="CX542" s="79">
        <f>IF(ISBLANK(E542),"AddQuickPay",IF(E542=2,CU542*0.98,IF(E542=2.4,CU542*0.976,IF(E542=3,CU542*0.97,IF(E542=5,CU542*0.95,IF(E542=1.5,CU542*0.985,IF(E542=2.5,CU542*0.975,IF(E542=1.3,CU542*0.987,IF(E542=1,CU542*0.99,IF(E542=4,CU542*0.96,CU542*1))))))))))-Table1[[#This Row],[ComCheck+QuickPayFee]]</f>
        <v>362.59999999999997</v>
      </c>
      <c r="CY542" s="237">
        <f t="shared" si="519"/>
        <v>25.899999999999977</v>
      </c>
      <c r="CZ542" s="237">
        <f t="shared" si="528"/>
        <v>7.4</v>
      </c>
      <c r="DA542" s="263">
        <f>Table1[[#This Row],[OriginalDispatch]]-Table1[[#This Row],[QuickPayCharge]]</f>
        <v>18.499999999999979</v>
      </c>
      <c r="DB542" s="5">
        <v>0</v>
      </c>
      <c r="DC542" s="237" t="s">
        <v>133</v>
      </c>
      <c r="DD542" s="549">
        <f t="shared" ref="DD542:DD553" si="566">(5-WEEKDAY(M542,2))+M542</f>
        <v>42566</v>
      </c>
      <c r="DE542" s="554">
        <f>MONTH(Table1[[#This Row],[Weekending]])</f>
        <v>7</v>
      </c>
      <c r="DF542" s="554">
        <f>YEAR(Table1[[#This Row],[Weekending]])</f>
        <v>2016</v>
      </c>
      <c r="DG542" s="235"/>
    </row>
    <row r="543" spans="1:111">
      <c r="A543" s="548" t="str">
        <f t="shared" si="520"/>
        <v>77434347</v>
      </c>
      <c r="B543" s="549">
        <v>42568</v>
      </c>
      <c r="C543" s="550" t="s">
        <v>3452</v>
      </c>
      <c r="D543" s="450" t="s">
        <v>3453</v>
      </c>
      <c r="E543" s="550">
        <v>0</v>
      </c>
      <c r="F543" s="551" t="str">
        <f>INDEX(BrokerTBL!$B:$B,MATCH(D543,BrokerTBL!$A:$A,0))</f>
        <v>1888 LOCKHEED CT</v>
      </c>
      <c r="G543" s="550" t="str">
        <f>INDEX(BrokerTBL!$C:$C,MATCH(D543,BrokerTBL!$A:$A,0))</f>
        <v>STOCKTON</v>
      </c>
      <c r="H543" s="235" t="str">
        <f>INDEX(BrokerTBL!$D:$D,MATCH(D543,BrokerTBL!$A:$A,0))</f>
        <v>CA</v>
      </c>
      <c r="I543" s="235" t="str">
        <f>INDEX(BrokerTBL!$E:$E,MATCH(D543,BrokerTBL!$A:$A,0))</f>
        <v>US</v>
      </c>
      <c r="J543" s="235">
        <f>INDEX(BrokerTBL!$F:$F,MATCH(D543,BrokerTBL!$A:$A,0))</f>
        <v>95206</v>
      </c>
      <c r="K543" s="548" t="s">
        <v>3454</v>
      </c>
      <c r="L543" s="552">
        <v>121623043</v>
      </c>
      <c r="M543" s="549">
        <v>42566</v>
      </c>
      <c r="N543" s="550" t="s">
        <v>1723</v>
      </c>
      <c r="O543" s="550" t="s">
        <v>3455</v>
      </c>
      <c r="P543" s="548" t="s">
        <v>2499</v>
      </c>
      <c r="Q543" s="548" t="s">
        <v>2206</v>
      </c>
      <c r="R543" s="548">
        <v>94560</v>
      </c>
      <c r="S543" s="548" t="s">
        <v>2207</v>
      </c>
      <c r="T543" s="548" t="s">
        <v>3456</v>
      </c>
      <c r="U543" s="548" t="s">
        <v>120</v>
      </c>
      <c r="V543" s="548">
        <v>53</v>
      </c>
      <c r="W543" s="548" t="s">
        <v>3457</v>
      </c>
      <c r="X543" s="553">
        <v>24464</v>
      </c>
      <c r="Y543" s="550" t="s">
        <v>3338</v>
      </c>
      <c r="Z543" s="548">
        <v>1</v>
      </c>
      <c r="AA543" s="548" t="s">
        <v>123</v>
      </c>
      <c r="AB543" s="548" t="s">
        <v>123</v>
      </c>
      <c r="AC543" s="548" t="s">
        <v>3458</v>
      </c>
      <c r="AD543" s="552">
        <v>121623043</v>
      </c>
      <c r="AE543" s="549">
        <v>42569</v>
      </c>
      <c r="AF543" s="549" t="s">
        <v>3459</v>
      </c>
      <c r="AG543" s="548" t="s">
        <v>3460</v>
      </c>
      <c r="AH543" s="548" t="s">
        <v>2368</v>
      </c>
      <c r="AI543" s="548" t="s">
        <v>2206</v>
      </c>
      <c r="AJ543" s="548">
        <v>95203</v>
      </c>
      <c r="AK543" s="548" t="s">
        <v>2207</v>
      </c>
      <c r="AL543" s="548" t="s">
        <v>756</v>
      </c>
      <c r="AM543" s="554" t="str">
        <f>INDEX(CarrierDriverTBL!$B:$B,MATCH(Table1[[#This Row],[DriverID]],CarrierDriverTBL!$A:$A,0))</f>
        <v>UBTrucking</v>
      </c>
      <c r="AN543" s="443" t="s">
        <v>3427</v>
      </c>
      <c r="AO543" s="555" t="str">
        <f>INDEX(CarrierDriverTBL!$C:$C,MATCH(Table1[[#This Row],[DriverID]],CarrierDriverTBL!$A:$A,0))</f>
        <v>Anthony</v>
      </c>
      <c r="AP543" s="555" t="str">
        <f>INDEX(CarrierDriverTBL!$D:$D,MATCH(Table1[[#This Row],[DriverID]],CarrierDriverTBL!$A:$A,0))</f>
        <v>Fonseca</v>
      </c>
      <c r="AQ543" s="555" t="str">
        <f>INDEX(CarrierDriverTBL!$X:$X,MATCH(Table1[[#This Row],[DriverID]],CarrierDriverTBL!$A:$A,0))</f>
        <v>D7005547</v>
      </c>
      <c r="AR543" s="556">
        <f>INDEX(CarrierDriverTBL!$Y:$Y,MATCH(Table1[[#This Row],[DriverID]],CarrierDriverTBL!$A:$A,0))</f>
        <v>42963</v>
      </c>
      <c r="AS543" s="554" t="str">
        <f t="shared" si="521"/>
        <v>GOOD</v>
      </c>
      <c r="AT543" s="556">
        <f>INDEX(CarrierDriverTBL!$E:$E,MATCH(Table1[[#This Row],[DriverID]],CarrierDriverTBL!$A:$A,0))</f>
        <v>32371</v>
      </c>
      <c r="AU543" s="557">
        <f ca="1">INDEX(CarrierDriverTBL!$F:$F,MATCH(Table1[[#This Row],[DriverID]],CarrierDriverTBL!$A:$A,0))</f>
        <v>27.958904109589042</v>
      </c>
      <c r="AV543" s="554" t="str">
        <f>INDEX(CarrierDriverTBL!$K:$K,MATCH(Table1[[#This Row],[DriverID]],CarrierDriverTBL!$A:$A,0))</f>
        <v>209-405-4622</v>
      </c>
      <c r="AW543" s="554" t="str">
        <f>INDEX(CarrierDriverTBL!$M:$M,MATCH(Table1[[#This Row],[DriverID]],CarrierDriverTBL!$A:$A,0))</f>
        <v>367 Mosswood Ave</v>
      </c>
      <c r="AX543" s="554" t="str">
        <f>INDEX(CarrierDriverTBL!$N:$N,MATCH(Table1[[#This Row],[DriverID]],CarrierDriverTBL!$A:$A,0))</f>
        <v>Stockton</v>
      </c>
      <c r="AY543" s="554" t="str">
        <f>INDEX(CarrierDriverTBL!$O:$O,MATCH(Table1[[#This Row],[DriverID]],CarrierDriverTBL!$A:$A,0))</f>
        <v>CA</v>
      </c>
      <c r="AZ543" s="554">
        <f>INDEX(CarrierDriverTBL!$P:$P,MATCH(Table1[[#This Row],[DriverID]],CarrierDriverTBL!$A:$A,0))</f>
        <v>95206</v>
      </c>
      <c r="BA543" s="554" t="str">
        <f>INDEX(CarrierDriverTBL!$Q:$Q,MATCH(Table1[[#This Row],[DriverID]],CarrierDriverTBL!$A:$A,0))</f>
        <v>US</v>
      </c>
      <c r="BB543" s="554" t="str">
        <f>INDEX(CarrierDriverTBL!$R:$R,MATCH(Table1[[#This Row],[DriverID]],CarrierDriverTBL!$A:$A,0))</f>
        <v>anthony_fonseca@ymail.com</v>
      </c>
      <c r="BC543" s="556">
        <f>INDEX(CarrierDriverTBL!$AB:$AB,MATCH(Table1[[#This Row],[DriverID]],CarrierDriverTBL!$A:$A,0))</f>
        <v>42562</v>
      </c>
      <c r="BD543" s="555" t="str">
        <f ca="1">INDEX(CarrierDriverTBL!$AD:$AD,MATCH(LoadMaster!$AN:$AN,CarrierDriverTBL!$A:$A,0))</f>
        <v>PASS</v>
      </c>
      <c r="BE543" s="555">
        <f>INDEX(CarrierDriverTBL!$AE:$AE,MATCH(Table1[DriverID],CarrierDriverTBL!$A:$A,0))</f>
        <v>913971</v>
      </c>
      <c r="BF543" s="554">
        <f>INDEX(CarrierDriverTBL!$AF:$AF,MATCH(Table1[DriverID],CarrierDriverTBL!$A:$A,0))</f>
        <v>2627544</v>
      </c>
      <c r="BG543" s="236">
        <f>INDEX(CarrierDriverTBL!$AG:$AG,MATCH(Table1[DriverID],CarrierDriverTBL!$A:$A,0))</f>
        <v>466133</v>
      </c>
      <c r="BH543" s="554" t="str">
        <f>INDEX(CarrierDriverTBL!$AH:$AH,MATCH(Table1[DriverID],CarrierDriverTBL!$A:$A,0))</f>
        <v>GM Lawrence Ins</v>
      </c>
      <c r="BI543" s="554" t="str">
        <f>INDEX(CarrierDriverTBL!$AI:$AI,MATCH(Table1[DriverID],CarrierDriverTBL!$A:$A,0))</f>
        <v>DSK2842P160210</v>
      </c>
      <c r="BJ543" s="556">
        <f>INDEX(CarrierDriverTBL!$AJ:$AJ,MATCH(Table1[[#This Row],[DriverID]],CarrierDriverTBL!$A:$A,0))</f>
        <v>42778</v>
      </c>
      <c r="BK543" s="554">
        <f t="shared" si="522"/>
        <v>212</v>
      </c>
      <c r="BL543" s="558">
        <v>350</v>
      </c>
      <c r="BM543" s="554">
        <v>73.5</v>
      </c>
      <c r="BN543" s="558">
        <f t="shared" si="502"/>
        <v>4.7619047619047619</v>
      </c>
      <c r="BO543" s="241">
        <f>0.93*350</f>
        <v>325.5</v>
      </c>
      <c r="BP543" s="558">
        <f t="shared" si="503"/>
        <v>4.4285714285714288</v>
      </c>
      <c r="BQ543" s="558">
        <v>2.8</v>
      </c>
      <c r="BR543" s="559">
        <f t="shared" si="504"/>
        <v>0.15</v>
      </c>
      <c r="BS543" s="558">
        <f t="shared" si="505"/>
        <v>4.2785714285714285</v>
      </c>
      <c r="BT543" s="558">
        <f t="shared" si="506"/>
        <v>11.025</v>
      </c>
      <c r="BU543" s="236" t="str">
        <f t="shared" si="507"/>
        <v>Xcelerated Transportation</v>
      </c>
      <c r="BV543" s="554"/>
      <c r="BW543" s="236" t="str">
        <f>Table1[[#This Row],[BrokerAddress]]</f>
        <v>1888 LOCKHEED CT</v>
      </c>
      <c r="BX543" s="236" t="str">
        <f t="shared" si="535"/>
        <v>STOCKTON</v>
      </c>
      <c r="BY543" s="269" t="str">
        <f t="shared" si="535"/>
        <v>CA</v>
      </c>
      <c r="BZ543" s="236">
        <f t="shared" si="509"/>
        <v>95206</v>
      </c>
      <c r="CA543" s="236" t="str">
        <f t="shared" si="510"/>
        <v>US</v>
      </c>
      <c r="CB543" s="550" t="s">
        <v>131</v>
      </c>
      <c r="CC543" s="561"/>
      <c r="CD543" s="15" t="s">
        <v>132</v>
      </c>
      <c r="CE543" s="64">
        <v>0</v>
      </c>
      <c r="CF543" s="4">
        <v>0</v>
      </c>
      <c r="CG543" s="132">
        <f t="shared" ref="CG543" si="567">CE543*CF543</f>
        <v>0</v>
      </c>
      <c r="CH543" s="4" t="s">
        <v>132</v>
      </c>
      <c r="CI543" s="5">
        <v>0</v>
      </c>
      <c r="CJ543" s="4">
        <v>0</v>
      </c>
      <c r="CK543" s="132">
        <f t="shared" ref="CK543" si="568">CI543*CJ543</f>
        <v>0</v>
      </c>
      <c r="CL543" s="4" t="s">
        <v>132</v>
      </c>
      <c r="CM543" s="5">
        <v>0</v>
      </c>
      <c r="CN543" s="4">
        <v>0</v>
      </c>
      <c r="CO543" s="132">
        <f t="shared" ref="CO543" si="569">CM543*CN543</f>
        <v>0</v>
      </c>
      <c r="CP543" s="4" t="s">
        <v>132</v>
      </c>
      <c r="CQ543" s="5">
        <v>0</v>
      </c>
      <c r="CR543" s="4">
        <v>0</v>
      </c>
      <c r="CS543" s="412">
        <f t="shared" ref="CS543" si="570">CQ543*CR543</f>
        <v>0</v>
      </c>
      <c r="CT543" s="412">
        <f t="shared" ref="CT543" si="571">CG543+CK543+CO543+CS543</f>
        <v>0</v>
      </c>
      <c r="CU543" s="238">
        <f t="shared" si="516"/>
        <v>350</v>
      </c>
      <c r="CV543" s="239">
        <f t="shared" si="517"/>
        <v>0</v>
      </c>
      <c r="CW543" s="240">
        <f t="shared" si="518"/>
        <v>325.5</v>
      </c>
      <c r="CX543" s="79">
        <f>IF(ISBLANK(E543),"AddQuickPay",IF(E543=2,CU543*0.98,IF(E543=2.4,CU543*0.976,IF(E543=3,CU543*0.97,IF(E543=5,CU543*0.95,IF(E543=1.5,CU543*0.985,IF(E543=2.5,CU543*0.975,IF(E543=1.3,CU543*0.987,IF(E543=1,CU543*0.99,IF(E543=4,CU543*0.96,CU543*1))))))))))-Table1[[#This Row],[ComCheck+QuickPayFee]]</f>
        <v>350</v>
      </c>
      <c r="CY543" s="237">
        <f t="shared" si="519"/>
        <v>24.5</v>
      </c>
      <c r="CZ543" s="237">
        <f t="shared" si="528"/>
        <v>0</v>
      </c>
      <c r="DA543" s="263">
        <f>Table1[[#This Row],[OriginalDispatch]]-Table1[[#This Row],[QuickPayCharge]]</f>
        <v>24.5</v>
      </c>
      <c r="DB543" s="5">
        <v>0</v>
      </c>
      <c r="DC543" s="237" t="s">
        <v>133</v>
      </c>
      <c r="DD543" s="549">
        <f t="shared" si="566"/>
        <v>42566</v>
      </c>
      <c r="DE543" s="554">
        <f>MONTH(Table1[[#This Row],[Weekending]])</f>
        <v>7</v>
      </c>
      <c r="DF543" s="554">
        <f>YEAR(Table1[[#This Row],[Weekending]])</f>
        <v>2016</v>
      </c>
      <c r="DG543" s="235"/>
    </row>
    <row r="544" spans="1:111">
      <c r="A544" s="548" t="str">
        <f t="shared" si="520"/>
        <v>79393919</v>
      </c>
      <c r="B544" s="549">
        <v>42568</v>
      </c>
      <c r="C544" s="550">
        <v>206844779</v>
      </c>
      <c r="D544" s="548" t="s">
        <v>111</v>
      </c>
      <c r="E544" s="550">
        <v>2</v>
      </c>
      <c r="F544" s="551" t="str">
        <f>INDEX(BrokerTBL!$B:$B,MATCH(D544,BrokerTBL!$A:$A,0))</f>
        <v>P.O. Box 3474</v>
      </c>
      <c r="G544" s="550" t="str">
        <f>INDEX(BrokerTBL!$C:$C,MATCH(D544,BrokerTBL!$A:$A,0))</f>
        <v>Chicago</v>
      </c>
      <c r="H544" s="235" t="str">
        <f>INDEX(BrokerTBL!$D:$D,MATCH(D544,BrokerTBL!$A:$A,0))</f>
        <v>Il</v>
      </c>
      <c r="I544" s="235" t="str">
        <f>INDEX(BrokerTBL!$E:$E,MATCH(D544,BrokerTBL!$A:$A,0))</f>
        <v>US</v>
      </c>
      <c r="J544" s="235">
        <f>INDEX(BrokerTBL!$F:$F,MATCH(D544,BrokerTBL!$A:$A,0))</f>
        <v>60654</v>
      </c>
      <c r="K544" s="548" t="s">
        <v>3461</v>
      </c>
      <c r="L544" s="552">
        <v>4513428939</v>
      </c>
      <c r="M544" s="549">
        <v>42566</v>
      </c>
      <c r="N544" s="550" t="s">
        <v>123</v>
      </c>
      <c r="O544" s="550" t="s">
        <v>3462</v>
      </c>
      <c r="P544" s="548" t="s">
        <v>2277</v>
      </c>
      <c r="Q544" s="548" t="s">
        <v>2206</v>
      </c>
      <c r="R544" s="548">
        <v>93725</v>
      </c>
      <c r="S544" s="548" t="s">
        <v>2207</v>
      </c>
      <c r="T544" s="548" t="s">
        <v>123</v>
      </c>
      <c r="U544" s="548" t="s">
        <v>120</v>
      </c>
      <c r="V544" s="548">
        <v>53</v>
      </c>
      <c r="W544" s="548" t="s">
        <v>3463</v>
      </c>
      <c r="X544" s="553">
        <v>38000</v>
      </c>
      <c r="Y544" s="550" t="s">
        <v>1205</v>
      </c>
      <c r="Z544" s="548">
        <v>27000</v>
      </c>
      <c r="AA544" s="548" t="s">
        <v>123</v>
      </c>
      <c r="AB544" s="548" t="s">
        <v>123</v>
      </c>
      <c r="AC544" s="548" t="s">
        <v>3464</v>
      </c>
      <c r="AD544" s="552">
        <v>4513428939</v>
      </c>
      <c r="AE544" s="549">
        <v>42569</v>
      </c>
      <c r="AF544" s="549" t="s">
        <v>2918</v>
      </c>
      <c r="AG544" s="548" t="s">
        <v>3465</v>
      </c>
      <c r="AH544" s="548" t="s">
        <v>184</v>
      </c>
      <c r="AI544" s="548" t="s">
        <v>2206</v>
      </c>
      <c r="AJ544" s="548">
        <v>95215</v>
      </c>
      <c r="AK544" s="548" t="s">
        <v>2207</v>
      </c>
      <c r="AL544" s="548" t="s">
        <v>123</v>
      </c>
      <c r="AM544" s="554" t="str">
        <f>INDEX(CarrierDriverTBL!$B:$B,MATCH(Table1[[#This Row],[DriverID]],CarrierDriverTBL!$A:$A,0))</f>
        <v>UBTrucking</v>
      </c>
      <c r="AN544" s="554" t="s">
        <v>1409</v>
      </c>
      <c r="AO544" s="555" t="str">
        <f>INDEX(CarrierDriverTBL!$C:$C,MATCH(Table1[[#This Row],[DriverID]],CarrierDriverTBL!$A:$A,0))</f>
        <v>Miguel Jaime</v>
      </c>
      <c r="AP544" s="555" t="str">
        <f>INDEX(CarrierDriverTBL!$D:$D,MATCH(Table1[[#This Row],[DriverID]],CarrierDriverTBL!$A:$A,0))</f>
        <v>Martin Del Campo Velarca</v>
      </c>
      <c r="AQ544" s="555" t="str">
        <f>INDEX(CarrierDriverTBL!$X:$X,MATCH(Table1[[#This Row],[DriverID]],CarrierDriverTBL!$A:$A,0))</f>
        <v>D5179619</v>
      </c>
      <c r="AR544" s="556">
        <f>INDEX(CarrierDriverTBL!$Y:$Y,MATCH(Table1[[#This Row],[DriverID]],CarrierDriverTBL!$A:$A,0))</f>
        <v>43843</v>
      </c>
      <c r="AS544" s="554" t="str">
        <f t="shared" si="521"/>
        <v>GOOD</v>
      </c>
      <c r="AT544" s="556">
        <f>INDEX(CarrierDriverTBL!$E:$E,MATCH(Table1[[#This Row],[DriverID]],CarrierDriverTBL!$A:$A,0))</f>
        <v>21198</v>
      </c>
      <c r="AU544" s="557">
        <f ca="1">INDEX(CarrierDriverTBL!$F:$F,MATCH(Table1[[#This Row],[DriverID]],CarrierDriverTBL!$A:$A,0))</f>
        <v>58.56986301369863</v>
      </c>
      <c r="AV544" s="554" t="str">
        <f>INDEX(CarrierDriverTBL!$K:$K,MATCH(Table1[[#This Row],[DriverID]],CarrierDriverTBL!$A:$A,0))</f>
        <v>209-322-5231</v>
      </c>
      <c r="AW544" s="554" t="str">
        <f>INDEX(CarrierDriverTBL!$M:$M,MATCH(Table1[[#This Row],[DriverID]],CarrierDriverTBL!$A:$A,0))</f>
        <v>572 Predersen RD</v>
      </c>
      <c r="AX544" s="554" t="str">
        <f>INDEX(CarrierDriverTBL!$N:$N,MATCH(Table1[[#This Row],[DriverID]],CarrierDriverTBL!$A:$A,0))</f>
        <v>Oakdale</v>
      </c>
      <c r="AY544" s="554" t="str">
        <f>INDEX(CarrierDriverTBL!$O:$O,MATCH(Table1[[#This Row],[DriverID]],CarrierDriverTBL!$A:$A,0))</f>
        <v>CA</v>
      </c>
      <c r="AZ544" s="554">
        <f>INDEX(CarrierDriverTBL!$P:$P,MATCH(Table1[[#This Row],[DriverID]],CarrierDriverTBL!$A:$A,0))</f>
        <v>95361</v>
      </c>
      <c r="BA544" s="554" t="str">
        <f>INDEX(CarrierDriverTBL!$Q:$Q,MATCH(Table1[[#This Row],[DriverID]],CarrierDriverTBL!$A:$A,0))</f>
        <v>US</v>
      </c>
      <c r="BB544" s="554" t="str">
        <f>INDEX(CarrierDriverTBL!$R:$R,MATCH(Table1[[#This Row],[DriverID]],CarrierDriverTBL!$A:$A,0))</f>
        <v>Miguelmartin52@yahoo.com</v>
      </c>
      <c r="BC544" s="556">
        <f>INDEX(CarrierDriverTBL!$AB:$AB,MATCH(Table1[[#This Row],[DriverID]],CarrierDriverTBL!$A:$A,0))</f>
        <v>42334</v>
      </c>
      <c r="BD544" s="555" t="str">
        <f ca="1">INDEX(CarrierDriverTBL!$AD:$AD,MATCH(LoadMaster!$AN:$AN,CarrierDriverTBL!$A:$A,0))</f>
        <v>MISSING</v>
      </c>
      <c r="BE544" s="555">
        <f>INDEX(CarrierDriverTBL!$AE:$AE,MATCH(Table1[DriverID],CarrierDriverTBL!$A:$A,0))</f>
        <v>913971</v>
      </c>
      <c r="BF544" s="554">
        <f>INDEX(CarrierDriverTBL!$AF:$AF,MATCH(Table1[DriverID],CarrierDriverTBL!$A:$A,0))</f>
        <v>2627544</v>
      </c>
      <c r="BG544" s="236">
        <f>INDEX(CarrierDriverTBL!$AG:$AG,MATCH(Table1[DriverID],CarrierDriverTBL!$A:$A,0))</f>
        <v>466133</v>
      </c>
      <c r="BH544" s="554" t="str">
        <f>INDEX(CarrierDriverTBL!$AH:$AH,MATCH(Table1[DriverID],CarrierDriverTBL!$A:$A,0))</f>
        <v>GM Lawrence Ins</v>
      </c>
      <c r="BI544" s="554" t="str">
        <f>INDEX(CarrierDriverTBL!$AI:$AI,MATCH(Table1[DriverID],CarrierDriverTBL!$A:$A,0))</f>
        <v>DSK2842P160210</v>
      </c>
      <c r="BJ544" s="556">
        <f>INDEX(CarrierDriverTBL!$AJ:$AJ,MATCH(Table1[[#This Row],[DriverID]],CarrierDriverTBL!$A:$A,0))</f>
        <v>42778</v>
      </c>
      <c r="BK544" s="554">
        <f t="shared" si="522"/>
        <v>212</v>
      </c>
      <c r="BL544" s="558">
        <v>400</v>
      </c>
      <c r="BM544" s="554">
        <v>127.4</v>
      </c>
      <c r="BN544" s="558">
        <f t="shared" si="502"/>
        <v>3.1397174254317108</v>
      </c>
      <c r="BO544" s="241">
        <f>0.93*400</f>
        <v>372</v>
      </c>
      <c r="BP544" s="558">
        <f t="shared" si="503"/>
        <v>2.9199372056514914</v>
      </c>
      <c r="BQ544" s="558">
        <v>2.8</v>
      </c>
      <c r="BR544" s="559">
        <f t="shared" si="504"/>
        <v>0.15</v>
      </c>
      <c r="BS544" s="558">
        <f t="shared" si="505"/>
        <v>2.7699372056514915</v>
      </c>
      <c r="BT544" s="558">
        <f t="shared" si="506"/>
        <v>19.11</v>
      </c>
      <c r="BU544" s="236" t="str">
        <f t="shared" si="507"/>
        <v>Ch Robinson</v>
      </c>
      <c r="BV544" s="554"/>
      <c r="BW544" s="236" t="str">
        <f>Table1[[#This Row],[BrokerAddress]]</f>
        <v>P.O. Box 3474</v>
      </c>
      <c r="BX544" s="236" t="str">
        <f t="shared" si="535"/>
        <v>Chicago</v>
      </c>
      <c r="BY544" s="269" t="str">
        <f t="shared" si="535"/>
        <v>Il</v>
      </c>
      <c r="BZ544" s="236">
        <f t="shared" si="509"/>
        <v>60654</v>
      </c>
      <c r="CA544" s="236" t="str">
        <f t="shared" si="510"/>
        <v>US</v>
      </c>
      <c r="CB544" s="550" t="s">
        <v>131</v>
      </c>
      <c r="CC544" s="561"/>
      <c r="CD544" s="15" t="s">
        <v>132</v>
      </c>
      <c r="CE544" s="64">
        <v>0</v>
      </c>
      <c r="CF544" s="4">
        <v>0</v>
      </c>
      <c r="CG544" s="132">
        <f t="shared" ref="CG544" si="572">CE544*CF544</f>
        <v>0</v>
      </c>
      <c r="CH544" s="4" t="s">
        <v>132</v>
      </c>
      <c r="CI544" s="5">
        <v>0</v>
      </c>
      <c r="CJ544" s="4">
        <v>0</v>
      </c>
      <c r="CK544" s="132">
        <f t="shared" ref="CK544" si="573">CI544*CJ544</f>
        <v>0</v>
      </c>
      <c r="CL544" s="4" t="s">
        <v>132</v>
      </c>
      <c r="CM544" s="5">
        <v>0</v>
      </c>
      <c r="CN544" s="4">
        <v>0</v>
      </c>
      <c r="CO544" s="132">
        <f t="shared" ref="CO544" si="574">CM544*CN544</f>
        <v>0</v>
      </c>
      <c r="CP544" s="4" t="s">
        <v>132</v>
      </c>
      <c r="CQ544" s="5">
        <v>0</v>
      </c>
      <c r="CR544" s="4">
        <v>0</v>
      </c>
      <c r="CS544" s="412">
        <f t="shared" ref="CS544" si="575">CQ544*CR544</f>
        <v>0</v>
      </c>
      <c r="CT544" s="412">
        <f t="shared" ref="CT544" si="576">CG544+CK544+CO544+CS544</f>
        <v>0</v>
      </c>
      <c r="CU544" s="238">
        <f t="shared" si="516"/>
        <v>400</v>
      </c>
      <c r="CV544" s="239">
        <f t="shared" si="517"/>
        <v>0</v>
      </c>
      <c r="CW544" s="240">
        <f t="shared" si="518"/>
        <v>372</v>
      </c>
      <c r="CX544" s="79">
        <f>IF(ISBLANK(E544),"AddQuickPay",IF(E544=2,CU544*0.98,IF(E544=2.4,CU544*0.976,IF(E544=3,CU544*0.97,IF(E544=5,CU544*0.95,IF(E544=1.5,CU544*0.985,IF(E544=2.5,CU544*0.975,IF(E544=1.3,CU544*0.987,IF(E544=1,CU544*0.99,IF(E544=4,CU544*0.96,CU544*1))))))))))-Table1[[#This Row],[ComCheck+QuickPayFee]]</f>
        <v>392</v>
      </c>
      <c r="CY544" s="237">
        <f t="shared" si="519"/>
        <v>28</v>
      </c>
      <c r="CZ544" s="237">
        <f t="shared" si="528"/>
        <v>8</v>
      </c>
      <c r="DA544" s="263">
        <f>Table1[[#This Row],[OriginalDispatch]]-Table1[[#This Row],[QuickPayCharge]]</f>
        <v>20</v>
      </c>
      <c r="DB544" s="5">
        <v>0</v>
      </c>
      <c r="DC544" s="237" t="s">
        <v>133</v>
      </c>
      <c r="DD544" s="549">
        <f t="shared" si="566"/>
        <v>42566</v>
      </c>
      <c r="DE544" s="554">
        <f>MONTH(Table1[[#This Row],[Weekending]])</f>
        <v>7</v>
      </c>
      <c r="DF544" s="554">
        <f>YEAR(Table1[[#This Row],[Weekending]])</f>
        <v>2016</v>
      </c>
      <c r="DG544" s="235"/>
    </row>
    <row r="545" spans="1:111">
      <c r="A545" s="548" t="str">
        <f t="shared" ref="A545:A553" si="577">RIGHT(C545,2)&amp;RIGHT(L545,2)&amp;RIGHT(AD545,2)&amp;RIGHT(AQ545,2)</f>
        <v>5099wn47</v>
      </c>
      <c r="B545" s="549">
        <v>42570</v>
      </c>
      <c r="C545" s="550">
        <v>206700850</v>
      </c>
      <c r="D545" s="548" t="s">
        <v>111</v>
      </c>
      <c r="E545" s="550">
        <v>2</v>
      </c>
      <c r="F545" s="551" t="str">
        <f>INDEX(BrokerTBL!$B:$B,MATCH(D545,BrokerTBL!$A:$A,0))</f>
        <v>P.O. Box 3474</v>
      </c>
      <c r="G545" s="550" t="str">
        <f>INDEX(BrokerTBL!$C:$C,MATCH(D545,BrokerTBL!$A:$A,0))</f>
        <v>Chicago</v>
      </c>
      <c r="H545" s="235" t="str">
        <f>INDEX(BrokerTBL!$D:$D,MATCH(D545,BrokerTBL!$A:$A,0))</f>
        <v>Il</v>
      </c>
      <c r="I545" s="235" t="str">
        <f>INDEX(BrokerTBL!$E:$E,MATCH(D545,BrokerTBL!$A:$A,0))</f>
        <v>US</v>
      </c>
      <c r="J545" s="235">
        <f>INDEX(BrokerTBL!$F:$F,MATCH(D545,BrokerTBL!$A:$A,0))</f>
        <v>60654</v>
      </c>
      <c r="K545" s="548" t="s">
        <v>3466</v>
      </c>
      <c r="L545" s="552">
        <v>31099</v>
      </c>
      <c r="M545" s="549">
        <v>42569</v>
      </c>
      <c r="N545" s="550" t="s">
        <v>422</v>
      </c>
      <c r="O545" s="550" t="s">
        <v>3467</v>
      </c>
      <c r="P545" s="548" t="s">
        <v>2851</v>
      </c>
      <c r="Q545" s="548" t="s">
        <v>2206</v>
      </c>
      <c r="R545" s="548">
        <v>95380</v>
      </c>
      <c r="S545" s="548" t="s">
        <v>2207</v>
      </c>
      <c r="T545" s="548" t="s">
        <v>123</v>
      </c>
      <c r="U545" s="548" t="s">
        <v>120</v>
      </c>
      <c r="V545" s="548">
        <v>53</v>
      </c>
      <c r="W545" s="548" t="s">
        <v>3468</v>
      </c>
      <c r="X545" s="553">
        <v>44092</v>
      </c>
      <c r="Y545" s="550" t="s">
        <v>2220</v>
      </c>
      <c r="Z545" s="548">
        <v>800</v>
      </c>
      <c r="AA545" s="548" t="s">
        <v>123</v>
      </c>
      <c r="AB545" s="548" t="s">
        <v>123</v>
      </c>
      <c r="AC545" s="548" t="s">
        <v>1753</v>
      </c>
      <c r="AD545" s="552" t="s">
        <v>1205</v>
      </c>
      <c r="AE545" s="549">
        <v>42569</v>
      </c>
      <c r="AF545" s="549" t="s">
        <v>417</v>
      </c>
      <c r="AG545" s="548" t="s">
        <v>1755</v>
      </c>
      <c r="AH545" s="548" t="s">
        <v>299</v>
      </c>
      <c r="AI545" s="548" t="s">
        <v>2206</v>
      </c>
      <c r="AJ545" s="548">
        <v>94603</v>
      </c>
      <c r="AK545" s="548" t="s">
        <v>2207</v>
      </c>
      <c r="AL545" s="548" t="s">
        <v>123</v>
      </c>
      <c r="AM545" s="554" t="str">
        <f>INDEX(CarrierDriverTBL!$B:$B,MATCH(Table1[[#This Row],[DriverID]],CarrierDriverTBL!$A:$A,0))</f>
        <v>UBTrucking</v>
      </c>
      <c r="AN545" s="443" t="s">
        <v>3427</v>
      </c>
      <c r="AO545" s="555" t="str">
        <f>INDEX(CarrierDriverTBL!$C:$C,MATCH(Table1[[#This Row],[DriverID]],CarrierDriverTBL!$A:$A,0))</f>
        <v>Anthony</v>
      </c>
      <c r="AP545" s="555" t="str">
        <f>INDEX(CarrierDriverTBL!$D:$D,MATCH(Table1[[#This Row],[DriverID]],CarrierDriverTBL!$A:$A,0))</f>
        <v>Fonseca</v>
      </c>
      <c r="AQ545" s="555" t="str">
        <f>INDEX(CarrierDriverTBL!$X:$X,MATCH(Table1[[#This Row],[DriverID]],CarrierDriverTBL!$A:$A,0))</f>
        <v>D7005547</v>
      </c>
      <c r="AR545" s="556">
        <f>INDEX(CarrierDriverTBL!$Y:$Y,MATCH(Table1[[#This Row],[DriverID]],CarrierDriverTBL!$A:$A,0))</f>
        <v>42963</v>
      </c>
      <c r="AS545" s="554" t="str">
        <f t="shared" ref="AS545:AS553" si="578">IF(AR545&gt;M545,"GOOD","EXPIRED")</f>
        <v>GOOD</v>
      </c>
      <c r="AT545" s="556">
        <f>INDEX(CarrierDriverTBL!$E:$E,MATCH(Table1[[#This Row],[DriverID]],CarrierDriverTBL!$A:$A,0))</f>
        <v>32371</v>
      </c>
      <c r="AU545" s="557">
        <f ca="1">INDEX(CarrierDriverTBL!$F:$F,MATCH(Table1[[#This Row],[DriverID]],CarrierDriverTBL!$A:$A,0))</f>
        <v>27.958904109589042</v>
      </c>
      <c r="AV545" s="554" t="str">
        <f>INDEX(CarrierDriverTBL!$K:$K,MATCH(Table1[[#This Row],[DriverID]],CarrierDriverTBL!$A:$A,0))</f>
        <v>209-405-4622</v>
      </c>
      <c r="AW545" s="554" t="str">
        <f>INDEX(CarrierDriverTBL!$M:$M,MATCH(Table1[[#This Row],[DriverID]],CarrierDriverTBL!$A:$A,0))</f>
        <v>367 Mosswood Ave</v>
      </c>
      <c r="AX545" s="554" t="str">
        <f>INDEX(CarrierDriverTBL!$N:$N,MATCH(Table1[[#This Row],[DriverID]],CarrierDriverTBL!$A:$A,0))</f>
        <v>Stockton</v>
      </c>
      <c r="AY545" s="554" t="str">
        <f>INDEX(CarrierDriverTBL!$O:$O,MATCH(Table1[[#This Row],[DriverID]],CarrierDriverTBL!$A:$A,0))</f>
        <v>CA</v>
      </c>
      <c r="AZ545" s="554">
        <f>INDEX(CarrierDriverTBL!$P:$P,MATCH(Table1[[#This Row],[DriverID]],CarrierDriverTBL!$A:$A,0))</f>
        <v>95206</v>
      </c>
      <c r="BA545" s="554" t="str">
        <f>INDEX(CarrierDriverTBL!$Q:$Q,MATCH(Table1[[#This Row],[DriverID]],CarrierDriverTBL!$A:$A,0))</f>
        <v>US</v>
      </c>
      <c r="BB545" s="554" t="str">
        <f>INDEX(CarrierDriverTBL!$R:$R,MATCH(Table1[[#This Row],[DriverID]],CarrierDriverTBL!$A:$A,0))</f>
        <v>anthony_fonseca@ymail.com</v>
      </c>
      <c r="BC545" s="556">
        <f>INDEX(CarrierDriverTBL!$AB:$AB,MATCH(Table1[[#This Row],[DriverID]],CarrierDriverTBL!$A:$A,0))</f>
        <v>42562</v>
      </c>
      <c r="BD545" s="555" t="str">
        <f ca="1">INDEX(CarrierDriverTBL!$AD:$AD,MATCH(LoadMaster!$AN:$AN,CarrierDriverTBL!$A:$A,0))</f>
        <v>PASS</v>
      </c>
      <c r="BE545" s="555">
        <f>INDEX(CarrierDriverTBL!$AE:$AE,MATCH(Table1[DriverID],CarrierDriverTBL!$A:$A,0))</f>
        <v>913971</v>
      </c>
      <c r="BF545" s="554">
        <f>INDEX(CarrierDriverTBL!$AF:$AF,MATCH(Table1[DriverID],CarrierDriverTBL!$A:$A,0))</f>
        <v>2627544</v>
      </c>
      <c r="BG545" s="236">
        <f>INDEX(CarrierDriverTBL!$AG:$AG,MATCH(Table1[DriverID],CarrierDriverTBL!$A:$A,0))</f>
        <v>466133</v>
      </c>
      <c r="BH545" s="554" t="str">
        <f>INDEX(CarrierDriverTBL!$AH:$AH,MATCH(Table1[DriverID],CarrierDriverTBL!$A:$A,0))</f>
        <v>GM Lawrence Ins</v>
      </c>
      <c r="BI545" s="554" t="str">
        <f>INDEX(CarrierDriverTBL!$AI:$AI,MATCH(Table1[DriverID],CarrierDriverTBL!$A:$A,0))</f>
        <v>DSK2842P160210</v>
      </c>
      <c r="BJ545" s="556">
        <f>INDEX(CarrierDriverTBL!$AJ:$AJ,MATCH(Table1[[#This Row],[DriverID]],CarrierDriverTBL!$A:$A,0))</f>
        <v>42778</v>
      </c>
      <c r="BK545" s="554">
        <f t="shared" ref="BK545:BK553" si="579">IFERROR(BJ545-M545,"MISSING")</f>
        <v>209</v>
      </c>
      <c r="BL545" s="558">
        <v>400</v>
      </c>
      <c r="BM545" s="554">
        <v>94.3</v>
      </c>
      <c r="BN545" s="558">
        <f t="shared" ref="BN545:BN553" si="580">BL545/BM545</f>
        <v>4.2417815482502652</v>
      </c>
      <c r="BO545" s="241">
        <f>0.93*400</f>
        <v>372</v>
      </c>
      <c r="BP545" s="558">
        <f t="shared" ref="BP545:BP553" si="581">BO545/BM545</f>
        <v>3.9448568398727466</v>
      </c>
      <c r="BQ545" s="558">
        <v>2.8</v>
      </c>
      <c r="BR545" s="559">
        <f t="shared" ref="BR545:BR553" si="582">(BQ545-1.9)/6</f>
        <v>0.15</v>
      </c>
      <c r="BS545" s="558">
        <f t="shared" ref="BS545:BS553" si="583">BP545-BR545</f>
        <v>3.7948568398727467</v>
      </c>
      <c r="BT545" s="558">
        <f t="shared" ref="BT545:BT553" si="584">BM545*BR545</f>
        <v>14.145</v>
      </c>
      <c r="BU545" s="236" t="str">
        <f t="shared" ref="BU545:BU553" si="585">D545</f>
        <v>Ch Robinson</v>
      </c>
      <c r="BV545" s="554"/>
      <c r="BW545" s="236" t="str">
        <f>Table1[[#This Row],[BrokerAddress]]</f>
        <v>P.O. Box 3474</v>
      </c>
      <c r="BX545" s="236" t="str">
        <f t="shared" ref="BX545:BX553" si="586">G545</f>
        <v>Chicago</v>
      </c>
      <c r="BY545" s="269" t="str">
        <f t="shared" ref="BY545:BY553" si="587">H545</f>
        <v>Il</v>
      </c>
      <c r="BZ545" s="236">
        <f t="shared" ref="BZ545:BZ553" si="588">J545</f>
        <v>60654</v>
      </c>
      <c r="CA545" s="236" t="str">
        <f t="shared" ref="CA545:CA553" si="589">I545</f>
        <v>US</v>
      </c>
      <c r="CB545" s="550" t="s">
        <v>131</v>
      </c>
      <c r="CC545" s="561"/>
      <c r="CD545" s="15" t="s">
        <v>132</v>
      </c>
      <c r="CE545" s="64">
        <v>0</v>
      </c>
      <c r="CF545" s="4">
        <v>0</v>
      </c>
      <c r="CG545" s="132">
        <f t="shared" ref="CG545" si="590">CE545*CF545</f>
        <v>0</v>
      </c>
      <c r="CH545" s="4" t="s">
        <v>132</v>
      </c>
      <c r="CI545" s="5">
        <v>0</v>
      </c>
      <c r="CJ545" s="4">
        <v>0</v>
      </c>
      <c r="CK545" s="132">
        <f t="shared" ref="CK545" si="591">CI545*CJ545</f>
        <v>0</v>
      </c>
      <c r="CL545" s="4" t="s">
        <v>132</v>
      </c>
      <c r="CM545" s="5">
        <v>0</v>
      </c>
      <c r="CN545" s="4">
        <v>0</v>
      </c>
      <c r="CO545" s="132">
        <f t="shared" ref="CO545" si="592">CM545*CN545</f>
        <v>0</v>
      </c>
      <c r="CP545" s="4" t="s">
        <v>132</v>
      </c>
      <c r="CQ545" s="5">
        <v>0</v>
      </c>
      <c r="CR545" s="4">
        <v>0</v>
      </c>
      <c r="CS545" s="412">
        <f t="shared" ref="CS545" si="593">CQ545*CR545</f>
        <v>0</v>
      </c>
      <c r="CT545" s="412">
        <f t="shared" ref="CT545" si="594">CG545+CK545+CO545+CS545</f>
        <v>0</v>
      </c>
      <c r="CU545" s="238">
        <f t="shared" ref="CU545:CU553" si="595">(CT545+BL545)-CC545</f>
        <v>400</v>
      </c>
      <c r="CV545" s="239">
        <f t="shared" ref="CV545:CV553" si="596">IF(AO545="Albel",(CT545*1),(CT545*0.93))</f>
        <v>0</v>
      </c>
      <c r="CW545" s="240">
        <f t="shared" ref="CW545:CW553" si="597">BO545+CV545</f>
        <v>372</v>
      </c>
      <c r="CX545" s="79">
        <f>IF(ISBLANK(E545),"AddQuickPay",IF(E545=2,CU545*0.98,IF(E545=2.4,CU545*0.976,IF(E545=3,CU545*0.97,IF(E545=5,CU545*0.95,IF(E545=1.5,CU545*0.985,IF(E545=2.5,CU545*0.975,IF(E545=1.3,CU545*0.987,IF(E545=1,CU545*0.99,IF(E545=4,CU545*0.96,CU545*1))))))))))-Table1[[#This Row],[ComCheck+QuickPayFee]]</f>
        <v>392</v>
      </c>
      <c r="CY545" s="237">
        <f t="shared" ref="CY545:CY553" si="598">CU545-CW545</f>
        <v>28</v>
      </c>
      <c r="CZ545" s="237">
        <f t="shared" ref="CZ545:CZ553" si="599">IF(ISBLANK(E545),"AddQuickPay",IF(E545=2,CU545*0.02,IF(E545=2.4,CU545*0.024,IF(E545=3,CU545*0.03,IF(E545=5,CU545*0.05,IF(E545=1.5,CU545*0.015,IF(E545=2.5,CU545*0.025,IF(E545=4,CU545*0.04,IF(E545=1.3,CU545*0.013,IF(E545=1,CU545*0.01,CU545*0))))))))))</f>
        <v>8</v>
      </c>
      <c r="DA545" s="263">
        <f>Table1[[#This Row],[OriginalDispatch]]-Table1[[#This Row],[QuickPayCharge]]</f>
        <v>20</v>
      </c>
      <c r="DB545" s="5">
        <v>0</v>
      </c>
      <c r="DC545" s="237" t="s">
        <v>133</v>
      </c>
      <c r="DD545" s="549">
        <f t="shared" si="566"/>
        <v>42573</v>
      </c>
      <c r="DE545" s="554">
        <f>MONTH(Table1[[#This Row],[Weekending]])</f>
        <v>7</v>
      </c>
      <c r="DF545" s="554">
        <f>YEAR(Table1[[#This Row],[Weekending]])</f>
        <v>2016</v>
      </c>
      <c r="DG545" s="235"/>
    </row>
    <row r="546" spans="1:111">
      <c r="A546" s="548" t="str">
        <f t="shared" si="577"/>
        <v>95wn#247</v>
      </c>
      <c r="B546" s="549">
        <v>42570</v>
      </c>
      <c r="C546" s="550">
        <v>206912895</v>
      </c>
      <c r="D546" s="548" t="s">
        <v>111</v>
      </c>
      <c r="E546" s="550">
        <v>2</v>
      </c>
      <c r="F546" s="551" t="str">
        <f>INDEX(BrokerTBL!$B:$B,MATCH(D546,BrokerTBL!$A:$A,0))</f>
        <v>P.O. Box 3474</v>
      </c>
      <c r="G546" s="550" t="str">
        <f>INDEX(BrokerTBL!$C:$C,MATCH(D546,BrokerTBL!$A:$A,0))</f>
        <v>Chicago</v>
      </c>
      <c r="H546" s="235" t="str">
        <f>INDEX(BrokerTBL!$D:$D,MATCH(D546,BrokerTBL!$A:$A,0))</f>
        <v>Il</v>
      </c>
      <c r="I546" s="235" t="str">
        <f>INDEX(BrokerTBL!$E:$E,MATCH(D546,BrokerTBL!$A:$A,0))</f>
        <v>US</v>
      </c>
      <c r="J546" s="235">
        <f>INDEX(BrokerTBL!$F:$F,MATCH(D546,BrokerTBL!$A:$A,0))</f>
        <v>60654</v>
      </c>
      <c r="K546" s="548" t="s">
        <v>3469</v>
      </c>
      <c r="L546" s="552" t="s">
        <v>1205</v>
      </c>
      <c r="M546" s="549">
        <v>42569</v>
      </c>
      <c r="N546" s="550" t="s">
        <v>2856</v>
      </c>
      <c r="O546" s="550" t="s">
        <v>3470</v>
      </c>
      <c r="P546" s="548" t="s">
        <v>2625</v>
      </c>
      <c r="Q546" s="548" t="s">
        <v>2206</v>
      </c>
      <c r="R546" s="548">
        <v>94545</v>
      </c>
      <c r="S546" s="548" t="s">
        <v>2207</v>
      </c>
      <c r="T546" s="548" t="s">
        <v>123</v>
      </c>
      <c r="U546" s="548" t="s">
        <v>120</v>
      </c>
      <c r="V546" s="548">
        <v>53</v>
      </c>
      <c r="W546" s="548" t="s">
        <v>3471</v>
      </c>
      <c r="X546" s="553">
        <v>40000</v>
      </c>
      <c r="Y546" s="550" t="s">
        <v>2220</v>
      </c>
      <c r="Z546" s="548">
        <v>24</v>
      </c>
      <c r="AA546" s="548" t="s">
        <v>123</v>
      </c>
      <c r="AB546" s="548" t="s">
        <v>123</v>
      </c>
      <c r="AC546" s="548" t="s">
        <v>3472</v>
      </c>
      <c r="AD546" s="552" t="s">
        <v>3473</v>
      </c>
      <c r="AE546" s="549">
        <v>42570</v>
      </c>
      <c r="AF546" s="549" t="s">
        <v>1281</v>
      </c>
      <c r="AG546" s="548" t="s">
        <v>3474</v>
      </c>
      <c r="AH546" s="548" t="s">
        <v>208</v>
      </c>
      <c r="AI546" s="548" t="s">
        <v>2206</v>
      </c>
      <c r="AJ546" s="548">
        <v>95823</v>
      </c>
      <c r="AK546" s="548" t="s">
        <v>2207</v>
      </c>
      <c r="AL546" s="548" t="s">
        <v>123</v>
      </c>
      <c r="AM546" s="554" t="str">
        <f>INDEX(CarrierDriverTBL!$B:$B,MATCH(Table1[[#This Row],[DriverID]],CarrierDriverTBL!$A:$A,0))</f>
        <v>UBTrucking</v>
      </c>
      <c r="AN546" s="443" t="s">
        <v>3427</v>
      </c>
      <c r="AO546" s="555" t="str">
        <f>INDEX(CarrierDriverTBL!$C:$C,MATCH(Table1[[#This Row],[DriverID]],CarrierDriverTBL!$A:$A,0))</f>
        <v>Anthony</v>
      </c>
      <c r="AP546" s="555" t="str">
        <f>INDEX(CarrierDriverTBL!$D:$D,MATCH(Table1[[#This Row],[DriverID]],CarrierDriverTBL!$A:$A,0))</f>
        <v>Fonseca</v>
      </c>
      <c r="AQ546" s="555" t="str">
        <f>INDEX(CarrierDriverTBL!$X:$X,MATCH(Table1[[#This Row],[DriverID]],CarrierDriverTBL!$A:$A,0))</f>
        <v>D7005547</v>
      </c>
      <c r="AR546" s="556">
        <f>INDEX(CarrierDriverTBL!$Y:$Y,MATCH(Table1[[#This Row],[DriverID]],CarrierDriverTBL!$A:$A,0))</f>
        <v>42963</v>
      </c>
      <c r="AS546" s="554" t="str">
        <f t="shared" si="578"/>
        <v>GOOD</v>
      </c>
      <c r="AT546" s="556">
        <f>INDEX(CarrierDriverTBL!$E:$E,MATCH(Table1[[#This Row],[DriverID]],CarrierDriverTBL!$A:$A,0))</f>
        <v>32371</v>
      </c>
      <c r="AU546" s="557">
        <f ca="1">INDEX(CarrierDriverTBL!$F:$F,MATCH(Table1[[#This Row],[DriverID]],CarrierDriverTBL!$A:$A,0))</f>
        <v>27.958904109589042</v>
      </c>
      <c r="AV546" s="554" t="str">
        <f>INDEX(CarrierDriverTBL!$K:$K,MATCH(Table1[[#This Row],[DriverID]],CarrierDriverTBL!$A:$A,0))</f>
        <v>209-405-4622</v>
      </c>
      <c r="AW546" s="554" t="str">
        <f>INDEX(CarrierDriverTBL!$M:$M,MATCH(Table1[[#This Row],[DriverID]],CarrierDriverTBL!$A:$A,0))</f>
        <v>367 Mosswood Ave</v>
      </c>
      <c r="AX546" s="554" t="str">
        <f>INDEX(CarrierDriverTBL!$N:$N,MATCH(Table1[[#This Row],[DriverID]],CarrierDriverTBL!$A:$A,0))</f>
        <v>Stockton</v>
      </c>
      <c r="AY546" s="554" t="str">
        <f>INDEX(CarrierDriverTBL!$O:$O,MATCH(Table1[[#This Row],[DriverID]],CarrierDriverTBL!$A:$A,0))</f>
        <v>CA</v>
      </c>
      <c r="AZ546" s="554">
        <f>INDEX(CarrierDriverTBL!$P:$P,MATCH(Table1[[#This Row],[DriverID]],CarrierDriverTBL!$A:$A,0))</f>
        <v>95206</v>
      </c>
      <c r="BA546" s="554" t="str">
        <f>INDEX(CarrierDriverTBL!$Q:$Q,MATCH(Table1[[#This Row],[DriverID]],CarrierDriverTBL!$A:$A,0))</f>
        <v>US</v>
      </c>
      <c r="BB546" s="554" t="str">
        <f>INDEX(CarrierDriverTBL!$R:$R,MATCH(Table1[[#This Row],[DriverID]],CarrierDriverTBL!$A:$A,0))</f>
        <v>anthony_fonseca@ymail.com</v>
      </c>
      <c r="BC546" s="556">
        <f>INDEX(CarrierDriverTBL!$AB:$AB,MATCH(Table1[[#This Row],[DriverID]],CarrierDriverTBL!$A:$A,0))</f>
        <v>42562</v>
      </c>
      <c r="BD546" s="555" t="str">
        <f ca="1">INDEX(CarrierDriverTBL!$AD:$AD,MATCH(LoadMaster!$AN:$AN,CarrierDriverTBL!$A:$A,0))</f>
        <v>PASS</v>
      </c>
      <c r="BE546" s="555">
        <f>INDEX(CarrierDriverTBL!$AE:$AE,MATCH(Table1[DriverID],CarrierDriverTBL!$A:$A,0))</f>
        <v>913971</v>
      </c>
      <c r="BF546" s="554">
        <f>INDEX(CarrierDriverTBL!$AF:$AF,MATCH(Table1[DriverID],CarrierDriverTBL!$A:$A,0))</f>
        <v>2627544</v>
      </c>
      <c r="BG546" s="236">
        <f>INDEX(CarrierDriverTBL!$AG:$AG,MATCH(Table1[DriverID],CarrierDriverTBL!$A:$A,0))</f>
        <v>466133</v>
      </c>
      <c r="BH546" s="554" t="str">
        <f>INDEX(CarrierDriverTBL!$AH:$AH,MATCH(Table1[DriverID],CarrierDriverTBL!$A:$A,0))</f>
        <v>GM Lawrence Ins</v>
      </c>
      <c r="BI546" s="554" t="str">
        <f>INDEX(CarrierDriverTBL!$AI:$AI,MATCH(Table1[DriverID],CarrierDriverTBL!$A:$A,0))</f>
        <v>DSK2842P160210</v>
      </c>
      <c r="BJ546" s="556">
        <f>INDEX(CarrierDriverTBL!$AJ:$AJ,MATCH(Table1[[#This Row],[DriverID]],CarrierDriverTBL!$A:$A,0))</f>
        <v>42778</v>
      </c>
      <c r="BK546" s="554">
        <f t="shared" si="579"/>
        <v>209</v>
      </c>
      <c r="BL546" s="558">
        <v>425</v>
      </c>
      <c r="BM546" s="554">
        <v>96.3</v>
      </c>
      <c r="BN546" s="558">
        <f t="shared" si="580"/>
        <v>4.413291796469367</v>
      </c>
      <c r="BO546" s="241">
        <f>0.93*425</f>
        <v>395.25</v>
      </c>
      <c r="BP546" s="558">
        <f t="shared" si="581"/>
        <v>4.1043613707165107</v>
      </c>
      <c r="BQ546" s="558">
        <v>2.8</v>
      </c>
      <c r="BR546" s="559">
        <f t="shared" si="582"/>
        <v>0.15</v>
      </c>
      <c r="BS546" s="558">
        <f t="shared" si="583"/>
        <v>3.9543613707165108</v>
      </c>
      <c r="BT546" s="558">
        <f t="shared" si="584"/>
        <v>14.444999999999999</v>
      </c>
      <c r="BU546" s="236" t="str">
        <f t="shared" si="585"/>
        <v>Ch Robinson</v>
      </c>
      <c r="BV546" s="554"/>
      <c r="BW546" s="236" t="str">
        <f>Table1[[#This Row],[BrokerAddress]]</f>
        <v>P.O. Box 3474</v>
      </c>
      <c r="BX546" s="236" t="str">
        <f t="shared" si="586"/>
        <v>Chicago</v>
      </c>
      <c r="BY546" s="269" t="str">
        <f t="shared" si="587"/>
        <v>Il</v>
      </c>
      <c r="BZ546" s="236">
        <f t="shared" si="588"/>
        <v>60654</v>
      </c>
      <c r="CA546" s="236" t="str">
        <f t="shared" si="589"/>
        <v>US</v>
      </c>
      <c r="CB546" s="550" t="s">
        <v>131</v>
      </c>
      <c r="CC546" s="561"/>
      <c r="CD546" s="15" t="s">
        <v>132</v>
      </c>
      <c r="CE546" s="64">
        <v>0</v>
      </c>
      <c r="CF546" s="4">
        <v>0</v>
      </c>
      <c r="CG546" s="132">
        <f t="shared" ref="CG546" si="600">CE546*CF546</f>
        <v>0</v>
      </c>
      <c r="CH546" s="4" t="s">
        <v>132</v>
      </c>
      <c r="CI546" s="5">
        <v>0</v>
      </c>
      <c r="CJ546" s="4">
        <v>0</v>
      </c>
      <c r="CK546" s="132">
        <f t="shared" ref="CK546" si="601">CI546*CJ546</f>
        <v>0</v>
      </c>
      <c r="CL546" s="4" t="s">
        <v>132</v>
      </c>
      <c r="CM546" s="5">
        <v>0</v>
      </c>
      <c r="CN546" s="4">
        <v>0</v>
      </c>
      <c r="CO546" s="132">
        <f t="shared" ref="CO546" si="602">CM546*CN546</f>
        <v>0</v>
      </c>
      <c r="CP546" s="4" t="s">
        <v>132</v>
      </c>
      <c r="CQ546" s="5">
        <v>0</v>
      </c>
      <c r="CR546" s="4">
        <v>0</v>
      </c>
      <c r="CS546" s="412">
        <f t="shared" ref="CS546" si="603">CQ546*CR546</f>
        <v>0</v>
      </c>
      <c r="CT546" s="412">
        <f t="shared" ref="CT546" si="604">CG546+CK546+CO546+CS546</f>
        <v>0</v>
      </c>
      <c r="CU546" s="238">
        <f t="shared" si="595"/>
        <v>425</v>
      </c>
      <c r="CV546" s="239">
        <f t="shared" si="596"/>
        <v>0</v>
      </c>
      <c r="CW546" s="240">
        <f t="shared" si="597"/>
        <v>395.25</v>
      </c>
      <c r="CX546" s="79">
        <f>IF(ISBLANK(E546),"AddQuickPay",IF(E546=2,CU546*0.98,IF(E546=2.4,CU546*0.976,IF(E546=3,CU546*0.97,IF(E546=5,CU546*0.95,IF(E546=1.5,CU546*0.985,IF(E546=2.5,CU546*0.975,IF(E546=1.3,CU546*0.987,IF(E546=1,CU546*0.99,IF(E546=4,CU546*0.96,CU546*1))))))))))-Table1[[#This Row],[ComCheck+QuickPayFee]]</f>
        <v>416.5</v>
      </c>
      <c r="CY546" s="237">
        <f t="shared" si="598"/>
        <v>29.75</v>
      </c>
      <c r="CZ546" s="237">
        <f t="shared" si="599"/>
        <v>8.5</v>
      </c>
      <c r="DA546" s="263">
        <f>Table1[[#This Row],[OriginalDispatch]]-Table1[[#This Row],[QuickPayCharge]]</f>
        <v>21.25</v>
      </c>
      <c r="DB546" s="5">
        <v>0</v>
      </c>
      <c r="DC546" s="237" t="s">
        <v>133</v>
      </c>
      <c r="DD546" s="549">
        <f t="shared" si="566"/>
        <v>42573</v>
      </c>
      <c r="DE546" s="554">
        <f>MONTH(Table1[[#This Row],[Weekending]])</f>
        <v>7</v>
      </c>
      <c r="DF546" s="554">
        <f>YEAR(Table1[[#This Row],[Weekending]])</f>
        <v>2016</v>
      </c>
      <c r="DG546" s="235"/>
    </row>
    <row r="547" spans="1:111">
      <c r="A547" s="548" t="str">
        <f t="shared" si="577"/>
        <v>27wnwn49</v>
      </c>
      <c r="B547" s="549">
        <v>42570</v>
      </c>
      <c r="C547" s="550">
        <v>389227</v>
      </c>
      <c r="D547" s="548" t="s">
        <v>2686</v>
      </c>
      <c r="E547" s="550">
        <v>4</v>
      </c>
      <c r="F547" s="551" t="str">
        <f>INDEX(BrokerTBL!$B:$B,MATCH(D547,BrokerTBL!$A:$A,0))</f>
        <v>10739 Deerwood Park Blvd. Suite 103</v>
      </c>
      <c r="G547" s="550" t="str">
        <f>INDEX(BrokerTBL!$C:$C,MATCH(D547,BrokerTBL!$A:$A,0))</f>
        <v>Jacksonville</v>
      </c>
      <c r="H547" s="235" t="str">
        <f>INDEX(BrokerTBL!$D:$D,MATCH(D547,BrokerTBL!$A:$A,0))</f>
        <v>FL</v>
      </c>
      <c r="I547" s="235" t="str">
        <f>INDEX(BrokerTBL!$E:$E,MATCH(D547,BrokerTBL!$A:$A,0))</f>
        <v>US</v>
      </c>
      <c r="J547" s="235">
        <f>INDEX(BrokerTBL!$F:$F,MATCH(D547,BrokerTBL!$A:$A,0))</f>
        <v>32256</v>
      </c>
      <c r="K547" s="548" t="s">
        <v>3339</v>
      </c>
      <c r="L547" s="552" t="s">
        <v>1205</v>
      </c>
      <c r="M547" s="549">
        <v>42569</v>
      </c>
      <c r="N547" s="565">
        <v>0.6875</v>
      </c>
      <c r="O547" s="550" t="s">
        <v>3341</v>
      </c>
      <c r="P547" s="548" t="s">
        <v>3342</v>
      </c>
      <c r="Q547" s="548" t="s">
        <v>2206</v>
      </c>
      <c r="R547" s="548">
        <v>94525</v>
      </c>
      <c r="S547" s="548" t="s">
        <v>2207</v>
      </c>
      <c r="T547" s="548" t="s">
        <v>123</v>
      </c>
      <c r="U547" s="548" t="s">
        <v>120</v>
      </c>
      <c r="V547" s="548">
        <v>53</v>
      </c>
      <c r="W547" s="548" t="s">
        <v>3343</v>
      </c>
      <c r="X547" s="553">
        <v>42000</v>
      </c>
      <c r="Y547" s="550" t="s">
        <v>123</v>
      </c>
      <c r="Z547" s="548" t="s">
        <v>123</v>
      </c>
      <c r="AA547" s="548" t="s">
        <v>123</v>
      </c>
      <c r="AB547" s="548" t="s">
        <v>123</v>
      </c>
      <c r="AC547" s="548" t="s">
        <v>3344</v>
      </c>
      <c r="AD547" s="552" t="s">
        <v>1205</v>
      </c>
      <c r="AE547" s="549">
        <v>42570</v>
      </c>
      <c r="AF547" s="549" t="s">
        <v>3459</v>
      </c>
      <c r="AG547" s="548" t="s">
        <v>3345</v>
      </c>
      <c r="AH547" s="548" t="s">
        <v>634</v>
      </c>
      <c r="AI547" s="548" t="s">
        <v>2206</v>
      </c>
      <c r="AJ547" s="548">
        <v>93458</v>
      </c>
      <c r="AK547" s="548" t="s">
        <v>2207</v>
      </c>
      <c r="AL547" s="548" t="s">
        <v>123</v>
      </c>
      <c r="AM547" s="554" t="str">
        <f>INDEX(CarrierDriverTBL!$B:$B,MATCH(Table1[[#This Row],[DriverID]],CarrierDriverTBL!$A:$A,0))</f>
        <v>UBTrucking</v>
      </c>
      <c r="AN547" s="10" t="s">
        <v>192</v>
      </c>
      <c r="AO547" s="555" t="str">
        <f>INDEX(CarrierDriverTBL!$C:$C,MATCH(Table1[[#This Row],[DriverID]],CarrierDriverTBL!$A:$A,0))</f>
        <v>Albel</v>
      </c>
      <c r="AP547" s="555" t="str">
        <f>INDEX(CarrierDriverTBL!$D:$D,MATCH(Table1[[#This Row],[DriverID]],CarrierDriverTBL!$A:$A,0))</f>
        <v>Chahil</v>
      </c>
      <c r="AQ547" s="555" t="str">
        <f>INDEX(CarrierDriverTBL!$X:$X,MATCH(Table1[[#This Row],[DriverID]],CarrierDriverTBL!$A:$A,0))</f>
        <v>A8390649</v>
      </c>
      <c r="AR547" s="556">
        <f>INDEX(CarrierDriverTBL!$Y:$Y,MATCH(Table1[[#This Row],[DriverID]],CarrierDriverTBL!$A:$A,0))</f>
        <v>42402</v>
      </c>
      <c r="AS547" s="554" t="str">
        <f t="shared" si="578"/>
        <v>EXPIRED</v>
      </c>
      <c r="AT547" s="556">
        <f>INDEX(CarrierDriverTBL!$E:$E,MATCH(Table1[[#This Row],[DriverID]],CarrierDriverTBL!$A:$A,0))</f>
        <v>22314</v>
      </c>
      <c r="AU547" s="557">
        <f ca="1">INDEX(CarrierDriverTBL!$F:$F,MATCH(Table1[[#This Row],[DriverID]],CarrierDriverTBL!$A:$A,0))</f>
        <v>55.512328767123286</v>
      </c>
      <c r="AV547" s="554" t="str">
        <f>INDEX(CarrierDriverTBL!$K:$K,MATCH(Table1[[#This Row],[DriverID]],CarrierDriverTBL!$A:$A,0))</f>
        <v>510-773-9450</v>
      </c>
      <c r="AW547" s="554" t="str">
        <f>INDEX(CarrierDriverTBL!$M:$M,MATCH(Table1[[#This Row],[DriverID]],CarrierDriverTBL!$A:$A,0))</f>
        <v>3124 Cynthia CT</v>
      </c>
      <c r="AX547" s="554" t="str">
        <f>INDEX(CarrierDriverTBL!$N:$N,MATCH(Table1[[#This Row],[DriverID]],CarrierDriverTBL!$A:$A,0))</f>
        <v>Tracy</v>
      </c>
      <c r="AY547" s="554" t="str">
        <f>INDEX(CarrierDriverTBL!$O:$O,MATCH(Table1[[#This Row],[DriverID]],CarrierDriverTBL!$A:$A,0))</f>
        <v>CA</v>
      </c>
      <c r="AZ547" s="554">
        <f>INDEX(CarrierDriverTBL!$P:$P,MATCH(Table1[[#This Row],[DriverID]],CarrierDriverTBL!$A:$A,0))</f>
        <v>95377</v>
      </c>
      <c r="BA547" s="554" t="str">
        <f>INDEX(CarrierDriverTBL!$Q:$Q,MATCH(Table1[[#This Row],[DriverID]],CarrierDriverTBL!$A:$A,0))</f>
        <v>US</v>
      </c>
      <c r="BB547" s="554" t="str">
        <f>INDEX(CarrierDriverTBL!$R:$R,MATCH(Table1[[#This Row],[DriverID]],CarrierDriverTBL!$A:$A,0))</f>
        <v>ubgollc@gmail.com</v>
      </c>
      <c r="BC547" s="556">
        <f>INDEX(CarrierDriverTBL!$AB:$AB,MATCH(Table1[[#This Row],[DriverID]],CarrierDriverTBL!$A:$A,0))</f>
        <v>42167</v>
      </c>
      <c r="BD547" s="555" t="str">
        <f ca="1">INDEX(CarrierDriverTBL!$AD:$AD,MATCH(LoadMaster!$AN:$AN,CarrierDriverTBL!$A:$A,0))</f>
        <v>MISSING</v>
      </c>
      <c r="BE547" s="555">
        <f>INDEX(CarrierDriverTBL!$AE:$AE,MATCH(Table1[DriverID],CarrierDriverTBL!$A:$A,0))</f>
        <v>913971</v>
      </c>
      <c r="BF547" s="554">
        <f>INDEX(CarrierDriverTBL!$AF:$AF,MATCH(Table1[DriverID],CarrierDriverTBL!$A:$A,0))</f>
        <v>2627544</v>
      </c>
      <c r="BG547" s="236">
        <f>INDEX(CarrierDriverTBL!$AG:$AG,MATCH(Table1[DriverID],CarrierDriverTBL!$A:$A,0))</f>
        <v>466133</v>
      </c>
      <c r="BH547" s="554" t="str">
        <f>INDEX(CarrierDriverTBL!$AH:$AH,MATCH(Table1[DriverID],CarrierDriverTBL!$A:$A,0))</f>
        <v>GM Lawrence Ins</v>
      </c>
      <c r="BI547" s="554" t="str">
        <f>INDEX(CarrierDriverTBL!$AI:$AI,MATCH(Table1[DriverID],CarrierDriverTBL!$A:$A,0))</f>
        <v>DSK2842P160210</v>
      </c>
      <c r="BJ547" s="556">
        <f>INDEX(CarrierDriverTBL!$AJ:$AJ,MATCH(Table1[[#This Row],[DriverID]],CarrierDriverTBL!$A:$A,0))</f>
        <v>42778</v>
      </c>
      <c r="BK547" s="554">
        <f t="shared" si="579"/>
        <v>209</v>
      </c>
      <c r="BL547" s="558">
        <v>850</v>
      </c>
      <c r="BM547" s="554">
        <v>278.5</v>
      </c>
      <c r="BN547" s="558">
        <f t="shared" si="580"/>
        <v>3.0520646319569122</v>
      </c>
      <c r="BO547" s="241">
        <f>0.93*850</f>
        <v>790.5</v>
      </c>
      <c r="BP547" s="558">
        <f t="shared" si="581"/>
        <v>2.8384201077199283</v>
      </c>
      <c r="BQ547" s="558">
        <v>2.8</v>
      </c>
      <c r="BR547" s="559">
        <f t="shared" si="582"/>
        <v>0.15</v>
      </c>
      <c r="BS547" s="558">
        <f t="shared" si="583"/>
        <v>2.6884201077199283</v>
      </c>
      <c r="BT547" s="558">
        <f t="shared" si="584"/>
        <v>41.774999999999999</v>
      </c>
      <c r="BU547" s="236" t="str">
        <f t="shared" si="585"/>
        <v>R2 Logistics</v>
      </c>
      <c r="BV547" s="554"/>
      <c r="BW547" s="236" t="str">
        <f>Table1[[#This Row],[BrokerAddress]]</f>
        <v>10739 Deerwood Park Blvd. Suite 103</v>
      </c>
      <c r="BX547" s="236" t="str">
        <f t="shared" si="586"/>
        <v>Jacksonville</v>
      </c>
      <c r="BY547" s="269" t="str">
        <f t="shared" si="587"/>
        <v>FL</v>
      </c>
      <c r="BZ547" s="236">
        <f t="shared" si="588"/>
        <v>32256</v>
      </c>
      <c r="CA547" s="236" t="str">
        <f t="shared" si="589"/>
        <v>US</v>
      </c>
      <c r="CB547" s="550" t="s">
        <v>131</v>
      </c>
      <c r="CC547" s="561"/>
      <c r="CD547" s="15" t="s">
        <v>132</v>
      </c>
      <c r="CE547" s="64">
        <v>0</v>
      </c>
      <c r="CF547" s="4">
        <v>0</v>
      </c>
      <c r="CG547" s="132">
        <f t="shared" ref="CG547" si="605">CE547*CF547</f>
        <v>0</v>
      </c>
      <c r="CH547" s="4" t="s">
        <v>132</v>
      </c>
      <c r="CI547" s="5">
        <v>0</v>
      </c>
      <c r="CJ547" s="4">
        <v>0</v>
      </c>
      <c r="CK547" s="132">
        <f t="shared" ref="CK547" si="606">CI547*CJ547</f>
        <v>0</v>
      </c>
      <c r="CL547" s="4" t="s">
        <v>132</v>
      </c>
      <c r="CM547" s="5">
        <v>0</v>
      </c>
      <c r="CN547" s="4">
        <v>0</v>
      </c>
      <c r="CO547" s="132">
        <f t="shared" ref="CO547" si="607">CM547*CN547</f>
        <v>0</v>
      </c>
      <c r="CP547" s="4" t="s">
        <v>132</v>
      </c>
      <c r="CQ547" s="5">
        <v>0</v>
      </c>
      <c r="CR547" s="4">
        <v>0</v>
      </c>
      <c r="CS547" s="412">
        <f t="shared" ref="CS547" si="608">CQ547*CR547</f>
        <v>0</v>
      </c>
      <c r="CT547" s="412">
        <f t="shared" ref="CT547" si="609">CG547+CK547+CO547+CS547</f>
        <v>0</v>
      </c>
      <c r="CU547" s="238">
        <f t="shared" si="595"/>
        <v>850</v>
      </c>
      <c r="CV547" s="239">
        <f t="shared" si="596"/>
        <v>0</v>
      </c>
      <c r="CW547" s="240">
        <f t="shared" si="597"/>
        <v>790.5</v>
      </c>
      <c r="CX547" s="79">
        <f>IF(ISBLANK(E547),"AddQuickPay",IF(E547=2,CU547*0.98,IF(E547=2.4,CU547*0.976,IF(E547=3,CU547*0.97,IF(E547=5,CU547*0.95,IF(E547=1.5,CU547*0.985,IF(E547=2.5,CU547*0.975,IF(E547=1.3,CU547*0.987,IF(E547=1,CU547*0.99,IF(E547=4,CU547*0.96,CU547*1))))))))))-Table1[[#This Row],[ComCheck+QuickPayFee]]</f>
        <v>816</v>
      </c>
      <c r="CY547" s="237">
        <f t="shared" si="598"/>
        <v>59.5</v>
      </c>
      <c r="CZ547" s="237">
        <f t="shared" si="599"/>
        <v>34</v>
      </c>
      <c r="DA547" s="263">
        <f>Table1[[#This Row],[OriginalDispatch]]-Table1[[#This Row],[QuickPayCharge]]</f>
        <v>25.5</v>
      </c>
      <c r="DB547" s="5">
        <v>0</v>
      </c>
      <c r="DC547" s="237" t="s">
        <v>133</v>
      </c>
      <c r="DD547" s="549">
        <f t="shared" si="566"/>
        <v>42573</v>
      </c>
      <c r="DE547" s="554">
        <f>MONTH(Table1[[#This Row],[Weekending]])</f>
        <v>7</v>
      </c>
      <c r="DF547" s="554">
        <f>YEAR(Table1[[#This Row],[Weekending]])</f>
        <v>2016</v>
      </c>
      <c r="DG547" s="235"/>
    </row>
    <row r="548" spans="1:111">
      <c r="A548" s="548" t="str">
        <f t="shared" si="577"/>
        <v>77wnwn47</v>
      </c>
      <c r="B548" s="549">
        <v>42570</v>
      </c>
      <c r="C548" s="550">
        <v>389577</v>
      </c>
      <c r="D548" s="548" t="s">
        <v>2686</v>
      </c>
      <c r="E548" s="550">
        <v>4</v>
      </c>
      <c r="F548" s="551" t="str">
        <f>INDEX(BrokerTBL!$B:$B,MATCH(D548,BrokerTBL!$A:$A,0))</f>
        <v>10739 Deerwood Park Blvd. Suite 103</v>
      </c>
      <c r="G548" s="550" t="str">
        <f>INDEX(BrokerTBL!$C:$C,MATCH(D548,BrokerTBL!$A:$A,0))</f>
        <v>Jacksonville</v>
      </c>
      <c r="H548" s="235" t="str">
        <f>INDEX(BrokerTBL!$D:$D,MATCH(D548,BrokerTBL!$A:$A,0))</f>
        <v>FL</v>
      </c>
      <c r="I548" s="235" t="str">
        <f>INDEX(BrokerTBL!$E:$E,MATCH(D548,BrokerTBL!$A:$A,0))</f>
        <v>US</v>
      </c>
      <c r="J548" s="235">
        <f>INDEX(BrokerTBL!$F:$F,MATCH(D548,BrokerTBL!$A:$A,0))</f>
        <v>32256</v>
      </c>
      <c r="K548" s="548" t="s">
        <v>3339</v>
      </c>
      <c r="L548" s="552" t="s">
        <v>1205</v>
      </c>
      <c r="M548" s="549">
        <v>42570</v>
      </c>
      <c r="N548" s="565" t="s">
        <v>3475</v>
      </c>
      <c r="O548" s="550" t="s">
        <v>3341</v>
      </c>
      <c r="P548" s="548" t="s">
        <v>3342</v>
      </c>
      <c r="Q548" s="548" t="s">
        <v>2206</v>
      </c>
      <c r="R548" s="548">
        <v>94525</v>
      </c>
      <c r="S548" s="548" t="s">
        <v>2207</v>
      </c>
      <c r="T548" s="548" t="s">
        <v>123</v>
      </c>
      <c r="U548" s="548" t="s">
        <v>120</v>
      </c>
      <c r="V548" s="548">
        <v>53</v>
      </c>
      <c r="W548" s="548" t="s">
        <v>3343</v>
      </c>
      <c r="X548" s="553">
        <v>42000</v>
      </c>
      <c r="Y548" s="550" t="s">
        <v>123</v>
      </c>
      <c r="Z548" s="548" t="s">
        <v>123</v>
      </c>
      <c r="AA548" s="548" t="s">
        <v>123</v>
      </c>
      <c r="AB548" s="548" t="s">
        <v>123</v>
      </c>
      <c r="AC548" s="548" t="s">
        <v>3344</v>
      </c>
      <c r="AD548" s="552" t="s">
        <v>1205</v>
      </c>
      <c r="AE548" s="549" t="s">
        <v>3476</v>
      </c>
      <c r="AF548" s="549" t="s">
        <v>3477</v>
      </c>
      <c r="AG548" s="548" t="s">
        <v>3345</v>
      </c>
      <c r="AH548" s="548" t="s">
        <v>634</v>
      </c>
      <c r="AI548" s="548" t="s">
        <v>2206</v>
      </c>
      <c r="AJ548" s="548">
        <v>93458</v>
      </c>
      <c r="AK548" s="548" t="s">
        <v>2207</v>
      </c>
      <c r="AL548" s="548" t="s">
        <v>123</v>
      </c>
      <c r="AM548" s="554" t="str">
        <f>INDEX(CarrierDriverTBL!$B:$B,MATCH(Table1[[#This Row],[DriverID]],CarrierDriverTBL!$A:$A,0))</f>
        <v>UBTrucking</v>
      </c>
      <c r="AN548" s="443" t="s">
        <v>3427</v>
      </c>
      <c r="AO548" s="555" t="str">
        <f>INDEX(CarrierDriverTBL!$C:$C,MATCH(Table1[[#This Row],[DriverID]],CarrierDriverTBL!$A:$A,0))</f>
        <v>Anthony</v>
      </c>
      <c r="AP548" s="555" t="str">
        <f>INDEX(CarrierDriverTBL!$D:$D,MATCH(Table1[[#This Row],[DriverID]],CarrierDriverTBL!$A:$A,0))</f>
        <v>Fonseca</v>
      </c>
      <c r="AQ548" s="555" t="str">
        <f>INDEX(CarrierDriverTBL!$X:$X,MATCH(Table1[[#This Row],[DriverID]],CarrierDriverTBL!$A:$A,0))</f>
        <v>D7005547</v>
      </c>
      <c r="AR548" s="556">
        <f>INDEX(CarrierDriverTBL!$Y:$Y,MATCH(Table1[[#This Row],[DriverID]],CarrierDriverTBL!$A:$A,0))</f>
        <v>42963</v>
      </c>
      <c r="AS548" s="554" t="str">
        <f t="shared" si="578"/>
        <v>GOOD</v>
      </c>
      <c r="AT548" s="556">
        <f>INDEX(CarrierDriverTBL!$E:$E,MATCH(Table1[[#This Row],[DriverID]],CarrierDriverTBL!$A:$A,0))</f>
        <v>32371</v>
      </c>
      <c r="AU548" s="557">
        <f ca="1">INDEX(CarrierDriverTBL!$F:$F,MATCH(Table1[[#This Row],[DriverID]],CarrierDriverTBL!$A:$A,0))</f>
        <v>27.958904109589042</v>
      </c>
      <c r="AV548" s="554" t="str">
        <f>INDEX(CarrierDriverTBL!$K:$K,MATCH(Table1[[#This Row],[DriverID]],CarrierDriverTBL!$A:$A,0))</f>
        <v>209-405-4622</v>
      </c>
      <c r="AW548" s="554" t="str">
        <f>INDEX(CarrierDriverTBL!$M:$M,MATCH(Table1[[#This Row],[DriverID]],CarrierDriverTBL!$A:$A,0))</f>
        <v>367 Mosswood Ave</v>
      </c>
      <c r="AX548" s="554" t="str">
        <f>INDEX(CarrierDriverTBL!$N:$N,MATCH(Table1[[#This Row],[DriverID]],CarrierDriverTBL!$A:$A,0))</f>
        <v>Stockton</v>
      </c>
      <c r="AY548" s="554" t="str">
        <f>INDEX(CarrierDriverTBL!$O:$O,MATCH(Table1[[#This Row],[DriverID]],CarrierDriverTBL!$A:$A,0))</f>
        <v>CA</v>
      </c>
      <c r="AZ548" s="554">
        <f>INDEX(CarrierDriverTBL!$P:$P,MATCH(Table1[[#This Row],[DriverID]],CarrierDriverTBL!$A:$A,0))</f>
        <v>95206</v>
      </c>
      <c r="BA548" s="554" t="str">
        <f>INDEX(CarrierDriverTBL!$Q:$Q,MATCH(Table1[[#This Row],[DriverID]],CarrierDriverTBL!$A:$A,0))</f>
        <v>US</v>
      </c>
      <c r="BB548" s="554" t="str">
        <f>INDEX(CarrierDriverTBL!$R:$R,MATCH(Table1[[#This Row],[DriverID]],CarrierDriverTBL!$A:$A,0))</f>
        <v>anthony_fonseca@ymail.com</v>
      </c>
      <c r="BC548" s="556">
        <f>INDEX(CarrierDriverTBL!$AB:$AB,MATCH(Table1[[#This Row],[DriverID]],CarrierDriverTBL!$A:$A,0))</f>
        <v>42562</v>
      </c>
      <c r="BD548" s="555" t="str">
        <f ca="1">INDEX(CarrierDriverTBL!$AD:$AD,MATCH(LoadMaster!$AN:$AN,CarrierDriverTBL!$A:$A,0))</f>
        <v>PASS</v>
      </c>
      <c r="BE548" s="555">
        <f>INDEX(CarrierDriverTBL!$AE:$AE,MATCH(Table1[DriverID],CarrierDriverTBL!$A:$A,0))</f>
        <v>913971</v>
      </c>
      <c r="BF548" s="554">
        <f>INDEX(CarrierDriverTBL!$AF:$AF,MATCH(Table1[DriverID],CarrierDriverTBL!$A:$A,0))</f>
        <v>2627544</v>
      </c>
      <c r="BG548" s="236">
        <f>INDEX(CarrierDriverTBL!$AG:$AG,MATCH(Table1[DriverID],CarrierDriverTBL!$A:$A,0))</f>
        <v>466133</v>
      </c>
      <c r="BH548" s="554" t="str">
        <f>INDEX(CarrierDriverTBL!$AH:$AH,MATCH(Table1[DriverID],CarrierDriverTBL!$A:$A,0))</f>
        <v>GM Lawrence Ins</v>
      </c>
      <c r="BI548" s="554" t="str">
        <f>INDEX(CarrierDriverTBL!$AI:$AI,MATCH(Table1[DriverID],CarrierDriverTBL!$A:$A,0))</f>
        <v>DSK2842P160210</v>
      </c>
      <c r="BJ548" s="556">
        <f>INDEX(CarrierDriverTBL!$AJ:$AJ,MATCH(Table1[[#This Row],[DriverID]],CarrierDriverTBL!$A:$A,0))</f>
        <v>42778</v>
      </c>
      <c r="BK548" s="554">
        <f t="shared" si="579"/>
        <v>208</v>
      </c>
      <c r="BL548" s="558">
        <v>850</v>
      </c>
      <c r="BM548" s="554">
        <v>278.5</v>
      </c>
      <c r="BN548" s="558">
        <f t="shared" si="580"/>
        <v>3.0520646319569122</v>
      </c>
      <c r="BO548" s="241">
        <f>0.93*850</f>
        <v>790.5</v>
      </c>
      <c r="BP548" s="558">
        <f t="shared" si="581"/>
        <v>2.8384201077199283</v>
      </c>
      <c r="BQ548" s="558">
        <v>2.8</v>
      </c>
      <c r="BR548" s="559">
        <f t="shared" si="582"/>
        <v>0.15</v>
      </c>
      <c r="BS548" s="558">
        <f t="shared" si="583"/>
        <v>2.6884201077199283</v>
      </c>
      <c r="BT548" s="558">
        <f t="shared" si="584"/>
        <v>41.774999999999999</v>
      </c>
      <c r="BU548" s="236" t="str">
        <f t="shared" si="585"/>
        <v>R2 Logistics</v>
      </c>
      <c r="BV548" s="554"/>
      <c r="BW548" s="236" t="str">
        <f>Table1[[#This Row],[BrokerAddress]]</f>
        <v>10739 Deerwood Park Blvd. Suite 103</v>
      </c>
      <c r="BX548" s="236" t="str">
        <f t="shared" si="586"/>
        <v>Jacksonville</v>
      </c>
      <c r="BY548" s="269" t="str">
        <f t="shared" si="587"/>
        <v>FL</v>
      </c>
      <c r="BZ548" s="236">
        <f t="shared" si="588"/>
        <v>32256</v>
      </c>
      <c r="CA548" s="236" t="str">
        <f t="shared" si="589"/>
        <v>US</v>
      </c>
      <c r="CB548" s="550" t="s">
        <v>131</v>
      </c>
      <c r="CC548" s="561"/>
      <c r="CD548" s="15" t="s">
        <v>132</v>
      </c>
      <c r="CE548" s="64">
        <v>0</v>
      </c>
      <c r="CF548" s="4">
        <v>0</v>
      </c>
      <c r="CG548" s="132">
        <f t="shared" ref="CG548" si="610">CE548*CF548</f>
        <v>0</v>
      </c>
      <c r="CH548" s="4" t="s">
        <v>132</v>
      </c>
      <c r="CI548" s="5">
        <v>0</v>
      </c>
      <c r="CJ548" s="4">
        <v>0</v>
      </c>
      <c r="CK548" s="132">
        <f t="shared" ref="CK548" si="611">CI548*CJ548</f>
        <v>0</v>
      </c>
      <c r="CL548" s="4" t="s">
        <v>132</v>
      </c>
      <c r="CM548" s="5">
        <v>0</v>
      </c>
      <c r="CN548" s="4">
        <v>0</v>
      </c>
      <c r="CO548" s="132">
        <f t="shared" ref="CO548" si="612">CM548*CN548</f>
        <v>0</v>
      </c>
      <c r="CP548" s="4" t="s">
        <v>132</v>
      </c>
      <c r="CQ548" s="5">
        <v>0</v>
      </c>
      <c r="CR548" s="4">
        <v>0</v>
      </c>
      <c r="CS548" s="412">
        <f t="shared" ref="CS548" si="613">CQ548*CR548</f>
        <v>0</v>
      </c>
      <c r="CT548" s="412">
        <f t="shared" ref="CT548" si="614">CG548+CK548+CO548+CS548</f>
        <v>0</v>
      </c>
      <c r="CU548" s="238">
        <f t="shared" si="595"/>
        <v>850</v>
      </c>
      <c r="CV548" s="239">
        <f t="shared" si="596"/>
        <v>0</v>
      </c>
      <c r="CW548" s="240">
        <f t="shared" si="597"/>
        <v>790.5</v>
      </c>
      <c r="CX548" s="79">
        <f>IF(ISBLANK(E548),"AddQuickPay",IF(E548=2,CU548*0.98,IF(E548=2.4,CU548*0.976,IF(E548=3,CU548*0.97,IF(E548=5,CU548*0.95,IF(E548=1.5,CU548*0.985,IF(E548=2.5,CU548*0.975,IF(E548=1.3,CU548*0.987,IF(E548=1,CU548*0.99,IF(E548=4,CU548*0.96,CU548*1))))))))))-Table1[[#This Row],[ComCheck+QuickPayFee]]</f>
        <v>816</v>
      </c>
      <c r="CY548" s="237">
        <f t="shared" si="598"/>
        <v>59.5</v>
      </c>
      <c r="CZ548" s="237">
        <f t="shared" si="599"/>
        <v>34</v>
      </c>
      <c r="DA548" s="263">
        <f>Table1[[#This Row],[OriginalDispatch]]-Table1[[#This Row],[QuickPayCharge]]</f>
        <v>25.5</v>
      </c>
      <c r="DB548" s="5">
        <v>0</v>
      </c>
      <c r="DC548" s="237" t="s">
        <v>133</v>
      </c>
      <c r="DD548" s="549">
        <f t="shared" si="566"/>
        <v>42573</v>
      </c>
      <c r="DE548" s="554">
        <f>MONTH(Table1[[#This Row],[Weekending]])</f>
        <v>7</v>
      </c>
      <c r="DF548" s="554">
        <f>YEAR(Table1[[#This Row],[Weekending]])</f>
        <v>2016</v>
      </c>
      <c r="DG548" s="235"/>
    </row>
    <row r="549" spans="1:111">
      <c r="A549" s="548" t="str">
        <f t="shared" si="577"/>
        <v>7829wn49</v>
      </c>
      <c r="B549" s="549">
        <v>42570</v>
      </c>
      <c r="C549" s="550">
        <v>206719278</v>
      </c>
      <c r="D549" s="548" t="s">
        <v>111</v>
      </c>
      <c r="E549" s="550">
        <v>2</v>
      </c>
      <c r="F549" s="551" t="str">
        <f>INDEX(BrokerTBL!$B:$B,MATCH(D549,BrokerTBL!$A:$A,0))</f>
        <v>P.O. Box 3474</v>
      </c>
      <c r="G549" s="550" t="str">
        <f>INDEX(BrokerTBL!$C:$C,MATCH(D549,BrokerTBL!$A:$A,0))</f>
        <v>Chicago</v>
      </c>
      <c r="H549" s="235" t="str">
        <f>INDEX(BrokerTBL!$D:$D,MATCH(D549,BrokerTBL!$A:$A,0))</f>
        <v>Il</v>
      </c>
      <c r="I549" s="235" t="str">
        <f>INDEX(BrokerTBL!$E:$E,MATCH(D549,BrokerTBL!$A:$A,0))</f>
        <v>US</v>
      </c>
      <c r="J549" s="235">
        <f>INDEX(BrokerTBL!$F:$F,MATCH(D549,BrokerTBL!$A:$A,0))</f>
        <v>60654</v>
      </c>
      <c r="K549" s="548" t="s">
        <v>3478</v>
      </c>
      <c r="L549" s="552">
        <v>1029</v>
      </c>
      <c r="M549" s="549">
        <v>42569</v>
      </c>
      <c r="N549" s="550" t="s">
        <v>3479</v>
      </c>
      <c r="O549" s="550" t="s">
        <v>3480</v>
      </c>
      <c r="P549" s="548" t="s">
        <v>2570</v>
      </c>
      <c r="Q549" s="548" t="s">
        <v>2206</v>
      </c>
      <c r="R549" s="548" t="s">
        <v>3481</v>
      </c>
      <c r="S549" s="548" t="s">
        <v>2207</v>
      </c>
      <c r="T549" s="548" t="s">
        <v>123</v>
      </c>
      <c r="U549" s="548" t="s">
        <v>120</v>
      </c>
      <c r="V549" s="548">
        <v>53</v>
      </c>
      <c r="W549" s="548" t="s">
        <v>3482</v>
      </c>
      <c r="X549" s="553">
        <v>28293</v>
      </c>
      <c r="Y549" s="550" t="s">
        <v>2220</v>
      </c>
      <c r="Z549" s="548">
        <v>1732</v>
      </c>
      <c r="AA549" s="548">
        <v>17</v>
      </c>
      <c r="AB549" s="548" t="s">
        <v>123</v>
      </c>
      <c r="AC549" s="548" t="s">
        <v>3483</v>
      </c>
      <c r="AD549" s="552" t="s">
        <v>1205</v>
      </c>
      <c r="AE549" s="549">
        <v>42569</v>
      </c>
      <c r="AF549" s="549" t="s">
        <v>3484</v>
      </c>
      <c r="AG549" s="548" t="s">
        <v>3485</v>
      </c>
      <c r="AH549" s="548" t="s">
        <v>3486</v>
      </c>
      <c r="AI549" s="548" t="s">
        <v>2206</v>
      </c>
      <c r="AJ549" s="548">
        <v>94005</v>
      </c>
      <c r="AK549" s="548" t="s">
        <v>2207</v>
      </c>
      <c r="AL549" s="548" t="s">
        <v>123</v>
      </c>
      <c r="AM549" s="554" t="str">
        <f>INDEX(CarrierDriverTBL!$B:$B,MATCH(Table1[[#This Row],[DriverID]],CarrierDriverTBL!$A:$A,0))</f>
        <v>UBTrucking</v>
      </c>
      <c r="AN549" s="10" t="s">
        <v>192</v>
      </c>
      <c r="AO549" s="555" t="str">
        <f>INDEX(CarrierDriverTBL!$C:$C,MATCH(Table1[[#This Row],[DriverID]],CarrierDriverTBL!$A:$A,0))</f>
        <v>Albel</v>
      </c>
      <c r="AP549" s="555" t="str">
        <f>INDEX(CarrierDriverTBL!$D:$D,MATCH(Table1[[#This Row],[DriverID]],CarrierDriverTBL!$A:$A,0))</f>
        <v>Chahil</v>
      </c>
      <c r="AQ549" s="555" t="str">
        <f>INDEX(CarrierDriverTBL!$X:$X,MATCH(Table1[[#This Row],[DriverID]],CarrierDriverTBL!$A:$A,0))</f>
        <v>A8390649</v>
      </c>
      <c r="AR549" s="556">
        <f>INDEX(CarrierDriverTBL!$Y:$Y,MATCH(Table1[[#This Row],[DriverID]],CarrierDriverTBL!$A:$A,0))</f>
        <v>42402</v>
      </c>
      <c r="AS549" s="554" t="str">
        <f t="shared" si="578"/>
        <v>EXPIRED</v>
      </c>
      <c r="AT549" s="556">
        <f>INDEX(CarrierDriverTBL!$E:$E,MATCH(Table1[[#This Row],[DriverID]],CarrierDriverTBL!$A:$A,0))</f>
        <v>22314</v>
      </c>
      <c r="AU549" s="557">
        <f ca="1">INDEX(CarrierDriverTBL!$F:$F,MATCH(Table1[[#This Row],[DriverID]],CarrierDriverTBL!$A:$A,0))</f>
        <v>55.512328767123286</v>
      </c>
      <c r="AV549" s="554" t="str">
        <f>INDEX(CarrierDriverTBL!$K:$K,MATCH(Table1[[#This Row],[DriverID]],CarrierDriverTBL!$A:$A,0))</f>
        <v>510-773-9450</v>
      </c>
      <c r="AW549" s="554" t="str">
        <f>INDEX(CarrierDriverTBL!$M:$M,MATCH(Table1[[#This Row],[DriverID]],CarrierDriverTBL!$A:$A,0))</f>
        <v>3124 Cynthia CT</v>
      </c>
      <c r="AX549" s="554" t="str">
        <f>INDEX(CarrierDriverTBL!$N:$N,MATCH(Table1[[#This Row],[DriverID]],CarrierDriverTBL!$A:$A,0))</f>
        <v>Tracy</v>
      </c>
      <c r="AY549" s="554" t="str">
        <f>INDEX(CarrierDriverTBL!$O:$O,MATCH(Table1[[#This Row],[DriverID]],CarrierDriverTBL!$A:$A,0))</f>
        <v>CA</v>
      </c>
      <c r="AZ549" s="554">
        <f>INDEX(CarrierDriverTBL!$P:$P,MATCH(Table1[[#This Row],[DriverID]],CarrierDriverTBL!$A:$A,0))</f>
        <v>95377</v>
      </c>
      <c r="BA549" s="554" t="str">
        <f>INDEX(CarrierDriverTBL!$Q:$Q,MATCH(Table1[[#This Row],[DriverID]],CarrierDriverTBL!$A:$A,0))</f>
        <v>US</v>
      </c>
      <c r="BB549" s="554" t="str">
        <f>INDEX(CarrierDriverTBL!$R:$R,MATCH(Table1[[#This Row],[DriverID]],CarrierDriverTBL!$A:$A,0))</f>
        <v>ubgollc@gmail.com</v>
      </c>
      <c r="BC549" s="556">
        <f>INDEX(CarrierDriverTBL!$AB:$AB,MATCH(Table1[[#This Row],[DriverID]],CarrierDriverTBL!$A:$A,0))</f>
        <v>42167</v>
      </c>
      <c r="BD549" s="555" t="str">
        <f ca="1">INDEX(CarrierDriverTBL!$AD:$AD,MATCH(LoadMaster!$AN:$AN,CarrierDriverTBL!$A:$A,0))</f>
        <v>MISSING</v>
      </c>
      <c r="BE549" s="555">
        <f>INDEX(CarrierDriverTBL!$AE:$AE,MATCH(Table1[DriverID],CarrierDriverTBL!$A:$A,0))</f>
        <v>913971</v>
      </c>
      <c r="BF549" s="554">
        <f>INDEX(CarrierDriverTBL!$AF:$AF,MATCH(Table1[DriverID],CarrierDriverTBL!$A:$A,0))</f>
        <v>2627544</v>
      </c>
      <c r="BG549" s="236">
        <f>INDEX(CarrierDriverTBL!$AG:$AG,MATCH(Table1[DriverID],CarrierDriverTBL!$A:$A,0))</f>
        <v>466133</v>
      </c>
      <c r="BH549" s="554" t="str">
        <f>INDEX(CarrierDriverTBL!$AH:$AH,MATCH(Table1[DriverID],CarrierDriverTBL!$A:$A,0))</f>
        <v>GM Lawrence Ins</v>
      </c>
      <c r="BI549" s="554" t="str">
        <f>INDEX(CarrierDriverTBL!$AI:$AI,MATCH(Table1[DriverID],CarrierDriverTBL!$A:$A,0))</f>
        <v>DSK2842P160210</v>
      </c>
      <c r="BJ549" s="556">
        <f>INDEX(CarrierDriverTBL!$AJ:$AJ,MATCH(Table1[[#This Row],[DriverID]],CarrierDriverTBL!$A:$A,0))</f>
        <v>42778</v>
      </c>
      <c r="BK549" s="554">
        <f t="shared" si="579"/>
        <v>209</v>
      </c>
      <c r="BL549" s="558">
        <v>400</v>
      </c>
      <c r="BM549" s="554">
        <v>69.5</v>
      </c>
      <c r="BN549" s="558">
        <f t="shared" si="580"/>
        <v>5.7553956834532372</v>
      </c>
      <c r="BO549" s="241">
        <f>0.93*400</f>
        <v>372</v>
      </c>
      <c r="BP549" s="558">
        <f t="shared" si="581"/>
        <v>5.3525179856115104</v>
      </c>
      <c r="BQ549" s="558">
        <v>2.8</v>
      </c>
      <c r="BR549" s="559">
        <f t="shared" si="582"/>
        <v>0.15</v>
      </c>
      <c r="BS549" s="558">
        <f t="shared" si="583"/>
        <v>5.20251798561151</v>
      </c>
      <c r="BT549" s="558">
        <f t="shared" si="584"/>
        <v>10.424999999999999</v>
      </c>
      <c r="BU549" s="236" t="str">
        <f t="shared" si="585"/>
        <v>Ch Robinson</v>
      </c>
      <c r="BV549" s="554"/>
      <c r="BW549" s="236" t="str">
        <f>Table1[[#This Row],[BrokerAddress]]</f>
        <v>P.O. Box 3474</v>
      </c>
      <c r="BX549" s="236" t="str">
        <f t="shared" si="586"/>
        <v>Chicago</v>
      </c>
      <c r="BY549" s="269" t="str">
        <f t="shared" si="587"/>
        <v>Il</v>
      </c>
      <c r="BZ549" s="236">
        <f t="shared" si="588"/>
        <v>60654</v>
      </c>
      <c r="CA549" s="236" t="str">
        <f t="shared" si="589"/>
        <v>US</v>
      </c>
      <c r="CB549" s="550" t="s">
        <v>131</v>
      </c>
      <c r="CC549" s="561"/>
      <c r="CD549" s="15" t="s">
        <v>132</v>
      </c>
      <c r="CE549" s="64">
        <v>0</v>
      </c>
      <c r="CF549" s="4">
        <v>0</v>
      </c>
      <c r="CG549" s="132">
        <f t="shared" ref="CG549" si="615">CE549*CF549</f>
        <v>0</v>
      </c>
      <c r="CH549" s="4" t="s">
        <v>132</v>
      </c>
      <c r="CI549" s="5">
        <v>0</v>
      </c>
      <c r="CJ549" s="4">
        <v>0</v>
      </c>
      <c r="CK549" s="132">
        <f t="shared" ref="CK549" si="616">CI549*CJ549</f>
        <v>0</v>
      </c>
      <c r="CL549" s="4" t="s">
        <v>132</v>
      </c>
      <c r="CM549" s="5">
        <v>0</v>
      </c>
      <c r="CN549" s="4">
        <v>0</v>
      </c>
      <c r="CO549" s="132">
        <f t="shared" ref="CO549" si="617">CM549*CN549</f>
        <v>0</v>
      </c>
      <c r="CP549" s="4" t="s">
        <v>132</v>
      </c>
      <c r="CQ549" s="5">
        <v>0</v>
      </c>
      <c r="CR549" s="4">
        <v>0</v>
      </c>
      <c r="CS549" s="412">
        <f t="shared" ref="CS549" si="618">CQ549*CR549</f>
        <v>0</v>
      </c>
      <c r="CT549" s="412">
        <f t="shared" ref="CT549" si="619">CG549+CK549+CO549+CS549</f>
        <v>0</v>
      </c>
      <c r="CU549" s="238">
        <f t="shared" si="595"/>
        <v>400</v>
      </c>
      <c r="CV549" s="239">
        <f t="shared" si="596"/>
        <v>0</v>
      </c>
      <c r="CW549" s="240">
        <f t="shared" si="597"/>
        <v>372</v>
      </c>
      <c r="CX549" s="79">
        <f>IF(ISBLANK(E549),"AddQuickPay",IF(E549=2,CU549*0.98,IF(E549=2.4,CU549*0.976,IF(E549=3,CU549*0.97,IF(E549=5,CU549*0.95,IF(E549=1.5,CU549*0.985,IF(E549=2.5,CU549*0.975,IF(E549=1.3,CU549*0.987,IF(E549=1,CU549*0.99,IF(E549=4,CU549*0.96,CU549*1))))))))))-Table1[[#This Row],[ComCheck+QuickPayFee]]</f>
        <v>392</v>
      </c>
      <c r="CY549" s="237">
        <f t="shared" si="598"/>
        <v>28</v>
      </c>
      <c r="CZ549" s="237">
        <f t="shared" si="599"/>
        <v>8</v>
      </c>
      <c r="DA549" s="263">
        <f>Table1[[#This Row],[OriginalDispatch]]-Table1[[#This Row],[QuickPayCharge]]</f>
        <v>20</v>
      </c>
      <c r="DB549" s="5">
        <v>0</v>
      </c>
      <c r="DC549" s="237" t="s">
        <v>133</v>
      </c>
      <c r="DD549" s="549">
        <f t="shared" si="566"/>
        <v>42573</v>
      </c>
      <c r="DE549" s="554">
        <f>MONTH(Table1[[#This Row],[Weekending]])</f>
        <v>7</v>
      </c>
      <c r="DF549" s="554">
        <f>YEAR(Table1[[#This Row],[Weekending]])</f>
        <v>2016</v>
      </c>
      <c r="DG549" s="235"/>
    </row>
    <row r="550" spans="1:111">
      <c r="A550" s="548" t="str">
        <f t="shared" si="577"/>
        <v>8044wn49</v>
      </c>
      <c r="B550" s="549">
        <v>42570</v>
      </c>
      <c r="C550" s="550">
        <v>7243180</v>
      </c>
      <c r="D550" s="548" t="s">
        <v>2248</v>
      </c>
      <c r="E550" s="550">
        <v>3</v>
      </c>
      <c r="F550" s="551" t="str">
        <f>INDEX(BrokerTBL!$B:$B,MATCH(D550,BrokerTBL!$A:$A,0))</f>
        <v>P.O. Box 799</v>
      </c>
      <c r="G550" s="550" t="str">
        <f>INDEX(BrokerTBL!$C:$C,MATCH(D550,BrokerTBL!$A:$A,0))</f>
        <v>Milford</v>
      </c>
      <c r="H550" s="235" t="str">
        <f>INDEX(BrokerTBL!$D:$D,MATCH(D550,BrokerTBL!$A:$A,0))</f>
        <v>Ohio</v>
      </c>
      <c r="I550" s="235" t="str">
        <f>INDEX(BrokerTBL!$E:$E,MATCH(D550,BrokerTBL!$A:$A,0))</f>
        <v>US</v>
      </c>
      <c r="J550" s="235">
        <f>INDEX(BrokerTBL!$F:$F,MATCH(D550,BrokerTBL!$A:$A,0))</f>
        <v>45150</v>
      </c>
      <c r="K550" s="548" t="s">
        <v>3487</v>
      </c>
      <c r="L550" s="552" t="s">
        <v>3488</v>
      </c>
      <c r="M550" s="549">
        <v>42570</v>
      </c>
      <c r="N550" s="550" t="s">
        <v>3489</v>
      </c>
      <c r="O550" s="550" t="s">
        <v>3490</v>
      </c>
      <c r="P550" s="548" t="s">
        <v>3405</v>
      </c>
      <c r="Q550" s="548" t="s">
        <v>2206</v>
      </c>
      <c r="R550" s="548">
        <v>93456</v>
      </c>
      <c r="S550" s="548" t="s">
        <v>2207</v>
      </c>
      <c r="T550" s="548" t="s">
        <v>3491</v>
      </c>
      <c r="U550" s="548" t="s">
        <v>120</v>
      </c>
      <c r="V550" s="548">
        <v>53</v>
      </c>
      <c r="W550" s="548" t="s">
        <v>3492</v>
      </c>
      <c r="X550" s="553">
        <v>33660</v>
      </c>
      <c r="Y550" s="550" t="s">
        <v>123</v>
      </c>
      <c r="Z550" s="548" t="s">
        <v>123</v>
      </c>
      <c r="AA550" s="548" t="s">
        <v>123</v>
      </c>
      <c r="AB550" s="548" t="s">
        <v>123</v>
      </c>
      <c r="AC550" s="548" t="s">
        <v>3493</v>
      </c>
      <c r="AD550" s="552" t="s">
        <v>1205</v>
      </c>
      <c r="AE550" s="549">
        <v>42570</v>
      </c>
      <c r="AF550" s="549" t="s">
        <v>1979</v>
      </c>
      <c r="AG550" s="548" t="s">
        <v>3494</v>
      </c>
      <c r="AH550" s="548" t="s">
        <v>470</v>
      </c>
      <c r="AI550" s="548" t="s">
        <v>2206</v>
      </c>
      <c r="AJ550" s="548">
        <v>93905</v>
      </c>
      <c r="AK550" s="548" t="s">
        <v>2207</v>
      </c>
      <c r="AL550" s="548"/>
      <c r="AM550" s="554" t="str">
        <f>INDEX(CarrierDriverTBL!$B:$B,MATCH(Table1[[#This Row],[DriverID]],CarrierDriverTBL!$A:$A,0))</f>
        <v>UBTrucking</v>
      </c>
      <c r="AN550" s="10" t="s">
        <v>192</v>
      </c>
      <c r="AO550" s="555" t="str">
        <f>INDEX(CarrierDriverTBL!$C:$C,MATCH(Table1[[#This Row],[DriverID]],CarrierDriverTBL!$A:$A,0))</f>
        <v>Albel</v>
      </c>
      <c r="AP550" s="555" t="str">
        <f>INDEX(CarrierDriverTBL!$D:$D,MATCH(Table1[[#This Row],[DriverID]],CarrierDriverTBL!$A:$A,0))</f>
        <v>Chahil</v>
      </c>
      <c r="AQ550" s="555" t="str">
        <f>INDEX(CarrierDriverTBL!$X:$X,MATCH(Table1[[#This Row],[DriverID]],CarrierDriverTBL!$A:$A,0))</f>
        <v>A8390649</v>
      </c>
      <c r="AR550" s="556">
        <f>INDEX(CarrierDriverTBL!$Y:$Y,MATCH(Table1[[#This Row],[DriverID]],CarrierDriverTBL!$A:$A,0))</f>
        <v>42402</v>
      </c>
      <c r="AS550" s="554" t="str">
        <f t="shared" si="578"/>
        <v>EXPIRED</v>
      </c>
      <c r="AT550" s="556">
        <f>INDEX(CarrierDriverTBL!$E:$E,MATCH(Table1[[#This Row],[DriverID]],CarrierDriverTBL!$A:$A,0))</f>
        <v>22314</v>
      </c>
      <c r="AU550" s="557">
        <f ca="1">INDEX(CarrierDriverTBL!$F:$F,MATCH(Table1[[#This Row],[DriverID]],CarrierDriverTBL!$A:$A,0))</f>
        <v>55.512328767123286</v>
      </c>
      <c r="AV550" s="554" t="str">
        <f>INDEX(CarrierDriverTBL!$K:$K,MATCH(Table1[[#This Row],[DriverID]],CarrierDriverTBL!$A:$A,0))</f>
        <v>510-773-9450</v>
      </c>
      <c r="AW550" s="554" t="str">
        <f>INDEX(CarrierDriverTBL!$M:$M,MATCH(Table1[[#This Row],[DriverID]],CarrierDriverTBL!$A:$A,0))</f>
        <v>3124 Cynthia CT</v>
      </c>
      <c r="AX550" s="554" t="str">
        <f>INDEX(CarrierDriverTBL!$N:$N,MATCH(Table1[[#This Row],[DriverID]],CarrierDriverTBL!$A:$A,0))</f>
        <v>Tracy</v>
      </c>
      <c r="AY550" s="554" t="str">
        <f>INDEX(CarrierDriverTBL!$O:$O,MATCH(Table1[[#This Row],[DriverID]],CarrierDriverTBL!$A:$A,0))</f>
        <v>CA</v>
      </c>
      <c r="AZ550" s="554">
        <f>INDEX(CarrierDriverTBL!$P:$P,MATCH(Table1[[#This Row],[DriverID]],CarrierDriverTBL!$A:$A,0))</f>
        <v>95377</v>
      </c>
      <c r="BA550" s="554" t="str">
        <f>INDEX(CarrierDriverTBL!$Q:$Q,MATCH(Table1[[#This Row],[DriverID]],CarrierDriverTBL!$A:$A,0))</f>
        <v>US</v>
      </c>
      <c r="BB550" s="554" t="str">
        <f>INDEX(CarrierDriverTBL!$R:$R,MATCH(Table1[[#This Row],[DriverID]],CarrierDriverTBL!$A:$A,0))</f>
        <v>ubgollc@gmail.com</v>
      </c>
      <c r="BC550" s="556">
        <f>INDEX(CarrierDriverTBL!$AB:$AB,MATCH(Table1[[#This Row],[DriverID]],CarrierDriverTBL!$A:$A,0))</f>
        <v>42167</v>
      </c>
      <c r="BD550" s="555" t="str">
        <f ca="1">INDEX(CarrierDriverTBL!$AD:$AD,MATCH(LoadMaster!$AN:$AN,CarrierDriverTBL!$A:$A,0))</f>
        <v>MISSING</v>
      </c>
      <c r="BE550" s="555">
        <f>INDEX(CarrierDriverTBL!$AE:$AE,MATCH(Table1[DriverID],CarrierDriverTBL!$A:$A,0))</f>
        <v>913971</v>
      </c>
      <c r="BF550" s="554">
        <f>INDEX(CarrierDriverTBL!$AF:$AF,MATCH(Table1[DriverID],CarrierDriverTBL!$A:$A,0))</f>
        <v>2627544</v>
      </c>
      <c r="BG550" s="236">
        <f>INDEX(CarrierDriverTBL!$AG:$AG,MATCH(Table1[DriverID],CarrierDriverTBL!$A:$A,0))</f>
        <v>466133</v>
      </c>
      <c r="BH550" s="554" t="str">
        <f>INDEX(CarrierDriverTBL!$AH:$AH,MATCH(Table1[DriverID],CarrierDriverTBL!$A:$A,0))</f>
        <v>GM Lawrence Ins</v>
      </c>
      <c r="BI550" s="554" t="str">
        <f>INDEX(CarrierDriverTBL!$AI:$AI,MATCH(Table1[DriverID],CarrierDriverTBL!$A:$A,0))</f>
        <v>DSK2842P160210</v>
      </c>
      <c r="BJ550" s="556">
        <f>INDEX(CarrierDriverTBL!$AJ:$AJ,MATCH(Table1[[#This Row],[DriverID]],CarrierDriverTBL!$A:$A,0))</f>
        <v>42778</v>
      </c>
      <c r="BK550" s="554">
        <f t="shared" si="579"/>
        <v>208</v>
      </c>
      <c r="BL550" s="558">
        <v>400</v>
      </c>
      <c r="BM550" s="554">
        <v>158.69999999999999</v>
      </c>
      <c r="BN550" s="558">
        <f t="shared" si="580"/>
        <v>2.5204788909892883</v>
      </c>
      <c r="BO550" s="241">
        <f>0.93*400</f>
        <v>372</v>
      </c>
      <c r="BP550" s="558">
        <f t="shared" si="581"/>
        <v>2.344045368620038</v>
      </c>
      <c r="BQ550" s="558">
        <v>2.8</v>
      </c>
      <c r="BR550" s="559">
        <f t="shared" si="582"/>
        <v>0.15</v>
      </c>
      <c r="BS550" s="558">
        <f t="shared" si="583"/>
        <v>2.1940453686200381</v>
      </c>
      <c r="BT550" s="558">
        <f t="shared" si="584"/>
        <v>23.804999999999996</v>
      </c>
      <c r="BU550" s="236" t="str">
        <f t="shared" si="585"/>
        <v>TQL</v>
      </c>
      <c r="BV550" s="554"/>
      <c r="BW550" s="236" t="str">
        <f>Table1[[#This Row],[BrokerAddress]]</f>
        <v>P.O. Box 799</v>
      </c>
      <c r="BX550" s="236" t="str">
        <f t="shared" si="586"/>
        <v>Milford</v>
      </c>
      <c r="BY550" s="269" t="str">
        <f t="shared" si="587"/>
        <v>Ohio</v>
      </c>
      <c r="BZ550" s="236">
        <f t="shared" si="588"/>
        <v>45150</v>
      </c>
      <c r="CA550" s="236" t="str">
        <f t="shared" si="589"/>
        <v>US</v>
      </c>
      <c r="CB550" s="550" t="s">
        <v>131</v>
      </c>
      <c r="CC550" s="561"/>
      <c r="CD550" s="15" t="s">
        <v>132</v>
      </c>
      <c r="CE550" s="64">
        <v>0</v>
      </c>
      <c r="CF550" s="4">
        <v>0</v>
      </c>
      <c r="CG550" s="132">
        <f t="shared" ref="CG550" si="620">CE550*CF550</f>
        <v>0</v>
      </c>
      <c r="CH550" s="4" t="s">
        <v>132</v>
      </c>
      <c r="CI550" s="5">
        <v>0</v>
      </c>
      <c r="CJ550" s="4">
        <v>0</v>
      </c>
      <c r="CK550" s="132">
        <f t="shared" ref="CK550" si="621">CI550*CJ550</f>
        <v>0</v>
      </c>
      <c r="CL550" s="4" t="s">
        <v>132</v>
      </c>
      <c r="CM550" s="5">
        <v>0</v>
      </c>
      <c r="CN550" s="4">
        <v>0</v>
      </c>
      <c r="CO550" s="132">
        <f t="shared" ref="CO550" si="622">CM550*CN550</f>
        <v>0</v>
      </c>
      <c r="CP550" s="4" t="s">
        <v>132</v>
      </c>
      <c r="CQ550" s="5">
        <v>0</v>
      </c>
      <c r="CR550" s="4">
        <v>0</v>
      </c>
      <c r="CS550" s="412">
        <f t="shared" ref="CS550" si="623">CQ550*CR550</f>
        <v>0</v>
      </c>
      <c r="CT550" s="412">
        <f t="shared" ref="CT550" si="624">CG550+CK550+CO550+CS550</f>
        <v>0</v>
      </c>
      <c r="CU550" s="238">
        <f t="shared" si="595"/>
        <v>400</v>
      </c>
      <c r="CV550" s="239">
        <f t="shared" si="596"/>
        <v>0</v>
      </c>
      <c r="CW550" s="240">
        <f t="shared" si="597"/>
        <v>372</v>
      </c>
      <c r="CX550" s="79">
        <f>IF(ISBLANK(E550),"AddQuickPay",IF(E550=2,CU550*0.98,IF(E550=2.4,CU550*0.976,IF(E550=3,CU550*0.97,IF(E550=5,CU550*0.95,IF(E550=1.5,CU550*0.985,IF(E550=2.5,CU550*0.975,IF(E550=1.3,CU550*0.987,IF(E550=1,CU550*0.99,IF(E550=4,CU550*0.96,CU550*1))))))))))-Table1[[#This Row],[ComCheck+QuickPayFee]]</f>
        <v>388</v>
      </c>
      <c r="CY550" s="237">
        <f t="shared" si="598"/>
        <v>28</v>
      </c>
      <c r="CZ550" s="237">
        <f t="shared" si="599"/>
        <v>12</v>
      </c>
      <c r="DA550" s="263">
        <f>Table1[[#This Row],[OriginalDispatch]]-Table1[[#This Row],[QuickPayCharge]]</f>
        <v>16</v>
      </c>
      <c r="DB550" s="5">
        <v>0</v>
      </c>
      <c r="DC550" s="237" t="s">
        <v>133</v>
      </c>
      <c r="DD550" s="549">
        <f t="shared" si="566"/>
        <v>42573</v>
      </c>
      <c r="DE550" s="554">
        <f>MONTH(Table1[[#This Row],[Weekending]])</f>
        <v>7</v>
      </c>
      <c r="DF550" s="554">
        <f>YEAR(Table1[[#This Row],[Weekending]])</f>
        <v>2016</v>
      </c>
      <c r="DG550" s="235"/>
    </row>
    <row r="551" spans="1:111">
      <c r="A551" s="548" t="str">
        <f t="shared" si="577"/>
        <v>24049493</v>
      </c>
      <c r="B551" s="549">
        <v>42570</v>
      </c>
      <c r="C551" s="550">
        <v>207044924</v>
      </c>
      <c r="D551" s="548" t="s">
        <v>111</v>
      </c>
      <c r="E551" s="550">
        <v>2</v>
      </c>
      <c r="F551" s="551" t="str">
        <f>INDEX(BrokerTBL!$B:$B,MATCH(D551,BrokerTBL!$A:$A,0))</f>
        <v>P.O. Box 3474</v>
      </c>
      <c r="G551" s="550" t="str">
        <f>INDEX(BrokerTBL!$C:$C,MATCH(D551,BrokerTBL!$A:$A,0))</f>
        <v>Chicago</v>
      </c>
      <c r="H551" s="235" t="str">
        <f>INDEX(BrokerTBL!$D:$D,MATCH(D551,BrokerTBL!$A:$A,0))</f>
        <v>Il</v>
      </c>
      <c r="I551" s="235" t="str">
        <f>INDEX(BrokerTBL!$E:$E,MATCH(D551,BrokerTBL!$A:$A,0))</f>
        <v>US</v>
      </c>
      <c r="J551" s="235">
        <f>INDEX(BrokerTBL!$F:$F,MATCH(D551,BrokerTBL!$A:$A,0))</f>
        <v>60654</v>
      </c>
      <c r="K551" s="548" t="s">
        <v>1516</v>
      </c>
      <c r="L551" s="552" t="s">
        <v>3495</v>
      </c>
      <c r="M551" s="549">
        <v>42569</v>
      </c>
      <c r="N551" s="550" t="s">
        <v>1723</v>
      </c>
      <c r="O551" s="550" t="s">
        <v>1519</v>
      </c>
      <c r="P551" s="548" t="s">
        <v>2744</v>
      </c>
      <c r="Q551" s="548" t="s">
        <v>2206</v>
      </c>
      <c r="R551" s="548">
        <v>94580</v>
      </c>
      <c r="S551" s="548" t="s">
        <v>2207</v>
      </c>
      <c r="T551" s="548" t="s">
        <v>123</v>
      </c>
      <c r="U551" s="548" t="s">
        <v>120</v>
      </c>
      <c r="V551" s="548">
        <v>53</v>
      </c>
      <c r="W551" s="548" t="s">
        <v>3496</v>
      </c>
      <c r="X551" s="553">
        <v>11157</v>
      </c>
      <c r="Y551" s="550" t="s">
        <v>2220</v>
      </c>
      <c r="Z551" s="548" t="s">
        <v>123</v>
      </c>
      <c r="AA551" s="548">
        <v>28</v>
      </c>
      <c r="AB551" s="548" t="s">
        <v>123</v>
      </c>
      <c r="AC551" s="548" t="s">
        <v>3497</v>
      </c>
      <c r="AD551" s="552" t="s">
        <v>3498</v>
      </c>
      <c r="AE551" s="549">
        <v>42570</v>
      </c>
      <c r="AF551" s="549" t="s">
        <v>3499</v>
      </c>
      <c r="AG551" s="548" t="s">
        <v>3500</v>
      </c>
      <c r="AH551" s="548" t="s">
        <v>2772</v>
      </c>
      <c r="AI551" s="548" t="s">
        <v>2233</v>
      </c>
      <c r="AJ551" s="548" t="s">
        <v>3501</v>
      </c>
      <c r="AK551" s="548" t="s">
        <v>2207</v>
      </c>
      <c r="AL551" s="548" t="s">
        <v>123</v>
      </c>
      <c r="AM551" s="554" t="str">
        <f>INDEX(CarrierDriverTBL!$B:$B,MATCH(Table1[[#This Row],[DriverID]],CarrierDriverTBL!$A:$A,0))</f>
        <v>UBTrucking</v>
      </c>
      <c r="AN551" s="171" t="s">
        <v>2234</v>
      </c>
      <c r="AO551" s="555" t="str">
        <f>INDEX(CarrierDriverTBL!$C:$C,MATCH(Table1[[#This Row],[DriverID]],CarrierDriverTBL!$A:$A,0))</f>
        <v>Arturo</v>
      </c>
      <c r="AP551" s="555" t="str">
        <f>INDEX(CarrierDriverTBL!$D:$D,MATCH(Table1[[#This Row],[DriverID]],CarrierDriverTBL!$A:$A,0))</f>
        <v>Carrillo</v>
      </c>
      <c r="AQ551" s="555" t="str">
        <f>INDEX(CarrierDriverTBL!$X:$X,MATCH(Table1[[#This Row],[DriverID]],CarrierDriverTBL!$A:$A,0))</f>
        <v>C7056793</v>
      </c>
      <c r="AR551" s="556">
        <f>INDEX(CarrierDriverTBL!$Y:$Y,MATCH(Table1[[#This Row],[DriverID]],CarrierDriverTBL!$A:$A,0))</f>
        <v>43410</v>
      </c>
      <c r="AS551" s="554" t="str">
        <f t="shared" si="578"/>
        <v>GOOD</v>
      </c>
      <c r="AT551" s="556">
        <f>INDEX(CarrierDriverTBL!$E:$E,MATCH(Table1[[#This Row],[DriverID]],CarrierDriverTBL!$A:$A,0))</f>
        <v>24782</v>
      </c>
      <c r="AU551" s="557">
        <f ca="1">INDEX(CarrierDriverTBL!$F:$F,MATCH(Table1[[#This Row],[DriverID]],CarrierDriverTBL!$A:$A,0))</f>
        <v>48.750684931506846</v>
      </c>
      <c r="AV551" s="554" t="str">
        <f>INDEX(CarrierDriverTBL!$K:$K,MATCH(Table1[[#This Row],[DriverID]],CarrierDriverTBL!$A:$A,0))</f>
        <v>209-276-9785</v>
      </c>
      <c r="AW551" s="554" t="str">
        <f>INDEX(CarrierDriverTBL!$M:$M,MATCH(Table1[[#This Row],[DriverID]],CarrierDriverTBL!$A:$A,0))</f>
        <v>1685 Winthrop Ln</v>
      </c>
      <c r="AX551" s="554" t="str">
        <f>INDEX(CarrierDriverTBL!$N:$N,MATCH(Table1[[#This Row],[DriverID]],CarrierDriverTBL!$A:$A,0))</f>
        <v>Ceres</v>
      </c>
      <c r="AY551" s="554" t="str">
        <f>INDEX(CarrierDriverTBL!$O:$O,MATCH(Table1[[#This Row],[DriverID]],CarrierDriverTBL!$A:$A,0))</f>
        <v>CA</v>
      </c>
      <c r="AZ551" s="554">
        <f>INDEX(CarrierDriverTBL!$P:$P,MATCH(Table1[[#This Row],[DriverID]],CarrierDriverTBL!$A:$A,0))</f>
        <v>95307</v>
      </c>
      <c r="BA551" s="554" t="str">
        <f>INDEX(CarrierDriverTBL!$Q:$Q,MATCH(Table1[[#This Row],[DriverID]],CarrierDriverTBL!$A:$A,0))</f>
        <v>US</v>
      </c>
      <c r="BB551" s="554" t="str">
        <f>INDEX(CarrierDriverTBL!$R:$R,MATCH(Table1[[#This Row],[DriverID]],CarrierDriverTBL!$A:$A,0))</f>
        <v>arturocarr777@gmail.com</v>
      </c>
      <c r="BC551" s="556">
        <f>INDEX(CarrierDriverTBL!$AB:$AB,MATCH(Table1[[#This Row],[DriverID]],CarrierDriverTBL!$A:$A,0))</f>
        <v>42418</v>
      </c>
      <c r="BD551" s="555" t="str">
        <f ca="1">INDEX(CarrierDriverTBL!$AD:$AD,MATCH(LoadMaster!$AN:$AN,CarrierDriverTBL!$A:$A,0))</f>
        <v>MISSING</v>
      </c>
      <c r="BE551" s="555">
        <f>INDEX(CarrierDriverTBL!$AE:$AE,MATCH(Table1[DriverID],CarrierDriverTBL!$A:$A,0))</f>
        <v>913971</v>
      </c>
      <c r="BF551" s="554">
        <f>INDEX(CarrierDriverTBL!$AF:$AF,MATCH(Table1[DriverID],CarrierDriverTBL!$A:$A,0))</f>
        <v>2627544</v>
      </c>
      <c r="BG551" s="236">
        <f>INDEX(CarrierDriverTBL!$AG:$AG,MATCH(Table1[DriverID],CarrierDriverTBL!$A:$A,0))</f>
        <v>466133</v>
      </c>
      <c r="BH551" s="554" t="str">
        <f>INDEX(CarrierDriverTBL!$AH:$AH,MATCH(Table1[DriverID],CarrierDriverTBL!$A:$A,0))</f>
        <v>GM Lawrence Ins</v>
      </c>
      <c r="BI551" s="554" t="str">
        <f>INDEX(CarrierDriverTBL!$AI:$AI,MATCH(Table1[DriverID],CarrierDriverTBL!$A:$A,0))</f>
        <v>DSK2842P160210</v>
      </c>
      <c r="BJ551" s="556">
        <f>INDEX(CarrierDriverTBL!$AJ:$AJ,MATCH(Table1[[#This Row],[DriverID]],CarrierDriverTBL!$A:$A,0))</f>
        <v>42778</v>
      </c>
      <c r="BK551" s="554">
        <f t="shared" si="579"/>
        <v>209</v>
      </c>
      <c r="BL551" s="558">
        <v>800</v>
      </c>
      <c r="BM551" s="554">
        <v>232</v>
      </c>
      <c r="BN551" s="558">
        <f t="shared" si="580"/>
        <v>3.4482758620689653</v>
      </c>
      <c r="BO551" s="241">
        <f>0.93*800</f>
        <v>744</v>
      </c>
      <c r="BP551" s="558">
        <f t="shared" si="581"/>
        <v>3.2068965517241379</v>
      </c>
      <c r="BQ551" s="558">
        <v>2.8</v>
      </c>
      <c r="BR551" s="559">
        <f t="shared" si="582"/>
        <v>0.15</v>
      </c>
      <c r="BS551" s="558">
        <f t="shared" si="583"/>
        <v>3.056896551724138</v>
      </c>
      <c r="BT551" s="558">
        <f t="shared" si="584"/>
        <v>34.799999999999997</v>
      </c>
      <c r="BU551" s="236" t="str">
        <f t="shared" si="585"/>
        <v>Ch Robinson</v>
      </c>
      <c r="BV551" s="554"/>
      <c r="BW551" s="236" t="str">
        <f>Table1[[#This Row],[BrokerAddress]]</f>
        <v>P.O. Box 3474</v>
      </c>
      <c r="BX551" s="236" t="str">
        <f t="shared" si="586"/>
        <v>Chicago</v>
      </c>
      <c r="BY551" s="269" t="str">
        <f t="shared" si="587"/>
        <v>Il</v>
      </c>
      <c r="BZ551" s="236">
        <f t="shared" si="588"/>
        <v>60654</v>
      </c>
      <c r="CA551" s="236" t="str">
        <f t="shared" si="589"/>
        <v>US</v>
      </c>
      <c r="CB551" s="550" t="s">
        <v>131</v>
      </c>
      <c r="CC551" s="561"/>
      <c r="CD551" s="15" t="s">
        <v>132</v>
      </c>
      <c r="CE551" s="64">
        <v>0</v>
      </c>
      <c r="CF551" s="4">
        <v>0</v>
      </c>
      <c r="CG551" s="132">
        <f t="shared" ref="CG551" si="625">CE551*CF551</f>
        <v>0</v>
      </c>
      <c r="CH551" s="4" t="s">
        <v>132</v>
      </c>
      <c r="CI551" s="5">
        <v>0</v>
      </c>
      <c r="CJ551" s="4">
        <v>0</v>
      </c>
      <c r="CK551" s="132">
        <f t="shared" ref="CK551" si="626">CI551*CJ551</f>
        <v>0</v>
      </c>
      <c r="CL551" s="4" t="s">
        <v>132</v>
      </c>
      <c r="CM551" s="5">
        <v>0</v>
      </c>
      <c r="CN551" s="4">
        <v>0</v>
      </c>
      <c r="CO551" s="132">
        <f t="shared" ref="CO551" si="627">CM551*CN551</f>
        <v>0</v>
      </c>
      <c r="CP551" s="4" t="s">
        <v>132</v>
      </c>
      <c r="CQ551" s="5">
        <v>0</v>
      </c>
      <c r="CR551" s="4">
        <v>0</v>
      </c>
      <c r="CS551" s="412">
        <f t="shared" ref="CS551" si="628">CQ551*CR551</f>
        <v>0</v>
      </c>
      <c r="CT551" s="412">
        <f t="shared" ref="CT551" si="629">CG551+CK551+CO551+CS551</f>
        <v>0</v>
      </c>
      <c r="CU551" s="238">
        <f t="shared" si="595"/>
        <v>800</v>
      </c>
      <c r="CV551" s="239">
        <f t="shared" si="596"/>
        <v>0</v>
      </c>
      <c r="CW551" s="240">
        <f t="shared" si="597"/>
        <v>744</v>
      </c>
      <c r="CX551" s="79">
        <f>IF(ISBLANK(E551),"AddQuickPay",IF(E551=2,CU551*0.98,IF(E551=2.4,CU551*0.976,IF(E551=3,CU551*0.97,IF(E551=5,CU551*0.95,IF(E551=1.5,CU551*0.985,IF(E551=2.5,CU551*0.975,IF(E551=1.3,CU551*0.987,IF(E551=1,CU551*0.99,IF(E551=4,CU551*0.96,CU551*1))))))))))-Table1[[#This Row],[ComCheck+QuickPayFee]]</f>
        <v>784</v>
      </c>
      <c r="CY551" s="237">
        <f t="shared" si="598"/>
        <v>56</v>
      </c>
      <c r="CZ551" s="237">
        <f t="shared" si="599"/>
        <v>16</v>
      </c>
      <c r="DA551" s="263">
        <f>Table1[[#This Row],[OriginalDispatch]]-Table1[[#This Row],[QuickPayCharge]]</f>
        <v>40</v>
      </c>
      <c r="DB551" s="5">
        <v>0</v>
      </c>
      <c r="DC551" s="237" t="s">
        <v>133</v>
      </c>
      <c r="DD551" s="549">
        <f t="shared" si="566"/>
        <v>42573</v>
      </c>
      <c r="DE551" s="554">
        <f>MONTH(Table1[[#This Row],[Weekending]])</f>
        <v>7</v>
      </c>
      <c r="DF551" s="554">
        <f>YEAR(Table1[[#This Row],[Weekending]])</f>
        <v>2016</v>
      </c>
      <c r="DG551" s="235"/>
    </row>
    <row r="552" spans="1:111">
      <c r="A552" s="548" t="str">
        <f t="shared" si="577"/>
        <v>43616193</v>
      </c>
      <c r="B552" s="549">
        <v>42570</v>
      </c>
      <c r="C552" s="550">
        <v>7241143</v>
      </c>
      <c r="D552" s="548" t="s">
        <v>2248</v>
      </c>
      <c r="E552" s="550">
        <v>3</v>
      </c>
      <c r="F552" s="551" t="str">
        <f>INDEX(BrokerTBL!$B:$B,MATCH(D552,BrokerTBL!$A:$A,0))</f>
        <v>P.O. Box 799</v>
      </c>
      <c r="G552" s="550" t="str">
        <f>INDEX(BrokerTBL!$C:$C,MATCH(D552,BrokerTBL!$A:$A,0))</f>
        <v>Milford</v>
      </c>
      <c r="H552" s="235" t="str">
        <f>INDEX(BrokerTBL!$D:$D,MATCH(D552,BrokerTBL!$A:$A,0))</f>
        <v>Ohio</v>
      </c>
      <c r="I552" s="235" t="str">
        <f>INDEX(BrokerTBL!$E:$E,MATCH(D552,BrokerTBL!$A:$A,0))</f>
        <v>US</v>
      </c>
      <c r="J552" s="235">
        <f>INDEX(BrokerTBL!$F:$F,MATCH(D552,BrokerTBL!$A:$A,0))</f>
        <v>45150</v>
      </c>
      <c r="K552" s="548" t="s">
        <v>3502</v>
      </c>
      <c r="L552" s="552">
        <v>2733561</v>
      </c>
      <c r="M552" s="549">
        <v>42570</v>
      </c>
      <c r="N552" s="550" t="s">
        <v>3503</v>
      </c>
      <c r="O552" s="550" t="s">
        <v>3504</v>
      </c>
      <c r="P552" s="548" t="s">
        <v>3505</v>
      </c>
      <c r="Q552" s="548" t="s">
        <v>2233</v>
      </c>
      <c r="R552" s="548" t="s">
        <v>3506</v>
      </c>
      <c r="S552" s="548" t="s">
        <v>2207</v>
      </c>
      <c r="T552" s="548" t="s">
        <v>3507</v>
      </c>
      <c r="U552" s="548" t="s">
        <v>120</v>
      </c>
      <c r="V552" s="548">
        <v>53</v>
      </c>
      <c r="W552" s="548" t="s">
        <v>3508</v>
      </c>
      <c r="X552" s="553">
        <v>10000</v>
      </c>
      <c r="Y552" s="550" t="s">
        <v>123</v>
      </c>
      <c r="Z552" s="548" t="s">
        <v>123</v>
      </c>
      <c r="AA552" s="548" t="s">
        <v>123</v>
      </c>
      <c r="AB552" s="548" t="s">
        <v>123</v>
      </c>
      <c r="AC552" s="548" t="s">
        <v>3509</v>
      </c>
      <c r="AD552" s="552">
        <v>2733561</v>
      </c>
      <c r="AE552" s="549">
        <v>42571</v>
      </c>
      <c r="AF552" s="549" t="s">
        <v>3510</v>
      </c>
      <c r="AG552" s="548" t="s">
        <v>1177</v>
      </c>
      <c r="AH552" s="548" t="s">
        <v>228</v>
      </c>
      <c r="AI552" s="548" t="s">
        <v>2206</v>
      </c>
      <c r="AJ552" s="548">
        <v>94545</v>
      </c>
      <c r="AK552" s="548" t="s">
        <v>2207</v>
      </c>
      <c r="AL552" s="548" t="s">
        <v>123</v>
      </c>
      <c r="AM552" s="554" t="str">
        <f>INDEX(CarrierDriverTBL!$B:$B,MATCH(Table1[[#This Row],[DriverID]],CarrierDriverTBL!$A:$A,0))</f>
        <v>UBTrucking</v>
      </c>
      <c r="AN552" s="171" t="s">
        <v>2234</v>
      </c>
      <c r="AO552" s="555" t="str">
        <f>INDEX(CarrierDriverTBL!$C:$C,MATCH(Table1[[#This Row],[DriverID]],CarrierDriverTBL!$A:$A,0))</f>
        <v>Arturo</v>
      </c>
      <c r="AP552" s="555" t="str">
        <f>INDEX(CarrierDriverTBL!$D:$D,MATCH(Table1[[#This Row],[DriverID]],CarrierDriverTBL!$A:$A,0))</f>
        <v>Carrillo</v>
      </c>
      <c r="AQ552" s="555" t="str">
        <f>INDEX(CarrierDriverTBL!$X:$X,MATCH(Table1[[#This Row],[DriverID]],CarrierDriverTBL!$A:$A,0))</f>
        <v>C7056793</v>
      </c>
      <c r="AR552" s="556">
        <f>INDEX(CarrierDriverTBL!$Y:$Y,MATCH(Table1[[#This Row],[DriverID]],CarrierDriverTBL!$A:$A,0))</f>
        <v>43410</v>
      </c>
      <c r="AS552" s="554" t="str">
        <f t="shared" si="578"/>
        <v>GOOD</v>
      </c>
      <c r="AT552" s="556">
        <f>INDEX(CarrierDriverTBL!$E:$E,MATCH(Table1[[#This Row],[DriverID]],CarrierDriverTBL!$A:$A,0))</f>
        <v>24782</v>
      </c>
      <c r="AU552" s="557">
        <f ca="1">INDEX(CarrierDriverTBL!$F:$F,MATCH(Table1[[#This Row],[DriverID]],CarrierDriverTBL!$A:$A,0))</f>
        <v>48.750684931506846</v>
      </c>
      <c r="AV552" s="554" t="str">
        <f>INDEX(CarrierDriverTBL!$K:$K,MATCH(Table1[[#This Row],[DriverID]],CarrierDriverTBL!$A:$A,0))</f>
        <v>209-276-9785</v>
      </c>
      <c r="AW552" s="554" t="str">
        <f>INDEX(CarrierDriverTBL!$M:$M,MATCH(Table1[[#This Row],[DriverID]],CarrierDriverTBL!$A:$A,0))</f>
        <v>1685 Winthrop Ln</v>
      </c>
      <c r="AX552" s="554" t="str">
        <f>INDEX(CarrierDriverTBL!$N:$N,MATCH(Table1[[#This Row],[DriverID]],CarrierDriverTBL!$A:$A,0))</f>
        <v>Ceres</v>
      </c>
      <c r="AY552" s="554" t="str">
        <f>INDEX(CarrierDriverTBL!$O:$O,MATCH(Table1[[#This Row],[DriverID]],CarrierDriverTBL!$A:$A,0))</f>
        <v>CA</v>
      </c>
      <c r="AZ552" s="554">
        <f>INDEX(CarrierDriverTBL!$P:$P,MATCH(Table1[[#This Row],[DriverID]],CarrierDriverTBL!$A:$A,0))</f>
        <v>95307</v>
      </c>
      <c r="BA552" s="554" t="str">
        <f>INDEX(CarrierDriverTBL!$Q:$Q,MATCH(Table1[[#This Row],[DriverID]],CarrierDriverTBL!$A:$A,0))</f>
        <v>US</v>
      </c>
      <c r="BB552" s="554" t="str">
        <f>INDEX(CarrierDriverTBL!$R:$R,MATCH(Table1[[#This Row],[DriverID]],CarrierDriverTBL!$A:$A,0))</f>
        <v>arturocarr777@gmail.com</v>
      </c>
      <c r="BC552" s="556">
        <f>INDEX(CarrierDriverTBL!$AB:$AB,MATCH(Table1[[#This Row],[DriverID]],CarrierDriverTBL!$A:$A,0))</f>
        <v>42418</v>
      </c>
      <c r="BD552" s="555" t="str">
        <f ca="1">INDEX(CarrierDriverTBL!$AD:$AD,MATCH(LoadMaster!$AN:$AN,CarrierDriverTBL!$A:$A,0))</f>
        <v>MISSING</v>
      </c>
      <c r="BE552" s="555">
        <f>INDEX(CarrierDriverTBL!$AE:$AE,MATCH(Table1[DriverID],CarrierDriverTBL!$A:$A,0))</f>
        <v>913971</v>
      </c>
      <c r="BF552" s="554">
        <f>INDEX(CarrierDriverTBL!$AF:$AF,MATCH(Table1[DriverID],CarrierDriverTBL!$A:$A,0))</f>
        <v>2627544</v>
      </c>
      <c r="BG552" s="236">
        <f>INDEX(CarrierDriverTBL!$AG:$AG,MATCH(Table1[DriverID],CarrierDriverTBL!$A:$A,0))</f>
        <v>466133</v>
      </c>
      <c r="BH552" s="554" t="str">
        <f>INDEX(CarrierDriverTBL!$AH:$AH,MATCH(Table1[DriverID],CarrierDriverTBL!$A:$A,0))</f>
        <v>GM Lawrence Ins</v>
      </c>
      <c r="BI552" s="554" t="str">
        <f>INDEX(CarrierDriverTBL!$AI:$AI,MATCH(Table1[DriverID],CarrierDriverTBL!$A:$A,0))</f>
        <v>DSK2842P160210</v>
      </c>
      <c r="BJ552" s="556">
        <f>INDEX(CarrierDriverTBL!$AJ:$AJ,MATCH(Table1[[#This Row],[DriverID]],CarrierDriverTBL!$A:$A,0))</f>
        <v>42778</v>
      </c>
      <c r="BK552" s="554">
        <f t="shared" si="579"/>
        <v>208</v>
      </c>
      <c r="BL552" s="558">
        <v>500</v>
      </c>
      <c r="BM552" s="554">
        <v>289</v>
      </c>
      <c r="BN552" s="558">
        <f t="shared" si="580"/>
        <v>1.7301038062283738</v>
      </c>
      <c r="BO552" s="241">
        <f>0.93*500</f>
        <v>465</v>
      </c>
      <c r="BP552" s="558">
        <f t="shared" si="581"/>
        <v>1.6089965397923875</v>
      </c>
      <c r="BQ552" s="558">
        <v>2.8</v>
      </c>
      <c r="BR552" s="559">
        <f t="shared" si="582"/>
        <v>0.15</v>
      </c>
      <c r="BS552" s="558">
        <f t="shared" si="583"/>
        <v>1.4589965397923876</v>
      </c>
      <c r="BT552" s="558">
        <f t="shared" si="584"/>
        <v>43.35</v>
      </c>
      <c r="BU552" s="236" t="str">
        <f t="shared" si="585"/>
        <v>TQL</v>
      </c>
      <c r="BV552" s="554"/>
      <c r="BW552" s="236" t="str">
        <f>Table1[[#This Row],[BrokerAddress]]</f>
        <v>P.O. Box 799</v>
      </c>
      <c r="BX552" s="236" t="str">
        <f t="shared" si="586"/>
        <v>Milford</v>
      </c>
      <c r="BY552" s="269" t="str">
        <f t="shared" si="587"/>
        <v>Ohio</v>
      </c>
      <c r="BZ552" s="236">
        <f t="shared" si="588"/>
        <v>45150</v>
      </c>
      <c r="CA552" s="236" t="str">
        <f t="shared" si="589"/>
        <v>US</v>
      </c>
      <c r="CB552" s="550" t="s">
        <v>131</v>
      </c>
      <c r="CC552" s="561"/>
      <c r="CD552" s="15" t="s">
        <v>132</v>
      </c>
      <c r="CE552" s="64">
        <v>0</v>
      </c>
      <c r="CF552" s="4">
        <v>0</v>
      </c>
      <c r="CG552" s="132">
        <f t="shared" ref="CG552" si="630">CE552*CF552</f>
        <v>0</v>
      </c>
      <c r="CH552" s="4" t="s">
        <v>132</v>
      </c>
      <c r="CI552" s="5">
        <v>0</v>
      </c>
      <c r="CJ552" s="4">
        <v>0</v>
      </c>
      <c r="CK552" s="132">
        <f t="shared" ref="CK552" si="631">CI552*CJ552</f>
        <v>0</v>
      </c>
      <c r="CL552" s="4" t="s">
        <v>132</v>
      </c>
      <c r="CM552" s="5">
        <v>0</v>
      </c>
      <c r="CN552" s="4">
        <v>0</v>
      </c>
      <c r="CO552" s="132">
        <f t="shared" ref="CO552" si="632">CM552*CN552</f>
        <v>0</v>
      </c>
      <c r="CP552" s="4" t="s">
        <v>132</v>
      </c>
      <c r="CQ552" s="5">
        <v>0</v>
      </c>
      <c r="CR552" s="4">
        <v>0</v>
      </c>
      <c r="CS552" s="412">
        <f t="shared" ref="CS552" si="633">CQ552*CR552</f>
        <v>0</v>
      </c>
      <c r="CT552" s="412">
        <f t="shared" ref="CT552" si="634">CG552+CK552+CO552+CS552</f>
        <v>0</v>
      </c>
      <c r="CU552" s="238">
        <f t="shared" si="595"/>
        <v>500</v>
      </c>
      <c r="CV552" s="239">
        <f t="shared" si="596"/>
        <v>0</v>
      </c>
      <c r="CW552" s="240">
        <f t="shared" si="597"/>
        <v>465</v>
      </c>
      <c r="CX552" s="79">
        <f>IF(ISBLANK(E552),"AddQuickPay",IF(E552=2,CU552*0.98,IF(E552=2.4,CU552*0.976,IF(E552=3,CU552*0.97,IF(E552=5,CU552*0.95,IF(E552=1.5,CU552*0.985,IF(E552=2.5,CU552*0.975,IF(E552=1.3,CU552*0.987,IF(E552=1,CU552*0.99,IF(E552=4,CU552*0.96,CU552*1))))))))))-Table1[[#This Row],[ComCheck+QuickPayFee]]</f>
        <v>485</v>
      </c>
      <c r="CY552" s="237">
        <f t="shared" si="598"/>
        <v>35</v>
      </c>
      <c r="CZ552" s="237">
        <f t="shared" si="599"/>
        <v>15</v>
      </c>
      <c r="DA552" s="263">
        <f>Table1[[#This Row],[OriginalDispatch]]-Table1[[#This Row],[QuickPayCharge]]</f>
        <v>20</v>
      </c>
      <c r="DB552" s="5">
        <v>0</v>
      </c>
      <c r="DC552" s="237" t="s">
        <v>133</v>
      </c>
      <c r="DD552" s="549">
        <f t="shared" si="566"/>
        <v>42573</v>
      </c>
      <c r="DE552" s="554">
        <f>MONTH(Table1[[#This Row],[Weekending]])</f>
        <v>7</v>
      </c>
      <c r="DF552" s="554">
        <f>YEAR(Table1[[#This Row],[Weekending]])</f>
        <v>2016</v>
      </c>
      <c r="DG552" s="235"/>
    </row>
    <row r="553" spans="1:111">
      <c r="A553" s="548" t="str">
        <f t="shared" si="577"/>
        <v>21373719</v>
      </c>
      <c r="B553" s="549">
        <v>42570</v>
      </c>
      <c r="C553" s="550">
        <v>8036821</v>
      </c>
      <c r="D553" s="548" t="s">
        <v>2185</v>
      </c>
      <c r="E553" s="550">
        <v>4</v>
      </c>
      <c r="F553" s="551" t="str">
        <f>INDEX(BrokerTBL!$B:$B,MATCH(D553,BrokerTBL!$A:$A,0))</f>
        <v>PO Box 6348</v>
      </c>
      <c r="G553" s="550" t="str">
        <f>INDEX(BrokerTBL!$C:$C,MATCH(D553,BrokerTBL!$A:$A,0))</f>
        <v>Scottsdale</v>
      </c>
      <c r="H553" s="235" t="str">
        <f>INDEX(BrokerTBL!$D:$D,MATCH(D553,BrokerTBL!$A:$A,0))</f>
        <v>Az</v>
      </c>
      <c r="I553" s="235" t="str">
        <f>INDEX(BrokerTBL!$E:$E,MATCH(D553,BrokerTBL!$A:$A,0))</f>
        <v>US</v>
      </c>
      <c r="J553" s="235">
        <f>INDEX(BrokerTBL!$F:$F,MATCH(D553,BrokerTBL!$A:$A,0))</f>
        <v>85258</v>
      </c>
      <c r="K553" s="548" t="s">
        <v>2374</v>
      </c>
      <c r="L553" s="552">
        <v>20210518637</v>
      </c>
      <c r="M553" s="549">
        <v>42570</v>
      </c>
      <c r="N553" s="560">
        <v>0.70833333333333337</v>
      </c>
      <c r="O553" s="550" t="s">
        <v>2375</v>
      </c>
      <c r="P553" s="548" t="s">
        <v>2277</v>
      </c>
      <c r="Q553" s="548" t="s">
        <v>2206</v>
      </c>
      <c r="R553" s="548">
        <v>93725</v>
      </c>
      <c r="S553" s="548" t="s">
        <v>2207</v>
      </c>
      <c r="T553" s="548" t="s">
        <v>123</v>
      </c>
      <c r="U553" s="548" t="s">
        <v>120</v>
      </c>
      <c r="V553" s="548">
        <v>53</v>
      </c>
      <c r="W553" s="548" t="s">
        <v>2376</v>
      </c>
      <c r="X553" s="553">
        <v>440941</v>
      </c>
      <c r="Y553" s="550" t="s">
        <v>2220</v>
      </c>
      <c r="Z553" s="548">
        <v>1334</v>
      </c>
      <c r="AA553" s="548">
        <v>27</v>
      </c>
      <c r="AB553" s="548" t="s">
        <v>123</v>
      </c>
      <c r="AC553" s="548" t="s">
        <v>2377</v>
      </c>
      <c r="AD553" s="552">
        <v>20210518637</v>
      </c>
      <c r="AE553" s="549">
        <v>42571</v>
      </c>
      <c r="AF553" s="560">
        <v>0.41666666666666669</v>
      </c>
      <c r="AG553" s="548" t="s">
        <v>2378</v>
      </c>
      <c r="AH553" s="548" t="s">
        <v>738</v>
      </c>
      <c r="AI553" s="548" t="s">
        <v>2233</v>
      </c>
      <c r="AJ553" s="548">
        <v>89502</v>
      </c>
      <c r="AK553" s="548" t="s">
        <v>2207</v>
      </c>
      <c r="AL553" s="548" t="s">
        <v>123</v>
      </c>
      <c r="AM553" s="554" t="str">
        <f>INDEX(CarrierDriverTBL!$B:$B,MATCH(Table1[[#This Row],[DriverID]],CarrierDriverTBL!$A:$A,0))</f>
        <v>UBTrucking</v>
      </c>
      <c r="AN553" s="554" t="s">
        <v>1409</v>
      </c>
      <c r="AO553" s="555" t="str">
        <f>INDEX(CarrierDriverTBL!$C:$C,MATCH(Table1[[#This Row],[DriverID]],CarrierDriverTBL!$A:$A,0))</f>
        <v>Miguel Jaime</v>
      </c>
      <c r="AP553" s="555" t="str">
        <f>INDEX(CarrierDriverTBL!$D:$D,MATCH(Table1[[#This Row],[DriverID]],CarrierDriverTBL!$A:$A,0))</f>
        <v>Martin Del Campo Velarca</v>
      </c>
      <c r="AQ553" s="555" t="str">
        <f>INDEX(CarrierDriverTBL!$X:$X,MATCH(Table1[[#This Row],[DriverID]],CarrierDriverTBL!$A:$A,0))</f>
        <v>D5179619</v>
      </c>
      <c r="AR553" s="556">
        <f>INDEX(CarrierDriverTBL!$Y:$Y,MATCH(Table1[[#This Row],[DriverID]],CarrierDriverTBL!$A:$A,0))</f>
        <v>43843</v>
      </c>
      <c r="AS553" s="554" t="str">
        <f t="shared" si="578"/>
        <v>GOOD</v>
      </c>
      <c r="AT553" s="556">
        <f>INDEX(CarrierDriverTBL!$E:$E,MATCH(Table1[[#This Row],[DriverID]],CarrierDriverTBL!$A:$A,0))</f>
        <v>21198</v>
      </c>
      <c r="AU553" s="557">
        <f ca="1">INDEX(CarrierDriverTBL!$F:$F,MATCH(Table1[[#This Row],[DriverID]],CarrierDriverTBL!$A:$A,0))</f>
        <v>58.56986301369863</v>
      </c>
      <c r="AV553" s="554" t="str">
        <f>INDEX(CarrierDriverTBL!$K:$K,MATCH(Table1[[#This Row],[DriverID]],CarrierDriverTBL!$A:$A,0))</f>
        <v>209-322-5231</v>
      </c>
      <c r="AW553" s="554" t="str">
        <f>INDEX(CarrierDriverTBL!$M:$M,MATCH(Table1[[#This Row],[DriverID]],CarrierDriverTBL!$A:$A,0))</f>
        <v>572 Predersen RD</v>
      </c>
      <c r="AX553" s="554" t="str">
        <f>INDEX(CarrierDriverTBL!$N:$N,MATCH(Table1[[#This Row],[DriverID]],CarrierDriverTBL!$A:$A,0))</f>
        <v>Oakdale</v>
      </c>
      <c r="AY553" s="554" t="str">
        <f>INDEX(CarrierDriverTBL!$O:$O,MATCH(Table1[[#This Row],[DriverID]],CarrierDriverTBL!$A:$A,0))</f>
        <v>CA</v>
      </c>
      <c r="AZ553" s="554">
        <f>INDEX(CarrierDriverTBL!$P:$P,MATCH(Table1[[#This Row],[DriverID]],CarrierDriverTBL!$A:$A,0))</f>
        <v>95361</v>
      </c>
      <c r="BA553" s="554" t="str">
        <f>INDEX(CarrierDriverTBL!$Q:$Q,MATCH(Table1[[#This Row],[DriverID]],CarrierDriverTBL!$A:$A,0))</f>
        <v>US</v>
      </c>
      <c r="BB553" s="554" t="str">
        <f>INDEX(CarrierDriverTBL!$R:$R,MATCH(Table1[[#This Row],[DriverID]],CarrierDriverTBL!$A:$A,0))</f>
        <v>Miguelmartin52@yahoo.com</v>
      </c>
      <c r="BC553" s="556">
        <f>INDEX(CarrierDriverTBL!$AB:$AB,MATCH(Table1[[#This Row],[DriverID]],CarrierDriverTBL!$A:$A,0))</f>
        <v>42334</v>
      </c>
      <c r="BD553" s="555" t="str">
        <f ca="1">INDEX(CarrierDriverTBL!$AD:$AD,MATCH(LoadMaster!$AN:$AN,CarrierDriverTBL!$A:$A,0))</f>
        <v>MISSING</v>
      </c>
      <c r="BE553" s="555">
        <f>INDEX(CarrierDriverTBL!$AE:$AE,MATCH(Table1[DriverID],CarrierDriverTBL!$A:$A,0))</f>
        <v>913971</v>
      </c>
      <c r="BF553" s="554">
        <f>INDEX(CarrierDriverTBL!$AF:$AF,MATCH(Table1[DriverID],CarrierDriverTBL!$A:$A,0))</f>
        <v>2627544</v>
      </c>
      <c r="BG553" s="236">
        <f>INDEX(CarrierDriverTBL!$AG:$AG,MATCH(Table1[DriverID],CarrierDriverTBL!$A:$A,0))</f>
        <v>466133</v>
      </c>
      <c r="BH553" s="554" t="str">
        <f>INDEX(CarrierDriverTBL!$AH:$AH,MATCH(Table1[DriverID],CarrierDriverTBL!$A:$A,0))</f>
        <v>GM Lawrence Ins</v>
      </c>
      <c r="BI553" s="554" t="str">
        <f>INDEX(CarrierDriverTBL!$AI:$AI,MATCH(Table1[DriverID],CarrierDriverTBL!$A:$A,0))</f>
        <v>DSK2842P160210</v>
      </c>
      <c r="BJ553" s="556">
        <f>INDEX(CarrierDriverTBL!$AJ:$AJ,MATCH(Table1[[#This Row],[DriverID]],CarrierDriverTBL!$A:$A,0))</f>
        <v>42778</v>
      </c>
      <c r="BK553" s="554">
        <f t="shared" si="579"/>
        <v>208</v>
      </c>
      <c r="BL553" s="558">
        <v>900</v>
      </c>
      <c r="BM553" s="554">
        <v>300.10000000000002</v>
      </c>
      <c r="BN553" s="558">
        <f t="shared" si="580"/>
        <v>2.9990003332222592</v>
      </c>
      <c r="BO553" s="241">
        <f>0.93*900</f>
        <v>837</v>
      </c>
      <c r="BP553" s="558">
        <f t="shared" si="581"/>
        <v>2.7890703098967009</v>
      </c>
      <c r="BQ553" s="558">
        <v>2.8</v>
      </c>
      <c r="BR553" s="559">
        <f t="shared" si="582"/>
        <v>0.15</v>
      </c>
      <c r="BS553" s="558">
        <f t="shared" si="583"/>
        <v>2.639070309896701</v>
      </c>
      <c r="BT553" s="558">
        <f t="shared" si="584"/>
        <v>45.015000000000001</v>
      </c>
      <c r="BU553" s="236" t="str">
        <f t="shared" si="585"/>
        <v>Globaltranz</v>
      </c>
      <c r="BV553" s="554"/>
      <c r="BW553" s="236" t="str">
        <f>Table1[[#This Row],[BrokerAddress]]</f>
        <v>PO Box 6348</v>
      </c>
      <c r="BX553" s="236" t="str">
        <f t="shared" si="586"/>
        <v>Scottsdale</v>
      </c>
      <c r="BY553" s="269" t="str">
        <f t="shared" si="587"/>
        <v>Az</v>
      </c>
      <c r="BZ553" s="236">
        <f t="shared" si="588"/>
        <v>85258</v>
      </c>
      <c r="CA553" s="236" t="str">
        <f t="shared" si="589"/>
        <v>US</v>
      </c>
      <c r="CB553" s="550" t="s">
        <v>131</v>
      </c>
      <c r="CC553" s="561"/>
      <c r="CD553" s="15" t="s">
        <v>132</v>
      </c>
      <c r="CE553" s="64">
        <v>0</v>
      </c>
      <c r="CF553" s="4">
        <v>0</v>
      </c>
      <c r="CG553" s="132">
        <f t="shared" ref="CG553" si="635">CE553*CF553</f>
        <v>0</v>
      </c>
      <c r="CH553" s="4" t="s">
        <v>132</v>
      </c>
      <c r="CI553" s="5">
        <v>0</v>
      </c>
      <c r="CJ553" s="4">
        <v>0</v>
      </c>
      <c r="CK553" s="132">
        <f t="shared" ref="CK553" si="636">CI553*CJ553</f>
        <v>0</v>
      </c>
      <c r="CL553" s="4" t="s">
        <v>132</v>
      </c>
      <c r="CM553" s="5">
        <v>0</v>
      </c>
      <c r="CN553" s="4">
        <v>0</v>
      </c>
      <c r="CO553" s="132">
        <f t="shared" ref="CO553" si="637">CM553*CN553</f>
        <v>0</v>
      </c>
      <c r="CP553" s="4" t="s">
        <v>132</v>
      </c>
      <c r="CQ553" s="5">
        <v>0</v>
      </c>
      <c r="CR553" s="4">
        <v>0</v>
      </c>
      <c r="CS553" s="412">
        <f t="shared" ref="CS553" si="638">CQ553*CR553</f>
        <v>0</v>
      </c>
      <c r="CT553" s="412">
        <f t="shared" ref="CT553" si="639">CG553+CK553+CO553+CS553</f>
        <v>0</v>
      </c>
      <c r="CU553" s="238">
        <f t="shared" si="595"/>
        <v>900</v>
      </c>
      <c r="CV553" s="239">
        <f t="shared" si="596"/>
        <v>0</v>
      </c>
      <c r="CW553" s="240">
        <f t="shared" si="597"/>
        <v>837</v>
      </c>
      <c r="CX553" s="79">
        <f>IF(ISBLANK(E553),"AddQuickPay",IF(E553=2,CU553*0.98,IF(E553=2.4,CU553*0.976,IF(E553=3,CU553*0.97,IF(E553=5,CU553*0.95,IF(E553=1.5,CU553*0.985,IF(E553=2.5,CU553*0.975,IF(E553=1.3,CU553*0.987,IF(E553=1,CU553*0.99,IF(E553=4,CU553*0.96,CU553*1))))))))))-Table1[[#This Row],[ComCheck+QuickPayFee]]</f>
        <v>864</v>
      </c>
      <c r="CY553" s="237">
        <f t="shared" si="598"/>
        <v>63</v>
      </c>
      <c r="CZ553" s="237">
        <f t="shared" si="599"/>
        <v>36</v>
      </c>
      <c r="DA553" s="263">
        <f>Table1[[#This Row],[OriginalDispatch]]-Table1[[#This Row],[QuickPayCharge]]</f>
        <v>27</v>
      </c>
      <c r="DB553" s="5">
        <v>0</v>
      </c>
      <c r="DC553" s="237" t="s">
        <v>133</v>
      </c>
      <c r="DD553" s="549">
        <f t="shared" si="566"/>
        <v>42573</v>
      </c>
      <c r="DE553" s="554">
        <f>MONTH(Table1[[#This Row],[Weekending]])</f>
        <v>7</v>
      </c>
      <c r="DF553" s="554">
        <f>YEAR(Table1[[#This Row],[Weekending]])</f>
        <v>2016</v>
      </c>
      <c r="DG553" s="235"/>
    </row>
    <row r="554" spans="1:111">
      <c r="A554" s="548" t="str">
        <f t="shared" ref="A554:A566" si="640">RIGHT(C554,2)&amp;RIGHT(L554,2)&amp;RIGHT(AD554,2)&amp;RIGHT(AQ554,2)</f>
        <v>78835474</v>
      </c>
      <c r="B554" s="549">
        <v>42574</v>
      </c>
      <c r="C554" s="550">
        <v>8032378</v>
      </c>
      <c r="D554" s="548" t="s">
        <v>2185</v>
      </c>
      <c r="E554" s="550">
        <v>4</v>
      </c>
      <c r="F554" s="551" t="str">
        <f>INDEX(BrokerTBL!$B:$B,MATCH(D554,BrokerTBL!$A:$A,0))</f>
        <v>PO Box 6348</v>
      </c>
      <c r="G554" s="550" t="str">
        <f>INDEX(BrokerTBL!$C:$C,MATCH(D554,BrokerTBL!$A:$A,0))</f>
        <v>Scottsdale</v>
      </c>
      <c r="H554" s="235" t="str">
        <f>INDEX(BrokerTBL!$D:$D,MATCH(D554,BrokerTBL!$A:$A,0))</f>
        <v>Az</v>
      </c>
      <c r="I554" s="235" t="str">
        <f>INDEX(BrokerTBL!$E:$E,MATCH(D554,BrokerTBL!$A:$A,0))</f>
        <v>US</v>
      </c>
      <c r="J554" s="235">
        <f>INDEX(BrokerTBL!$F:$F,MATCH(D554,BrokerTBL!$A:$A,0))</f>
        <v>85258</v>
      </c>
      <c r="K554" s="548" t="s">
        <v>2374</v>
      </c>
      <c r="L554" s="552">
        <v>38350883</v>
      </c>
      <c r="M554" s="549">
        <v>42569</v>
      </c>
      <c r="N554" s="560">
        <v>0.70833333333333337</v>
      </c>
      <c r="O554" s="550" t="s">
        <v>2375</v>
      </c>
      <c r="P554" s="548" t="s">
        <v>2277</v>
      </c>
      <c r="Q554" s="548" t="s">
        <v>2206</v>
      </c>
      <c r="R554" s="548">
        <v>93725</v>
      </c>
      <c r="S554" s="548" t="s">
        <v>2207</v>
      </c>
      <c r="T554" s="548" t="s">
        <v>123</v>
      </c>
      <c r="U554" s="548" t="s">
        <v>120</v>
      </c>
      <c r="V554" s="548">
        <v>53</v>
      </c>
      <c r="W554" s="548" t="s">
        <v>2376</v>
      </c>
      <c r="X554" s="553">
        <v>44881</v>
      </c>
      <c r="Y554" s="550" t="s">
        <v>2220</v>
      </c>
      <c r="Z554" s="548">
        <v>2144</v>
      </c>
      <c r="AA554" s="548">
        <v>25</v>
      </c>
      <c r="AB554" s="548" t="s">
        <v>123</v>
      </c>
      <c r="AC554" s="548" t="s">
        <v>2377</v>
      </c>
      <c r="AD554" s="552">
        <v>20210518454</v>
      </c>
      <c r="AE554" s="549">
        <v>42570</v>
      </c>
      <c r="AF554" s="560">
        <v>0.375</v>
      </c>
      <c r="AG554" s="548" t="s">
        <v>2378</v>
      </c>
      <c r="AH554" s="548" t="s">
        <v>738</v>
      </c>
      <c r="AI554" s="548" t="s">
        <v>2233</v>
      </c>
      <c r="AJ554" s="548">
        <v>89502</v>
      </c>
      <c r="AK554" s="548" t="s">
        <v>2207</v>
      </c>
      <c r="AL554" s="548" t="s">
        <v>123</v>
      </c>
      <c r="AM554" s="554" t="str">
        <f>INDEX(CarrierDriverTBL!$B:$B,MATCH(Table1[[#This Row],[DriverID]],CarrierDriverTBL!$A:$A,0))</f>
        <v>UBTrucking</v>
      </c>
      <c r="AN554" s="443" t="s">
        <v>3511</v>
      </c>
      <c r="AO554" s="555" t="str">
        <f>INDEX(CarrierDriverTBL!$C:$C,MATCH(Table1[[#This Row],[DriverID]],CarrierDriverTBL!$A:$A,0))</f>
        <v>Aaron</v>
      </c>
      <c r="AP554" s="555" t="str">
        <f>INDEX(CarrierDriverTBL!$D:$D,MATCH(Table1[[#This Row],[DriverID]],CarrierDriverTBL!$A:$A,0))</f>
        <v>RaymondTrejo</v>
      </c>
      <c r="AQ554" s="555" t="str">
        <f>INDEX(CarrierDriverTBL!$X:$X,MATCH(Table1[[#This Row],[DriverID]],CarrierDriverTBL!$A:$A,0))</f>
        <v>A9173174</v>
      </c>
      <c r="AR554" s="556">
        <f>INDEX(CarrierDriverTBL!$Y:$Y,MATCH(Table1[[#This Row],[DriverID]],CarrierDriverTBL!$A:$A,0))</f>
        <v>43614</v>
      </c>
      <c r="AS554" s="554" t="str">
        <f t="shared" ref="AS554:AS566" si="641">IF(AR554&gt;M554,"GOOD","EXPIRED")</f>
        <v>GOOD</v>
      </c>
      <c r="AT554" s="556">
        <f>INDEX(CarrierDriverTBL!$E:$E,MATCH(Table1[[#This Row],[DriverID]],CarrierDriverTBL!$A:$A,0))</f>
        <v>27543</v>
      </c>
      <c r="AU554" s="557">
        <f ca="1">INDEX(CarrierDriverTBL!$F:$F,MATCH(Table1[[#This Row],[DriverID]],CarrierDriverTBL!$A:$A,0))</f>
        <v>41.186301369863017</v>
      </c>
      <c r="AV554" s="554" t="str">
        <f>INDEX(CarrierDriverTBL!$K:$K,MATCH(Table1[[#This Row],[DriverID]],CarrierDriverTBL!$A:$A,0))</f>
        <v>Missing</v>
      </c>
      <c r="AW554" s="554" t="str">
        <f>INDEX(CarrierDriverTBL!$M:$M,MATCH(Table1[[#This Row],[DriverID]],CarrierDriverTBL!$A:$A,0))</f>
        <v>2144 S 12th St</v>
      </c>
      <c r="AX554" s="554" t="str">
        <f>INDEX(CarrierDriverTBL!$N:$N,MATCH(Table1[[#This Row],[DriverID]],CarrierDriverTBL!$A:$A,0))</f>
        <v>Los Banos</v>
      </c>
      <c r="AY554" s="554" t="str">
        <f>INDEX(CarrierDriverTBL!$O:$O,MATCH(Table1[[#This Row],[DriverID]],CarrierDriverTBL!$A:$A,0))</f>
        <v>CA</v>
      </c>
      <c r="AZ554" s="554">
        <f>INDEX(CarrierDriverTBL!$P:$P,MATCH(Table1[[#This Row],[DriverID]],CarrierDriverTBL!$A:$A,0))</f>
        <v>93635</v>
      </c>
      <c r="BA554" s="554" t="str">
        <f>INDEX(CarrierDriverTBL!$Q:$Q,MATCH(Table1[[#This Row],[DriverID]],CarrierDriverTBL!$A:$A,0))</f>
        <v>US</v>
      </c>
      <c r="BB554" s="554" t="str">
        <f>INDEX(CarrierDriverTBL!$R:$R,MATCH(Table1[[#This Row],[DriverID]],CarrierDriverTBL!$A:$A,0))</f>
        <v>Missing</v>
      </c>
      <c r="BC554" s="556">
        <f>INDEX(CarrierDriverTBL!$AB:$AB,MATCH(Table1[[#This Row],[DriverID]],CarrierDriverTBL!$A:$A,0))</f>
        <v>42562</v>
      </c>
      <c r="BD554" s="555" t="str">
        <f ca="1">INDEX(CarrierDriverTBL!$AD:$AD,MATCH(LoadMaster!$AN:$AN,CarrierDriverTBL!$A:$A,0))</f>
        <v>MISSING</v>
      </c>
      <c r="BE554" s="555">
        <f>INDEX(CarrierDriverTBL!$AE:$AE,MATCH(Table1[DriverID],CarrierDriverTBL!$A:$A,0))</f>
        <v>913971</v>
      </c>
      <c r="BF554" s="554">
        <f>INDEX(CarrierDriverTBL!$AF:$AF,MATCH(Table1[DriverID],CarrierDriverTBL!$A:$A,0))</f>
        <v>2627544</v>
      </c>
      <c r="BG554" s="236">
        <f>INDEX(CarrierDriverTBL!$AG:$AG,MATCH(Table1[DriverID],CarrierDriverTBL!$A:$A,0))</f>
        <v>466133</v>
      </c>
      <c r="BH554" s="554" t="str">
        <f>INDEX(CarrierDriverTBL!$AH:$AH,MATCH(Table1[DriverID],CarrierDriverTBL!$A:$A,0))</f>
        <v>GM Lawrence Ins</v>
      </c>
      <c r="BI554" s="554" t="str">
        <f>INDEX(CarrierDriverTBL!$AI:$AI,MATCH(Table1[DriverID],CarrierDriverTBL!$A:$A,0))</f>
        <v>DSK2842P160210</v>
      </c>
      <c r="BJ554" s="556">
        <f>INDEX(CarrierDriverTBL!$AJ:$AJ,MATCH(Table1[[#This Row],[DriverID]],CarrierDriverTBL!$A:$A,0))</f>
        <v>42778</v>
      </c>
      <c r="BK554" s="554">
        <f t="shared" ref="BK554:BK566" si="642">IFERROR(BJ554-M554,"MISSING")</f>
        <v>209</v>
      </c>
      <c r="BL554" s="558">
        <v>900</v>
      </c>
      <c r="BM554" s="554">
        <v>300.10000000000002</v>
      </c>
      <c r="BN554" s="558">
        <f t="shared" ref="BN554:BN566" si="643">BL554/BM554</f>
        <v>2.9990003332222592</v>
      </c>
      <c r="BO554" s="241">
        <f>0.93*900</f>
        <v>837</v>
      </c>
      <c r="BP554" s="558">
        <f t="shared" ref="BP554:BP566" si="644">BO554/BM554</f>
        <v>2.7890703098967009</v>
      </c>
      <c r="BQ554" s="558">
        <v>2.8</v>
      </c>
      <c r="BR554" s="559">
        <f t="shared" ref="BR554:BR566" si="645">(BQ554-1.9)/6</f>
        <v>0.15</v>
      </c>
      <c r="BS554" s="558">
        <f t="shared" ref="BS554:BS566" si="646">BP554-BR554</f>
        <v>2.639070309896701</v>
      </c>
      <c r="BT554" s="558">
        <f t="shared" ref="BT554:BT566" si="647">BM554*BR554</f>
        <v>45.015000000000001</v>
      </c>
      <c r="BU554" s="236" t="str">
        <f t="shared" ref="BU554:BU566" si="648">D554</f>
        <v>Globaltranz</v>
      </c>
      <c r="BV554" s="554"/>
      <c r="BW554" s="236" t="str">
        <f>Table1[[#This Row],[BrokerAddress]]</f>
        <v>PO Box 6348</v>
      </c>
      <c r="BX554" s="236" t="str">
        <f t="shared" ref="BX554:BX566" si="649">G554</f>
        <v>Scottsdale</v>
      </c>
      <c r="BY554" s="269" t="str">
        <f t="shared" ref="BY554:BY566" si="650">H554</f>
        <v>Az</v>
      </c>
      <c r="BZ554" s="236">
        <f t="shared" ref="BZ554:BZ566" si="651">J554</f>
        <v>85258</v>
      </c>
      <c r="CA554" s="236" t="str">
        <f t="shared" ref="CA554:CA566" si="652">I554</f>
        <v>US</v>
      </c>
      <c r="CB554" s="550" t="s">
        <v>131</v>
      </c>
      <c r="CC554" s="561"/>
      <c r="CD554" s="15" t="s">
        <v>132</v>
      </c>
      <c r="CE554" s="64">
        <v>0</v>
      </c>
      <c r="CF554" s="4">
        <v>0</v>
      </c>
      <c r="CG554" s="132">
        <f t="shared" ref="CG554" si="653">CE554*CF554</f>
        <v>0</v>
      </c>
      <c r="CH554" s="4" t="s">
        <v>132</v>
      </c>
      <c r="CI554" s="5">
        <v>0</v>
      </c>
      <c r="CJ554" s="4">
        <v>0</v>
      </c>
      <c r="CK554" s="132">
        <f t="shared" ref="CK554" si="654">CI554*CJ554</f>
        <v>0</v>
      </c>
      <c r="CL554" s="4" t="s">
        <v>132</v>
      </c>
      <c r="CM554" s="5">
        <v>0</v>
      </c>
      <c r="CN554" s="4">
        <v>0</v>
      </c>
      <c r="CO554" s="132">
        <f t="shared" ref="CO554" si="655">CM554*CN554</f>
        <v>0</v>
      </c>
      <c r="CP554" s="4" t="s">
        <v>132</v>
      </c>
      <c r="CQ554" s="5">
        <v>0</v>
      </c>
      <c r="CR554" s="4">
        <v>0</v>
      </c>
      <c r="CS554" s="412">
        <f t="shared" ref="CS554" si="656">CQ554*CR554</f>
        <v>0</v>
      </c>
      <c r="CT554" s="412">
        <f t="shared" ref="CT554" si="657">CG554+CK554+CO554+CS554</f>
        <v>0</v>
      </c>
      <c r="CU554" s="238">
        <f t="shared" ref="CU554:CU566" si="658">(CT554+BL554)-CC554</f>
        <v>900</v>
      </c>
      <c r="CV554" s="239">
        <f t="shared" ref="CV554:CV566" si="659">IF(AO554="Albel",(CT554*1),(CT554*0.93))</f>
        <v>0</v>
      </c>
      <c r="CW554" s="240">
        <f t="shared" ref="CW554:CW566" si="660">BO554+CV554</f>
        <v>837</v>
      </c>
      <c r="CX554" s="541">
        <f>IF(ISBLANK(E554),"AddQuickPay",IF(E554=2,CU554*0.98,IF(E554=2.4,CU554*0.976,IF(E554=3,CU554*0.97,IF(E554=5,CU554*0.95,IF(E554=1.5,CU554*0.985,IF(E554=2.5,CU554*0.975,IF(E554=1.3,CU554*0.987,IF(E554=1,CU554*0.99,IF(E554=4,CU554*0.96,CU554*1))))))))))-Table1[[#This Row],[ComCheck+QuickPayFee]]</f>
        <v>864</v>
      </c>
      <c r="CY554" s="237">
        <f t="shared" ref="CY554:CY566" si="661">CU554-CW554</f>
        <v>63</v>
      </c>
      <c r="CZ554" s="237">
        <f t="shared" ref="CZ554:CZ566" si="662">IF(ISBLANK(E554),"AddQuickPay",IF(E554=2,CU554*0.02,IF(E554=2.4,CU554*0.024,IF(E554=3,CU554*0.03,IF(E554=5,CU554*0.05,IF(E554=1.5,CU554*0.015,IF(E554=2.5,CU554*0.025,IF(E554=4,CU554*0.04,IF(E554=1.3,CU554*0.013,IF(E554=1,CU554*0.01,CU554*0))))))))))</f>
        <v>36</v>
      </c>
      <c r="DA554" s="263">
        <f>Table1[[#This Row],[OriginalDispatch]]-Table1[[#This Row],[QuickPayCharge]]</f>
        <v>27</v>
      </c>
      <c r="DB554" s="5">
        <v>0</v>
      </c>
      <c r="DC554" s="237" t="s">
        <v>133</v>
      </c>
      <c r="DD554" s="549">
        <f t="shared" ref="DD554:DD566" si="663">(5-WEEKDAY(M554,2))+M554</f>
        <v>42573</v>
      </c>
      <c r="DE554" s="554">
        <f>MONTH(Table1[[#This Row],[Weekending]])</f>
        <v>7</v>
      </c>
      <c r="DF554" s="554">
        <f>YEAR(Table1[[#This Row],[Weekending]])</f>
        <v>2016</v>
      </c>
      <c r="DG554" s="235"/>
    </row>
    <row r="555" spans="1:111">
      <c r="A555" s="548" t="str">
        <f t="shared" si="640"/>
        <v>iewnwn74</v>
      </c>
      <c r="B555" s="549">
        <v>42574</v>
      </c>
      <c r="C555" s="550" t="s">
        <v>3512</v>
      </c>
      <c r="D555" s="548" t="s">
        <v>3043</v>
      </c>
      <c r="E555" s="550">
        <v>0</v>
      </c>
      <c r="F555" s="551" t="str">
        <f>INDEX(BrokerTBL!$B:$B,MATCH(D555,BrokerTBL!$A:$A,0))</f>
        <v>1848 N. WOODSON AVE.</v>
      </c>
      <c r="G555" s="550" t="str">
        <f>INDEX(BrokerTBL!$C:$C,MATCH(D555,BrokerTBL!$A:$A,0))</f>
        <v>Fresno</v>
      </c>
      <c r="H555" s="235" t="str">
        <f>INDEX(BrokerTBL!$D:$D,MATCH(D555,BrokerTBL!$A:$A,0))</f>
        <v>CA</v>
      </c>
      <c r="I555" s="235" t="str">
        <f>INDEX(BrokerTBL!$E:$E,MATCH(D555,BrokerTBL!$A:$A,0))</f>
        <v>US</v>
      </c>
      <c r="J555" s="235">
        <f>INDEX(BrokerTBL!$F:$F,MATCH(D555,BrokerTBL!$A:$A,0))</f>
        <v>93705</v>
      </c>
      <c r="K555" s="548" t="s">
        <v>1263</v>
      </c>
      <c r="L555" s="552" t="s">
        <v>1205</v>
      </c>
      <c r="M555" s="549">
        <v>42570</v>
      </c>
      <c r="N555" s="550" t="s">
        <v>123</v>
      </c>
      <c r="O555" s="550" t="s">
        <v>3045</v>
      </c>
      <c r="P555" s="548" t="s">
        <v>2616</v>
      </c>
      <c r="Q555" s="548" t="s">
        <v>2233</v>
      </c>
      <c r="R555" s="548" t="s">
        <v>123</v>
      </c>
      <c r="S555" s="548" t="s">
        <v>2207</v>
      </c>
      <c r="T555" s="548" t="s">
        <v>3513</v>
      </c>
      <c r="U555" s="548" t="s">
        <v>120</v>
      </c>
      <c r="V555" s="548">
        <v>53</v>
      </c>
      <c r="W555" s="548" t="s">
        <v>3514</v>
      </c>
      <c r="X555" s="553">
        <v>43000</v>
      </c>
      <c r="Y555" s="550" t="s">
        <v>123</v>
      </c>
      <c r="Z555" s="548" t="s">
        <v>123</v>
      </c>
      <c r="AA555" s="548" t="s">
        <v>123</v>
      </c>
      <c r="AB555" s="548" t="s">
        <v>123</v>
      </c>
      <c r="AC555" s="548" t="s">
        <v>3044</v>
      </c>
      <c r="AD555" s="552" t="s">
        <v>1205</v>
      </c>
      <c r="AE555" s="549">
        <v>42570</v>
      </c>
      <c r="AF555" s="549" t="s">
        <v>123</v>
      </c>
      <c r="AG555" s="548" t="s">
        <v>3048</v>
      </c>
      <c r="AH555" s="548" t="s">
        <v>3049</v>
      </c>
      <c r="AI555" s="548" t="s">
        <v>2206</v>
      </c>
      <c r="AJ555" s="548" t="s">
        <v>123</v>
      </c>
      <c r="AK555" s="548" t="s">
        <v>2207</v>
      </c>
      <c r="AL555" s="548" t="s">
        <v>123</v>
      </c>
      <c r="AM555" s="554" t="str">
        <f>INDEX(CarrierDriverTBL!$B:$B,MATCH(Table1[[#This Row],[DriverID]],CarrierDriverTBL!$A:$A,0))</f>
        <v>UBTrucking</v>
      </c>
      <c r="AN555" s="443" t="s">
        <v>3511</v>
      </c>
      <c r="AO555" s="555" t="str">
        <f>INDEX(CarrierDriverTBL!$C:$C,MATCH(Table1[[#This Row],[DriverID]],CarrierDriverTBL!$A:$A,0))</f>
        <v>Aaron</v>
      </c>
      <c r="AP555" s="555" t="str">
        <f>INDEX(CarrierDriverTBL!$D:$D,MATCH(Table1[[#This Row],[DriverID]],CarrierDriverTBL!$A:$A,0))</f>
        <v>RaymondTrejo</v>
      </c>
      <c r="AQ555" s="555" t="str">
        <f>INDEX(CarrierDriverTBL!$X:$X,MATCH(Table1[[#This Row],[DriverID]],CarrierDriverTBL!$A:$A,0))</f>
        <v>A9173174</v>
      </c>
      <c r="AR555" s="556">
        <f>INDEX(CarrierDriverTBL!$Y:$Y,MATCH(Table1[[#This Row],[DriverID]],CarrierDriverTBL!$A:$A,0))</f>
        <v>43614</v>
      </c>
      <c r="AS555" s="554" t="str">
        <f t="shared" si="641"/>
        <v>GOOD</v>
      </c>
      <c r="AT555" s="556">
        <f>INDEX(CarrierDriverTBL!$E:$E,MATCH(Table1[[#This Row],[DriverID]],CarrierDriverTBL!$A:$A,0))</f>
        <v>27543</v>
      </c>
      <c r="AU555" s="557">
        <f ca="1">INDEX(CarrierDriverTBL!$F:$F,MATCH(Table1[[#This Row],[DriverID]],CarrierDriverTBL!$A:$A,0))</f>
        <v>41.186301369863017</v>
      </c>
      <c r="AV555" s="554" t="str">
        <f>INDEX(CarrierDriverTBL!$K:$K,MATCH(Table1[[#This Row],[DriverID]],CarrierDriverTBL!$A:$A,0))</f>
        <v>Missing</v>
      </c>
      <c r="AW555" s="554" t="str">
        <f>INDEX(CarrierDriverTBL!$M:$M,MATCH(Table1[[#This Row],[DriverID]],CarrierDriverTBL!$A:$A,0))</f>
        <v>2144 S 12th St</v>
      </c>
      <c r="AX555" s="554" t="str">
        <f>INDEX(CarrierDriverTBL!$N:$N,MATCH(Table1[[#This Row],[DriverID]],CarrierDriverTBL!$A:$A,0))</f>
        <v>Los Banos</v>
      </c>
      <c r="AY555" s="554" t="str">
        <f>INDEX(CarrierDriverTBL!$O:$O,MATCH(Table1[[#This Row],[DriverID]],CarrierDriverTBL!$A:$A,0))</f>
        <v>CA</v>
      </c>
      <c r="AZ555" s="554">
        <f>INDEX(CarrierDriverTBL!$P:$P,MATCH(Table1[[#This Row],[DriverID]],CarrierDriverTBL!$A:$A,0))</f>
        <v>93635</v>
      </c>
      <c r="BA555" s="554" t="str">
        <f>INDEX(CarrierDriverTBL!$Q:$Q,MATCH(Table1[[#This Row],[DriverID]],CarrierDriverTBL!$A:$A,0))</f>
        <v>US</v>
      </c>
      <c r="BB555" s="554" t="str">
        <f>INDEX(CarrierDriverTBL!$R:$R,MATCH(Table1[[#This Row],[DriverID]],CarrierDriverTBL!$A:$A,0))</f>
        <v>Missing</v>
      </c>
      <c r="BC555" s="556">
        <f>INDEX(CarrierDriverTBL!$AB:$AB,MATCH(Table1[[#This Row],[DriverID]],CarrierDriverTBL!$A:$A,0))</f>
        <v>42562</v>
      </c>
      <c r="BD555" s="555" t="str">
        <f ca="1">INDEX(CarrierDriverTBL!$AD:$AD,MATCH(LoadMaster!$AN:$AN,CarrierDriverTBL!$A:$A,0))</f>
        <v>MISSING</v>
      </c>
      <c r="BE555" s="555">
        <f>INDEX(CarrierDriverTBL!$AE:$AE,MATCH(Table1[DriverID],CarrierDriverTBL!$A:$A,0))</f>
        <v>913971</v>
      </c>
      <c r="BF555" s="554">
        <f>INDEX(CarrierDriverTBL!$AF:$AF,MATCH(Table1[DriverID],CarrierDriverTBL!$A:$A,0))</f>
        <v>2627544</v>
      </c>
      <c r="BG555" s="236">
        <f>INDEX(CarrierDriverTBL!$AG:$AG,MATCH(Table1[DriverID],CarrierDriverTBL!$A:$A,0))</f>
        <v>466133</v>
      </c>
      <c r="BH555" s="554" t="str">
        <f>INDEX(CarrierDriverTBL!$AH:$AH,MATCH(Table1[DriverID],CarrierDriverTBL!$A:$A,0))</f>
        <v>GM Lawrence Ins</v>
      </c>
      <c r="BI555" s="554" t="str">
        <f>INDEX(CarrierDriverTBL!$AI:$AI,MATCH(Table1[DriverID],CarrierDriverTBL!$A:$A,0))</f>
        <v>DSK2842P160210</v>
      </c>
      <c r="BJ555" s="556">
        <f>INDEX(CarrierDriverTBL!$AJ:$AJ,MATCH(Table1[[#This Row],[DriverID]],CarrierDriverTBL!$A:$A,0))</f>
        <v>42778</v>
      </c>
      <c r="BK555" s="554">
        <f t="shared" si="642"/>
        <v>208</v>
      </c>
      <c r="BL555" s="558">
        <v>700</v>
      </c>
      <c r="BM555" s="554">
        <v>385.2</v>
      </c>
      <c r="BN555" s="558">
        <f t="shared" si="643"/>
        <v>1.8172377985462098</v>
      </c>
      <c r="BO555" s="241">
        <f>0.93*700</f>
        <v>651</v>
      </c>
      <c r="BP555" s="558">
        <f t="shared" si="644"/>
        <v>1.6900311526479752</v>
      </c>
      <c r="BQ555" s="558">
        <v>2.8</v>
      </c>
      <c r="BR555" s="559">
        <f t="shared" si="645"/>
        <v>0.15</v>
      </c>
      <c r="BS555" s="558">
        <f t="shared" si="646"/>
        <v>1.5400311526479753</v>
      </c>
      <c r="BT555" s="558">
        <f t="shared" si="647"/>
        <v>57.779999999999994</v>
      </c>
      <c r="BU555" s="236" t="str">
        <f t="shared" si="648"/>
        <v>Ray Brothers Transportation Inc.</v>
      </c>
      <c r="BV555" s="554"/>
      <c r="BW555" s="236" t="str">
        <f>Table1[[#This Row],[BrokerAddress]]</f>
        <v>1848 N. WOODSON AVE.</v>
      </c>
      <c r="BX555" s="236" t="str">
        <f t="shared" si="649"/>
        <v>Fresno</v>
      </c>
      <c r="BY555" s="269" t="str">
        <f t="shared" si="650"/>
        <v>CA</v>
      </c>
      <c r="BZ555" s="236">
        <f t="shared" si="651"/>
        <v>93705</v>
      </c>
      <c r="CA555" s="236" t="str">
        <f t="shared" si="652"/>
        <v>US</v>
      </c>
      <c r="CB555" s="550" t="s">
        <v>131</v>
      </c>
      <c r="CC555" s="561"/>
      <c r="CD555" s="15" t="s">
        <v>132</v>
      </c>
      <c r="CE555" s="64">
        <v>0</v>
      </c>
      <c r="CF555" s="4">
        <v>0</v>
      </c>
      <c r="CG555" s="132">
        <f t="shared" ref="CG555" si="664">CE555*CF555</f>
        <v>0</v>
      </c>
      <c r="CH555" s="4" t="s">
        <v>132</v>
      </c>
      <c r="CI555" s="5">
        <v>0</v>
      </c>
      <c r="CJ555" s="4">
        <v>0</v>
      </c>
      <c r="CK555" s="132">
        <f t="shared" ref="CK555" si="665">CI555*CJ555</f>
        <v>0</v>
      </c>
      <c r="CL555" s="4" t="s">
        <v>132</v>
      </c>
      <c r="CM555" s="5">
        <v>0</v>
      </c>
      <c r="CN555" s="4">
        <v>0</v>
      </c>
      <c r="CO555" s="132">
        <f t="shared" ref="CO555" si="666">CM555*CN555</f>
        <v>0</v>
      </c>
      <c r="CP555" s="4" t="s">
        <v>132</v>
      </c>
      <c r="CQ555" s="5">
        <v>0</v>
      </c>
      <c r="CR555" s="4">
        <v>0</v>
      </c>
      <c r="CS555" s="412">
        <f t="shared" ref="CS555" si="667">CQ555*CR555</f>
        <v>0</v>
      </c>
      <c r="CT555" s="412">
        <f t="shared" ref="CT555" si="668">CG555+CK555+CO555+CS555</f>
        <v>0</v>
      </c>
      <c r="CU555" s="238">
        <f t="shared" si="658"/>
        <v>700</v>
      </c>
      <c r="CV555" s="239">
        <f t="shared" si="659"/>
        <v>0</v>
      </c>
      <c r="CW555" s="240">
        <f t="shared" si="660"/>
        <v>651</v>
      </c>
      <c r="CX555" s="541">
        <f>IF(ISBLANK(E555),"AddQuickPay",IF(E555=2,CU555*0.98,IF(E555=2.4,CU555*0.976,IF(E555=3,CU555*0.97,IF(E555=5,CU555*0.95,IF(E555=1.5,CU555*0.985,IF(E555=2.5,CU555*0.975,IF(E555=1.3,CU555*0.987,IF(E555=1,CU555*0.99,IF(E555=4,CU555*0.96,CU555*1))))))))))-Table1[[#This Row],[ComCheck+QuickPayFee]]</f>
        <v>700</v>
      </c>
      <c r="CY555" s="237">
        <f t="shared" si="661"/>
        <v>49</v>
      </c>
      <c r="CZ555" s="237">
        <f t="shared" si="662"/>
        <v>0</v>
      </c>
      <c r="DA555" s="263">
        <f>Table1[[#This Row],[OriginalDispatch]]-Table1[[#This Row],[QuickPayCharge]]</f>
        <v>49</v>
      </c>
      <c r="DB555" s="5">
        <v>0</v>
      </c>
      <c r="DC555" s="237" t="s">
        <v>133</v>
      </c>
      <c r="DD555" s="549">
        <f t="shared" si="663"/>
        <v>42573</v>
      </c>
      <c r="DE555" s="554">
        <f>MONTH(Table1[[#This Row],[Weekending]])</f>
        <v>7</v>
      </c>
      <c r="DF555" s="554">
        <f>YEAR(Table1[[#This Row],[Weekending]])</f>
        <v>2016</v>
      </c>
      <c r="DG555" s="235"/>
    </row>
    <row r="556" spans="1:111">
      <c r="A556" s="548" t="str">
        <f t="shared" si="640"/>
        <v>7705wn19</v>
      </c>
      <c r="B556" s="549">
        <v>42574</v>
      </c>
      <c r="C556" s="550">
        <v>207121777</v>
      </c>
      <c r="D556" s="548" t="s">
        <v>111</v>
      </c>
      <c r="E556" s="550">
        <v>2</v>
      </c>
      <c r="F556" s="551" t="str">
        <f>INDEX(BrokerTBL!$B:$B,MATCH(D556,BrokerTBL!$A:$A,0))</f>
        <v>P.O. Box 3474</v>
      </c>
      <c r="G556" s="550" t="str">
        <f>INDEX(BrokerTBL!$C:$C,MATCH(D556,BrokerTBL!$A:$A,0))</f>
        <v>Chicago</v>
      </c>
      <c r="H556" s="235" t="str">
        <f>INDEX(BrokerTBL!$D:$D,MATCH(D556,BrokerTBL!$A:$A,0))</f>
        <v>Il</v>
      </c>
      <c r="I556" s="235" t="str">
        <f>INDEX(BrokerTBL!$E:$E,MATCH(D556,BrokerTBL!$A:$A,0))</f>
        <v>US</v>
      </c>
      <c r="J556" s="235">
        <f>INDEX(BrokerTBL!$F:$F,MATCH(D556,BrokerTBL!$A:$A,0))</f>
        <v>60654</v>
      </c>
      <c r="K556" s="548" t="s">
        <v>1529</v>
      </c>
      <c r="L556" s="552">
        <v>847305</v>
      </c>
      <c r="M556" s="549">
        <v>42571</v>
      </c>
      <c r="N556" s="550" t="s">
        <v>1979</v>
      </c>
      <c r="O556" s="550" t="s">
        <v>1530</v>
      </c>
      <c r="P556" s="548" t="s">
        <v>738</v>
      </c>
      <c r="Q556" s="548" t="s">
        <v>2233</v>
      </c>
      <c r="R556" s="548">
        <v>89512</v>
      </c>
      <c r="S556" s="548" t="s">
        <v>2207</v>
      </c>
      <c r="T556" s="548" t="s">
        <v>123</v>
      </c>
      <c r="U556" s="548" t="s">
        <v>120</v>
      </c>
      <c r="V556" s="548">
        <v>53</v>
      </c>
      <c r="W556" s="548" t="s">
        <v>3515</v>
      </c>
      <c r="X556" s="553">
        <v>45000</v>
      </c>
      <c r="Y556" s="550" t="s">
        <v>123</v>
      </c>
      <c r="Z556" s="548" t="s">
        <v>123</v>
      </c>
      <c r="AA556" s="548" t="s">
        <v>123</v>
      </c>
      <c r="AB556" s="548" t="s">
        <v>123</v>
      </c>
      <c r="AC556" s="548" t="s">
        <v>1532</v>
      </c>
      <c r="AD556" s="552" t="s">
        <v>1205</v>
      </c>
      <c r="AE556" s="549">
        <v>42572</v>
      </c>
      <c r="AF556" s="549" t="s">
        <v>1723</v>
      </c>
      <c r="AG556" s="548" t="s">
        <v>1533</v>
      </c>
      <c r="AH556" s="548" t="s">
        <v>1343</v>
      </c>
      <c r="AI556" s="548" t="s">
        <v>2206</v>
      </c>
      <c r="AJ556" s="548">
        <v>96080</v>
      </c>
      <c r="AK556" s="548" t="s">
        <v>2207</v>
      </c>
      <c r="AL556" s="548" t="s">
        <v>123</v>
      </c>
      <c r="AM556" s="554" t="str">
        <f>INDEX(CarrierDriverTBL!$B:$B,MATCH(Table1[[#This Row],[DriverID]],CarrierDriverTBL!$A:$A,0))</f>
        <v>UBTrucking</v>
      </c>
      <c r="AN556" s="554" t="s">
        <v>1409</v>
      </c>
      <c r="AO556" s="555" t="str">
        <f>INDEX(CarrierDriverTBL!$C:$C,MATCH(Table1[[#This Row],[DriverID]],CarrierDriverTBL!$A:$A,0))</f>
        <v>Miguel Jaime</v>
      </c>
      <c r="AP556" s="555" t="str">
        <f>INDEX(CarrierDriverTBL!$D:$D,MATCH(Table1[[#This Row],[DriverID]],CarrierDriverTBL!$A:$A,0))</f>
        <v>Martin Del Campo Velarca</v>
      </c>
      <c r="AQ556" s="555" t="str">
        <f>INDEX(CarrierDriverTBL!$X:$X,MATCH(Table1[[#This Row],[DriverID]],CarrierDriverTBL!$A:$A,0))</f>
        <v>D5179619</v>
      </c>
      <c r="AR556" s="556">
        <f>INDEX(CarrierDriverTBL!$Y:$Y,MATCH(Table1[[#This Row],[DriverID]],CarrierDriverTBL!$A:$A,0))</f>
        <v>43843</v>
      </c>
      <c r="AS556" s="554" t="str">
        <f t="shared" si="641"/>
        <v>GOOD</v>
      </c>
      <c r="AT556" s="556">
        <f>INDEX(CarrierDriverTBL!$E:$E,MATCH(Table1[[#This Row],[DriverID]],CarrierDriverTBL!$A:$A,0))</f>
        <v>21198</v>
      </c>
      <c r="AU556" s="557">
        <f ca="1">INDEX(CarrierDriverTBL!$F:$F,MATCH(Table1[[#This Row],[DriverID]],CarrierDriverTBL!$A:$A,0))</f>
        <v>58.56986301369863</v>
      </c>
      <c r="AV556" s="554" t="str">
        <f>INDEX(CarrierDriverTBL!$K:$K,MATCH(Table1[[#This Row],[DriverID]],CarrierDriverTBL!$A:$A,0))</f>
        <v>209-322-5231</v>
      </c>
      <c r="AW556" s="554" t="str">
        <f>INDEX(CarrierDriverTBL!$M:$M,MATCH(Table1[[#This Row],[DriverID]],CarrierDriverTBL!$A:$A,0))</f>
        <v>572 Predersen RD</v>
      </c>
      <c r="AX556" s="554" t="str">
        <f>INDEX(CarrierDriverTBL!$N:$N,MATCH(Table1[[#This Row],[DriverID]],CarrierDriverTBL!$A:$A,0))</f>
        <v>Oakdale</v>
      </c>
      <c r="AY556" s="554" t="str">
        <f>INDEX(CarrierDriverTBL!$O:$O,MATCH(Table1[[#This Row],[DriverID]],CarrierDriverTBL!$A:$A,0))</f>
        <v>CA</v>
      </c>
      <c r="AZ556" s="554">
        <f>INDEX(CarrierDriverTBL!$P:$P,MATCH(Table1[[#This Row],[DriverID]],CarrierDriverTBL!$A:$A,0))</f>
        <v>95361</v>
      </c>
      <c r="BA556" s="554" t="str">
        <f>INDEX(CarrierDriverTBL!$Q:$Q,MATCH(Table1[[#This Row],[DriverID]],CarrierDriverTBL!$A:$A,0))</f>
        <v>US</v>
      </c>
      <c r="BB556" s="554" t="str">
        <f>INDEX(CarrierDriverTBL!$R:$R,MATCH(Table1[[#This Row],[DriverID]],CarrierDriverTBL!$A:$A,0))</f>
        <v>Miguelmartin52@yahoo.com</v>
      </c>
      <c r="BC556" s="556">
        <f>INDEX(CarrierDriverTBL!$AB:$AB,MATCH(Table1[[#This Row],[DriverID]],CarrierDriverTBL!$A:$A,0))</f>
        <v>42334</v>
      </c>
      <c r="BD556" s="555" t="str">
        <f ca="1">INDEX(CarrierDriverTBL!$AD:$AD,MATCH(LoadMaster!$AN:$AN,CarrierDriverTBL!$A:$A,0))</f>
        <v>MISSING</v>
      </c>
      <c r="BE556" s="555">
        <f>INDEX(CarrierDriverTBL!$AE:$AE,MATCH(Table1[DriverID],CarrierDriverTBL!$A:$A,0))</f>
        <v>913971</v>
      </c>
      <c r="BF556" s="554">
        <f>INDEX(CarrierDriverTBL!$AF:$AF,MATCH(Table1[DriverID],CarrierDriverTBL!$A:$A,0))</f>
        <v>2627544</v>
      </c>
      <c r="BG556" s="236">
        <f>INDEX(CarrierDriverTBL!$AG:$AG,MATCH(Table1[DriverID],CarrierDriverTBL!$A:$A,0))</f>
        <v>466133</v>
      </c>
      <c r="BH556" s="554" t="str">
        <f>INDEX(CarrierDriverTBL!$AH:$AH,MATCH(Table1[DriverID],CarrierDriverTBL!$A:$A,0))</f>
        <v>GM Lawrence Ins</v>
      </c>
      <c r="BI556" s="554" t="str">
        <f>INDEX(CarrierDriverTBL!$AI:$AI,MATCH(Table1[DriverID],CarrierDriverTBL!$A:$A,0))</f>
        <v>DSK2842P160210</v>
      </c>
      <c r="BJ556" s="556">
        <f>INDEX(CarrierDriverTBL!$AJ:$AJ,MATCH(Table1[[#This Row],[DriverID]],CarrierDriverTBL!$A:$A,0))</f>
        <v>42778</v>
      </c>
      <c r="BK556" s="554">
        <f t="shared" si="642"/>
        <v>207</v>
      </c>
      <c r="BL556" s="558">
        <v>600</v>
      </c>
      <c r="BM556" s="554">
        <v>192.1</v>
      </c>
      <c r="BN556" s="558">
        <f t="shared" si="643"/>
        <v>3.1233732431025509</v>
      </c>
      <c r="BO556" s="241">
        <f>0.93*600</f>
        <v>558</v>
      </c>
      <c r="BP556" s="558">
        <f t="shared" si="644"/>
        <v>2.9047371160853723</v>
      </c>
      <c r="BQ556" s="558">
        <v>2.8</v>
      </c>
      <c r="BR556" s="559">
        <f t="shared" si="645"/>
        <v>0.15</v>
      </c>
      <c r="BS556" s="558">
        <f t="shared" si="646"/>
        <v>2.7547371160853724</v>
      </c>
      <c r="BT556" s="558">
        <f t="shared" si="647"/>
        <v>28.814999999999998</v>
      </c>
      <c r="BU556" s="236" t="str">
        <f t="shared" si="648"/>
        <v>Ch Robinson</v>
      </c>
      <c r="BV556" s="554"/>
      <c r="BW556" s="236" t="str">
        <f>Table1[[#This Row],[BrokerAddress]]</f>
        <v>P.O. Box 3474</v>
      </c>
      <c r="BX556" s="236" t="str">
        <f t="shared" si="649"/>
        <v>Chicago</v>
      </c>
      <c r="BY556" s="269" t="str">
        <f t="shared" si="650"/>
        <v>Il</v>
      </c>
      <c r="BZ556" s="236">
        <f t="shared" si="651"/>
        <v>60654</v>
      </c>
      <c r="CA556" s="236" t="str">
        <f t="shared" si="652"/>
        <v>US</v>
      </c>
      <c r="CB556" s="550" t="s">
        <v>131</v>
      </c>
      <c r="CC556" s="561"/>
      <c r="CD556" s="15" t="s">
        <v>132</v>
      </c>
      <c r="CE556" s="64">
        <v>0</v>
      </c>
      <c r="CF556" s="4">
        <v>0</v>
      </c>
      <c r="CG556" s="132">
        <f t="shared" ref="CG556" si="669">CE556*CF556</f>
        <v>0</v>
      </c>
      <c r="CH556" s="4" t="s">
        <v>132</v>
      </c>
      <c r="CI556" s="5">
        <v>0</v>
      </c>
      <c r="CJ556" s="4">
        <v>0</v>
      </c>
      <c r="CK556" s="132">
        <f t="shared" ref="CK556" si="670">CI556*CJ556</f>
        <v>0</v>
      </c>
      <c r="CL556" s="4" t="s">
        <v>132</v>
      </c>
      <c r="CM556" s="5">
        <v>0</v>
      </c>
      <c r="CN556" s="4">
        <v>0</v>
      </c>
      <c r="CO556" s="132">
        <f t="shared" ref="CO556" si="671">CM556*CN556</f>
        <v>0</v>
      </c>
      <c r="CP556" s="4" t="s">
        <v>132</v>
      </c>
      <c r="CQ556" s="5">
        <v>0</v>
      </c>
      <c r="CR556" s="4">
        <v>0</v>
      </c>
      <c r="CS556" s="412">
        <f t="shared" ref="CS556" si="672">CQ556*CR556</f>
        <v>0</v>
      </c>
      <c r="CT556" s="412">
        <f t="shared" ref="CT556" si="673">CG556+CK556+CO556+CS556</f>
        <v>0</v>
      </c>
      <c r="CU556" s="238">
        <f t="shared" si="658"/>
        <v>600</v>
      </c>
      <c r="CV556" s="239">
        <f t="shared" si="659"/>
        <v>0</v>
      </c>
      <c r="CW556" s="240">
        <f t="shared" si="660"/>
        <v>558</v>
      </c>
      <c r="CX556" s="541">
        <f>IF(ISBLANK(E556),"AddQuickPay",IF(E556=2,CU556*0.98,IF(E556=2.4,CU556*0.976,IF(E556=3,CU556*0.97,IF(E556=5,CU556*0.95,IF(E556=1.5,CU556*0.985,IF(E556=2.5,CU556*0.975,IF(E556=1.3,CU556*0.987,IF(E556=1,CU556*0.99,IF(E556=4,CU556*0.96,CU556*1))))))))))-Table1[[#This Row],[ComCheck+QuickPayFee]]</f>
        <v>588</v>
      </c>
      <c r="CY556" s="237">
        <f t="shared" si="661"/>
        <v>42</v>
      </c>
      <c r="CZ556" s="237">
        <f t="shared" si="662"/>
        <v>12</v>
      </c>
      <c r="DA556" s="263">
        <f>Table1[[#This Row],[OriginalDispatch]]-Table1[[#This Row],[QuickPayCharge]]</f>
        <v>30</v>
      </c>
      <c r="DB556" s="5">
        <v>0</v>
      </c>
      <c r="DC556" s="237" t="s">
        <v>133</v>
      </c>
      <c r="DD556" s="549">
        <f t="shared" si="663"/>
        <v>42573</v>
      </c>
      <c r="DE556" s="554">
        <f>MONTH(Table1[[#This Row],[Weekending]])</f>
        <v>7</v>
      </c>
      <c r="DF556" s="554">
        <f>YEAR(Table1[[#This Row],[Weekending]])</f>
        <v>2016</v>
      </c>
      <c r="DG556" s="235"/>
    </row>
    <row r="557" spans="1:111">
      <c r="A557" s="548" t="str">
        <f t="shared" si="640"/>
        <v>29/Awn93</v>
      </c>
      <c r="B557" s="549">
        <v>42574</v>
      </c>
      <c r="C557" s="550">
        <v>7250229</v>
      </c>
      <c r="D557" s="548" t="s">
        <v>2248</v>
      </c>
      <c r="E557" s="550">
        <v>3</v>
      </c>
      <c r="F557" s="551" t="str">
        <f>INDEX(BrokerTBL!$B:$B,MATCH(D557,BrokerTBL!$A:$A,0))</f>
        <v>P.O. Box 799</v>
      </c>
      <c r="G557" s="550" t="str">
        <f>INDEX(BrokerTBL!$C:$C,MATCH(D557,BrokerTBL!$A:$A,0))</f>
        <v>Milford</v>
      </c>
      <c r="H557" s="235" t="str">
        <f>INDEX(BrokerTBL!$D:$D,MATCH(D557,BrokerTBL!$A:$A,0))</f>
        <v>Ohio</v>
      </c>
      <c r="I557" s="235" t="str">
        <f>INDEX(BrokerTBL!$E:$E,MATCH(D557,BrokerTBL!$A:$A,0))</f>
        <v>US</v>
      </c>
      <c r="J557" s="235">
        <f>INDEX(BrokerTBL!$F:$F,MATCH(D557,BrokerTBL!$A:$A,0))</f>
        <v>45150</v>
      </c>
      <c r="K557" s="548" t="s">
        <v>3516</v>
      </c>
      <c r="L557" s="552" t="s">
        <v>2918</v>
      </c>
      <c r="M557" s="549">
        <v>42571</v>
      </c>
      <c r="N557" s="550" t="s">
        <v>218</v>
      </c>
      <c r="O557" s="550" t="s">
        <v>3517</v>
      </c>
      <c r="P557" s="548" t="s">
        <v>438</v>
      </c>
      <c r="Q557" s="548" t="s">
        <v>2206</v>
      </c>
      <c r="R557" s="548">
        <v>94080</v>
      </c>
      <c r="S557" s="548" t="s">
        <v>2207</v>
      </c>
      <c r="T557" s="548" t="s">
        <v>123</v>
      </c>
      <c r="U557" s="548" t="s">
        <v>120</v>
      </c>
      <c r="V557" s="548">
        <v>53</v>
      </c>
      <c r="W557" s="548" t="s">
        <v>2996</v>
      </c>
      <c r="X557" s="553">
        <v>35000</v>
      </c>
      <c r="Y557" s="550" t="s">
        <v>3518</v>
      </c>
      <c r="Z557" s="548">
        <v>1</v>
      </c>
      <c r="AA557" s="548" t="s">
        <v>123</v>
      </c>
      <c r="AB557" s="548" t="s">
        <v>123</v>
      </c>
      <c r="AC557" s="548" t="s">
        <v>3519</v>
      </c>
      <c r="AD557" s="552" t="s">
        <v>1205</v>
      </c>
      <c r="AE557" s="549">
        <v>42572</v>
      </c>
      <c r="AF557" s="549" t="s">
        <v>218</v>
      </c>
      <c r="AG557" s="548" t="s">
        <v>3520</v>
      </c>
      <c r="AH557" s="548" t="s">
        <v>3521</v>
      </c>
      <c r="AI557" s="548" t="s">
        <v>2233</v>
      </c>
      <c r="AJ557" s="548">
        <v>89119</v>
      </c>
      <c r="AK557" s="548" t="s">
        <v>2207</v>
      </c>
      <c r="AL557" s="548" t="s">
        <v>123</v>
      </c>
      <c r="AM557" s="554" t="str">
        <f>INDEX(CarrierDriverTBL!$B:$B,MATCH(Table1[[#This Row],[DriverID]],CarrierDriverTBL!$A:$A,0))</f>
        <v>UBTrucking</v>
      </c>
      <c r="AN557" s="171" t="s">
        <v>2234</v>
      </c>
      <c r="AO557" s="555" t="str">
        <f>INDEX(CarrierDriverTBL!$C:$C,MATCH(Table1[[#This Row],[DriverID]],CarrierDriverTBL!$A:$A,0))</f>
        <v>Arturo</v>
      </c>
      <c r="AP557" s="555" t="str">
        <f>INDEX(CarrierDriverTBL!$D:$D,MATCH(Table1[[#This Row],[DriverID]],CarrierDriverTBL!$A:$A,0))</f>
        <v>Carrillo</v>
      </c>
      <c r="AQ557" s="555" t="str">
        <f>INDEX(CarrierDriverTBL!$X:$X,MATCH(Table1[[#This Row],[DriverID]],CarrierDriverTBL!$A:$A,0))</f>
        <v>C7056793</v>
      </c>
      <c r="AR557" s="556">
        <f>INDEX(CarrierDriverTBL!$Y:$Y,MATCH(Table1[[#This Row],[DriverID]],CarrierDriverTBL!$A:$A,0))</f>
        <v>43410</v>
      </c>
      <c r="AS557" s="554" t="str">
        <f t="shared" si="641"/>
        <v>GOOD</v>
      </c>
      <c r="AT557" s="556">
        <f>INDEX(CarrierDriverTBL!$E:$E,MATCH(Table1[[#This Row],[DriverID]],CarrierDriverTBL!$A:$A,0))</f>
        <v>24782</v>
      </c>
      <c r="AU557" s="557">
        <f ca="1">INDEX(CarrierDriverTBL!$F:$F,MATCH(Table1[[#This Row],[DriverID]],CarrierDriverTBL!$A:$A,0))</f>
        <v>48.750684931506846</v>
      </c>
      <c r="AV557" s="554" t="str">
        <f>INDEX(CarrierDriverTBL!$K:$K,MATCH(Table1[[#This Row],[DriverID]],CarrierDriverTBL!$A:$A,0))</f>
        <v>209-276-9785</v>
      </c>
      <c r="AW557" s="554" t="str">
        <f>INDEX(CarrierDriverTBL!$M:$M,MATCH(Table1[[#This Row],[DriverID]],CarrierDriverTBL!$A:$A,0))</f>
        <v>1685 Winthrop Ln</v>
      </c>
      <c r="AX557" s="554" t="str">
        <f>INDEX(CarrierDriverTBL!$N:$N,MATCH(Table1[[#This Row],[DriverID]],CarrierDriverTBL!$A:$A,0))</f>
        <v>Ceres</v>
      </c>
      <c r="AY557" s="554" t="str">
        <f>INDEX(CarrierDriverTBL!$O:$O,MATCH(Table1[[#This Row],[DriverID]],CarrierDriverTBL!$A:$A,0))</f>
        <v>CA</v>
      </c>
      <c r="AZ557" s="554">
        <f>INDEX(CarrierDriverTBL!$P:$P,MATCH(Table1[[#This Row],[DriverID]],CarrierDriverTBL!$A:$A,0))</f>
        <v>95307</v>
      </c>
      <c r="BA557" s="554" t="str">
        <f>INDEX(CarrierDriverTBL!$Q:$Q,MATCH(Table1[[#This Row],[DriverID]],CarrierDriverTBL!$A:$A,0))</f>
        <v>US</v>
      </c>
      <c r="BB557" s="554" t="str">
        <f>INDEX(CarrierDriverTBL!$R:$R,MATCH(Table1[[#This Row],[DriverID]],CarrierDriverTBL!$A:$A,0))</f>
        <v>arturocarr777@gmail.com</v>
      </c>
      <c r="BC557" s="556">
        <f>INDEX(CarrierDriverTBL!$AB:$AB,MATCH(Table1[[#This Row],[DriverID]],CarrierDriverTBL!$A:$A,0))</f>
        <v>42418</v>
      </c>
      <c r="BD557" s="555" t="str">
        <f ca="1">INDEX(CarrierDriverTBL!$AD:$AD,MATCH(LoadMaster!$AN:$AN,CarrierDriverTBL!$A:$A,0))</f>
        <v>MISSING</v>
      </c>
      <c r="BE557" s="555">
        <f>INDEX(CarrierDriverTBL!$AE:$AE,MATCH(Table1[DriverID],CarrierDriverTBL!$A:$A,0))</f>
        <v>913971</v>
      </c>
      <c r="BF557" s="554">
        <f>INDEX(CarrierDriverTBL!$AF:$AF,MATCH(Table1[DriverID],CarrierDriverTBL!$A:$A,0))</f>
        <v>2627544</v>
      </c>
      <c r="BG557" s="236">
        <f>INDEX(CarrierDriverTBL!$AG:$AG,MATCH(Table1[DriverID],CarrierDriverTBL!$A:$A,0))</f>
        <v>466133</v>
      </c>
      <c r="BH557" s="554" t="str">
        <f>INDEX(CarrierDriverTBL!$AH:$AH,MATCH(Table1[DriverID],CarrierDriverTBL!$A:$A,0))</f>
        <v>GM Lawrence Ins</v>
      </c>
      <c r="BI557" s="554" t="str">
        <f>INDEX(CarrierDriverTBL!$AI:$AI,MATCH(Table1[DriverID],CarrierDriverTBL!$A:$A,0))</f>
        <v>DSK2842P160210</v>
      </c>
      <c r="BJ557" s="556">
        <f>INDEX(CarrierDriverTBL!$AJ:$AJ,MATCH(Table1[[#This Row],[DriverID]],CarrierDriverTBL!$A:$A,0))</f>
        <v>42778</v>
      </c>
      <c r="BK557" s="554">
        <f t="shared" si="642"/>
        <v>207</v>
      </c>
      <c r="BL557" s="558">
        <v>1400</v>
      </c>
      <c r="BM557" s="554">
        <v>568.6</v>
      </c>
      <c r="BN557" s="558">
        <f t="shared" si="643"/>
        <v>2.4621878297572986</v>
      </c>
      <c r="BO557" s="241">
        <f>0.93*1400</f>
        <v>1302</v>
      </c>
      <c r="BP557" s="558">
        <f t="shared" si="644"/>
        <v>2.2898346816742876</v>
      </c>
      <c r="BQ557" s="558">
        <v>2.8</v>
      </c>
      <c r="BR557" s="559">
        <f t="shared" si="645"/>
        <v>0.15</v>
      </c>
      <c r="BS557" s="558">
        <f t="shared" si="646"/>
        <v>2.1398346816742877</v>
      </c>
      <c r="BT557" s="558">
        <f t="shared" si="647"/>
        <v>85.29</v>
      </c>
      <c r="BU557" s="236" t="str">
        <f t="shared" si="648"/>
        <v>TQL</v>
      </c>
      <c r="BV557" s="554"/>
      <c r="BW557" s="236" t="str">
        <f>Table1[[#This Row],[BrokerAddress]]</f>
        <v>P.O. Box 799</v>
      </c>
      <c r="BX557" s="236" t="str">
        <f t="shared" si="649"/>
        <v>Milford</v>
      </c>
      <c r="BY557" s="269" t="str">
        <f t="shared" si="650"/>
        <v>Ohio</v>
      </c>
      <c r="BZ557" s="236">
        <f t="shared" si="651"/>
        <v>45150</v>
      </c>
      <c r="CA557" s="236" t="str">
        <f t="shared" si="652"/>
        <v>US</v>
      </c>
      <c r="CB557" s="550" t="s">
        <v>131</v>
      </c>
      <c r="CC557" s="561"/>
      <c r="CD557" s="15" t="s">
        <v>132</v>
      </c>
      <c r="CE557" s="64">
        <v>0</v>
      </c>
      <c r="CF557" s="4">
        <v>0</v>
      </c>
      <c r="CG557" s="132">
        <f t="shared" ref="CG557" si="674">CE557*CF557</f>
        <v>0</v>
      </c>
      <c r="CH557" s="4" t="s">
        <v>132</v>
      </c>
      <c r="CI557" s="5">
        <v>0</v>
      </c>
      <c r="CJ557" s="4">
        <v>0</v>
      </c>
      <c r="CK557" s="132">
        <f t="shared" ref="CK557" si="675">CI557*CJ557</f>
        <v>0</v>
      </c>
      <c r="CL557" s="4" t="s">
        <v>132</v>
      </c>
      <c r="CM557" s="5">
        <v>0</v>
      </c>
      <c r="CN557" s="4">
        <v>0</v>
      </c>
      <c r="CO557" s="132">
        <f t="shared" ref="CO557" si="676">CM557*CN557</f>
        <v>0</v>
      </c>
      <c r="CP557" s="4" t="s">
        <v>132</v>
      </c>
      <c r="CQ557" s="5">
        <v>0</v>
      </c>
      <c r="CR557" s="4">
        <v>0</v>
      </c>
      <c r="CS557" s="412">
        <f t="shared" ref="CS557" si="677">CQ557*CR557</f>
        <v>0</v>
      </c>
      <c r="CT557" s="412">
        <f t="shared" ref="CT557" si="678">CG557+CK557+CO557+CS557</f>
        <v>0</v>
      </c>
      <c r="CU557" s="238">
        <f t="shared" si="658"/>
        <v>1400</v>
      </c>
      <c r="CV557" s="239">
        <f t="shared" si="659"/>
        <v>0</v>
      </c>
      <c r="CW557" s="240">
        <f t="shared" si="660"/>
        <v>1302</v>
      </c>
      <c r="CX557" s="541">
        <f>IF(ISBLANK(E557),"AddQuickPay",IF(E557=2,CU557*0.98,IF(E557=2.4,CU557*0.976,IF(E557=3,CU557*0.97,IF(E557=5,CU557*0.95,IF(E557=1.5,CU557*0.985,IF(E557=2.5,CU557*0.975,IF(E557=1.3,CU557*0.987,IF(E557=1,CU557*0.99,IF(E557=4,CU557*0.96,CU557*1))))))))))-Table1[[#This Row],[ComCheck+QuickPayFee]]</f>
        <v>1358</v>
      </c>
      <c r="CY557" s="237">
        <f t="shared" si="661"/>
        <v>98</v>
      </c>
      <c r="CZ557" s="237">
        <f t="shared" si="662"/>
        <v>42</v>
      </c>
      <c r="DA557" s="263">
        <f>Table1[[#This Row],[OriginalDispatch]]-Table1[[#This Row],[QuickPayCharge]]</f>
        <v>56</v>
      </c>
      <c r="DB557" s="5">
        <v>0</v>
      </c>
      <c r="DC557" s="237" t="s">
        <v>133</v>
      </c>
      <c r="DD557" s="549">
        <f t="shared" si="663"/>
        <v>42573</v>
      </c>
      <c r="DE557" s="554">
        <f>MONTH(Table1[[#This Row],[Weekending]])</f>
        <v>7</v>
      </c>
      <c r="DF557" s="554">
        <f>YEAR(Table1[[#This Row],[Weekending]])</f>
        <v>2016</v>
      </c>
      <c r="DG557" s="235"/>
    </row>
    <row r="558" spans="1:111">
      <c r="A558" s="548" t="str">
        <f t="shared" si="640"/>
        <v>30050593</v>
      </c>
      <c r="B558" s="549">
        <v>42574</v>
      </c>
      <c r="C558" s="550">
        <v>53930</v>
      </c>
      <c r="D558" s="548" t="s">
        <v>1824</v>
      </c>
      <c r="E558" s="550">
        <v>2</v>
      </c>
      <c r="F558" s="551" t="str">
        <f>INDEX(BrokerTBL!$B:$B,MATCH(D558,BrokerTBL!$A:$A,0))</f>
        <v>2109 W Bullard Ave # 101</v>
      </c>
      <c r="G558" s="550" t="str">
        <f>INDEX(BrokerTBL!$C:$C,MATCH(D558,BrokerTBL!$A:$A,0))</f>
        <v>Fresno</v>
      </c>
      <c r="H558" s="235" t="str">
        <f>INDEX(BrokerTBL!$D:$D,MATCH(D558,BrokerTBL!$A:$A,0))</f>
        <v>Ca</v>
      </c>
      <c r="I558" s="235" t="str">
        <f>INDEX(BrokerTBL!$E:$E,MATCH(D558,BrokerTBL!$A:$A,0))</f>
        <v>US</v>
      </c>
      <c r="J558" s="235">
        <f>INDEX(BrokerTBL!$F:$F,MATCH(D558,BrokerTBL!$A:$A,0))</f>
        <v>93711</v>
      </c>
      <c r="K558" s="548" t="s">
        <v>3522</v>
      </c>
      <c r="L558" s="552">
        <v>5005</v>
      </c>
      <c r="M558" s="549">
        <v>42572</v>
      </c>
      <c r="N558" s="550" t="s">
        <v>3523</v>
      </c>
      <c r="O558" s="550" t="s">
        <v>3524</v>
      </c>
      <c r="P558" s="548" t="s">
        <v>3525</v>
      </c>
      <c r="Q558" s="548" t="s">
        <v>2233</v>
      </c>
      <c r="R558" s="548">
        <v>89004</v>
      </c>
      <c r="S558" s="548" t="s">
        <v>2207</v>
      </c>
      <c r="T558" s="548" t="s">
        <v>123</v>
      </c>
      <c r="U558" s="548" t="s">
        <v>120</v>
      </c>
      <c r="V558" s="548">
        <v>53</v>
      </c>
      <c r="W558" s="548" t="s">
        <v>3526</v>
      </c>
      <c r="X558" s="553">
        <v>44500</v>
      </c>
      <c r="Y558" s="550" t="s">
        <v>123</v>
      </c>
      <c r="Z558" s="548" t="s">
        <v>123</v>
      </c>
      <c r="AA558" s="548" t="s">
        <v>123</v>
      </c>
      <c r="AB558" s="548" t="s">
        <v>123</v>
      </c>
      <c r="AC558" s="548" t="s">
        <v>3527</v>
      </c>
      <c r="AD558" s="552">
        <v>5005</v>
      </c>
      <c r="AE558" s="549">
        <v>42573</v>
      </c>
      <c r="AF558" s="560">
        <v>0.29166666666666669</v>
      </c>
      <c r="AG558" s="548" t="s">
        <v>3528</v>
      </c>
      <c r="AH558" s="548" t="s">
        <v>3529</v>
      </c>
      <c r="AI558" s="548" t="s">
        <v>2206</v>
      </c>
      <c r="AJ558" s="548">
        <v>93622</v>
      </c>
      <c r="AK558" s="548" t="s">
        <v>2207</v>
      </c>
      <c r="AL558" s="548" t="s">
        <v>123</v>
      </c>
      <c r="AM558" s="554" t="str">
        <f>INDEX(CarrierDriverTBL!$B:$B,MATCH(Table1[[#This Row],[DriverID]],CarrierDriverTBL!$A:$A,0))</f>
        <v>UBTrucking</v>
      </c>
      <c r="AN558" s="171" t="s">
        <v>2234</v>
      </c>
      <c r="AO558" s="555" t="str">
        <f>INDEX(CarrierDriverTBL!$C:$C,MATCH(Table1[[#This Row],[DriverID]],CarrierDriverTBL!$A:$A,0))</f>
        <v>Arturo</v>
      </c>
      <c r="AP558" s="555" t="str">
        <f>INDEX(CarrierDriverTBL!$D:$D,MATCH(Table1[[#This Row],[DriverID]],CarrierDriverTBL!$A:$A,0))</f>
        <v>Carrillo</v>
      </c>
      <c r="AQ558" s="555" t="str">
        <f>INDEX(CarrierDriverTBL!$X:$X,MATCH(Table1[[#This Row],[DriverID]],CarrierDriverTBL!$A:$A,0))</f>
        <v>C7056793</v>
      </c>
      <c r="AR558" s="556">
        <f>INDEX(CarrierDriverTBL!$Y:$Y,MATCH(Table1[[#This Row],[DriverID]],CarrierDriverTBL!$A:$A,0))</f>
        <v>43410</v>
      </c>
      <c r="AS558" s="554" t="str">
        <f t="shared" si="641"/>
        <v>GOOD</v>
      </c>
      <c r="AT558" s="556">
        <f>INDEX(CarrierDriverTBL!$E:$E,MATCH(Table1[[#This Row],[DriverID]],CarrierDriverTBL!$A:$A,0))</f>
        <v>24782</v>
      </c>
      <c r="AU558" s="557">
        <f ca="1">INDEX(CarrierDriverTBL!$F:$F,MATCH(Table1[[#This Row],[DriverID]],CarrierDriverTBL!$A:$A,0))</f>
        <v>48.750684931506846</v>
      </c>
      <c r="AV558" s="554" t="str">
        <f>INDEX(CarrierDriverTBL!$K:$K,MATCH(Table1[[#This Row],[DriverID]],CarrierDriverTBL!$A:$A,0))</f>
        <v>209-276-9785</v>
      </c>
      <c r="AW558" s="554" t="str">
        <f>INDEX(CarrierDriverTBL!$M:$M,MATCH(Table1[[#This Row],[DriverID]],CarrierDriverTBL!$A:$A,0))</f>
        <v>1685 Winthrop Ln</v>
      </c>
      <c r="AX558" s="554" t="str">
        <f>INDEX(CarrierDriverTBL!$N:$N,MATCH(Table1[[#This Row],[DriverID]],CarrierDriverTBL!$A:$A,0))</f>
        <v>Ceres</v>
      </c>
      <c r="AY558" s="554" t="str">
        <f>INDEX(CarrierDriverTBL!$O:$O,MATCH(Table1[[#This Row],[DriverID]],CarrierDriverTBL!$A:$A,0))</f>
        <v>CA</v>
      </c>
      <c r="AZ558" s="554">
        <f>INDEX(CarrierDriverTBL!$P:$P,MATCH(Table1[[#This Row],[DriverID]],CarrierDriverTBL!$A:$A,0))</f>
        <v>95307</v>
      </c>
      <c r="BA558" s="554" t="str">
        <f>INDEX(CarrierDriverTBL!$Q:$Q,MATCH(Table1[[#This Row],[DriverID]],CarrierDriverTBL!$A:$A,0))</f>
        <v>US</v>
      </c>
      <c r="BB558" s="554" t="str">
        <f>INDEX(CarrierDriverTBL!$R:$R,MATCH(Table1[[#This Row],[DriverID]],CarrierDriverTBL!$A:$A,0))</f>
        <v>arturocarr777@gmail.com</v>
      </c>
      <c r="BC558" s="556">
        <f>INDEX(CarrierDriverTBL!$AB:$AB,MATCH(Table1[[#This Row],[DriverID]],CarrierDriverTBL!$A:$A,0))</f>
        <v>42418</v>
      </c>
      <c r="BD558" s="555" t="str">
        <f ca="1">INDEX(CarrierDriverTBL!$AD:$AD,MATCH(LoadMaster!$AN:$AN,CarrierDriverTBL!$A:$A,0))</f>
        <v>MISSING</v>
      </c>
      <c r="BE558" s="555">
        <f>INDEX(CarrierDriverTBL!$AE:$AE,MATCH(Table1[DriverID],CarrierDriverTBL!$A:$A,0))</f>
        <v>913971</v>
      </c>
      <c r="BF558" s="554">
        <f>INDEX(CarrierDriverTBL!$AF:$AF,MATCH(Table1[DriverID],CarrierDriverTBL!$A:$A,0))</f>
        <v>2627544</v>
      </c>
      <c r="BG558" s="236">
        <f>INDEX(CarrierDriverTBL!$AG:$AG,MATCH(Table1[DriverID],CarrierDriverTBL!$A:$A,0))</f>
        <v>466133</v>
      </c>
      <c r="BH558" s="554" t="str">
        <f>INDEX(CarrierDriverTBL!$AH:$AH,MATCH(Table1[DriverID],CarrierDriverTBL!$A:$A,0))</f>
        <v>GM Lawrence Ins</v>
      </c>
      <c r="BI558" s="554" t="str">
        <f>INDEX(CarrierDriverTBL!$AI:$AI,MATCH(Table1[DriverID],CarrierDriverTBL!$A:$A,0))</f>
        <v>DSK2842P160210</v>
      </c>
      <c r="BJ558" s="556">
        <f>INDEX(CarrierDriverTBL!$AJ:$AJ,MATCH(Table1[[#This Row],[DriverID]],CarrierDriverTBL!$A:$A,0))</f>
        <v>42778</v>
      </c>
      <c r="BK558" s="554">
        <f t="shared" si="642"/>
        <v>206</v>
      </c>
      <c r="BL558" s="558">
        <v>675</v>
      </c>
      <c r="BM558" s="554">
        <v>437.3</v>
      </c>
      <c r="BN558" s="558">
        <f t="shared" si="643"/>
        <v>1.5435627715527098</v>
      </c>
      <c r="BO558" s="241">
        <f>0.93*675</f>
        <v>627.75</v>
      </c>
      <c r="BP558" s="558">
        <f t="shared" si="644"/>
        <v>1.4355133775440201</v>
      </c>
      <c r="BQ558" s="558">
        <v>2.8</v>
      </c>
      <c r="BR558" s="559">
        <f t="shared" si="645"/>
        <v>0.15</v>
      </c>
      <c r="BS558" s="558">
        <f t="shared" si="646"/>
        <v>1.2855133775440202</v>
      </c>
      <c r="BT558" s="558">
        <f t="shared" si="647"/>
        <v>65.594999999999999</v>
      </c>
      <c r="BU558" s="236" t="str">
        <f t="shared" si="648"/>
        <v>Cargobarn Inc.</v>
      </c>
      <c r="BV558" s="554"/>
      <c r="BW558" s="236" t="str">
        <f>Table1[[#This Row],[BrokerAddress]]</f>
        <v>2109 W Bullard Ave # 101</v>
      </c>
      <c r="BX558" s="236" t="str">
        <f t="shared" si="649"/>
        <v>Fresno</v>
      </c>
      <c r="BY558" s="269" t="str">
        <f t="shared" si="650"/>
        <v>Ca</v>
      </c>
      <c r="BZ558" s="236">
        <f t="shared" si="651"/>
        <v>93711</v>
      </c>
      <c r="CA558" s="236" t="str">
        <f t="shared" si="652"/>
        <v>US</v>
      </c>
      <c r="CB558" s="550" t="s">
        <v>131</v>
      </c>
      <c r="CC558" s="561"/>
      <c r="CD558" s="15" t="s">
        <v>132</v>
      </c>
      <c r="CE558" s="64">
        <v>0</v>
      </c>
      <c r="CF558" s="4">
        <v>0</v>
      </c>
      <c r="CG558" s="132">
        <f t="shared" ref="CG558" si="679">CE558*CF558</f>
        <v>0</v>
      </c>
      <c r="CH558" s="4" t="s">
        <v>132</v>
      </c>
      <c r="CI558" s="5">
        <v>0</v>
      </c>
      <c r="CJ558" s="4">
        <v>0</v>
      </c>
      <c r="CK558" s="132">
        <f t="shared" ref="CK558" si="680">CI558*CJ558</f>
        <v>0</v>
      </c>
      <c r="CL558" s="4" t="s">
        <v>132</v>
      </c>
      <c r="CM558" s="5">
        <v>0</v>
      </c>
      <c r="CN558" s="4">
        <v>0</v>
      </c>
      <c r="CO558" s="132">
        <f t="shared" ref="CO558" si="681">CM558*CN558</f>
        <v>0</v>
      </c>
      <c r="CP558" s="4" t="s">
        <v>132</v>
      </c>
      <c r="CQ558" s="5">
        <v>0</v>
      </c>
      <c r="CR558" s="4">
        <v>0</v>
      </c>
      <c r="CS558" s="412">
        <f t="shared" ref="CS558" si="682">CQ558*CR558</f>
        <v>0</v>
      </c>
      <c r="CT558" s="412">
        <f t="shared" ref="CT558" si="683">CG558+CK558+CO558+CS558</f>
        <v>0</v>
      </c>
      <c r="CU558" s="238">
        <f t="shared" si="658"/>
        <v>675</v>
      </c>
      <c r="CV558" s="239">
        <f t="shared" si="659"/>
        <v>0</v>
      </c>
      <c r="CW558" s="240">
        <f t="shared" si="660"/>
        <v>627.75</v>
      </c>
      <c r="CX558" s="541">
        <f>IF(ISBLANK(E558),"AddQuickPay",IF(E558=2,CU558*0.98,IF(E558=2.4,CU558*0.976,IF(E558=3,CU558*0.97,IF(E558=5,CU558*0.95,IF(E558=1.5,CU558*0.985,IF(E558=2.5,CU558*0.975,IF(E558=1.3,CU558*0.987,IF(E558=1,CU558*0.99,IF(E558=4,CU558*0.96,CU558*1))))))))))-Table1[[#This Row],[ComCheck+QuickPayFee]]</f>
        <v>661.5</v>
      </c>
      <c r="CY558" s="237">
        <f t="shared" si="661"/>
        <v>47.25</v>
      </c>
      <c r="CZ558" s="237">
        <f t="shared" si="662"/>
        <v>13.5</v>
      </c>
      <c r="DA558" s="263">
        <f>Table1[[#This Row],[OriginalDispatch]]-Table1[[#This Row],[QuickPayCharge]]</f>
        <v>33.75</v>
      </c>
      <c r="DB558" s="5">
        <v>0</v>
      </c>
      <c r="DC558" s="237" t="s">
        <v>133</v>
      </c>
      <c r="DD558" s="549">
        <f t="shared" si="663"/>
        <v>42573</v>
      </c>
      <c r="DE558" s="554">
        <f>MONTH(Table1[[#This Row],[Weekending]])</f>
        <v>7</v>
      </c>
      <c r="DF558" s="554">
        <f>YEAR(Table1[[#This Row],[Weekending]])</f>
        <v>2016</v>
      </c>
      <c r="DG558" s="235"/>
    </row>
    <row r="559" spans="1:111">
      <c r="A559" s="548" t="str">
        <f t="shared" si="640"/>
        <v>49wnwn47</v>
      </c>
      <c r="B559" s="549">
        <v>42574</v>
      </c>
      <c r="C559" s="550">
        <v>8044849</v>
      </c>
      <c r="D559" s="548" t="s">
        <v>2185</v>
      </c>
      <c r="E559" s="550">
        <v>4</v>
      </c>
      <c r="F559" s="551" t="str">
        <f>INDEX(BrokerTBL!$B:$B,MATCH(D559,BrokerTBL!$A:$A,0))</f>
        <v>PO Box 6348</v>
      </c>
      <c r="G559" s="550" t="str">
        <f>INDEX(BrokerTBL!$C:$C,MATCH(D559,BrokerTBL!$A:$A,0))</f>
        <v>Scottsdale</v>
      </c>
      <c r="H559" s="235" t="str">
        <f>INDEX(BrokerTBL!$D:$D,MATCH(D559,BrokerTBL!$A:$A,0))</f>
        <v>Az</v>
      </c>
      <c r="I559" s="235" t="str">
        <f>INDEX(BrokerTBL!$E:$E,MATCH(D559,BrokerTBL!$A:$A,0))</f>
        <v>US</v>
      </c>
      <c r="J559" s="235">
        <f>INDEX(BrokerTBL!$F:$F,MATCH(D559,BrokerTBL!$A:$A,0))</f>
        <v>85258</v>
      </c>
      <c r="K559" s="548" t="s">
        <v>2374</v>
      </c>
      <c r="L559" s="552" t="s">
        <v>1205</v>
      </c>
      <c r="M559" s="549">
        <v>42571</v>
      </c>
      <c r="N559" s="560">
        <v>0.70833333333333337</v>
      </c>
      <c r="O559" s="550" t="s">
        <v>2375</v>
      </c>
      <c r="P559" s="548" t="s">
        <v>2277</v>
      </c>
      <c r="Q559" s="548" t="s">
        <v>2206</v>
      </c>
      <c r="R559" s="548">
        <v>93725</v>
      </c>
      <c r="S559" s="548" t="s">
        <v>2207</v>
      </c>
      <c r="T559" s="548" t="s">
        <v>123</v>
      </c>
      <c r="U559" s="548" t="s">
        <v>120</v>
      </c>
      <c r="V559" s="548">
        <v>53</v>
      </c>
      <c r="W559" s="548" t="s">
        <v>2376</v>
      </c>
      <c r="X559" s="553">
        <v>42949</v>
      </c>
      <c r="Y559" s="550" t="s">
        <v>566</v>
      </c>
      <c r="Z559" s="548">
        <v>1568</v>
      </c>
      <c r="AA559" s="548">
        <v>26</v>
      </c>
      <c r="AB559" s="548" t="s">
        <v>123</v>
      </c>
      <c r="AC559" s="548" t="s">
        <v>2377</v>
      </c>
      <c r="AD559" s="552" t="s">
        <v>1205</v>
      </c>
      <c r="AE559" s="549">
        <v>42572</v>
      </c>
      <c r="AF559" s="560">
        <v>0.33333333333333331</v>
      </c>
      <c r="AG559" s="548" t="s">
        <v>2378</v>
      </c>
      <c r="AH559" s="548" t="s">
        <v>738</v>
      </c>
      <c r="AI559" s="548" t="s">
        <v>2233</v>
      </c>
      <c r="AJ559" s="548">
        <v>89502</v>
      </c>
      <c r="AK559" s="548" t="s">
        <v>2207</v>
      </c>
      <c r="AL559" s="548" t="s">
        <v>123</v>
      </c>
      <c r="AM559" s="554" t="str">
        <f>INDEX(CarrierDriverTBL!$B:$B,MATCH(Table1[[#This Row],[DriverID]],CarrierDriverTBL!$A:$A,0))</f>
        <v>UBTrucking</v>
      </c>
      <c r="AN559" s="443" t="s">
        <v>3427</v>
      </c>
      <c r="AO559" s="555" t="str">
        <f>INDEX(CarrierDriverTBL!$C:$C,MATCH(Table1[[#This Row],[DriverID]],CarrierDriverTBL!$A:$A,0))</f>
        <v>Anthony</v>
      </c>
      <c r="AP559" s="555" t="str">
        <f>INDEX(CarrierDriverTBL!$D:$D,MATCH(Table1[[#This Row],[DriverID]],CarrierDriverTBL!$A:$A,0))</f>
        <v>Fonseca</v>
      </c>
      <c r="AQ559" s="555" t="str">
        <f>INDEX(CarrierDriverTBL!$X:$X,MATCH(Table1[[#This Row],[DriverID]],CarrierDriverTBL!$A:$A,0))</f>
        <v>D7005547</v>
      </c>
      <c r="AR559" s="556">
        <f>INDEX(CarrierDriverTBL!$Y:$Y,MATCH(Table1[[#This Row],[DriverID]],CarrierDriverTBL!$A:$A,0))</f>
        <v>42963</v>
      </c>
      <c r="AS559" s="554" t="str">
        <f t="shared" si="641"/>
        <v>GOOD</v>
      </c>
      <c r="AT559" s="556">
        <f>INDEX(CarrierDriverTBL!$E:$E,MATCH(Table1[[#This Row],[DriverID]],CarrierDriverTBL!$A:$A,0))</f>
        <v>32371</v>
      </c>
      <c r="AU559" s="557">
        <f ca="1">INDEX(CarrierDriverTBL!$F:$F,MATCH(Table1[[#This Row],[DriverID]],CarrierDriverTBL!$A:$A,0))</f>
        <v>27.958904109589042</v>
      </c>
      <c r="AV559" s="554" t="str">
        <f>INDEX(CarrierDriverTBL!$K:$K,MATCH(Table1[[#This Row],[DriverID]],CarrierDriverTBL!$A:$A,0))</f>
        <v>209-405-4622</v>
      </c>
      <c r="AW559" s="554" t="str">
        <f>INDEX(CarrierDriverTBL!$M:$M,MATCH(Table1[[#This Row],[DriverID]],CarrierDriverTBL!$A:$A,0))</f>
        <v>367 Mosswood Ave</v>
      </c>
      <c r="AX559" s="554" t="str">
        <f>INDEX(CarrierDriverTBL!$N:$N,MATCH(Table1[[#This Row],[DriverID]],CarrierDriverTBL!$A:$A,0))</f>
        <v>Stockton</v>
      </c>
      <c r="AY559" s="554" t="str">
        <f>INDEX(CarrierDriverTBL!$O:$O,MATCH(Table1[[#This Row],[DriverID]],CarrierDriverTBL!$A:$A,0))</f>
        <v>CA</v>
      </c>
      <c r="AZ559" s="554">
        <f>INDEX(CarrierDriverTBL!$P:$P,MATCH(Table1[[#This Row],[DriverID]],CarrierDriverTBL!$A:$A,0))</f>
        <v>95206</v>
      </c>
      <c r="BA559" s="554" t="str">
        <f>INDEX(CarrierDriverTBL!$Q:$Q,MATCH(Table1[[#This Row],[DriverID]],CarrierDriverTBL!$A:$A,0))</f>
        <v>US</v>
      </c>
      <c r="BB559" s="554" t="str">
        <f>INDEX(CarrierDriverTBL!$R:$R,MATCH(Table1[[#This Row],[DriverID]],CarrierDriverTBL!$A:$A,0))</f>
        <v>anthony_fonseca@ymail.com</v>
      </c>
      <c r="BC559" s="556">
        <f>INDEX(CarrierDriverTBL!$AB:$AB,MATCH(Table1[[#This Row],[DriverID]],CarrierDriverTBL!$A:$A,0))</f>
        <v>42562</v>
      </c>
      <c r="BD559" s="555" t="str">
        <f ca="1">INDEX(CarrierDriverTBL!$AD:$AD,MATCH(LoadMaster!$AN:$AN,CarrierDriverTBL!$A:$A,0))</f>
        <v>PASS</v>
      </c>
      <c r="BE559" s="555">
        <f>INDEX(CarrierDriverTBL!$AE:$AE,MATCH(Table1[DriverID],CarrierDriverTBL!$A:$A,0))</f>
        <v>913971</v>
      </c>
      <c r="BF559" s="554">
        <f>INDEX(CarrierDriverTBL!$AF:$AF,MATCH(Table1[DriverID],CarrierDriverTBL!$A:$A,0))</f>
        <v>2627544</v>
      </c>
      <c r="BG559" s="236">
        <f>INDEX(CarrierDriverTBL!$AG:$AG,MATCH(Table1[DriverID],CarrierDriverTBL!$A:$A,0))</f>
        <v>466133</v>
      </c>
      <c r="BH559" s="554" t="str">
        <f>INDEX(CarrierDriverTBL!$AH:$AH,MATCH(Table1[DriverID],CarrierDriverTBL!$A:$A,0))</f>
        <v>GM Lawrence Ins</v>
      </c>
      <c r="BI559" s="554" t="str">
        <f>INDEX(CarrierDriverTBL!$AI:$AI,MATCH(Table1[DriverID],CarrierDriverTBL!$A:$A,0))</f>
        <v>DSK2842P160210</v>
      </c>
      <c r="BJ559" s="556">
        <f>INDEX(CarrierDriverTBL!$AJ:$AJ,MATCH(Table1[[#This Row],[DriverID]],CarrierDriverTBL!$A:$A,0))</f>
        <v>42778</v>
      </c>
      <c r="BK559" s="554">
        <f t="shared" si="642"/>
        <v>207</v>
      </c>
      <c r="BL559" s="558">
        <v>900</v>
      </c>
      <c r="BM559" s="554">
        <v>300.10000000000002</v>
      </c>
      <c r="BN559" s="558">
        <f t="shared" si="643"/>
        <v>2.9990003332222592</v>
      </c>
      <c r="BO559" s="241">
        <f>0.93*900</f>
        <v>837</v>
      </c>
      <c r="BP559" s="558">
        <f t="shared" si="644"/>
        <v>2.7890703098967009</v>
      </c>
      <c r="BQ559" s="558">
        <v>2.8</v>
      </c>
      <c r="BR559" s="559">
        <f t="shared" si="645"/>
        <v>0.15</v>
      </c>
      <c r="BS559" s="558">
        <f t="shared" si="646"/>
        <v>2.639070309896701</v>
      </c>
      <c r="BT559" s="558">
        <f t="shared" si="647"/>
        <v>45.015000000000001</v>
      </c>
      <c r="BU559" s="236" t="str">
        <f t="shared" si="648"/>
        <v>Globaltranz</v>
      </c>
      <c r="BV559" s="554"/>
      <c r="BW559" s="236" t="str">
        <f>Table1[[#This Row],[BrokerAddress]]</f>
        <v>PO Box 6348</v>
      </c>
      <c r="BX559" s="236" t="str">
        <f t="shared" si="649"/>
        <v>Scottsdale</v>
      </c>
      <c r="BY559" s="269" t="str">
        <f t="shared" si="650"/>
        <v>Az</v>
      </c>
      <c r="BZ559" s="236">
        <f t="shared" si="651"/>
        <v>85258</v>
      </c>
      <c r="CA559" s="236" t="str">
        <f t="shared" si="652"/>
        <v>US</v>
      </c>
      <c r="CB559" s="550" t="s">
        <v>131</v>
      </c>
      <c r="CC559" s="561"/>
      <c r="CD559" s="15" t="s">
        <v>132</v>
      </c>
      <c r="CE559" s="64">
        <v>0</v>
      </c>
      <c r="CF559" s="4">
        <v>0</v>
      </c>
      <c r="CG559" s="132">
        <f t="shared" ref="CG559" si="684">CE559*CF559</f>
        <v>0</v>
      </c>
      <c r="CH559" s="4" t="s">
        <v>132</v>
      </c>
      <c r="CI559" s="5">
        <v>0</v>
      </c>
      <c r="CJ559" s="4">
        <v>0</v>
      </c>
      <c r="CK559" s="132">
        <f t="shared" ref="CK559" si="685">CI559*CJ559</f>
        <v>0</v>
      </c>
      <c r="CL559" s="4" t="s">
        <v>132</v>
      </c>
      <c r="CM559" s="5">
        <v>0</v>
      </c>
      <c r="CN559" s="4">
        <v>0</v>
      </c>
      <c r="CO559" s="132">
        <f t="shared" ref="CO559" si="686">CM559*CN559</f>
        <v>0</v>
      </c>
      <c r="CP559" s="4" t="s">
        <v>132</v>
      </c>
      <c r="CQ559" s="5">
        <v>0</v>
      </c>
      <c r="CR559" s="4">
        <v>0</v>
      </c>
      <c r="CS559" s="412">
        <f t="shared" ref="CS559" si="687">CQ559*CR559</f>
        <v>0</v>
      </c>
      <c r="CT559" s="412">
        <f t="shared" ref="CT559" si="688">CG559+CK559+CO559+CS559</f>
        <v>0</v>
      </c>
      <c r="CU559" s="238">
        <f t="shared" si="658"/>
        <v>900</v>
      </c>
      <c r="CV559" s="239">
        <f t="shared" si="659"/>
        <v>0</v>
      </c>
      <c r="CW559" s="240">
        <f t="shared" si="660"/>
        <v>837</v>
      </c>
      <c r="CX559" s="541">
        <f>IF(ISBLANK(E559),"AddQuickPay",IF(E559=2,CU559*0.98,IF(E559=2.4,CU559*0.976,IF(E559=3,CU559*0.97,IF(E559=5,CU559*0.95,IF(E559=1.5,CU559*0.985,IF(E559=2.5,CU559*0.975,IF(E559=1.3,CU559*0.987,IF(E559=1,CU559*0.99,IF(E559=4,CU559*0.96,CU559*1))))))))))-Table1[[#This Row],[ComCheck+QuickPayFee]]</f>
        <v>864</v>
      </c>
      <c r="CY559" s="237">
        <f t="shared" si="661"/>
        <v>63</v>
      </c>
      <c r="CZ559" s="237">
        <f t="shared" si="662"/>
        <v>36</v>
      </c>
      <c r="DA559" s="263">
        <f>Table1[[#This Row],[OriginalDispatch]]-Table1[[#This Row],[QuickPayCharge]]</f>
        <v>27</v>
      </c>
      <c r="DB559" s="5">
        <v>0</v>
      </c>
      <c r="DC559" s="237" t="s">
        <v>133</v>
      </c>
      <c r="DD559" s="549">
        <f t="shared" si="663"/>
        <v>42573</v>
      </c>
      <c r="DE559" s="554">
        <f>MONTH(Table1[[#This Row],[Weekending]])</f>
        <v>7</v>
      </c>
      <c r="DF559" s="554">
        <f>YEAR(Table1[[#This Row],[Weekending]])</f>
        <v>2016</v>
      </c>
      <c r="DG559" s="235"/>
    </row>
    <row r="560" spans="1:111">
      <c r="A560" s="548" t="str">
        <f t="shared" si="640"/>
        <v>18/Awn49</v>
      </c>
      <c r="B560" s="549">
        <v>42574</v>
      </c>
      <c r="C560" s="550">
        <v>207316618</v>
      </c>
      <c r="D560" s="548" t="s">
        <v>111</v>
      </c>
      <c r="E560" s="550">
        <v>2</v>
      </c>
      <c r="F560" s="551" t="str">
        <f>INDEX(BrokerTBL!$B:$B,MATCH(D560,BrokerTBL!$A:$A,0))</f>
        <v>P.O. Box 3474</v>
      </c>
      <c r="G560" s="550" t="str">
        <f>INDEX(BrokerTBL!$C:$C,MATCH(D560,BrokerTBL!$A:$A,0))</f>
        <v>Chicago</v>
      </c>
      <c r="H560" s="235" t="str">
        <f>INDEX(BrokerTBL!$D:$D,MATCH(D560,BrokerTBL!$A:$A,0))</f>
        <v>Il</v>
      </c>
      <c r="I560" s="235" t="str">
        <f>INDEX(BrokerTBL!$E:$E,MATCH(D560,BrokerTBL!$A:$A,0))</f>
        <v>US</v>
      </c>
      <c r="J560" s="235">
        <f>INDEX(BrokerTBL!$F:$F,MATCH(D560,BrokerTBL!$A:$A,0))</f>
        <v>60654</v>
      </c>
      <c r="K560" s="548" t="s">
        <v>255</v>
      </c>
      <c r="L560" s="552" t="s">
        <v>2918</v>
      </c>
      <c r="M560" s="549">
        <v>42572</v>
      </c>
      <c r="N560" s="550" t="s">
        <v>123</v>
      </c>
      <c r="O560" s="550" t="s">
        <v>257</v>
      </c>
      <c r="P560" s="548" t="s">
        <v>2330</v>
      </c>
      <c r="Q560" s="548" t="s">
        <v>2206</v>
      </c>
      <c r="R560" s="548">
        <v>94533</v>
      </c>
      <c r="S560" s="548" t="s">
        <v>2207</v>
      </c>
      <c r="T560" s="548" t="s">
        <v>3530</v>
      </c>
      <c r="U560" s="548" t="s">
        <v>120</v>
      </c>
      <c r="V560" s="548">
        <v>53</v>
      </c>
      <c r="W560" s="548" t="s">
        <v>3531</v>
      </c>
      <c r="X560" s="553">
        <v>44000</v>
      </c>
      <c r="Y560" s="550" t="s">
        <v>2732</v>
      </c>
      <c r="Z560" s="548" t="s">
        <v>123</v>
      </c>
      <c r="AA560" s="548">
        <v>24</v>
      </c>
      <c r="AB560" s="548" t="s">
        <v>123</v>
      </c>
      <c r="AC560" s="548" t="s">
        <v>3532</v>
      </c>
      <c r="AD560" s="552" t="s">
        <v>1205</v>
      </c>
      <c r="AE560" s="549">
        <v>42573</v>
      </c>
      <c r="AF560" s="549" t="s">
        <v>1121</v>
      </c>
      <c r="AG560" s="548" t="s">
        <v>3533</v>
      </c>
      <c r="AH560" s="548" t="s">
        <v>3534</v>
      </c>
      <c r="AI560" s="548" t="s">
        <v>2206</v>
      </c>
      <c r="AJ560" s="548">
        <v>93657</v>
      </c>
      <c r="AK560" s="548" t="s">
        <v>2207</v>
      </c>
      <c r="AL560" s="548" t="s">
        <v>123</v>
      </c>
      <c r="AM560" s="554" t="str">
        <f>INDEX(CarrierDriverTBL!$B:$B,MATCH(Table1[[#This Row],[DriverID]],CarrierDriverTBL!$A:$A,0))</f>
        <v>UBTrucking</v>
      </c>
      <c r="AN560" s="10" t="s">
        <v>192</v>
      </c>
      <c r="AO560" s="555" t="str">
        <f>INDEX(CarrierDriverTBL!$C:$C,MATCH(Table1[[#This Row],[DriverID]],CarrierDriverTBL!$A:$A,0))</f>
        <v>Albel</v>
      </c>
      <c r="AP560" s="555" t="str">
        <f>INDEX(CarrierDriverTBL!$D:$D,MATCH(Table1[[#This Row],[DriverID]],CarrierDriverTBL!$A:$A,0))</f>
        <v>Chahil</v>
      </c>
      <c r="AQ560" s="555" t="str">
        <f>INDEX(CarrierDriverTBL!$X:$X,MATCH(Table1[[#This Row],[DriverID]],CarrierDriverTBL!$A:$A,0))</f>
        <v>A8390649</v>
      </c>
      <c r="AR560" s="556">
        <f>INDEX(CarrierDriverTBL!$Y:$Y,MATCH(Table1[[#This Row],[DriverID]],CarrierDriverTBL!$A:$A,0))</f>
        <v>42402</v>
      </c>
      <c r="AS560" s="554" t="str">
        <f t="shared" si="641"/>
        <v>EXPIRED</v>
      </c>
      <c r="AT560" s="556">
        <f>INDEX(CarrierDriverTBL!$E:$E,MATCH(Table1[[#This Row],[DriverID]],CarrierDriverTBL!$A:$A,0))</f>
        <v>22314</v>
      </c>
      <c r="AU560" s="557">
        <f ca="1">INDEX(CarrierDriverTBL!$F:$F,MATCH(Table1[[#This Row],[DriverID]],CarrierDriverTBL!$A:$A,0))</f>
        <v>55.512328767123286</v>
      </c>
      <c r="AV560" s="554" t="str">
        <f>INDEX(CarrierDriverTBL!$K:$K,MATCH(Table1[[#This Row],[DriverID]],CarrierDriverTBL!$A:$A,0))</f>
        <v>510-773-9450</v>
      </c>
      <c r="AW560" s="554" t="str">
        <f>INDEX(CarrierDriverTBL!$M:$M,MATCH(Table1[[#This Row],[DriverID]],CarrierDriverTBL!$A:$A,0))</f>
        <v>3124 Cynthia CT</v>
      </c>
      <c r="AX560" s="554" t="str">
        <f>INDEX(CarrierDriverTBL!$N:$N,MATCH(Table1[[#This Row],[DriverID]],CarrierDriverTBL!$A:$A,0))</f>
        <v>Tracy</v>
      </c>
      <c r="AY560" s="554" t="str">
        <f>INDEX(CarrierDriverTBL!$O:$O,MATCH(Table1[[#This Row],[DriverID]],CarrierDriverTBL!$A:$A,0))</f>
        <v>CA</v>
      </c>
      <c r="AZ560" s="554">
        <f>INDEX(CarrierDriverTBL!$P:$P,MATCH(Table1[[#This Row],[DriverID]],CarrierDriverTBL!$A:$A,0))</f>
        <v>95377</v>
      </c>
      <c r="BA560" s="554" t="str">
        <f>INDEX(CarrierDriverTBL!$Q:$Q,MATCH(Table1[[#This Row],[DriverID]],CarrierDriverTBL!$A:$A,0))</f>
        <v>US</v>
      </c>
      <c r="BB560" s="554" t="str">
        <f>INDEX(CarrierDriverTBL!$R:$R,MATCH(Table1[[#This Row],[DriverID]],CarrierDriverTBL!$A:$A,0))</f>
        <v>ubgollc@gmail.com</v>
      </c>
      <c r="BC560" s="556">
        <f>INDEX(CarrierDriverTBL!$AB:$AB,MATCH(Table1[[#This Row],[DriverID]],CarrierDriverTBL!$A:$A,0))</f>
        <v>42167</v>
      </c>
      <c r="BD560" s="555" t="str">
        <f ca="1">INDEX(CarrierDriverTBL!$AD:$AD,MATCH(LoadMaster!$AN:$AN,CarrierDriverTBL!$A:$A,0))</f>
        <v>MISSING</v>
      </c>
      <c r="BE560" s="555">
        <f>INDEX(CarrierDriverTBL!$AE:$AE,MATCH(Table1[DriverID],CarrierDriverTBL!$A:$A,0))</f>
        <v>913971</v>
      </c>
      <c r="BF560" s="554">
        <f>INDEX(CarrierDriverTBL!$AF:$AF,MATCH(Table1[DriverID],CarrierDriverTBL!$A:$A,0))</f>
        <v>2627544</v>
      </c>
      <c r="BG560" s="236">
        <f>INDEX(CarrierDriverTBL!$AG:$AG,MATCH(Table1[DriverID],CarrierDriverTBL!$A:$A,0))</f>
        <v>466133</v>
      </c>
      <c r="BH560" s="554" t="str">
        <f>INDEX(CarrierDriverTBL!$AH:$AH,MATCH(Table1[DriverID],CarrierDriverTBL!$A:$A,0))</f>
        <v>GM Lawrence Ins</v>
      </c>
      <c r="BI560" s="554" t="str">
        <f>INDEX(CarrierDriverTBL!$AI:$AI,MATCH(Table1[DriverID],CarrierDriverTBL!$A:$A,0))</f>
        <v>DSK2842P160210</v>
      </c>
      <c r="BJ560" s="556">
        <f>INDEX(CarrierDriverTBL!$AJ:$AJ,MATCH(Table1[[#This Row],[DriverID]],CarrierDriverTBL!$A:$A,0))</f>
        <v>42778</v>
      </c>
      <c r="BK560" s="554">
        <f t="shared" si="642"/>
        <v>206</v>
      </c>
      <c r="BL560" s="558">
        <v>550</v>
      </c>
      <c r="BM560" s="554">
        <v>195.1</v>
      </c>
      <c r="BN560" s="558">
        <f t="shared" si="643"/>
        <v>2.8190671450538187</v>
      </c>
      <c r="BO560" s="241">
        <f>0.93*550</f>
        <v>511.5</v>
      </c>
      <c r="BP560" s="558">
        <f t="shared" si="644"/>
        <v>2.6217324449000512</v>
      </c>
      <c r="BQ560" s="558">
        <v>2.8</v>
      </c>
      <c r="BR560" s="559">
        <f t="shared" si="645"/>
        <v>0.15</v>
      </c>
      <c r="BS560" s="558">
        <f t="shared" si="646"/>
        <v>2.4717324449000513</v>
      </c>
      <c r="BT560" s="558">
        <f t="shared" si="647"/>
        <v>29.264999999999997</v>
      </c>
      <c r="BU560" s="236" t="str">
        <f t="shared" si="648"/>
        <v>Ch Robinson</v>
      </c>
      <c r="BV560" s="554"/>
      <c r="BW560" s="236" t="str">
        <f>Table1[[#This Row],[BrokerAddress]]</f>
        <v>P.O. Box 3474</v>
      </c>
      <c r="BX560" s="236" t="str">
        <f t="shared" si="649"/>
        <v>Chicago</v>
      </c>
      <c r="BY560" s="269" t="str">
        <f t="shared" si="650"/>
        <v>Il</v>
      </c>
      <c r="BZ560" s="236">
        <f t="shared" si="651"/>
        <v>60654</v>
      </c>
      <c r="CA560" s="236" t="str">
        <f t="shared" si="652"/>
        <v>US</v>
      </c>
      <c r="CB560" s="550" t="s">
        <v>131</v>
      </c>
      <c r="CC560" s="561"/>
      <c r="CD560" s="15" t="s">
        <v>132</v>
      </c>
      <c r="CE560" s="64">
        <v>0</v>
      </c>
      <c r="CF560" s="4">
        <v>0</v>
      </c>
      <c r="CG560" s="132">
        <f t="shared" ref="CG560" si="689">CE560*CF560</f>
        <v>0</v>
      </c>
      <c r="CH560" s="4" t="s">
        <v>132</v>
      </c>
      <c r="CI560" s="5">
        <v>0</v>
      </c>
      <c r="CJ560" s="4">
        <v>0</v>
      </c>
      <c r="CK560" s="132">
        <f t="shared" ref="CK560" si="690">CI560*CJ560</f>
        <v>0</v>
      </c>
      <c r="CL560" s="4" t="s">
        <v>132</v>
      </c>
      <c r="CM560" s="5">
        <v>0</v>
      </c>
      <c r="CN560" s="4">
        <v>0</v>
      </c>
      <c r="CO560" s="132">
        <f t="shared" ref="CO560" si="691">CM560*CN560</f>
        <v>0</v>
      </c>
      <c r="CP560" s="4" t="s">
        <v>132</v>
      </c>
      <c r="CQ560" s="5">
        <v>0</v>
      </c>
      <c r="CR560" s="4">
        <v>0</v>
      </c>
      <c r="CS560" s="412">
        <f t="shared" ref="CS560" si="692">CQ560*CR560</f>
        <v>0</v>
      </c>
      <c r="CT560" s="412">
        <f t="shared" ref="CT560" si="693">CG560+CK560+CO560+CS560</f>
        <v>0</v>
      </c>
      <c r="CU560" s="238">
        <f t="shared" si="658"/>
        <v>550</v>
      </c>
      <c r="CV560" s="239">
        <f t="shared" si="659"/>
        <v>0</v>
      </c>
      <c r="CW560" s="240">
        <f t="shared" si="660"/>
        <v>511.5</v>
      </c>
      <c r="CX560" s="541">
        <f>IF(ISBLANK(E560),"AddQuickPay",IF(E560=2,CU560*0.98,IF(E560=2.4,CU560*0.976,IF(E560=3,CU560*0.97,IF(E560=5,CU560*0.95,IF(E560=1.5,CU560*0.985,IF(E560=2.5,CU560*0.975,IF(E560=1.3,CU560*0.987,IF(E560=1,CU560*0.99,IF(E560=4,CU560*0.96,CU560*1))))))))))-Table1[[#This Row],[ComCheck+QuickPayFee]]</f>
        <v>539</v>
      </c>
      <c r="CY560" s="237">
        <f t="shared" si="661"/>
        <v>38.5</v>
      </c>
      <c r="CZ560" s="237">
        <f t="shared" si="662"/>
        <v>11</v>
      </c>
      <c r="DA560" s="263">
        <f>Table1[[#This Row],[OriginalDispatch]]-Table1[[#This Row],[QuickPayCharge]]</f>
        <v>27.5</v>
      </c>
      <c r="DB560" s="5">
        <v>0</v>
      </c>
      <c r="DC560" s="237" t="s">
        <v>133</v>
      </c>
      <c r="DD560" s="549">
        <f t="shared" si="663"/>
        <v>42573</v>
      </c>
      <c r="DE560" s="554">
        <f>MONTH(Table1[[#This Row],[Weekending]])</f>
        <v>7</v>
      </c>
      <c r="DF560" s="554">
        <f>YEAR(Table1[[#This Row],[Weekending]])</f>
        <v>2016</v>
      </c>
      <c r="DG560" s="235"/>
    </row>
    <row r="561" spans="1:111">
      <c r="A561" s="548" t="str">
        <f t="shared" si="640"/>
        <v>79/Awn49</v>
      </c>
      <c r="B561" s="549">
        <v>42574</v>
      </c>
      <c r="C561" s="550">
        <v>45579</v>
      </c>
      <c r="D561" s="548" t="s">
        <v>3535</v>
      </c>
      <c r="E561" s="550">
        <v>0</v>
      </c>
      <c r="F561" s="551" t="str">
        <f>INDEX(BrokerTBL!$B:$B,MATCH(D561,BrokerTBL!$A:$A,0))</f>
        <v>10885 Washington Blvd</v>
      </c>
      <c r="G561" s="550" t="str">
        <f>INDEX(BrokerTBL!$C:$C,MATCH(D561,BrokerTBL!$A:$A,0))</f>
        <v>Culver City</v>
      </c>
      <c r="H561" s="235" t="str">
        <f>INDEX(BrokerTBL!$D:$D,MATCH(D561,BrokerTBL!$A:$A,0))</f>
        <v>CA</v>
      </c>
      <c r="I561" s="235" t="str">
        <f>INDEX(BrokerTBL!$E:$E,MATCH(D561,BrokerTBL!$A:$A,0))</f>
        <v>US</v>
      </c>
      <c r="J561" s="235">
        <f>INDEX(BrokerTBL!$F:$F,MATCH(D561,BrokerTBL!$A:$A,0))</f>
        <v>90232</v>
      </c>
      <c r="K561" s="548" t="s">
        <v>3536</v>
      </c>
      <c r="L561" s="552" t="s">
        <v>2918</v>
      </c>
      <c r="M561" s="549">
        <v>42571</v>
      </c>
      <c r="N561" s="550" t="s">
        <v>2801</v>
      </c>
      <c r="O561" s="550" t="s">
        <v>3537</v>
      </c>
      <c r="P561" s="548" t="s">
        <v>429</v>
      </c>
      <c r="Q561" s="548" t="s">
        <v>2206</v>
      </c>
      <c r="R561" s="548">
        <v>93446</v>
      </c>
      <c r="S561" s="548" t="s">
        <v>2207</v>
      </c>
      <c r="T561" s="548" t="s">
        <v>3538</v>
      </c>
      <c r="U561" s="548" t="s">
        <v>120</v>
      </c>
      <c r="V561" s="548">
        <v>53</v>
      </c>
      <c r="W561" s="548" t="s">
        <v>3539</v>
      </c>
      <c r="X561" s="553">
        <v>30000</v>
      </c>
      <c r="Y561" s="550" t="s">
        <v>26</v>
      </c>
      <c r="Z561" s="548" t="s">
        <v>123</v>
      </c>
      <c r="AA561" s="548">
        <v>20</v>
      </c>
      <c r="AB561" s="548" t="s">
        <v>123</v>
      </c>
      <c r="AC561" s="548" t="s">
        <v>3540</v>
      </c>
      <c r="AD561" s="552" t="s">
        <v>1205</v>
      </c>
      <c r="AE561" s="549">
        <v>42571</v>
      </c>
      <c r="AF561" s="549" t="s">
        <v>2918</v>
      </c>
      <c r="AG561" s="548" t="s">
        <v>3541</v>
      </c>
      <c r="AH561" s="548" t="s">
        <v>2341</v>
      </c>
      <c r="AI561" s="548" t="s">
        <v>2206</v>
      </c>
      <c r="AJ561" s="548">
        <v>95403</v>
      </c>
      <c r="AK561" s="548" t="s">
        <v>2207</v>
      </c>
      <c r="AL561" s="548" t="s">
        <v>3542</v>
      </c>
      <c r="AM561" s="554" t="str">
        <f>INDEX(CarrierDriverTBL!$B:$B,MATCH(Table1[[#This Row],[DriverID]],CarrierDriverTBL!$A:$A,0))</f>
        <v>UBTrucking</v>
      </c>
      <c r="AN561" s="10" t="s">
        <v>192</v>
      </c>
      <c r="AO561" s="555" t="str">
        <f>INDEX(CarrierDriverTBL!$C:$C,MATCH(Table1[[#This Row],[DriverID]],CarrierDriverTBL!$A:$A,0))</f>
        <v>Albel</v>
      </c>
      <c r="AP561" s="555" t="str">
        <f>INDEX(CarrierDriverTBL!$D:$D,MATCH(Table1[[#This Row],[DriverID]],CarrierDriverTBL!$A:$A,0))</f>
        <v>Chahil</v>
      </c>
      <c r="AQ561" s="555" t="str">
        <f>INDEX(CarrierDriverTBL!$X:$X,MATCH(Table1[[#This Row],[DriverID]],CarrierDriverTBL!$A:$A,0))</f>
        <v>A8390649</v>
      </c>
      <c r="AR561" s="556">
        <f>INDEX(CarrierDriverTBL!$Y:$Y,MATCH(Table1[[#This Row],[DriverID]],CarrierDriverTBL!$A:$A,0))</f>
        <v>42402</v>
      </c>
      <c r="AS561" s="554" t="str">
        <f t="shared" si="641"/>
        <v>EXPIRED</v>
      </c>
      <c r="AT561" s="556">
        <f>INDEX(CarrierDriverTBL!$E:$E,MATCH(Table1[[#This Row],[DriverID]],CarrierDriverTBL!$A:$A,0))</f>
        <v>22314</v>
      </c>
      <c r="AU561" s="557">
        <f ca="1">INDEX(CarrierDriverTBL!$F:$F,MATCH(Table1[[#This Row],[DriverID]],CarrierDriverTBL!$A:$A,0))</f>
        <v>55.512328767123286</v>
      </c>
      <c r="AV561" s="554" t="str">
        <f>INDEX(CarrierDriverTBL!$K:$K,MATCH(Table1[[#This Row],[DriverID]],CarrierDriverTBL!$A:$A,0))</f>
        <v>510-773-9450</v>
      </c>
      <c r="AW561" s="554" t="str">
        <f>INDEX(CarrierDriverTBL!$M:$M,MATCH(Table1[[#This Row],[DriverID]],CarrierDriverTBL!$A:$A,0))</f>
        <v>3124 Cynthia CT</v>
      </c>
      <c r="AX561" s="554" t="str">
        <f>INDEX(CarrierDriverTBL!$N:$N,MATCH(Table1[[#This Row],[DriverID]],CarrierDriverTBL!$A:$A,0))</f>
        <v>Tracy</v>
      </c>
      <c r="AY561" s="554" t="str">
        <f>INDEX(CarrierDriverTBL!$O:$O,MATCH(Table1[[#This Row],[DriverID]],CarrierDriverTBL!$A:$A,0))</f>
        <v>CA</v>
      </c>
      <c r="AZ561" s="554">
        <f>INDEX(CarrierDriverTBL!$P:$P,MATCH(Table1[[#This Row],[DriverID]],CarrierDriverTBL!$A:$A,0))</f>
        <v>95377</v>
      </c>
      <c r="BA561" s="554" t="str">
        <f>INDEX(CarrierDriverTBL!$Q:$Q,MATCH(Table1[[#This Row],[DriverID]],CarrierDriverTBL!$A:$A,0))</f>
        <v>US</v>
      </c>
      <c r="BB561" s="554" t="str">
        <f>INDEX(CarrierDriverTBL!$R:$R,MATCH(Table1[[#This Row],[DriverID]],CarrierDriverTBL!$A:$A,0))</f>
        <v>ubgollc@gmail.com</v>
      </c>
      <c r="BC561" s="556">
        <f>INDEX(CarrierDriverTBL!$AB:$AB,MATCH(Table1[[#This Row],[DriverID]],CarrierDriverTBL!$A:$A,0))</f>
        <v>42167</v>
      </c>
      <c r="BD561" s="555" t="str">
        <f ca="1">INDEX(CarrierDriverTBL!$AD:$AD,MATCH(LoadMaster!$AN:$AN,CarrierDriverTBL!$A:$A,0))</f>
        <v>MISSING</v>
      </c>
      <c r="BE561" s="555">
        <f>INDEX(CarrierDriverTBL!$AE:$AE,MATCH(Table1[DriverID],CarrierDriverTBL!$A:$A,0))</f>
        <v>913971</v>
      </c>
      <c r="BF561" s="554">
        <f>INDEX(CarrierDriverTBL!$AF:$AF,MATCH(Table1[DriverID],CarrierDriverTBL!$A:$A,0))</f>
        <v>2627544</v>
      </c>
      <c r="BG561" s="236">
        <f>INDEX(CarrierDriverTBL!$AG:$AG,MATCH(Table1[DriverID],CarrierDriverTBL!$A:$A,0))</f>
        <v>466133</v>
      </c>
      <c r="BH561" s="554" t="str">
        <f>INDEX(CarrierDriverTBL!$AH:$AH,MATCH(Table1[DriverID],CarrierDriverTBL!$A:$A,0))</f>
        <v>GM Lawrence Ins</v>
      </c>
      <c r="BI561" s="554" t="str">
        <f>INDEX(CarrierDriverTBL!$AI:$AI,MATCH(Table1[DriverID],CarrierDriverTBL!$A:$A,0))</f>
        <v>DSK2842P160210</v>
      </c>
      <c r="BJ561" s="556">
        <f>INDEX(CarrierDriverTBL!$AJ:$AJ,MATCH(Table1[[#This Row],[DriverID]],CarrierDriverTBL!$A:$A,0))</f>
        <v>42778</v>
      </c>
      <c r="BK561" s="554">
        <f t="shared" si="642"/>
        <v>207</v>
      </c>
      <c r="BL561" s="558">
        <v>800</v>
      </c>
      <c r="BM561" s="554">
        <v>255.4</v>
      </c>
      <c r="BN561" s="558">
        <f t="shared" si="643"/>
        <v>3.1323414252153485</v>
      </c>
      <c r="BO561" s="241">
        <f>0.93*800</f>
        <v>744</v>
      </c>
      <c r="BP561" s="558">
        <f t="shared" si="644"/>
        <v>2.9130775254502739</v>
      </c>
      <c r="BQ561" s="558">
        <v>2.8</v>
      </c>
      <c r="BR561" s="559">
        <f t="shared" si="645"/>
        <v>0.15</v>
      </c>
      <c r="BS561" s="558">
        <f t="shared" si="646"/>
        <v>2.763077525450274</v>
      </c>
      <c r="BT561" s="558">
        <f t="shared" si="647"/>
        <v>38.31</v>
      </c>
      <c r="BU561" s="236" t="str">
        <f t="shared" si="648"/>
        <v>Boa Logistics</v>
      </c>
      <c r="BV561" s="554"/>
      <c r="BW561" s="236" t="str">
        <f>Table1[[#This Row],[BrokerAddress]]</f>
        <v>10885 Washington Blvd</v>
      </c>
      <c r="BX561" s="236" t="str">
        <f t="shared" si="649"/>
        <v>Culver City</v>
      </c>
      <c r="BY561" s="269" t="str">
        <f t="shared" si="650"/>
        <v>CA</v>
      </c>
      <c r="BZ561" s="236">
        <f t="shared" si="651"/>
        <v>90232</v>
      </c>
      <c r="CA561" s="236" t="str">
        <f t="shared" si="652"/>
        <v>US</v>
      </c>
      <c r="CB561" s="550" t="s">
        <v>131</v>
      </c>
      <c r="CC561" s="561"/>
      <c r="CD561" s="15" t="s">
        <v>132</v>
      </c>
      <c r="CE561" s="64">
        <v>0</v>
      </c>
      <c r="CF561" s="4">
        <v>0</v>
      </c>
      <c r="CG561" s="132">
        <f t="shared" ref="CG561" si="694">CE561*CF561</f>
        <v>0</v>
      </c>
      <c r="CH561" s="4" t="s">
        <v>132</v>
      </c>
      <c r="CI561" s="5">
        <v>0</v>
      </c>
      <c r="CJ561" s="4">
        <v>0</v>
      </c>
      <c r="CK561" s="132">
        <f t="shared" ref="CK561" si="695">CI561*CJ561</f>
        <v>0</v>
      </c>
      <c r="CL561" s="4" t="s">
        <v>132</v>
      </c>
      <c r="CM561" s="5">
        <v>0</v>
      </c>
      <c r="CN561" s="4">
        <v>0</v>
      </c>
      <c r="CO561" s="132">
        <f t="shared" ref="CO561" si="696">CM561*CN561</f>
        <v>0</v>
      </c>
      <c r="CP561" s="4" t="s">
        <v>132</v>
      </c>
      <c r="CQ561" s="5">
        <v>0</v>
      </c>
      <c r="CR561" s="4">
        <v>0</v>
      </c>
      <c r="CS561" s="412">
        <f t="shared" ref="CS561" si="697">CQ561*CR561</f>
        <v>0</v>
      </c>
      <c r="CT561" s="412">
        <f t="shared" ref="CT561" si="698">CG561+CK561+CO561+CS561</f>
        <v>0</v>
      </c>
      <c r="CU561" s="238">
        <f t="shared" si="658"/>
        <v>800</v>
      </c>
      <c r="CV561" s="239">
        <f t="shared" si="659"/>
        <v>0</v>
      </c>
      <c r="CW561" s="240">
        <f t="shared" si="660"/>
        <v>744</v>
      </c>
      <c r="CX561" s="541">
        <f>IF(ISBLANK(E561),"AddQuickPay",IF(E561=2,CU561*0.98,IF(E561=2.4,CU561*0.976,IF(E561=3,CU561*0.97,IF(E561=5,CU561*0.95,IF(E561=1.5,CU561*0.985,IF(E561=2.5,CU561*0.975,IF(E561=1.3,CU561*0.987,IF(E561=1,CU561*0.99,IF(E561=4,CU561*0.96,CU561*1))))))))))-Table1[[#This Row],[ComCheck+QuickPayFee]]</f>
        <v>800</v>
      </c>
      <c r="CY561" s="237">
        <f t="shared" si="661"/>
        <v>56</v>
      </c>
      <c r="CZ561" s="237">
        <f t="shared" si="662"/>
        <v>0</v>
      </c>
      <c r="DA561" s="263">
        <f>Table1[[#This Row],[OriginalDispatch]]-Table1[[#This Row],[QuickPayCharge]]</f>
        <v>56</v>
      </c>
      <c r="DB561" s="5">
        <v>0</v>
      </c>
      <c r="DC561" s="237" t="s">
        <v>133</v>
      </c>
      <c r="DD561" s="549">
        <f t="shared" si="663"/>
        <v>42573</v>
      </c>
      <c r="DE561" s="554">
        <f>MONTH(Table1[[#This Row],[Weekending]])</f>
        <v>7</v>
      </c>
      <c r="DF561" s="554">
        <f>YEAR(Table1[[#This Row],[Weekending]])</f>
        <v>2016</v>
      </c>
      <c r="DG561" s="235"/>
    </row>
    <row r="562" spans="1:111">
      <c r="A562" s="548" t="str">
        <f t="shared" si="640"/>
        <v>3065wn19</v>
      </c>
      <c r="B562" s="549">
        <v>42574</v>
      </c>
      <c r="C562" s="550">
        <v>486212530</v>
      </c>
      <c r="D562" s="91" t="s">
        <v>3543</v>
      </c>
      <c r="E562" s="550">
        <v>0</v>
      </c>
      <c r="F562" s="551" t="str">
        <f>INDEX(BrokerTBL!$B:$B,MATCH(D562,BrokerTBL!$A:$A,0))</f>
        <v>P.O. BOX 1349</v>
      </c>
      <c r="G562" s="550" t="str">
        <f>INDEX(BrokerTBL!$C:$C,MATCH(D562,BrokerTBL!$A:$A,0))</f>
        <v>BOUNTIFUL</v>
      </c>
      <c r="H562" s="235" t="str">
        <f>INDEX(BrokerTBL!$D:$D,MATCH(D562,BrokerTBL!$A:$A,0))</f>
        <v>UT</v>
      </c>
      <c r="I562" s="235" t="str">
        <f>INDEX(BrokerTBL!$E:$E,MATCH(D562,BrokerTBL!$A:$A,0))</f>
        <v>US</v>
      </c>
      <c r="J562" s="235">
        <f>INDEX(BrokerTBL!$F:$F,MATCH(D562,BrokerTBL!$A:$A,0))</f>
        <v>84011</v>
      </c>
      <c r="K562" s="548" t="s">
        <v>3544</v>
      </c>
      <c r="L562" s="552">
        <v>4600031965</v>
      </c>
      <c r="M562" s="549">
        <v>42572</v>
      </c>
      <c r="N562" s="560">
        <v>0.4513888888888889</v>
      </c>
      <c r="O562" s="550" t="s">
        <v>3545</v>
      </c>
      <c r="P562" s="548" t="s">
        <v>3546</v>
      </c>
      <c r="Q562" s="548" t="s">
        <v>2206</v>
      </c>
      <c r="R562" s="548" t="s">
        <v>123</v>
      </c>
      <c r="S562" s="548" t="s">
        <v>2207</v>
      </c>
      <c r="T562" s="548" t="s">
        <v>123</v>
      </c>
      <c r="U562" s="548" t="s">
        <v>120</v>
      </c>
      <c r="V562" s="548">
        <v>53</v>
      </c>
      <c r="W562" s="548" t="s">
        <v>3547</v>
      </c>
      <c r="X562" s="553" t="s">
        <v>123</v>
      </c>
      <c r="Y562" s="550" t="s">
        <v>123</v>
      </c>
      <c r="Z562" s="548" t="s">
        <v>123</v>
      </c>
      <c r="AA562" s="548" t="s">
        <v>123</v>
      </c>
      <c r="AB562" s="548" t="s">
        <v>123</v>
      </c>
      <c r="AC562" s="548" t="s">
        <v>3548</v>
      </c>
      <c r="AD562" s="552" t="s">
        <v>1205</v>
      </c>
      <c r="AE562" s="549">
        <v>42573</v>
      </c>
      <c r="AF562" s="549" t="s">
        <v>2918</v>
      </c>
      <c r="AG562" s="548" t="s">
        <v>3549</v>
      </c>
      <c r="AH562" s="548" t="s">
        <v>3550</v>
      </c>
      <c r="AI562" s="548" t="s">
        <v>2206</v>
      </c>
      <c r="AJ562" s="548">
        <v>92833</v>
      </c>
      <c r="AK562" s="548" t="s">
        <v>2207</v>
      </c>
      <c r="AL562" s="548" t="s">
        <v>123</v>
      </c>
      <c r="AM562" s="554" t="str">
        <f>INDEX(CarrierDriverTBL!$B:$B,MATCH(Table1[[#This Row],[DriverID]],CarrierDriverTBL!$A:$A,0))</f>
        <v>UBTrucking</v>
      </c>
      <c r="AN562" s="554" t="s">
        <v>1409</v>
      </c>
      <c r="AO562" s="555" t="str">
        <f>INDEX(CarrierDriverTBL!$C:$C,MATCH(Table1[[#This Row],[DriverID]],CarrierDriverTBL!$A:$A,0))</f>
        <v>Miguel Jaime</v>
      </c>
      <c r="AP562" s="555" t="str">
        <f>INDEX(CarrierDriverTBL!$D:$D,MATCH(Table1[[#This Row],[DriverID]],CarrierDriverTBL!$A:$A,0))</f>
        <v>Martin Del Campo Velarca</v>
      </c>
      <c r="AQ562" s="555" t="str">
        <f>INDEX(CarrierDriverTBL!$X:$X,MATCH(Table1[[#This Row],[DriverID]],CarrierDriverTBL!$A:$A,0))</f>
        <v>D5179619</v>
      </c>
      <c r="AR562" s="556">
        <f>INDEX(CarrierDriverTBL!$Y:$Y,MATCH(Table1[[#This Row],[DriverID]],CarrierDriverTBL!$A:$A,0))</f>
        <v>43843</v>
      </c>
      <c r="AS562" s="554" t="str">
        <f t="shared" si="641"/>
        <v>GOOD</v>
      </c>
      <c r="AT562" s="556">
        <f>INDEX(CarrierDriverTBL!$E:$E,MATCH(Table1[[#This Row],[DriverID]],CarrierDriverTBL!$A:$A,0))</f>
        <v>21198</v>
      </c>
      <c r="AU562" s="557">
        <f ca="1">INDEX(CarrierDriverTBL!$F:$F,MATCH(Table1[[#This Row],[DriverID]],CarrierDriverTBL!$A:$A,0))</f>
        <v>58.56986301369863</v>
      </c>
      <c r="AV562" s="554" t="str">
        <f>INDEX(CarrierDriverTBL!$K:$K,MATCH(Table1[[#This Row],[DriverID]],CarrierDriverTBL!$A:$A,0))</f>
        <v>209-322-5231</v>
      </c>
      <c r="AW562" s="554" t="str">
        <f>INDEX(CarrierDriverTBL!$M:$M,MATCH(Table1[[#This Row],[DriverID]],CarrierDriverTBL!$A:$A,0))</f>
        <v>572 Predersen RD</v>
      </c>
      <c r="AX562" s="554" t="str">
        <f>INDEX(CarrierDriverTBL!$N:$N,MATCH(Table1[[#This Row],[DriverID]],CarrierDriverTBL!$A:$A,0))</f>
        <v>Oakdale</v>
      </c>
      <c r="AY562" s="554" t="str">
        <f>INDEX(CarrierDriverTBL!$O:$O,MATCH(Table1[[#This Row],[DriverID]],CarrierDriverTBL!$A:$A,0))</f>
        <v>CA</v>
      </c>
      <c r="AZ562" s="554">
        <f>INDEX(CarrierDriverTBL!$P:$P,MATCH(Table1[[#This Row],[DriverID]],CarrierDriverTBL!$A:$A,0))</f>
        <v>95361</v>
      </c>
      <c r="BA562" s="554" t="str">
        <f>INDEX(CarrierDriverTBL!$Q:$Q,MATCH(Table1[[#This Row],[DriverID]],CarrierDriverTBL!$A:$A,0))</f>
        <v>US</v>
      </c>
      <c r="BB562" s="554" t="str">
        <f>INDEX(CarrierDriverTBL!$R:$R,MATCH(Table1[[#This Row],[DriverID]],CarrierDriverTBL!$A:$A,0))</f>
        <v>Miguelmartin52@yahoo.com</v>
      </c>
      <c r="BC562" s="556">
        <f>INDEX(CarrierDriverTBL!$AB:$AB,MATCH(Table1[[#This Row],[DriverID]],CarrierDriverTBL!$A:$A,0))</f>
        <v>42334</v>
      </c>
      <c r="BD562" s="555" t="str">
        <f ca="1">INDEX(CarrierDriverTBL!$AD:$AD,MATCH(LoadMaster!$AN:$AN,CarrierDriverTBL!$A:$A,0))</f>
        <v>MISSING</v>
      </c>
      <c r="BE562" s="555">
        <f>INDEX(CarrierDriverTBL!$AE:$AE,MATCH(Table1[DriverID],CarrierDriverTBL!$A:$A,0))</f>
        <v>913971</v>
      </c>
      <c r="BF562" s="554">
        <f>INDEX(CarrierDriverTBL!$AF:$AF,MATCH(Table1[DriverID],CarrierDriverTBL!$A:$A,0))</f>
        <v>2627544</v>
      </c>
      <c r="BG562" s="236">
        <f>INDEX(CarrierDriverTBL!$AG:$AG,MATCH(Table1[DriverID],CarrierDriverTBL!$A:$A,0))</f>
        <v>466133</v>
      </c>
      <c r="BH562" s="554" t="str">
        <f>INDEX(CarrierDriverTBL!$AH:$AH,MATCH(Table1[DriverID],CarrierDriverTBL!$A:$A,0))</f>
        <v>GM Lawrence Ins</v>
      </c>
      <c r="BI562" s="554" t="str">
        <f>INDEX(CarrierDriverTBL!$AI:$AI,MATCH(Table1[DriverID],CarrierDriverTBL!$A:$A,0))</f>
        <v>DSK2842P160210</v>
      </c>
      <c r="BJ562" s="556">
        <f>INDEX(CarrierDriverTBL!$AJ:$AJ,MATCH(Table1[[#This Row],[DriverID]],CarrierDriverTBL!$A:$A,0))</f>
        <v>42778</v>
      </c>
      <c r="BK562" s="554">
        <f t="shared" si="642"/>
        <v>206</v>
      </c>
      <c r="BL562" s="558">
        <v>800</v>
      </c>
      <c r="BM562" s="554">
        <v>470.4</v>
      </c>
      <c r="BN562" s="558">
        <f t="shared" si="643"/>
        <v>1.7006802721088436</v>
      </c>
      <c r="BO562" s="241">
        <f>0.93*800</f>
        <v>744</v>
      </c>
      <c r="BP562" s="558">
        <f t="shared" si="644"/>
        <v>1.5816326530612246</v>
      </c>
      <c r="BQ562" s="558">
        <v>2.8</v>
      </c>
      <c r="BR562" s="559">
        <f t="shared" si="645"/>
        <v>0.15</v>
      </c>
      <c r="BS562" s="558">
        <f t="shared" si="646"/>
        <v>1.4316326530612247</v>
      </c>
      <c r="BT562" s="558">
        <f t="shared" si="647"/>
        <v>70.559999999999988</v>
      </c>
      <c r="BU562" s="236" t="str">
        <f t="shared" si="648"/>
        <v>Freight Tec Management Group Inc.</v>
      </c>
      <c r="BV562" s="554"/>
      <c r="BW562" s="236" t="str">
        <f>Table1[[#This Row],[BrokerAddress]]</f>
        <v>P.O. BOX 1349</v>
      </c>
      <c r="BX562" s="236" t="str">
        <f t="shared" si="649"/>
        <v>BOUNTIFUL</v>
      </c>
      <c r="BY562" s="269" t="str">
        <f t="shared" si="650"/>
        <v>UT</v>
      </c>
      <c r="BZ562" s="236">
        <f t="shared" si="651"/>
        <v>84011</v>
      </c>
      <c r="CA562" s="236" t="str">
        <f t="shared" si="652"/>
        <v>US</v>
      </c>
      <c r="CB562" s="550" t="s">
        <v>131</v>
      </c>
      <c r="CC562" s="561"/>
      <c r="CD562" s="15" t="s">
        <v>132</v>
      </c>
      <c r="CE562" s="64">
        <v>0</v>
      </c>
      <c r="CF562" s="4">
        <v>0</v>
      </c>
      <c r="CG562" s="132">
        <f t="shared" ref="CG562" si="699">CE562*CF562</f>
        <v>0</v>
      </c>
      <c r="CH562" s="4" t="s">
        <v>132</v>
      </c>
      <c r="CI562" s="5">
        <v>0</v>
      </c>
      <c r="CJ562" s="4">
        <v>0</v>
      </c>
      <c r="CK562" s="132">
        <f t="shared" ref="CK562" si="700">CI562*CJ562</f>
        <v>0</v>
      </c>
      <c r="CL562" s="4" t="s">
        <v>132</v>
      </c>
      <c r="CM562" s="5">
        <v>0</v>
      </c>
      <c r="CN562" s="4">
        <v>0</v>
      </c>
      <c r="CO562" s="132">
        <f t="shared" ref="CO562" si="701">CM562*CN562</f>
        <v>0</v>
      </c>
      <c r="CP562" s="4" t="s">
        <v>132</v>
      </c>
      <c r="CQ562" s="5">
        <v>0</v>
      </c>
      <c r="CR562" s="4">
        <v>0</v>
      </c>
      <c r="CS562" s="412">
        <f t="shared" ref="CS562" si="702">CQ562*CR562</f>
        <v>0</v>
      </c>
      <c r="CT562" s="412">
        <f t="shared" ref="CT562" si="703">CG562+CK562+CO562+CS562</f>
        <v>0</v>
      </c>
      <c r="CU562" s="238">
        <f t="shared" si="658"/>
        <v>800</v>
      </c>
      <c r="CV562" s="239">
        <f t="shared" si="659"/>
        <v>0</v>
      </c>
      <c r="CW562" s="240">
        <f t="shared" si="660"/>
        <v>744</v>
      </c>
      <c r="CX562" s="541">
        <f>IF(ISBLANK(E562),"AddQuickPay",IF(E562=2,CU562*0.98,IF(E562=2.4,CU562*0.976,IF(E562=3,CU562*0.97,IF(E562=5,CU562*0.95,IF(E562=1.5,CU562*0.985,IF(E562=2.5,CU562*0.975,IF(E562=1.3,CU562*0.987,IF(E562=1,CU562*0.99,IF(E562=4,CU562*0.96,CU562*1))))))))))-Table1[[#This Row],[ComCheck+QuickPayFee]]</f>
        <v>800</v>
      </c>
      <c r="CY562" s="237">
        <f t="shared" si="661"/>
        <v>56</v>
      </c>
      <c r="CZ562" s="237">
        <f t="shared" si="662"/>
        <v>0</v>
      </c>
      <c r="DA562" s="263">
        <f>Table1[[#This Row],[OriginalDispatch]]-Table1[[#This Row],[QuickPayCharge]]</f>
        <v>56</v>
      </c>
      <c r="DB562" s="5">
        <v>0</v>
      </c>
      <c r="DC562" s="237" t="s">
        <v>133</v>
      </c>
      <c r="DD562" s="549">
        <f t="shared" si="663"/>
        <v>42573</v>
      </c>
      <c r="DE562" s="554">
        <f>MONTH(Table1[[#This Row],[Weekending]])</f>
        <v>7</v>
      </c>
      <c r="DF562" s="554">
        <f>YEAR(Table1[[#This Row],[Weekending]])</f>
        <v>2016</v>
      </c>
      <c r="DG562" s="235"/>
    </row>
    <row r="563" spans="1:111">
      <c r="A563" s="548" t="str">
        <f t="shared" si="640"/>
        <v>1476wn49</v>
      </c>
      <c r="B563" s="549">
        <v>42574</v>
      </c>
      <c r="C563" s="550">
        <v>7801614</v>
      </c>
      <c r="D563" s="548" t="s">
        <v>445</v>
      </c>
      <c r="E563" s="550">
        <v>3</v>
      </c>
      <c r="F563" s="551" t="str">
        <f>INDEX(BrokerTBL!$B:$B,MATCH(D563,BrokerTBL!$A:$A,0))</f>
        <v>960 Northpoint Parkway Suite 150</v>
      </c>
      <c r="G563" s="550" t="str">
        <f>INDEX(BrokerTBL!$C:$C,MATCH(D563,BrokerTBL!$A:$A,0))</f>
        <v>Alpharetta</v>
      </c>
      <c r="H563" s="235" t="str">
        <f>INDEX(BrokerTBL!$D:$D,MATCH(D563,BrokerTBL!$A:$A,0))</f>
        <v>Ga</v>
      </c>
      <c r="I563" s="235" t="str">
        <f>INDEX(BrokerTBL!$E:$E,MATCH(D563,BrokerTBL!$A:$A,0))</f>
        <v>US</v>
      </c>
      <c r="J563" s="235">
        <f>INDEX(BrokerTBL!$F:$F,MATCH(D563,BrokerTBL!$A:$A,0))</f>
        <v>30005</v>
      </c>
      <c r="K563" s="548" t="s">
        <v>3551</v>
      </c>
      <c r="L563" s="552">
        <v>955968676</v>
      </c>
      <c r="M563" s="549">
        <v>42573</v>
      </c>
      <c r="N563" s="550" t="s">
        <v>3552</v>
      </c>
      <c r="O563" s="550" t="s">
        <v>1745</v>
      </c>
      <c r="P563" s="548" t="s">
        <v>1361</v>
      </c>
      <c r="Q563" s="548" t="s">
        <v>2206</v>
      </c>
      <c r="R563" s="548">
        <v>93631</v>
      </c>
      <c r="S563" s="548" t="s">
        <v>2207</v>
      </c>
      <c r="T563" s="548" t="s">
        <v>123</v>
      </c>
      <c r="U563" s="548" t="s">
        <v>120</v>
      </c>
      <c r="V563" s="548">
        <v>53</v>
      </c>
      <c r="W563" s="548" t="s">
        <v>1748</v>
      </c>
      <c r="X563" s="553">
        <v>24641</v>
      </c>
      <c r="Y563" s="550" t="s">
        <v>566</v>
      </c>
      <c r="Z563" s="548">
        <v>46</v>
      </c>
      <c r="AA563" s="548" t="s">
        <v>123</v>
      </c>
      <c r="AB563" s="548" t="s">
        <v>123</v>
      </c>
      <c r="AC563" s="548" t="s">
        <v>3553</v>
      </c>
      <c r="AD563" s="552" t="s">
        <v>1205</v>
      </c>
      <c r="AE563" s="549">
        <v>42576</v>
      </c>
      <c r="AF563" s="560">
        <v>0.33333333333333331</v>
      </c>
      <c r="AG563" s="548" t="s">
        <v>3554</v>
      </c>
      <c r="AH563" s="548" t="s">
        <v>263</v>
      </c>
      <c r="AI563" s="548" t="s">
        <v>2233</v>
      </c>
      <c r="AJ563" s="548">
        <v>89431</v>
      </c>
      <c r="AK563" s="548" t="s">
        <v>2207</v>
      </c>
      <c r="AL563" s="548" t="s">
        <v>123</v>
      </c>
      <c r="AM563" s="554" t="str">
        <f>INDEX(CarrierDriverTBL!$B:$B,MATCH(Table1[[#This Row],[DriverID]],CarrierDriverTBL!$A:$A,0))</f>
        <v>UBTrucking</v>
      </c>
      <c r="AN563" s="10" t="s">
        <v>192</v>
      </c>
      <c r="AO563" s="555" t="str">
        <f>INDEX(CarrierDriverTBL!$C:$C,MATCH(Table1[[#This Row],[DriverID]],CarrierDriverTBL!$A:$A,0))</f>
        <v>Albel</v>
      </c>
      <c r="AP563" s="555" t="str">
        <f>INDEX(CarrierDriverTBL!$D:$D,MATCH(Table1[[#This Row],[DriverID]],CarrierDriverTBL!$A:$A,0))</f>
        <v>Chahil</v>
      </c>
      <c r="AQ563" s="555" t="str">
        <f>INDEX(CarrierDriverTBL!$X:$X,MATCH(Table1[[#This Row],[DriverID]],CarrierDriverTBL!$A:$A,0))</f>
        <v>A8390649</v>
      </c>
      <c r="AR563" s="556">
        <f>INDEX(CarrierDriverTBL!$Y:$Y,MATCH(Table1[[#This Row],[DriverID]],CarrierDriverTBL!$A:$A,0))</f>
        <v>42402</v>
      </c>
      <c r="AS563" s="554" t="str">
        <f t="shared" si="641"/>
        <v>EXPIRED</v>
      </c>
      <c r="AT563" s="556">
        <f>INDEX(CarrierDriverTBL!$E:$E,MATCH(Table1[[#This Row],[DriverID]],CarrierDriverTBL!$A:$A,0))</f>
        <v>22314</v>
      </c>
      <c r="AU563" s="557">
        <f ca="1">INDEX(CarrierDriverTBL!$F:$F,MATCH(Table1[[#This Row],[DriverID]],CarrierDriverTBL!$A:$A,0))</f>
        <v>55.512328767123286</v>
      </c>
      <c r="AV563" s="554" t="str">
        <f>INDEX(CarrierDriverTBL!$K:$K,MATCH(Table1[[#This Row],[DriverID]],CarrierDriverTBL!$A:$A,0))</f>
        <v>510-773-9450</v>
      </c>
      <c r="AW563" s="554" t="str">
        <f>INDEX(CarrierDriverTBL!$M:$M,MATCH(Table1[[#This Row],[DriverID]],CarrierDriverTBL!$A:$A,0))</f>
        <v>3124 Cynthia CT</v>
      </c>
      <c r="AX563" s="554" t="str">
        <f>INDEX(CarrierDriverTBL!$N:$N,MATCH(Table1[[#This Row],[DriverID]],CarrierDriverTBL!$A:$A,0))</f>
        <v>Tracy</v>
      </c>
      <c r="AY563" s="554" t="str">
        <f>INDEX(CarrierDriverTBL!$O:$O,MATCH(Table1[[#This Row],[DriverID]],CarrierDriverTBL!$A:$A,0))</f>
        <v>CA</v>
      </c>
      <c r="AZ563" s="554">
        <f>INDEX(CarrierDriverTBL!$P:$P,MATCH(Table1[[#This Row],[DriverID]],CarrierDriverTBL!$A:$A,0))</f>
        <v>95377</v>
      </c>
      <c r="BA563" s="554" t="str">
        <f>INDEX(CarrierDriverTBL!$Q:$Q,MATCH(Table1[[#This Row],[DriverID]],CarrierDriverTBL!$A:$A,0))</f>
        <v>US</v>
      </c>
      <c r="BB563" s="554" t="str">
        <f>INDEX(CarrierDriverTBL!$R:$R,MATCH(Table1[[#This Row],[DriverID]],CarrierDriverTBL!$A:$A,0))</f>
        <v>ubgollc@gmail.com</v>
      </c>
      <c r="BC563" s="556">
        <f>INDEX(CarrierDriverTBL!$AB:$AB,MATCH(Table1[[#This Row],[DriverID]],CarrierDriverTBL!$A:$A,0))</f>
        <v>42167</v>
      </c>
      <c r="BD563" s="555" t="str">
        <f ca="1">INDEX(CarrierDriverTBL!$AD:$AD,MATCH(LoadMaster!$AN:$AN,CarrierDriverTBL!$A:$A,0))</f>
        <v>MISSING</v>
      </c>
      <c r="BE563" s="555">
        <f>INDEX(CarrierDriverTBL!$AE:$AE,MATCH(Table1[DriverID],CarrierDriverTBL!$A:$A,0))</f>
        <v>913971</v>
      </c>
      <c r="BF563" s="554">
        <f>INDEX(CarrierDriverTBL!$AF:$AF,MATCH(Table1[DriverID],CarrierDriverTBL!$A:$A,0))</f>
        <v>2627544</v>
      </c>
      <c r="BG563" s="236">
        <f>INDEX(CarrierDriverTBL!$AG:$AG,MATCH(Table1[DriverID],CarrierDriverTBL!$A:$A,0))</f>
        <v>466133</v>
      </c>
      <c r="BH563" s="554" t="str">
        <f>INDEX(CarrierDriverTBL!$AH:$AH,MATCH(Table1[DriverID],CarrierDriverTBL!$A:$A,0))</f>
        <v>GM Lawrence Ins</v>
      </c>
      <c r="BI563" s="554" t="str">
        <f>INDEX(CarrierDriverTBL!$AI:$AI,MATCH(Table1[DriverID],CarrierDriverTBL!$A:$A,0))</f>
        <v>DSK2842P160210</v>
      </c>
      <c r="BJ563" s="556">
        <f>INDEX(CarrierDriverTBL!$AJ:$AJ,MATCH(Table1[[#This Row],[DriverID]],CarrierDriverTBL!$A:$A,0))</f>
        <v>42778</v>
      </c>
      <c r="BK563" s="554">
        <f t="shared" si="642"/>
        <v>205</v>
      </c>
      <c r="BL563" s="558">
        <v>925</v>
      </c>
      <c r="BM563" s="554">
        <v>327.7</v>
      </c>
      <c r="BN563" s="558">
        <f t="shared" si="643"/>
        <v>2.8227036924015869</v>
      </c>
      <c r="BO563" s="241">
        <f>0.93*925</f>
        <v>860.25</v>
      </c>
      <c r="BP563" s="558">
        <f t="shared" si="644"/>
        <v>2.6251144339334758</v>
      </c>
      <c r="BQ563" s="558">
        <v>2.8</v>
      </c>
      <c r="BR563" s="559">
        <f t="shared" si="645"/>
        <v>0.15</v>
      </c>
      <c r="BS563" s="558">
        <f t="shared" si="646"/>
        <v>2.4751144339334759</v>
      </c>
      <c r="BT563" s="558">
        <f t="shared" si="647"/>
        <v>49.154999999999994</v>
      </c>
      <c r="BU563" s="236" t="str">
        <f t="shared" si="648"/>
        <v>Coyote</v>
      </c>
      <c r="BV563" s="554"/>
      <c r="BW563" s="236" t="str">
        <f>Table1[[#This Row],[BrokerAddress]]</f>
        <v>960 Northpoint Parkway Suite 150</v>
      </c>
      <c r="BX563" s="236" t="str">
        <f t="shared" si="649"/>
        <v>Alpharetta</v>
      </c>
      <c r="BY563" s="269" t="str">
        <f t="shared" si="650"/>
        <v>Ga</v>
      </c>
      <c r="BZ563" s="236">
        <f t="shared" si="651"/>
        <v>30005</v>
      </c>
      <c r="CA563" s="236" t="str">
        <f t="shared" si="652"/>
        <v>US</v>
      </c>
      <c r="CB563" s="550" t="s">
        <v>131</v>
      </c>
      <c r="CC563" s="561"/>
      <c r="CD563" s="15" t="s">
        <v>132</v>
      </c>
      <c r="CE563" s="64">
        <v>0</v>
      </c>
      <c r="CF563" s="4">
        <v>0</v>
      </c>
      <c r="CG563" s="132">
        <f t="shared" ref="CG563" si="704">CE563*CF563</f>
        <v>0</v>
      </c>
      <c r="CH563" s="4" t="s">
        <v>132</v>
      </c>
      <c r="CI563" s="5">
        <v>0</v>
      </c>
      <c r="CJ563" s="4">
        <v>0</v>
      </c>
      <c r="CK563" s="132">
        <f t="shared" ref="CK563" si="705">CI563*CJ563</f>
        <v>0</v>
      </c>
      <c r="CL563" s="4" t="s">
        <v>132</v>
      </c>
      <c r="CM563" s="5">
        <v>0</v>
      </c>
      <c r="CN563" s="4">
        <v>0</v>
      </c>
      <c r="CO563" s="132">
        <f t="shared" ref="CO563" si="706">CM563*CN563</f>
        <v>0</v>
      </c>
      <c r="CP563" s="4" t="s">
        <v>132</v>
      </c>
      <c r="CQ563" s="5">
        <v>0</v>
      </c>
      <c r="CR563" s="4">
        <v>0</v>
      </c>
      <c r="CS563" s="412">
        <f t="shared" ref="CS563" si="707">CQ563*CR563</f>
        <v>0</v>
      </c>
      <c r="CT563" s="412">
        <f t="shared" ref="CT563" si="708">CG563+CK563+CO563+CS563</f>
        <v>0</v>
      </c>
      <c r="CU563" s="238">
        <f t="shared" si="658"/>
        <v>925</v>
      </c>
      <c r="CV563" s="239">
        <f t="shared" si="659"/>
        <v>0</v>
      </c>
      <c r="CW563" s="240">
        <f t="shared" si="660"/>
        <v>860.25</v>
      </c>
      <c r="CX563" s="541">
        <f>IF(ISBLANK(E563),"AddQuickPay",IF(E563=2,CU563*0.98,IF(E563=2.4,CU563*0.976,IF(E563=3,CU563*0.97,IF(E563=5,CU563*0.95,IF(E563=1.5,CU563*0.985,IF(E563=2.5,CU563*0.975,IF(E563=1.3,CU563*0.987,IF(E563=1,CU563*0.99,IF(E563=4,CU563*0.96,CU563*1))))))))))-Table1[[#This Row],[ComCheck+QuickPayFee]]</f>
        <v>897.25</v>
      </c>
      <c r="CY563" s="237">
        <f t="shared" si="661"/>
        <v>64.75</v>
      </c>
      <c r="CZ563" s="237">
        <f t="shared" si="662"/>
        <v>27.75</v>
      </c>
      <c r="DA563" s="263">
        <f>Table1[[#This Row],[OriginalDispatch]]-Table1[[#This Row],[QuickPayCharge]]</f>
        <v>37</v>
      </c>
      <c r="DB563" s="5">
        <v>0</v>
      </c>
      <c r="DC563" s="237" t="s">
        <v>133</v>
      </c>
      <c r="DD563" s="549">
        <f t="shared" si="663"/>
        <v>42573</v>
      </c>
      <c r="DE563" s="554">
        <f>MONTH(Table1[[#This Row],[Weekending]])</f>
        <v>7</v>
      </c>
      <c r="DF563" s="554">
        <f>YEAR(Table1[[#This Row],[Weekending]])</f>
        <v>2016</v>
      </c>
      <c r="DG563" s="235"/>
    </row>
    <row r="564" spans="1:111">
      <c r="A564" s="548" t="str">
        <f t="shared" si="640"/>
        <v>10wnwn19</v>
      </c>
      <c r="B564" s="549">
        <v>42574</v>
      </c>
      <c r="C564" s="550">
        <v>207287010</v>
      </c>
      <c r="D564" s="548" t="s">
        <v>111</v>
      </c>
      <c r="E564" s="550">
        <v>2</v>
      </c>
      <c r="F564" s="551" t="str">
        <f>INDEX(BrokerTBL!$B:$B,MATCH(D564,BrokerTBL!$A:$A,0))</f>
        <v>P.O. Box 3474</v>
      </c>
      <c r="G564" s="550" t="str">
        <f>INDEX(BrokerTBL!$C:$C,MATCH(D564,BrokerTBL!$A:$A,0))</f>
        <v>Chicago</v>
      </c>
      <c r="H564" s="235" t="str">
        <f>INDEX(BrokerTBL!$D:$D,MATCH(D564,BrokerTBL!$A:$A,0))</f>
        <v>Il</v>
      </c>
      <c r="I564" s="235" t="str">
        <f>INDEX(BrokerTBL!$E:$E,MATCH(D564,BrokerTBL!$A:$A,0))</f>
        <v>US</v>
      </c>
      <c r="J564" s="235">
        <f>INDEX(BrokerTBL!$F:$F,MATCH(D564,BrokerTBL!$A:$A,0))</f>
        <v>60654</v>
      </c>
      <c r="K564" s="548" t="s">
        <v>3555</v>
      </c>
      <c r="L564" s="552" t="s">
        <v>1205</v>
      </c>
      <c r="M564" s="549">
        <v>42573</v>
      </c>
      <c r="N564" s="550" t="s">
        <v>3556</v>
      </c>
      <c r="O564" s="550" t="s">
        <v>3557</v>
      </c>
      <c r="P564" s="548" t="s">
        <v>3558</v>
      </c>
      <c r="Q564" s="548" t="s">
        <v>2206</v>
      </c>
      <c r="R564" s="548">
        <v>91767</v>
      </c>
      <c r="S564" s="548" t="s">
        <v>2207</v>
      </c>
      <c r="T564" s="548" t="s">
        <v>123</v>
      </c>
      <c r="U564" s="548" t="s">
        <v>120</v>
      </c>
      <c r="V564" s="548">
        <v>53</v>
      </c>
      <c r="W564" s="548" t="s">
        <v>3559</v>
      </c>
      <c r="X564" s="553">
        <v>42000</v>
      </c>
      <c r="Y564" s="550" t="s">
        <v>2220</v>
      </c>
      <c r="Z564" s="548" t="s">
        <v>123</v>
      </c>
      <c r="AA564" s="548">
        <v>17</v>
      </c>
      <c r="AB564" s="548" t="s">
        <v>123</v>
      </c>
      <c r="AC564" s="548" t="s">
        <v>3560</v>
      </c>
      <c r="AD564" s="552" t="s">
        <v>1205</v>
      </c>
      <c r="AE564" s="549">
        <v>42574</v>
      </c>
      <c r="AF564" s="549" t="s">
        <v>1316</v>
      </c>
      <c r="AG564" s="548" t="s">
        <v>3561</v>
      </c>
      <c r="AH564" s="548" t="s">
        <v>263</v>
      </c>
      <c r="AI564" s="548" t="s">
        <v>2233</v>
      </c>
      <c r="AJ564" s="548">
        <v>89434</v>
      </c>
      <c r="AK564" s="548" t="s">
        <v>2207</v>
      </c>
      <c r="AL564" s="548" t="s">
        <v>123</v>
      </c>
      <c r="AM564" s="554" t="str">
        <f>INDEX(CarrierDriverTBL!$B:$B,MATCH(Table1[[#This Row],[DriverID]],CarrierDriverTBL!$A:$A,0))</f>
        <v>UBTrucking</v>
      </c>
      <c r="AN564" s="554" t="s">
        <v>1409</v>
      </c>
      <c r="AO564" s="555" t="str">
        <f>INDEX(CarrierDriverTBL!$C:$C,MATCH(Table1[[#This Row],[DriverID]],CarrierDriverTBL!$A:$A,0))</f>
        <v>Miguel Jaime</v>
      </c>
      <c r="AP564" s="555" t="str">
        <f>INDEX(CarrierDriverTBL!$D:$D,MATCH(Table1[[#This Row],[DriverID]],CarrierDriverTBL!$A:$A,0))</f>
        <v>Martin Del Campo Velarca</v>
      </c>
      <c r="AQ564" s="555" t="str">
        <f>INDEX(CarrierDriverTBL!$X:$X,MATCH(Table1[[#This Row],[DriverID]],CarrierDriverTBL!$A:$A,0))</f>
        <v>D5179619</v>
      </c>
      <c r="AR564" s="556">
        <f>INDEX(CarrierDriverTBL!$Y:$Y,MATCH(Table1[[#This Row],[DriverID]],CarrierDriverTBL!$A:$A,0))</f>
        <v>43843</v>
      </c>
      <c r="AS564" s="554" t="str">
        <f t="shared" si="641"/>
        <v>GOOD</v>
      </c>
      <c r="AT564" s="556">
        <f>INDEX(CarrierDriverTBL!$E:$E,MATCH(Table1[[#This Row],[DriverID]],CarrierDriverTBL!$A:$A,0))</f>
        <v>21198</v>
      </c>
      <c r="AU564" s="557">
        <f ca="1">INDEX(CarrierDriverTBL!$F:$F,MATCH(Table1[[#This Row],[DriverID]],CarrierDriverTBL!$A:$A,0))</f>
        <v>58.56986301369863</v>
      </c>
      <c r="AV564" s="554" t="str">
        <f>INDEX(CarrierDriverTBL!$K:$K,MATCH(Table1[[#This Row],[DriverID]],CarrierDriverTBL!$A:$A,0))</f>
        <v>209-322-5231</v>
      </c>
      <c r="AW564" s="554" t="str">
        <f>INDEX(CarrierDriverTBL!$M:$M,MATCH(Table1[[#This Row],[DriverID]],CarrierDriverTBL!$A:$A,0))</f>
        <v>572 Predersen RD</v>
      </c>
      <c r="AX564" s="554" t="str">
        <f>INDEX(CarrierDriverTBL!$N:$N,MATCH(Table1[[#This Row],[DriverID]],CarrierDriverTBL!$A:$A,0))</f>
        <v>Oakdale</v>
      </c>
      <c r="AY564" s="554" t="str">
        <f>INDEX(CarrierDriverTBL!$O:$O,MATCH(Table1[[#This Row],[DriverID]],CarrierDriverTBL!$A:$A,0))</f>
        <v>CA</v>
      </c>
      <c r="AZ564" s="554">
        <f>INDEX(CarrierDriverTBL!$P:$P,MATCH(Table1[[#This Row],[DriverID]],CarrierDriverTBL!$A:$A,0))</f>
        <v>95361</v>
      </c>
      <c r="BA564" s="554" t="str">
        <f>INDEX(CarrierDriverTBL!$Q:$Q,MATCH(Table1[[#This Row],[DriverID]],CarrierDriverTBL!$A:$A,0))</f>
        <v>US</v>
      </c>
      <c r="BB564" s="554" t="str">
        <f>INDEX(CarrierDriverTBL!$R:$R,MATCH(Table1[[#This Row],[DriverID]],CarrierDriverTBL!$A:$A,0))</f>
        <v>Miguelmartin52@yahoo.com</v>
      </c>
      <c r="BC564" s="556">
        <f>INDEX(CarrierDriverTBL!$AB:$AB,MATCH(Table1[[#This Row],[DriverID]],CarrierDriverTBL!$A:$A,0))</f>
        <v>42334</v>
      </c>
      <c r="BD564" s="555" t="str">
        <f ca="1">INDEX(CarrierDriverTBL!$AD:$AD,MATCH(LoadMaster!$AN:$AN,CarrierDriverTBL!$A:$A,0))</f>
        <v>MISSING</v>
      </c>
      <c r="BE564" s="555">
        <f>INDEX(CarrierDriverTBL!$AE:$AE,MATCH(Table1[DriverID],CarrierDriverTBL!$A:$A,0))</f>
        <v>913971</v>
      </c>
      <c r="BF564" s="554">
        <f>INDEX(CarrierDriverTBL!$AF:$AF,MATCH(Table1[DriverID],CarrierDriverTBL!$A:$A,0))</f>
        <v>2627544</v>
      </c>
      <c r="BG564" s="236">
        <f>INDEX(CarrierDriverTBL!$AG:$AG,MATCH(Table1[DriverID],CarrierDriverTBL!$A:$A,0))</f>
        <v>466133</v>
      </c>
      <c r="BH564" s="554" t="str">
        <f>INDEX(CarrierDriverTBL!$AH:$AH,MATCH(Table1[DriverID],CarrierDriverTBL!$A:$A,0))</f>
        <v>GM Lawrence Ins</v>
      </c>
      <c r="BI564" s="554" t="str">
        <f>INDEX(CarrierDriverTBL!$AI:$AI,MATCH(Table1[DriverID],CarrierDriverTBL!$A:$A,0))</f>
        <v>DSK2842P160210</v>
      </c>
      <c r="BJ564" s="556">
        <f>INDEX(CarrierDriverTBL!$AJ:$AJ,MATCH(Table1[[#This Row],[DriverID]],CarrierDriverTBL!$A:$A,0))</f>
        <v>42778</v>
      </c>
      <c r="BK564" s="554">
        <f t="shared" si="642"/>
        <v>205</v>
      </c>
      <c r="BL564" s="558">
        <v>1500</v>
      </c>
      <c r="BM564" s="554">
        <v>469.8</v>
      </c>
      <c r="BN564" s="558">
        <f t="shared" si="643"/>
        <v>3.1928480204342273</v>
      </c>
      <c r="BO564" s="241">
        <f>0.93*1500</f>
        <v>1395</v>
      </c>
      <c r="BP564" s="558">
        <f t="shared" si="644"/>
        <v>2.9693486590038312</v>
      </c>
      <c r="BQ564" s="558">
        <v>2.8</v>
      </c>
      <c r="BR564" s="559">
        <f t="shared" si="645"/>
        <v>0.15</v>
      </c>
      <c r="BS564" s="558">
        <f t="shared" si="646"/>
        <v>2.8193486590038312</v>
      </c>
      <c r="BT564" s="558">
        <f t="shared" si="647"/>
        <v>70.47</v>
      </c>
      <c r="BU564" s="236" t="str">
        <f t="shared" si="648"/>
        <v>Ch Robinson</v>
      </c>
      <c r="BV564" s="554"/>
      <c r="BW564" s="236" t="str">
        <f>Table1[[#This Row],[BrokerAddress]]</f>
        <v>P.O. Box 3474</v>
      </c>
      <c r="BX564" s="236" t="str">
        <f t="shared" si="649"/>
        <v>Chicago</v>
      </c>
      <c r="BY564" s="269" t="str">
        <f t="shared" si="650"/>
        <v>Il</v>
      </c>
      <c r="BZ564" s="236">
        <f t="shared" si="651"/>
        <v>60654</v>
      </c>
      <c r="CA564" s="236" t="str">
        <f t="shared" si="652"/>
        <v>US</v>
      </c>
      <c r="CB564" s="550" t="s">
        <v>131</v>
      </c>
      <c r="CC564" s="561"/>
      <c r="CD564" s="15" t="s">
        <v>132</v>
      </c>
      <c r="CE564" s="64">
        <v>0</v>
      </c>
      <c r="CF564" s="4">
        <v>0</v>
      </c>
      <c r="CG564" s="132">
        <f t="shared" ref="CG564" si="709">CE564*CF564</f>
        <v>0</v>
      </c>
      <c r="CH564" s="4" t="s">
        <v>132</v>
      </c>
      <c r="CI564" s="5">
        <v>0</v>
      </c>
      <c r="CJ564" s="4">
        <v>0</v>
      </c>
      <c r="CK564" s="132">
        <f t="shared" ref="CK564" si="710">CI564*CJ564</f>
        <v>0</v>
      </c>
      <c r="CL564" s="4" t="s">
        <v>132</v>
      </c>
      <c r="CM564" s="5">
        <v>0</v>
      </c>
      <c r="CN564" s="4">
        <v>0</v>
      </c>
      <c r="CO564" s="132">
        <f t="shared" ref="CO564" si="711">CM564*CN564</f>
        <v>0</v>
      </c>
      <c r="CP564" s="4" t="s">
        <v>132</v>
      </c>
      <c r="CQ564" s="5">
        <v>0</v>
      </c>
      <c r="CR564" s="4">
        <v>0</v>
      </c>
      <c r="CS564" s="412">
        <f t="shared" ref="CS564" si="712">CQ564*CR564</f>
        <v>0</v>
      </c>
      <c r="CT564" s="412">
        <f t="shared" ref="CT564" si="713">CG564+CK564+CO564+CS564</f>
        <v>0</v>
      </c>
      <c r="CU564" s="238">
        <f t="shared" si="658"/>
        <v>1500</v>
      </c>
      <c r="CV564" s="239">
        <f t="shared" si="659"/>
        <v>0</v>
      </c>
      <c r="CW564" s="240">
        <f t="shared" si="660"/>
        <v>1395</v>
      </c>
      <c r="CX564" s="541">
        <f>IF(ISBLANK(E564),"AddQuickPay",IF(E564=2,CU564*0.98,IF(E564=2.4,CU564*0.976,IF(E564=3,CU564*0.97,IF(E564=5,CU564*0.95,IF(E564=1.5,CU564*0.985,IF(E564=2.5,CU564*0.975,IF(E564=1.3,CU564*0.987,IF(E564=1,CU564*0.99,IF(E564=4,CU564*0.96,CU564*1))))))))))-Table1[[#This Row],[ComCheck+QuickPayFee]]</f>
        <v>1470</v>
      </c>
      <c r="CY564" s="237">
        <f t="shared" si="661"/>
        <v>105</v>
      </c>
      <c r="CZ564" s="237">
        <f t="shared" si="662"/>
        <v>30</v>
      </c>
      <c r="DA564" s="263">
        <f>Table1[[#This Row],[OriginalDispatch]]-Table1[[#This Row],[QuickPayCharge]]</f>
        <v>75</v>
      </c>
      <c r="DB564" s="5">
        <v>0</v>
      </c>
      <c r="DC564" s="237" t="s">
        <v>133</v>
      </c>
      <c r="DD564" s="549">
        <f t="shared" si="663"/>
        <v>42573</v>
      </c>
      <c r="DE564" s="554">
        <f>MONTH(Table1[[#This Row],[Weekending]])</f>
        <v>7</v>
      </c>
      <c r="DF564" s="554">
        <f>YEAR(Table1[[#This Row],[Weekending]])</f>
        <v>2016</v>
      </c>
      <c r="DG564" s="235"/>
    </row>
    <row r="565" spans="1:111">
      <c r="A565" s="548" t="str">
        <f t="shared" si="640"/>
        <v>47345193</v>
      </c>
      <c r="B565" s="549">
        <v>42574</v>
      </c>
      <c r="C565" s="550">
        <v>8057347</v>
      </c>
      <c r="D565" s="548" t="s">
        <v>2185</v>
      </c>
      <c r="E565" s="550">
        <v>4</v>
      </c>
      <c r="F565" s="551" t="str">
        <f>INDEX(BrokerTBL!$B:$B,MATCH(D565,BrokerTBL!$A:$A,0))</f>
        <v>PO Box 6348</v>
      </c>
      <c r="G565" s="550" t="str">
        <f>INDEX(BrokerTBL!$C:$C,MATCH(D565,BrokerTBL!$A:$A,0))</f>
        <v>Scottsdale</v>
      </c>
      <c r="H565" s="235" t="str">
        <f>INDEX(BrokerTBL!$D:$D,MATCH(D565,BrokerTBL!$A:$A,0))</f>
        <v>Az</v>
      </c>
      <c r="I565" s="235" t="str">
        <f>INDEX(BrokerTBL!$E:$E,MATCH(D565,BrokerTBL!$A:$A,0))</f>
        <v>US</v>
      </c>
      <c r="J565" s="235">
        <f>INDEX(BrokerTBL!$F:$F,MATCH(D565,BrokerTBL!$A:$A,0))</f>
        <v>85258</v>
      </c>
      <c r="K565" s="548" t="s">
        <v>2374</v>
      </c>
      <c r="L565" s="552">
        <v>38407534</v>
      </c>
      <c r="M565" s="549">
        <v>42573</v>
      </c>
      <c r="N565" s="560">
        <v>0.70833333333333337</v>
      </c>
      <c r="O565" s="550" t="s">
        <v>2375</v>
      </c>
      <c r="P565" s="548" t="s">
        <v>2277</v>
      </c>
      <c r="Q565" s="548" t="s">
        <v>2206</v>
      </c>
      <c r="R565" s="548">
        <v>93725</v>
      </c>
      <c r="S565" s="548" t="s">
        <v>2207</v>
      </c>
      <c r="T565" s="548" t="s">
        <v>123</v>
      </c>
      <c r="U565" s="548" t="s">
        <v>120</v>
      </c>
      <c r="V565" s="548">
        <v>53</v>
      </c>
      <c r="W565" s="548" t="s">
        <v>2376</v>
      </c>
      <c r="X565" s="553">
        <v>44064</v>
      </c>
      <c r="Y565" s="550" t="s">
        <v>566</v>
      </c>
      <c r="Z565" s="548">
        <v>1280</v>
      </c>
      <c r="AA565" s="548">
        <v>25</v>
      </c>
      <c r="AB565" s="548" t="s">
        <v>123</v>
      </c>
      <c r="AC565" s="548" t="s">
        <v>2377</v>
      </c>
      <c r="AD565" s="552">
        <v>20210518951</v>
      </c>
      <c r="AE565" s="549">
        <v>42576</v>
      </c>
      <c r="AF565" s="560">
        <v>0.33333333333333331</v>
      </c>
      <c r="AG565" s="548" t="s">
        <v>2378</v>
      </c>
      <c r="AH565" s="548" t="s">
        <v>738</v>
      </c>
      <c r="AI565" s="548" t="s">
        <v>2233</v>
      </c>
      <c r="AJ565" s="548">
        <v>89502</v>
      </c>
      <c r="AK565" s="548" t="s">
        <v>2207</v>
      </c>
      <c r="AL565" s="548" t="s">
        <v>123</v>
      </c>
      <c r="AM565" s="554" t="str">
        <f>INDEX(CarrierDriverTBL!$B:$B,MATCH(Table1[[#This Row],[DriverID]],CarrierDriverTBL!$A:$A,0))</f>
        <v>UBTrucking</v>
      </c>
      <c r="AN565" s="171" t="s">
        <v>2234</v>
      </c>
      <c r="AO565" s="555" t="str">
        <f>INDEX(CarrierDriverTBL!$C:$C,MATCH(Table1[[#This Row],[DriverID]],CarrierDriverTBL!$A:$A,0))</f>
        <v>Arturo</v>
      </c>
      <c r="AP565" s="555" t="str">
        <f>INDEX(CarrierDriverTBL!$D:$D,MATCH(Table1[[#This Row],[DriverID]],CarrierDriverTBL!$A:$A,0))</f>
        <v>Carrillo</v>
      </c>
      <c r="AQ565" s="555" t="str">
        <f>INDEX(CarrierDriverTBL!$X:$X,MATCH(Table1[[#This Row],[DriverID]],CarrierDriverTBL!$A:$A,0))</f>
        <v>C7056793</v>
      </c>
      <c r="AR565" s="556">
        <f>INDEX(CarrierDriverTBL!$Y:$Y,MATCH(Table1[[#This Row],[DriverID]],CarrierDriverTBL!$A:$A,0))</f>
        <v>43410</v>
      </c>
      <c r="AS565" s="554" t="str">
        <f t="shared" si="641"/>
        <v>GOOD</v>
      </c>
      <c r="AT565" s="556">
        <f>INDEX(CarrierDriverTBL!$E:$E,MATCH(Table1[[#This Row],[DriverID]],CarrierDriverTBL!$A:$A,0))</f>
        <v>24782</v>
      </c>
      <c r="AU565" s="557">
        <f ca="1">INDEX(CarrierDriverTBL!$F:$F,MATCH(Table1[[#This Row],[DriverID]],CarrierDriverTBL!$A:$A,0))</f>
        <v>48.750684931506846</v>
      </c>
      <c r="AV565" s="554" t="str">
        <f>INDEX(CarrierDriverTBL!$K:$K,MATCH(Table1[[#This Row],[DriverID]],CarrierDriverTBL!$A:$A,0))</f>
        <v>209-276-9785</v>
      </c>
      <c r="AW565" s="554" t="str">
        <f>INDEX(CarrierDriverTBL!$M:$M,MATCH(Table1[[#This Row],[DriverID]],CarrierDriverTBL!$A:$A,0))</f>
        <v>1685 Winthrop Ln</v>
      </c>
      <c r="AX565" s="554" t="str">
        <f>INDEX(CarrierDriverTBL!$N:$N,MATCH(Table1[[#This Row],[DriverID]],CarrierDriverTBL!$A:$A,0))</f>
        <v>Ceres</v>
      </c>
      <c r="AY565" s="554" t="str">
        <f>INDEX(CarrierDriverTBL!$O:$O,MATCH(Table1[[#This Row],[DriverID]],CarrierDriverTBL!$A:$A,0))</f>
        <v>CA</v>
      </c>
      <c r="AZ565" s="554">
        <f>INDEX(CarrierDriverTBL!$P:$P,MATCH(Table1[[#This Row],[DriverID]],CarrierDriverTBL!$A:$A,0))</f>
        <v>95307</v>
      </c>
      <c r="BA565" s="554" t="str">
        <f>INDEX(CarrierDriverTBL!$Q:$Q,MATCH(Table1[[#This Row],[DriverID]],CarrierDriverTBL!$A:$A,0))</f>
        <v>US</v>
      </c>
      <c r="BB565" s="554" t="str">
        <f>INDEX(CarrierDriverTBL!$R:$R,MATCH(Table1[[#This Row],[DriverID]],CarrierDriverTBL!$A:$A,0))</f>
        <v>arturocarr777@gmail.com</v>
      </c>
      <c r="BC565" s="556">
        <f>INDEX(CarrierDriverTBL!$AB:$AB,MATCH(Table1[[#This Row],[DriverID]],CarrierDriverTBL!$A:$A,0))</f>
        <v>42418</v>
      </c>
      <c r="BD565" s="555" t="str">
        <f ca="1">INDEX(CarrierDriverTBL!$AD:$AD,MATCH(LoadMaster!$AN:$AN,CarrierDriverTBL!$A:$A,0))</f>
        <v>MISSING</v>
      </c>
      <c r="BE565" s="555">
        <f>INDEX(CarrierDriverTBL!$AE:$AE,MATCH(Table1[DriverID],CarrierDriverTBL!$A:$A,0))</f>
        <v>913971</v>
      </c>
      <c r="BF565" s="554">
        <f>INDEX(CarrierDriverTBL!$AF:$AF,MATCH(Table1[DriverID],CarrierDriverTBL!$A:$A,0))</f>
        <v>2627544</v>
      </c>
      <c r="BG565" s="236">
        <f>INDEX(CarrierDriverTBL!$AG:$AG,MATCH(Table1[DriverID],CarrierDriverTBL!$A:$A,0))</f>
        <v>466133</v>
      </c>
      <c r="BH565" s="554" t="str">
        <f>INDEX(CarrierDriverTBL!$AH:$AH,MATCH(Table1[DriverID],CarrierDriverTBL!$A:$A,0))</f>
        <v>GM Lawrence Ins</v>
      </c>
      <c r="BI565" s="554" t="str">
        <f>INDEX(CarrierDriverTBL!$AI:$AI,MATCH(Table1[DriverID],CarrierDriverTBL!$A:$A,0))</f>
        <v>DSK2842P160210</v>
      </c>
      <c r="BJ565" s="556">
        <f>INDEX(CarrierDriverTBL!$AJ:$AJ,MATCH(Table1[[#This Row],[DriverID]],CarrierDriverTBL!$A:$A,0))</f>
        <v>42778</v>
      </c>
      <c r="BK565" s="554">
        <f t="shared" si="642"/>
        <v>205</v>
      </c>
      <c r="BL565" s="558">
        <v>850</v>
      </c>
      <c r="BM565" s="554">
        <v>300.10000000000002</v>
      </c>
      <c r="BN565" s="558">
        <f t="shared" si="643"/>
        <v>2.8323892035988001</v>
      </c>
      <c r="BO565" s="241">
        <f>0.93*850</f>
        <v>790.5</v>
      </c>
      <c r="BP565" s="558">
        <f t="shared" si="644"/>
        <v>2.6341219593468841</v>
      </c>
      <c r="BQ565" s="558">
        <v>2.8</v>
      </c>
      <c r="BR565" s="559">
        <f t="shared" si="645"/>
        <v>0.15</v>
      </c>
      <c r="BS565" s="558">
        <f t="shared" si="646"/>
        <v>2.4841219593468842</v>
      </c>
      <c r="BT565" s="558">
        <f t="shared" si="647"/>
        <v>45.015000000000001</v>
      </c>
      <c r="BU565" s="236" t="str">
        <f t="shared" si="648"/>
        <v>Globaltranz</v>
      </c>
      <c r="BV565" s="554"/>
      <c r="BW565" s="236" t="str">
        <f>Table1[[#This Row],[BrokerAddress]]</f>
        <v>PO Box 6348</v>
      </c>
      <c r="BX565" s="236" t="str">
        <f t="shared" si="649"/>
        <v>Scottsdale</v>
      </c>
      <c r="BY565" s="269" t="str">
        <f t="shared" si="650"/>
        <v>Az</v>
      </c>
      <c r="BZ565" s="236">
        <f t="shared" si="651"/>
        <v>85258</v>
      </c>
      <c r="CA565" s="236" t="str">
        <f t="shared" si="652"/>
        <v>US</v>
      </c>
      <c r="CB565" s="550" t="s">
        <v>131</v>
      </c>
      <c r="CC565" s="561"/>
      <c r="CD565" s="15" t="s">
        <v>132</v>
      </c>
      <c r="CE565" s="64">
        <v>0</v>
      </c>
      <c r="CF565" s="4">
        <v>0</v>
      </c>
      <c r="CG565" s="132">
        <f t="shared" ref="CG565" si="714">CE565*CF565</f>
        <v>0</v>
      </c>
      <c r="CH565" s="4" t="s">
        <v>132</v>
      </c>
      <c r="CI565" s="5">
        <v>0</v>
      </c>
      <c r="CJ565" s="4">
        <v>0</v>
      </c>
      <c r="CK565" s="132">
        <f t="shared" ref="CK565" si="715">CI565*CJ565</f>
        <v>0</v>
      </c>
      <c r="CL565" s="4" t="s">
        <v>132</v>
      </c>
      <c r="CM565" s="5">
        <v>0</v>
      </c>
      <c r="CN565" s="4">
        <v>0</v>
      </c>
      <c r="CO565" s="132">
        <f t="shared" ref="CO565" si="716">CM565*CN565</f>
        <v>0</v>
      </c>
      <c r="CP565" s="4" t="s">
        <v>132</v>
      </c>
      <c r="CQ565" s="5">
        <v>0</v>
      </c>
      <c r="CR565" s="4">
        <v>0</v>
      </c>
      <c r="CS565" s="412">
        <f t="shared" ref="CS565" si="717">CQ565*CR565</f>
        <v>0</v>
      </c>
      <c r="CT565" s="412">
        <f t="shared" ref="CT565" si="718">CG565+CK565+CO565+CS565</f>
        <v>0</v>
      </c>
      <c r="CU565" s="238">
        <f t="shared" si="658"/>
        <v>850</v>
      </c>
      <c r="CV565" s="239">
        <f t="shared" si="659"/>
        <v>0</v>
      </c>
      <c r="CW565" s="240">
        <f t="shared" si="660"/>
        <v>790.5</v>
      </c>
      <c r="CX565" s="541">
        <f>IF(ISBLANK(E565),"AddQuickPay",IF(E565=2,CU565*0.98,IF(E565=2.4,CU565*0.976,IF(E565=3,CU565*0.97,IF(E565=5,CU565*0.95,IF(E565=1.5,CU565*0.985,IF(E565=2.5,CU565*0.975,IF(E565=1.3,CU565*0.987,IF(E565=1,CU565*0.99,IF(E565=4,CU565*0.96,CU565*1))))))))))-Table1[[#This Row],[ComCheck+QuickPayFee]]</f>
        <v>816</v>
      </c>
      <c r="CY565" s="237">
        <f t="shared" si="661"/>
        <v>59.5</v>
      </c>
      <c r="CZ565" s="237">
        <f t="shared" si="662"/>
        <v>34</v>
      </c>
      <c r="DA565" s="263">
        <f>Table1[[#This Row],[OriginalDispatch]]-Table1[[#This Row],[QuickPayCharge]]</f>
        <v>25.5</v>
      </c>
      <c r="DB565" s="5">
        <v>0</v>
      </c>
      <c r="DC565" s="237" t="s">
        <v>133</v>
      </c>
      <c r="DD565" s="549">
        <f t="shared" si="663"/>
        <v>42573</v>
      </c>
      <c r="DE565" s="554">
        <f>MONTH(Table1[[#This Row],[Weekending]])</f>
        <v>7</v>
      </c>
      <c r="DF565" s="554">
        <f>YEAR(Table1[[#This Row],[Weekending]])</f>
        <v>2016</v>
      </c>
      <c r="DG565" s="235"/>
    </row>
    <row r="566" spans="1:111">
      <c r="A566" s="548" t="str">
        <f t="shared" si="640"/>
        <v>t3wnwn47</v>
      </c>
      <c r="B566" s="549">
        <v>42574</v>
      </c>
      <c r="C566" s="550" t="s">
        <v>3562</v>
      </c>
      <c r="D566" s="548" t="s">
        <v>3043</v>
      </c>
      <c r="E566" s="550">
        <v>0</v>
      </c>
      <c r="F566" s="551" t="str">
        <f>INDEX(BrokerTBL!$B:$B,MATCH(D566,BrokerTBL!$A:$A,0))</f>
        <v>1848 N. WOODSON AVE.</v>
      </c>
      <c r="G566" s="550" t="str">
        <f>INDEX(BrokerTBL!$C:$C,MATCH(D566,BrokerTBL!$A:$A,0))</f>
        <v>Fresno</v>
      </c>
      <c r="H566" s="235" t="str">
        <f>INDEX(BrokerTBL!$D:$D,MATCH(D566,BrokerTBL!$A:$A,0))</f>
        <v>CA</v>
      </c>
      <c r="I566" s="235" t="str">
        <f>INDEX(BrokerTBL!$E:$E,MATCH(D566,BrokerTBL!$A:$A,0))</f>
        <v>US</v>
      </c>
      <c r="J566" s="235">
        <f>INDEX(BrokerTBL!$F:$F,MATCH(D566,BrokerTBL!$A:$A,0))</f>
        <v>93705</v>
      </c>
      <c r="K566" s="548" t="s">
        <v>1263</v>
      </c>
      <c r="L566" s="552" t="s">
        <v>1205</v>
      </c>
      <c r="M566" s="549">
        <v>42572</v>
      </c>
      <c r="N566" s="550" t="s">
        <v>123</v>
      </c>
      <c r="O566" s="550" t="s">
        <v>3045</v>
      </c>
      <c r="P566" s="548" t="s">
        <v>2616</v>
      </c>
      <c r="Q566" s="548" t="s">
        <v>2233</v>
      </c>
      <c r="R566" s="548" t="s">
        <v>123</v>
      </c>
      <c r="S566" s="548" t="s">
        <v>2207</v>
      </c>
      <c r="T566" s="548" t="s">
        <v>3513</v>
      </c>
      <c r="U566" s="548" t="s">
        <v>120</v>
      </c>
      <c r="V566" s="548">
        <v>53</v>
      </c>
      <c r="W566" s="548" t="s">
        <v>3563</v>
      </c>
      <c r="X566" s="553">
        <v>43000</v>
      </c>
      <c r="Y566" s="550" t="s">
        <v>123</v>
      </c>
      <c r="Z566" s="548" t="s">
        <v>123</v>
      </c>
      <c r="AA566" s="548" t="s">
        <v>123</v>
      </c>
      <c r="AB566" s="548" t="s">
        <v>123</v>
      </c>
      <c r="AC566" s="548" t="s">
        <v>3044</v>
      </c>
      <c r="AD566" s="552" t="s">
        <v>1205</v>
      </c>
      <c r="AE566" s="549">
        <v>42572</v>
      </c>
      <c r="AF566" s="549" t="s">
        <v>123</v>
      </c>
      <c r="AG566" s="548" t="s">
        <v>3048</v>
      </c>
      <c r="AH566" s="548" t="s">
        <v>3049</v>
      </c>
      <c r="AI566" s="548" t="s">
        <v>2206</v>
      </c>
      <c r="AJ566" s="548" t="s">
        <v>123</v>
      </c>
      <c r="AK566" s="548" t="s">
        <v>2207</v>
      </c>
      <c r="AL566" s="548" t="s">
        <v>123</v>
      </c>
      <c r="AM566" s="554" t="str">
        <f>INDEX(CarrierDriverTBL!$B:$B,MATCH(Table1[[#This Row],[DriverID]],CarrierDriverTBL!$A:$A,0))</f>
        <v>UBTrucking</v>
      </c>
      <c r="AN566" s="443" t="s">
        <v>3427</v>
      </c>
      <c r="AO566" s="555" t="str">
        <f>INDEX(CarrierDriverTBL!$C:$C,MATCH(Table1[[#This Row],[DriverID]],CarrierDriverTBL!$A:$A,0))</f>
        <v>Anthony</v>
      </c>
      <c r="AP566" s="555" t="str">
        <f>INDEX(CarrierDriverTBL!$D:$D,MATCH(Table1[[#This Row],[DriverID]],CarrierDriverTBL!$A:$A,0))</f>
        <v>Fonseca</v>
      </c>
      <c r="AQ566" s="555" t="str">
        <f>INDEX(CarrierDriverTBL!$X:$X,MATCH(Table1[[#This Row],[DriverID]],CarrierDriverTBL!$A:$A,0))</f>
        <v>D7005547</v>
      </c>
      <c r="AR566" s="556">
        <f>INDEX(CarrierDriverTBL!$Y:$Y,MATCH(Table1[[#This Row],[DriverID]],CarrierDriverTBL!$A:$A,0))</f>
        <v>42963</v>
      </c>
      <c r="AS566" s="554" t="str">
        <f t="shared" si="641"/>
        <v>GOOD</v>
      </c>
      <c r="AT566" s="556">
        <f>INDEX(CarrierDriverTBL!$E:$E,MATCH(Table1[[#This Row],[DriverID]],CarrierDriverTBL!$A:$A,0))</f>
        <v>32371</v>
      </c>
      <c r="AU566" s="557">
        <f ca="1">INDEX(CarrierDriverTBL!$F:$F,MATCH(Table1[[#This Row],[DriverID]],CarrierDriverTBL!$A:$A,0))</f>
        <v>27.958904109589042</v>
      </c>
      <c r="AV566" s="554" t="str">
        <f>INDEX(CarrierDriverTBL!$K:$K,MATCH(Table1[[#This Row],[DriverID]],CarrierDriverTBL!$A:$A,0))</f>
        <v>209-405-4622</v>
      </c>
      <c r="AW566" s="554" t="str">
        <f>INDEX(CarrierDriverTBL!$M:$M,MATCH(Table1[[#This Row],[DriverID]],CarrierDriverTBL!$A:$A,0))</f>
        <v>367 Mosswood Ave</v>
      </c>
      <c r="AX566" s="554" t="str">
        <f>INDEX(CarrierDriverTBL!$N:$N,MATCH(Table1[[#This Row],[DriverID]],CarrierDriverTBL!$A:$A,0))</f>
        <v>Stockton</v>
      </c>
      <c r="AY566" s="554" t="str">
        <f>INDEX(CarrierDriverTBL!$O:$O,MATCH(Table1[[#This Row],[DriverID]],CarrierDriverTBL!$A:$A,0))</f>
        <v>CA</v>
      </c>
      <c r="AZ566" s="554">
        <f>INDEX(CarrierDriverTBL!$P:$P,MATCH(Table1[[#This Row],[DriverID]],CarrierDriverTBL!$A:$A,0))</f>
        <v>95206</v>
      </c>
      <c r="BA566" s="554" t="str">
        <f>INDEX(CarrierDriverTBL!$Q:$Q,MATCH(Table1[[#This Row],[DriverID]],CarrierDriverTBL!$A:$A,0))</f>
        <v>US</v>
      </c>
      <c r="BB566" s="554" t="str">
        <f>INDEX(CarrierDriverTBL!$R:$R,MATCH(Table1[[#This Row],[DriverID]],CarrierDriverTBL!$A:$A,0))</f>
        <v>anthony_fonseca@ymail.com</v>
      </c>
      <c r="BC566" s="556">
        <f>INDEX(CarrierDriverTBL!$AB:$AB,MATCH(Table1[[#This Row],[DriverID]],CarrierDriverTBL!$A:$A,0))</f>
        <v>42562</v>
      </c>
      <c r="BD566" s="555" t="str">
        <f ca="1">INDEX(CarrierDriverTBL!$AD:$AD,MATCH(LoadMaster!$AN:$AN,CarrierDriverTBL!$A:$A,0))</f>
        <v>PASS</v>
      </c>
      <c r="BE566" s="555">
        <f>INDEX(CarrierDriverTBL!$AE:$AE,MATCH(Table1[DriverID],CarrierDriverTBL!$A:$A,0))</f>
        <v>913971</v>
      </c>
      <c r="BF566" s="554">
        <f>INDEX(CarrierDriverTBL!$AF:$AF,MATCH(Table1[DriverID],CarrierDriverTBL!$A:$A,0))</f>
        <v>2627544</v>
      </c>
      <c r="BG566" s="236">
        <f>INDEX(CarrierDriverTBL!$AG:$AG,MATCH(Table1[DriverID],CarrierDriverTBL!$A:$A,0))</f>
        <v>466133</v>
      </c>
      <c r="BH566" s="554" t="str">
        <f>INDEX(CarrierDriverTBL!$AH:$AH,MATCH(Table1[DriverID],CarrierDriverTBL!$A:$A,0))</f>
        <v>GM Lawrence Ins</v>
      </c>
      <c r="BI566" s="554" t="str">
        <f>INDEX(CarrierDriverTBL!$AI:$AI,MATCH(Table1[DriverID],CarrierDriverTBL!$A:$A,0))</f>
        <v>DSK2842P160210</v>
      </c>
      <c r="BJ566" s="556">
        <f>INDEX(CarrierDriverTBL!$AJ:$AJ,MATCH(Table1[[#This Row],[DriverID]],CarrierDriverTBL!$A:$A,0))</f>
        <v>42778</v>
      </c>
      <c r="BK566" s="554">
        <f t="shared" si="642"/>
        <v>206</v>
      </c>
      <c r="BL566" s="558">
        <v>700</v>
      </c>
      <c r="BM566" s="554">
        <v>385.2</v>
      </c>
      <c r="BN566" s="558">
        <f t="shared" si="643"/>
        <v>1.8172377985462098</v>
      </c>
      <c r="BO566" s="241">
        <f>0.93*700</f>
        <v>651</v>
      </c>
      <c r="BP566" s="558">
        <f t="shared" si="644"/>
        <v>1.6900311526479752</v>
      </c>
      <c r="BQ566" s="558">
        <v>2.8</v>
      </c>
      <c r="BR566" s="559">
        <f t="shared" si="645"/>
        <v>0.15</v>
      </c>
      <c r="BS566" s="558">
        <f t="shared" si="646"/>
        <v>1.5400311526479753</v>
      </c>
      <c r="BT566" s="558">
        <f t="shared" si="647"/>
        <v>57.779999999999994</v>
      </c>
      <c r="BU566" s="236" t="str">
        <f t="shared" si="648"/>
        <v>Ray Brothers Transportation Inc.</v>
      </c>
      <c r="BV566" s="554"/>
      <c r="BW566" s="236" t="str">
        <f>Table1[[#This Row],[BrokerAddress]]</f>
        <v>1848 N. WOODSON AVE.</v>
      </c>
      <c r="BX566" s="236" t="str">
        <f t="shared" si="649"/>
        <v>Fresno</v>
      </c>
      <c r="BY566" s="269" t="str">
        <f t="shared" si="650"/>
        <v>CA</v>
      </c>
      <c r="BZ566" s="236">
        <f t="shared" si="651"/>
        <v>93705</v>
      </c>
      <c r="CA566" s="236" t="str">
        <f t="shared" si="652"/>
        <v>US</v>
      </c>
      <c r="CB566" s="550" t="s">
        <v>131</v>
      </c>
      <c r="CC566" s="561"/>
      <c r="CD566" s="15" t="s">
        <v>132</v>
      </c>
      <c r="CE566" s="64">
        <v>0</v>
      </c>
      <c r="CF566" s="4">
        <v>0</v>
      </c>
      <c r="CG566" s="132">
        <f t="shared" ref="CG566" si="719">CE566*CF566</f>
        <v>0</v>
      </c>
      <c r="CH566" s="4" t="s">
        <v>132</v>
      </c>
      <c r="CI566" s="5">
        <v>0</v>
      </c>
      <c r="CJ566" s="4">
        <v>0</v>
      </c>
      <c r="CK566" s="132">
        <f t="shared" ref="CK566" si="720">CI566*CJ566</f>
        <v>0</v>
      </c>
      <c r="CL566" s="4" t="s">
        <v>132</v>
      </c>
      <c r="CM566" s="5">
        <v>0</v>
      </c>
      <c r="CN566" s="4">
        <v>0</v>
      </c>
      <c r="CO566" s="132">
        <f t="shared" ref="CO566" si="721">CM566*CN566</f>
        <v>0</v>
      </c>
      <c r="CP566" s="4" t="s">
        <v>132</v>
      </c>
      <c r="CQ566" s="5">
        <v>0</v>
      </c>
      <c r="CR566" s="4">
        <v>0</v>
      </c>
      <c r="CS566" s="412">
        <f t="shared" ref="CS566" si="722">CQ566*CR566</f>
        <v>0</v>
      </c>
      <c r="CT566" s="412">
        <f t="shared" ref="CT566" si="723">CG566+CK566+CO566+CS566</f>
        <v>0</v>
      </c>
      <c r="CU566" s="238">
        <f t="shared" si="658"/>
        <v>700</v>
      </c>
      <c r="CV566" s="239">
        <f t="shared" si="659"/>
        <v>0</v>
      </c>
      <c r="CW566" s="240">
        <f t="shared" si="660"/>
        <v>651</v>
      </c>
      <c r="CX566" s="541">
        <f>IF(ISBLANK(E566),"AddQuickPay",IF(E566=2,CU566*0.98,IF(E566=2.4,CU566*0.976,IF(E566=3,CU566*0.97,IF(E566=5,CU566*0.95,IF(E566=1.5,CU566*0.985,IF(E566=2.5,CU566*0.975,IF(E566=1.3,CU566*0.987,IF(E566=1,CU566*0.99,IF(E566=4,CU566*0.96,CU566*1))))))))))-Table1[[#This Row],[ComCheck+QuickPayFee]]</f>
        <v>700</v>
      </c>
      <c r="CY566" s="237">
        <f t="shared" si="661"/>
        <v>49</v>
      </c>
      <c r="CZ566" s="237">
        <f t="shared" si="662"/>
        <v>0</v>
      </c>
      <c r="DA566" s="263">
        <f>Table1[[#This Row],[OriginalDispatch]]-Table1[[#This Row],[QuickPayCharge]]</f>
        <v>49</v>
      </c>
      <c r="DB566" s="5">
        <v>0</v>
      </c>
      <c r="DC566" s="237" t="s">
        <v>133</v>
      </c>
      <c r="DD566" s="549">
        <f t="shared" si="663"/>
        <v>42573</v>
      </c>
      <c r="DE566" s="554">
        <f>MONTH(Table1[[#This Row],[Weekending]])</f>
        <v>7</v>
      </c>
      <c r="DF566" s="554">
        <f>YEAR(Table1[[#This Row],[Weekending]])</f>
        <v>2016</v>
      </c>
      <c r="DG566" s="235"/>
    </row>
  </sheetData>
  <conditionalFormatting sqref="BK2:BK566">
    <cfRule type="cellIs" dxfId="214" priority="3960" operator="between">
      <formula>10</formula>
      <formula>30</formula>
    </cfRule>
    <cfRule type="cellIs" dxfId="213" priority="3961" operator="greaterThan">
      <formula>30</formula>
    </cfRule>
  </conditionalFormatting>
  <conditionalFormatting sqref="BK2:BK566">
    <cfRule type="cellIs" dxfId="212" priority="3958" operator="lessThan">
      <formula>0</formula>
    </cfRule>
    <cfRule type="cellIs" dxfId="211" priority="3959" operator="between">
      <formula>9</formula>
      <formula>1</formula>
    </cfRule>
  </conditionalFormatting>
  <conditionalFormatting sqref="C59">
    <cfRule type="duplicateValues" dxfId="210" priority="3399"/>
  </conditionalFormatting>
  <conditionalFormatting sqref="C60">
    <cfRule type="duplicateValues" dxfId="209" priority="3389"/>
  </conditionalFormatting>
  <conditionalFormatting sqref="C61">
    <cfRule type="duplicateValues" dxfId="208" priority="3388"/>
  </conditionalFormatting>
  <conditionalFormatting sqref="C62">
    <cfRule type="duplicateValues" dxfId="207" priority="3378"/>
  </conditionalFormatting>
  <conditionalFormatting sqref="C63:C64">
    <cfRule type="duplicateValues" dxfId="206" priority="3368"/>
  </conditionalFormatting>
  <conditionalFormatting sqref="C66">
    <cfRule type="duplicateValues" dxfId="205" priority="3342"/>
  </conditionalFormatting>
  <conditionalFormatting sqref="C67">
    <cfRule type="duplicateValues" dxfId="204" priority="3333"/>
  </conditionalFormatting>
  <conditionalFormatting sqref="C70">
    <cfRule type="duplicateValues" dxfId="203" priority="3306"/>
  </conditionalFormatting>
  <conditionalFormatting sqref="C71">
    <cfRule type="duplicateValues" dxfId="202" priority="3297"/>
  </conditionalFormatting>
  <conditionalFormatting sqref="C72">
    <cfRule type="duplicateValues" dxfId="201" priority="3287"/>
  </conditionalFormatting>
  <conditionalFormatting sqref="C74">
    <cfRule type="duplicateValues" dxfId="200" priority="3258"/>
  </conditionalFormatting>
  <conditionalFormatting sqref="C75">
    <cfRule type="duplicateValues" dxfId="199" priority="3248"/>
  </conditionalFormatting>
  <conditionalFormatting sqref="C76">
    <cfRule type="duplicateValues" dxfId="198" priority="3198"/>
  </conditionalFormatting>
  <conditionalFormatting sqref="L76">
    <cfRule type="duplicateValues" dxfId="197" priority="3189"/>
  </conditionalFormatting>
  <conditionalFormatting sqref="C77">
    <cfRule type="duplicateValues" dxfId="196" priority="3187"/>
  </conditionalFormatting>
  <conditionalFormatting sqref="C78">
    <cfRule type="duplicateValues" dxfId="195" priority="3177"/>
  </conditionalFormatting>
  <conditionalFormatting sqref="C79">
    <cfRule type="duplicateValues" dxfId="194" priority="3167"/>
  </conditionalFormatting>
  <conditionalFormatting sqref="K79">
    <cfRule type="duplicateValues" dxfId="193" priority="3166"/>
  </conditionalFormatting>
  <conditionalFormatting sqref="C80">
    <cfRule type="duplicateValues" dxfId="192" priority="3156"/>
  </conditionalFormatting>
  <conditionalFormatting sqref="C82">
    <cfRule type="duplicateValues" dxfId="191" priority="3138"/>
  </conditionalFormatting>
  <conditionalFormatting sqref="C83">
    <cfRule type="duplicateValues" dxfId="190" priority="3129"/>
  </conditionalFormatting>
  <conditionalFormatting sqref="C88">
    <cfRule type="duplicateValues" dxfId="189" priority="3085"/>
  </conditionalFormatting>
  <conditionalFormatting sqref="C89">
    <cfRule type="duplicateValues" dxfId="188" priority="3076"/>
  </conditionalFormatting>
  <conditionalFormatting sqref="C92">
    <cfRule type="duplicateValues" dxfId="187" priority="3040"/>
  </conditionalFormatting>
  <conditionalFormatting sqref="C99">
    <cfRule type="duplicateValues" dxfId="186" priority="2976"/>
  </conditionalFormatting>
  <conditionalFormatting sqref="C101">
    <cfRule type="duplicateValues" dxfId="185" priority="2957"/>
  </conditionalFormatting>
  <conditionalFormatting sqref="C102">
    <cfRule type="duplicateValues" dxfId="184" priority="2947"/>
  </conditionalFormatting>
  <conditionalFormatting sqref="C108">
    <cfRule type="duplicateValues" dxfId="183" priority="2899"/>
  </conditionalFormatting>
  <conditionalFormatting sqref="C110">
    <cfRule type="duplicateValues" dxfId="182" priority="2877"/>
  </conditionalFormatting>
  <conditionalFormatting sqref="C115">
    <cfRule type="duplicateValues" dxfId="181" priority="2827"/>
  </conditionalFormatting>
  <conditionalFormatting sqref="C127">
    <cfRule type="duplicateValues" dxfId="180" priority="2695"/>
  </conditionalFormatting>
  <conditionalFormatting sqref="C127">
    <cfRule type="duplicateValues" dxfId="179" priority="2694"/>
  </conditionalFormatting>
  <conditionalFormatting sqref="C141">
    <cfRule type="duplicateValues" dxfId="178" priority="2549"/>
  </conditionalFormatting>
  <conditionalFormatting sqref="C197">
    <cfRule type="duplicateValues" dxfId="177" priority="2022"/>
  </conditionalFormatting>
  <conditionalFormatting sqref="C220">
    <cfRule type="duplicateValues" dxfId="176" priority="1789"/>
  </conditionalFormatting>
  <conditionalFormatting sqref="C2:C112">
    <cfRule type="duplicateValues" dxfId="175" priority="4137"/>
  </conditionalFormatting>
  <conditionalFormatting sqref="C262">
    <cfRule type="duplicateValues" dxfId="174" priority="1396"/>
  </conditionalFormatting>
  <conditionalFormatting sqref="C262">
    <cfRule type="duplicateValues" dxfId="173" priority="1395"/>
  </conditionalFormatting>
  <conditionalFormatting sqref="C270">
    <cfRule type="duplicateValues" dxfId="172" priority="1293"/>
  </conditionalFormatting>
  <conditionalFormatting sqref="C270">
    <cfRule type="duplicateValues" dxfId="171" priority="1292"/>
  </conditionalFormatting>
  <conditionalFormatting sqref="C273">
    <cfRule type="duplicateValues" dxfId="170" priority="1263"/>
  </conditionalFormatting>
  <conditionalFormatting sqref="C273">
    <cfRule type="duplicateValues" dxfId="169" priority="1262"/>
  </conditionalFormatting>
  <conditionalFormatting sqref="C275">
    <cfRule type="duplicateValues" dxfId="168" priority="1241"/>
  </conditionalFormatting>
  <conditionalFormatting sqref="C275">
    <cfRule type="duplicateValues" dxfId="167" priority="1240"/>
  </conditionalFormatting>
  <conditionalFormatting sqref="C278">
    <cfRule type="duplicateValues" dxfId="166" priority="1212"/>
  </conditionalFormatting>
  <conditionalFormatting sqref="C278">
    <cfRule type="duplicateValues" dxfId="165" priority="1211"/>
  </conditionalFormatting>
  <conditionalFormatting sqref="G280 C280">
    <cfRule type="duplicateValues" dxfId="164" priority="1192"/>
  </conditionalFormatting>
  <conditionalFormatting sqref="C280">
    <cfRule type="duplicateValues" dxfId="163" priority="1191"/>
  </conditionalFormatting>
  <conditionalFormatting sqref="C281">
    <cfRule type="duplicateValues" dxfId="162" priority="1181"/>
  </conditionalFormatting>
  <conditionalFormatting sqref="C281">
    <cfRule type="duplicateValues" dxfId="161" priority="1180"/>
  </conditionalFormatting>
  <conditionalFormatting sqref="C282">
    <cfRule type="duplicateValues" dxfId="160" priority="1168"/>
  </conditionalFormatting>
  <conditionalFormatting sqref="C282">
    <cfRule type="duplicateValues" dxfId="159" priority="1167"/>
  </conditionalFormatting>
  <conditionalFormatting sqref="C284">
    <cfRule type="duplicateValues" dxfId="158" priority="1137"/>
  </conditionalFormatting>
  <conditionalFormatting sqref="C284">
    <cfRule type="duplicateValues" dxfId="157" priority="1136"/>
  </conditionalFormatting>
  <conditionalFormatting sqref="C285">
    <cfRule type="duplicateValues" dxfId="156" priority="1126"/>
  </conditionalFormatting>
  <conditionalFormatting sqref="C285">
    <cfRule type="duplicateValues" dxfId="155" priority="1125"/>
  </conditionalFormatting>
  <conditionalFormatting sqref="C286">
    <cfRule type="duplicateValues" dxfId="154" priority="1115"/>
  </conditionalFormatting>
  <conditionalFormatting sqref="C286">
    <cfRule type="duplicateValues" dxfId="153" priority="1114"/>
  </conditionalFormatting>
  <conditionalFormatting sqref="C288">
    <cfRule type="duplicateValues" dxfId="152" priority="1095"/>
  </conditionalFormatting>
  <conditionalFormatting sqref="C288">
    <cfRule type="duplicateValues" dxfId="151" priority="1094"/>
  </conditionalFormatting>
  <conditionalFormatting sqref="C289">
    <cfRule type="duplicateValues" dxfId="150" priority="1084"/>
  </conditionalFormatting>
  <conditionalFormatting sqref="C289">
    <cfRule type="duplicateValues" dxfId="149" priority="1083"/>
  </conditionalFormatting>
  <conditionalFormatting sqref="C291">
    <cfRule type="duplicateValues" dxfId="148" priority="1064"/>
  </conditionalFormatting>
  <conditionalFormatting sqref="C291">
    <cfRule type="duplicateValues" dxfId="147" priority="1063"/>
  </conditionalFormatting>
  <conditionalFormatting sqref="C292">
    <cfRule type="duplicateValues" dxfId="146" priority="1053"/>
  </conditionalFormatting>
  <conditionalFormatting sqref="C292">
    <cfRule type="duplicateValues" dxfId="145" priority="1052"/>
  </conditionalFormatting>
  <conditionalFormatting sqref="G293 C293">
    <cfRule type="duplicateValues" dxfId="144" priority="1042"/>
  </conditionalFormatting>
  <conditionalFormatting sqref="C293">
    <cfRule type="duplicateValues" dxfId="143" priority="1041"/>
  </conditionalFormatting>
  <conditionalFormatting sqref="C294">
    <cfRule type="duplicateValues" dxfId="142" priority="1040"/>
  </conditionalFormatting>
  <conditionalFormatting sqref="C294">
    <cfRule type="duplicateValues" dxfId="141" priority="1039"/>
  </conditionalFormatting>
  <conditionalFormatting sqref="C331 G276 C323:C325 C283 C93:C98 C65 C1:C58 C68:C69 C73 C81 C84:C86 C90:C91 C100 C103:C107 C109 C111:C114 C116:C126 C128:C140 C142:C195 C198:C201 C203:C219 C221:C261 C263:C269 C271:C272 C274 C276:C277 C279 C287 G287 C290 C295:C305 C309:C313 C315 C318 C338:C496 C498:C534 C536:C1048576">
    <cfRule type="duplicateValues" dxfId="140" priority="4517"/>
  </conditionalFormatting>
  <conditionalFormatting sqref="C331 G276 C323:C325 C283 C271:C272 C1:C261 C263:C269 C274 C276:C277 C279 C287 G287 C290 C295:C305 C309:C313 C315 C318 C338:C496 C498:C534 C536:C1048576">
    <cfRule type="duplicateValues" dxfId="139" priority="4552"/>
  </conditionalFormatting>
  <conditionalFormatting sqref="C331 C323:C325 C1:C305 C309:C313 C315 C318 C338:C496 C498:C534 C536:C1048576">
    <cfRule type="duplicateValues" dxfId="138" priority="978"/>
  </conditionalFormatting>
  <conditionalFormatting sqref="C306">
    <cfRule type="duplicateValues" dxfId="137" priority="903"/>
  </conditionalFormatting>
  <conditionalFormatting sqref="C306">
    <cfRule type="duplicateValues" dxfId="136" priority="904"/>
  </conditionalFormatting>
  <conditionalFormatting sqref="C306">
    <cfRule type="duplicateValues" dxfId="135" priority="902"/>
  </conditionalFormatting>
  <conditionalFormatting sqref="C307">
    <cfRule type="duplicateValues" dxfId="134" priority="900"/>
  </conditionalFormatting>
  <conditionalFormatting sqref="C307">
    <cfRule type="duplicateValues" dxfId="133" priority="901"/>
  </conditionalFormatting>
  <conditionalFormatting sqref="C307">
    <cfRule type="duplicateValues" dxfId="132" priority="899"/>
  </conditionalFormatting>
  <conditionalFormatting sqref="C308">
    <cfRule type="duplicateValues" dxfId="131" priority="897"/>
  </conditionalFormatting>
  <conditionalFormatting sqref="C308">
    <cfRule type="duplicateValues" dxfId="130" priority="898"/>
  </conditionalFormatting>
  <conditionalFormatting sqref="C308">
    <cfRule type="duplicateValues" dxfId="129" priority="896"/>
  </conditionalFormatting>
  <conditionalFormatting sqref="A1:A1048576">
    <cfRule type="duplicateValues" dxfId="128" priority="19"/>
  </conditionalFormatting>
  <conditionalFormatting sqref="AT1:AU1048576">
    <cfRule type="containsText" dxfId="127" priority="15" operator="containsText" text="MISSING">
      <formula>NOT(ISERROR(SEARCH("MISSING",AT1)))</formula>
    </cfRule>
  </conditionalFormatting>
  <conditionalFormatting sqref="BG1:BG1048576 BC1:BC1048576">
    <cfRule type="containsText" dxfId="126" priority="10" operator="containsText" text="Missing">
      <formula>NOT(ISERROR(SEARCH("Missing",BC1)))</formula>
    </cfRule>
  </conditionalFormatting>
  <conditionalFormatting sqref="BD1:BD1048576">
    <cfRule type="containsText" dxfId="125" priority="8" operator="containsText" text="MISSING">
      <formula>NOT(ISERROR(SEARCH("MISSING",BD1)))</formula>
    </cfRule>
  </conditionalFormatting>
  <conditionalFormatting sqref="BK1:BK1048576">
    <cfRule type="containsText" dxfId="124" priority="7" operator="containsText" text="MISSING">
      <formula>NOT(ISERROR(SEARCH("MISSING",BK1)))</formula>
    </cfRule>
  </conditionalFormatting>
  <conditionalFormatting sqref="L456">
    <cfRule type="duplicateValues" dxfId="123" priority="2"/>
  </conditionalFormatting>
  <conditionalFormatting sqref="L456">
    <cfRule type="duplicateValues" dxfId="122" priority="3"/>
  </conditionalFormatting>
  <conditionalFormatting sqref="L456">
    <cfRule type="duplicateValues" dxfId="121" priority="1"/>
  </conditionalFormatting>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933FF"/>
  </sheetPr>
  <dimension ref="A1:O48"/>
  <sheetViews>
    <sheetView zoomScale="90" zoomScaleNormal="90" workbookViewId="0">
      <pane ySplit="1" topLeftCell="A2" activePane="bottomLeft" state="frozen"/>
      <selection activeCell="L39" sqref="L39"/>
      <selection pane="bottomLeft" activeCell="H17" sqref="H17"/>
    </sheetView>
  </sheetViews>
  <sheetFormatPr defaultColWidth="11.7109375" defaultRowHeight="15"/>
  <cols>
    <col min="1" max="1" width="32.28515625" style="32" bestFit="1" customWidth="1"/>
    <col min="2" max="2" width="12.140625" style="45" bestFit="1" customWidth="1"/>
    <col min="3" max="3" width="11.28515625" style="32" bestFit="1" customWidth="1"/>
    <col min="4" max="4" width="11.140625" style="32" bestFit="1" customWidth="1"/>
    <col min="5" max="5" width="12.140625" style="32" bestFit="1" customWidth="1"/>
    <col min="6" max="6" width="12.28515625" style="77" bestFit="1" customWidth="1"/>
    <col min="7" max="7" width="12.140625" style="36" customWidth="1"/>
    <col min="8" max="8" width="18.28515625" style="245" bestFit="1" customWidth="1"/>
    <col min="9" max="9" width="12.140625" style="453" bestFit="1" customWidth="1"/>
    <col min="10" max="10" width="3.28515625" style="453" customWidth="1"/>
    <col min="11" max="12" width="12.7109375" style="245" bestFit="1" customWidth="1"/>
    <col min="13" max="13" width="13.28515625" style="245" bestFit="1" customWidth="1"/>
    <col min="14" max="14" width="11.7109375" style="246"/>
    <col min="15" max="15" width="11.7109375" style="245"/>
    <col min="16" max="16384" width="11.7109375" style="32"/>
  </cols>
  <sheetData>
    <row r="1" spans="1:14" s="477" customFormat="1" ht="15.75" thickBot="1">
      <c r="A1" s="584" t="s">
        <v>4486</v>
      </c>
      <c r="B1" s="584"/>
      <c r="C1" s="584"/>
      <c r="D1" s="584"/>
      <c r="E1" s="584"/>
      <c r="F1" s="584"/>
      <c r="G1" s="584"/>
      <c r="H1" s="584"/>
      <c r="I1" s="584"/>
      <c r="J1" s="584"/>
      <c r="K1" s="584"/>
      <c r="L1" s="584"/>
      <c r="M1" s="584"/>
    </row>
    <row r="2" spans="1:14" ht="15.75" thickBot="1">
      <c r="A2" s="33" t="s">
        <v>4487</v>
      </c>
      <c r="B2" s="45">
        <v>9.84</v>
      </c>
      <c r="C2" s="31" t="s">
        <v>133</v>
      </c>
      <c r="D2" s="39" t="s">
        <v>3866</v>
      </c>
      <c r="E2" s="31"/>
      <c r="G2" s="31"/>
      <c r="H2" s="472" t="s">
        <v>4488</v>
      </c>
      <c r="I2" s="474">
        <v>16800</v>
      </c>
      <c r="K2" s="475" t="s">
        <v>3988</v>
      </c>
      <c r="L2" s="473" t="s">
        <v>4489</v>
      </c>
    </row>
    <row r="3" spans="1:14" ht="15.75" thickBot="1">
      <c r="A3" s="33" t="s">
        <v>3881</v>
      </c>
      <c r="B3" s="45">
        <v>500</v>
      </c>
      <c r="C3" s="31" t="s">
        <v>4085</v>
      </c>
      <c r="D3" s="39" t="s">
        <v>3866</v>
      </c>
      <c r="E3" s="31"/>
      <c r="G3" s="31"/>
      <c r="H3" s="469" t="s">
        <v>4490</v>
      </c>
      <c r="I3" s="451">
        <v>32300</v>
      </c>
      <c r="K3" s="476" t="s">
        <v>3988</v>
      </c>
      <c r="L3" s="252" t="s">
        <v>4489</v>
      </c>
    </row>
    <row r="4" spans="1:14" ht="15.75" thickBot="1">
      <c r="A4" s="34" t="s">
        <v>4491</v>
      </c>
      <c r="B4" s="45">
        <v>0</v>
      </c>
      <c r="C4" s="31" t="s">
        <v>4085</v>
      </c>
      <c r="D4" s="39" t="s">
        <v>3866</v>
      </c>
      <c r="E4" s="36"/>
      <c r="J4" s="455"/>
    </row>
    <row r="5" spans="1:14" ht="15.75" thickBot="1">
      <c r="A5" s="34" t="s">
        <v>4492</v>
      </c>
      <c r="B5" s="45">
        <v>0</v>
      </c>
      <c r="C5" s="31" t="s">
        <v>4085</v>
      </c>
      <c r="D5" s="39" t="s">
        <v>3866</v>
      </c>
      <c r="E5" s="36"/>
      <c r="H5" s="463" t="s">
        <v>4493</v>
      </c>
      <c r="I5" s="465">
        <f>SUMIF(D2:D44,"Settled",B2:B44)</f>
        <v>3749.36</v>
      </c>
      <c r="J5" s="457"/>
      <c r="K5" s="37" t="s">
        <v>4494</v>
      </c>
      <c r="L5" s="471">
        <f>SUM(I2:I3)</f>
        <v>49100</v>
      </c>
      <c r="N5" s="454"/>
    </row>
    <row r="6" spans="1:14" ht="15.75" thickBot="1">
      <c r="A6" s="34" t="s">
        <v>4495</v>
      </c>
      <c r="B6" s="45">
        <v>0</v>
      </c>
      <c r="C6" s="31" t="s">
        <v>4085</v>
      </c>
      <c r="D6" s="39" t="s">
        <v>3866</v>
      </c>
      <c r="E6" s="36"/>
      <c r="H6" s="464" t="s">
        <v>4496</v>
      </c>
      <c r="I6" s="465">
        <f>I5/5</f>
        <v>749.87200000000007</v>
      </c>
      <c r="J6" s="457"/>
      <c r="K6" s="248" t="s">
        <v>4497</v>
      </c>
      <c r="L6" s="470">
        <f>L5-YTD_SnapShot!K1</f>
        <v>39760</v>
      </c>
      <c r="N6" s="454"/>
    </row>
    <row r="7" spans="1:14">
      <c r="A7" s="34" t="s">
        <v>4498</v>
      </c>
      <c r="B7" s="45">
        <v>0</v>
      </c>
      <c r="C7" s="31" t="s">
        <v>4085</v>
      </c>
      <c r="D7" s="39" t="s">
        <v>3866</v>
      </c>
      <c r="E7" s="36"/>
      <c r="H7" s="460" t="s">
        <v>4499</v>
      </c>
      <c r="I7" s="466">
        <f>SUMIFS($B$1:$B$44,$C$1:$C$44,"Chirag",$D$1:$D$44,"Invested")</f>
        <v>5500</v>
      </c>
      <c r="J7" s="457"/>
      <c r="K7" s="246"/>
      <c r="M7" s="453"/>
      <c r="N7" s="456"/>
    </row>
    <row r="8" spans="1:14">
      <c r="A8" s="34" t="s">
        <v>4500</v>
      </c>
      <c r="B8" s="45">
        <v>0</v>
      </c>
      <c r="C8" s="31" t="s">
        <v>4085</v>
      </c>
      <c r="D8" s="39" t="s">
        <v>3866</v>
      </c>
      <c r="E8" s="36"/>
      <c r="H8" s="461" t="s">
        <v>133</v>
      </c>
      <c r="I8" s="467">
        <f>SUMIFS($B$1:$B$44,$C$1:$C$44,"Sunny",$D$1:$D$44,"Invested")</f>
        <v>5361.7000000000007</v>
      </c>
      <c r="K8" s="246"/>
      <c r="M8" s="453"/>
      <c r="N8" s="456"/>
    </row>
    <row r="9" spans="1:14">
      <c r="A9" s="34" t="s">
        <v>4501</v>
      </c>
      <c r="B9" s="45">
        <v>0</v>
      </c>
      <c r="C9" s="31" t="s">
        <v>4085</v>
      </c>
      <c r="D9" s="39" t="s">
        <v>3866</v>
      </c>
      <c r="E9" s="36"/>
      <c r="H9" s="461" t="s">
        <v>4085</v>
      </c>
      <c r="I9" s="467">
        <f>SUMIFS($B$1:$B$44,$C$1:$C$44,"Tejinder",$D$1:$D$44,"Invested")</f>
        <v>41186.6</v>
      </c>
      <c r="K9" s="246"/>
      <c r="M9" s="453"/>
      <c r="N9" s="456"/>
    </row>
    <row r="10" spans="1:14" ht="15.75" thickBot="1">
      <c r="A10" s="34" t="s">
        <v>4502</v>
      </c>
      <c r="B10" s="45">
        <v>0</v>
      </c>
      <c r="C10" s="31" t="s">
        <v>4085</v>
      </c>
      <c r="D10" s="39" t="s">
        <v>3866</v>
      </c>
      <c r="E10" s="36"/>
      <c r="H10" s="462" t="s">
        <v>3839</v>
      </c>
      <c r="I10" s="468">
        <f>SUMIFS($B$1:$B$44,$C$1:$C$44,"Albel",$D$1:$D$44,"Invested")</f>
        <v>27500</v>
      </c>
      <c r="K10" s="246"/>
      <c r="M10" s="453"/>
      <c r="N10" s="456"/>
    </row>
    <row r="11" spans="1:14" ht="15.75" thickBot="1">
      <c r="A11" s="34" t="s">
        <v>4503</v>
      </c>
      <c r="B11" s="45">
        <v>0</v>
      </c>
      <c r="C11" s="31" t="s">
        <v>4085</v>
      </c>
      <c r="D11" s="39" t="s">
        <v>3866</v>
      </c>
      <c r="E11" s="36"/>
      <c r="H11" s="463" t="s">
        <v>4504</v>
      </c>
      <c r="I11" s="465">
        <f>SUM(B:B)</f>
        <v>83297.66</v>
      </c>
      <c r="K11" s="452"/>
      <c r="L11" s="458"/>
    </row>
    <row r="12" spans="1:14">
      <c r="A12" s="34" t="s">
        <v>4505</v>
      </c>
      <c r="B12" s="45">
        <v>0</v>
      </c>
      <c r="C12" s="31" t="s">
        <v>4085</v>
      </c>
      <c r="D12" s="39" t="s">
        <v>3866</v>
      </c>
      <c r="E12" s="36"/>
    </row>
    <row r="13" spans="1:14">
      <c r="A13" s="35" t="s">
        <v>4506</v>
      </c>
      <c r="B13" s="45">
        <v>1000</v>
      </c>
      <c r="C13" s="31" t="s">
        <v>133</v>
      </c>
      <c r="D13" s="39" t="s">
        <v>3866</v>
      </c>
      <c r="E13" s="36"/>
    </row>
    <row r="14" spans="1:14">
      <c r="A14" s="33" t="s">
        <v>4268</v>
      </c>
      <c r="B14" s="45">
        <v>1000</v>
      </c>
      <c r="C14" s="31" t="s">
        <v>133</v>
      </c>
      <c r="D14" s="39" t="s">
        <v>3866</v>
      </c>
      <c r="E14" s="36"/>
    </row>
    <row r="15" spans="1:14">
      <c r="A15" s="33" t="s">
        <v>4507</v>
      </c>
      <c r="B15" s="45">
        <v>65.16</v>
      </c>
      <c r="C15" s="31" t="s">
        <v>4085</v>
      </c>
      <c r="D15" s="39" t="s">
        <v>3866</v>
      </c>
      <c r="E15" s="36"/>
    </row>
    <row r="16" spans="1:14">
      <c r="A16" s="35" t="s">
        <v>4508</v>
      </c>
      <c r="B16" s="45">
        <v>100</v>
      </c>
      <c r="C16" s="36" t="s">
        <v>3839</v>
      </c>
      <c r="D16" s="39" t="s">
        <v>3866</v>
      </c>
      <c r="E16" s="36"/>
    </row>
    <row r="17" spans="1:15">
      <c r="A17" s="35" t="s">
        <v>4509</v>
      </c>
      <c r="B17" s="45">
        <v>35</v>
      </c>
      <c r="C17" s="36" t="s">
        <v>4085</v>
      </c>
      <c r="D17" s="39" t="s">
        <v>3866</v>
      </c>
      <c r="E17" s="36"/>
    </row>
    <row r="18" spans="1:15">
      <c r="A18" s="35" t="s">
        <v>4510</v>
      </c>
      <c r="B18" s="45">
        <v>10.92</v>
      </c>
      <c r="C18" s="36" t="s">
        <v>4085</v>
      </c>
      <c r="D18" s="39" t="s">
        <v>3866</v>
      </c>
      <c r="E18" s="36"/>
    </row>
    <row r="19" spans="1:15">
      <c r="A19" s="35" t="s">
        <v>4511</v>
      </c>
      <c r="B19" s="45">
        <v>3</v>
      </c>
      <c r="C19" s="31" t="s">
        <v>4085</v>
      </c>
      <c r="D19" s="39" t="s">
        <v>3866</v>
      </c>
      <c r="E19" s="36"/>
    </row>
    <row r="20" spans="1:15">
      <c r="A20" s="35" t="s">
        <v>4512</v>
      </c>
      <c r="B20" s="45">
        <v>3.44</v>
      </c>
      <c r="C20" s="31" t="s">
        <v>4085</v>
      </c>
      <c r="D20" s="39" t="s">
        <v>3866</v>
      </c>
      <c r="E20" s="36"/>
    </row>
    <row r="21" spans="1:15">
      <c r="A21" s="35" t="s">
        <v>4513</v>
      </c>
      <c r="B21" s="45">
        <v>180</v>
      </c>
      <c r="C21" s="31" t="s">
        <v>4085</v>
      </c>
      <c r="D21" s="39" t="s">
        <v>3866</v>
      </c>
      <c r="E21" s="36"/>
    </row>
    <row r="22" spans="1:15">
      <c r="A22" s="35" t="s">
        <v>4514</v>
      </c>
      <c r="B22" s="45">
        <v>100</v>
      </c>
      <c r="C22" s="31" t="s">
        <v>133</v>
      </c>
      <c r="D22" s="39" t="s">
        <v>3866</v>
      </c>
      <c r="E22" s="36"/>
    </row>
    <row r="23" spans="1:15">
      <c r="A23" s="35" t="s">
        <v>4515</v>
      </c>
      <c r="B23" s="45">
        <v>10</v>
      </c>
      <c r="C23" s="31" t="s">
        <v>4085</v>
      </c>
      <c r="D23" s="38" t="s">
        <v>3866</v>
      </c>
      <c r="E23" s="36"/>
    </row>
    <row r="24" spans="1:15">
      <c r="A24" s="35" t="s">
        <v>1483</v>
      </c>
      <c r="B24" s="45">
        <v>2649</v>
      </c>
      <c r="C24" s="31" t="s">
        <v>4085</v>
      </c>
      <c r="D24" s="40" t="s">
        <v>4516</v>
      </c>
      <c r="E24" s="36"/>
    </row>
    <row r="25" spans="1:15">
      <c r="A25" s="35" t="s">
        <v>1483</v>
      </c>
      <c r="B25" s="45">
        <v>3000</v>
      </c>
      <c r="C25" s="31" t="s">
        <v>4499</v>
      </c>
      <c r="D25" s="40" t="s">
        <v>4516</v>
      </c>
      <c r="E25" s="36"/>
      <c r="H25" s="459"/>
    </row>
    <row r="26" spans="1:15">
      <c r="A26" s="35" t="s">
        <v>1483</v>
      </c>
      <c r="B26" s="75">
        <v>5356.31</v>
      </c>
      <c r="C26" s="31" t="s">
        <v>133</v>
      </c>
      <c r="D26" s="40" t="s">
        <v>4516</v>
      </c>
      <c r="E26" s="36"/>
    </row>
    <row r="27" spans="1:15">
      <c r="A27" s="35" t="s">
        <v>4517</v>
      </c>
      <c r="B27" s="45">
        <v>5.39</v>
      </c>
      <c r="C27" s="31" t="s">
        <v>133</v>
      </c>
      <c r="D27" s="40" t="s">
        <v>4516</v>
      </c>
      <c r="E27" s="36"/>
    </row>
    <row r="28" spans="1:15">
      <c r="A28" s="35" t="s">
        <v>4509</v>
      </c>
      <c r="B28" s="45">
        <v>35</v>
      </c>
      <c r="C28" s="31" t="s">
        <v>4085</v>
      </c>
      <c r="D28" s="38" t="s">
        <v>3866</v>
      </c>
      <c r="E28" s="36"/>
    </row>
    <row r="29" spans="1:15">
      <c r="A29" s="35" t="s">
        <v>4518</v>
      </c>
      <c r="B29" s="45">
        <v>8.67</v>
      </c>
      <c r="C29" s="31" t="s">
        <v>4085</v>
      </c>
      <c r="D29" s="38" t="s">
        <v>3866</v>
      </c>
      <c r="E29" s="36"/>
    </row>
    <row r="30" spans="1:15" s="36" customFormat="1">
      <c r="A30" s="35" t="s">
        <v>4519</v>
      </c>
      <c r="B30" s="76">
        <v>127</v>
      </c>
      <c r="C30" s="36" t="s">
        <v>4520</v>
      </c>
      <c r="D30" s="41" t="s">
        <v>3866</v>
      </c>
      <c r="F30" s="77"/>
      <c r="H30" s="245"/>
      <c r="I30" s="453"/>
      <c r="J30" s="453"/>
      <c r="K30" s="245"/>
      <c r="L30" s="245"/>
      <c r="M30" s="245"/>
      <c r="N30" s="246"/>
      <c r="O30" s="245"/>
    </row>
    <row r="31" spans="1:15" s="36" customFormat="1">
      <c r="A31" s="35" t="s">
        <v>4521</v>
      </c>
      <c r="B31" s="76">
        <v>178.2</v>
      </c>
      <c r="C31" s="36" t="s">
        <v>4499</v>
      </c>
      <c r="D31" s="41" t="s">
        <v>3866</v>
      </c>
      <c r="F31" s="77"/>
      <c r="H31" s="245"/>
      <c r="I31" s="453"/>
      <c r="J31" s="453"/>
      <c r="K31" s="245"/>
      <c r="L31" s="245"/>
      <c r="M31" s="245"/>
      <c r="N31" s="246"/>
      <c r="O31" s="245"/>
    </row>
    <row r="32" spans="1:15" s="36" customFormat="1">
      <c r="A32" s="35" t="s">
        <v>4522</v>
      </c>
      <c r="B32" s="76">
        <v>240</v>
      </c>
      <c r="C32" s="36" t="s">
        <v>1287</v>
      </c>
      <c r="D32" s="41" t="s">
        <v>3866</v>
      </c>
      <c r="F32" s="77"/>
      <c r="H32" s="245"/>
      <c r="I32" s="453"/>
      <c r="J32" s="453"/>
      <c r="K32" s="245"/>
      <c r="L32" s="245"/>
      <c r="M32" s="245"/>
      <c r="N32" s="246"/>
      <c r="O32" s="245"/>
    </row>
    <row r="33" spans="1:15" s="36" customFormat="1">
      <c r="A33" s="35" t="s">
        <v>4523</v>
      </c>
      <c r="B33" s="76">
        <v>130.19</v>
      </c>
      <c r="C33" s="36" t="s">
        <v>133</v>
      </c>
      <c r="D33" s="41" t="s">
        <v>3866</v>
      </c>
      <c r="F33" s="77"/>
      <c r="H33" s="245"/>
      <c r="I33" s="453"/>
      <c r="J33" s="453"/>
      <c r="K33" s="245"/>
      <c r="L33" s="245"/>
      <c r="M33" s="245"/>
      <c r="N33" s="246"/>
      <c r="O33" s="245"/>
    </row>
    <row r="34" spans="1:15" s="36" customFormat="1">
      <c r="A34" s="35" t="s">
        <v>4524</v>
      </c>
      <c r="B34" s="76">
        <v>12.94</v>
      </c>
      <c r="C34" s="36" t="s">
        <v>133</v>
      </c>
      <c r="D34" s="41" t="s">
        <v>3866</v>
      </c>
      <c r="F34" s="77"/>
      <c r="H34" s="245"/>
      <c r="I34" s="453"/>
      <c r="J34" s="453"/>
      <c r="K34" s="245"/>
      <c r="L34" s="245"/>
      <c r="M34" s="245"/>
      <c r="N34" s="246"/>
      <c r="O34" s="245"/>
    </row>
    <row r="35" spans="1:15" s="36" customFormat="1">
      <c r="A35" s="35" t="s">
        <v>4525</v>
      </c>
      <c r="B35" s="76">
        <v>914</v>
      </c>
      <c r="C35" s="36" t="s">
        <v>4085</v>
      </c>
      <c r="D35" s="46" t="s">
        <v>4516</v>
      </c>
      <c r="F35" s="77"/>
      <c r="H35" s="245"/>
      <c r="I35" s="453"/>
      <c r="J35" s="453"/>
      <c r="K35" s="245"/>
      <c r="L35" s="245"/>
      <c r="M35" s="245"/>
      <c r="N35" s="246"/>
      <c r="O35" s="245"/>
    </row>
    <row r="36" spans="1:15" s="36" customFormat="1">
      <c r="A36" s="35" t="s">
        <v>4526</v>
      </c>
      <c r="B36" s="76">
        <v>2500</v>
      </c>
      <c r="C36" s="36" t="s">
        <v>4499</v>
      </c>
      <c r="D36" s="46" t="s">
        <v>4516</v>
      </c>
      <c r="F36" s="77"/>
      <c r="H36" s="245"/>
      <c r="I36" s="453"/>
      <c r="J36" s="453"/>
      <c r="K36" s="245"/>
      <c r="L36" s="245"/>
      <c r="M36" s="245"/>
      <c r="N36" s="246"/>
      <c r="O36" s="245"/>
    </row>
    <row r="37" spans="1:15" s="36" customFormat="1">
      <c r="A37" s="35" t="s">
        <v>4526</v>
      </c>
      <c r="B37" s="45">
        <v>2623.6</v>
      </c>
      <c r="C37" s="31" t="s">
        <v>4085</v>
      </c>
      <c r="D37" s="46" t="s">
        <v>4516</v>
      </c>
      <c r="F37" s="77"/>
      <c r="H37" s="245"/>
      <c r="I37" s="453"/>
      <c r="J37" s="453"/>
      <c r="K37" s="245"/>
      <c r="L37" s="245"/>
      <c r="M37" s="245"/>
      <c r="N37" s="246"/>
      <c r="O37" s="245"/>
    </row>
    <row r="38" spans="1:15" s="36" customFormat="1">
      <c r="A38" s="35" t="s">
        <v>4516</v>
      </c>
      <c r="B38" s="45">
        <v>35000</v>
      </c>
      <c r="C38" s="36" t="s">
        <v>4085</v>
      </c>
      <c r="D38" s="46" t="s">
        <v>4516</v>
      </c>
      <c r="F38" s="77"/>
      <c r="H38" s="245"/>
      <c r="I38" s="453"/>
      <c r="J38" s="453"/>
      <c r="K38" s="245"/>
      <c r="L38" s="245"/>
      <c r="M38" s="245"/>
      <c r="N38" s="246"/>
      <c r="O38" s="245"/>
    </row>
    <row r="39" spans="1:15" s="36" customFormat="1">
      <c r="A39" s="35" t="s">
        <v>4516</v>
      </c>
      <c r="B39" s="45">
        <v>24000</v>
      </c>
      <c r="C39" s="36" t="s">
        <v>3839</v>
      </c>
      <c r="D39" s="46" t="s">
        <v>4516</v>
      </c>
      <c r="F39" s="77"/>
      <c r="H39" s="245"/>
      <c r="I39" s="453"/>
      <c r="J39" s="453"/>
      <c r="K39" s="245"/>
      <c r="L39" s="245"/>
      <c r="M39" s="245"/>
      <c r="N39" s="246"/>
      <c r="O39" s="245"/>
    </row>
    <row r="40" spans="1:15" s="36" customFormat="1">
      <c r="A40" s="35" t="s">
        <v>4516</v>
      </c>
      <c r="B40" s="45">
        <v>3500</v>
      </c>
      <c r="C40" s="36" t="s">
        <v>3839</v>
      </c>
      <c r="D40" s="46" t="s">
        <v>4516</v>
      </c>
      <c r="F40" s="77"/>
      <c r="H40" s="245"/>
      <c r="I40" s="453"/>
      <c r="J40" s="453"/>
      <c r="K40" s="245"/>
      <c r="L40" s="245"/>
      <c r="M40" s="245"/>
      <c r="N40" s="246"/>
      <c r="O40" s="245"/>
    </row>
    <row r="41" spans="1:15" s="36" customFormat="1">
      <c r="B41" s="45"/>
      <c r="F41" s="77"/>
      <c r="H41" s="245"/>
      <c r="I41" s="453"/>
      <c r="J41" s="453"/>
      <c r="K41" s="245"/>
      <c r="L41" s="245"/>
      <c r="M41" s="245"/>
      <c r="N41" s="246"/>
      <c r="O41" s="245"/>
    </row>
    <row r="42" spans="1:15" s="36" customFormat="1">
      <c r="B42" s="45"/>
      <c r="D42" s="245"/>
      <c r="E42" s="245"/>
      <c r="F42" s="77"/>
      <c r="H42" s="245"/>
      <c r="I42" s="453"/>
      <c r="J42" s="245"/>
      <c r="K42" s="245"/>
      <c r="L42" s="245"/>
      <c r="M42" s="245"/>
      <c r="N42" s="246"/>
      <c r="O42" s="245"/>
    </row>
    <row r="43" spans="1:15" s="36" customFormat="1">
      <c r="B43" s="45"/>
      <c r="D43" s="245"/>
      <c r="E43" s="245"/>
      <c r="F43" s="77"/>
      <c r="H43" s="452"/>
      <c r="I43" s="453"/>
      <c r="J43" s="452"/>
      <c r="K43" s="245"/>
      <c r="L43" s="245"/>
      <c r="M43" s="245"/>
      <c r="N43" s="246"/>
      <c r="O43" s="245"/>
    </row>
    <row r="44" spans="1:15" s="36" customFormat="1">
      <c r="B44" s="45"/>
      <c r="D44" s="245"/>
      <c r="E44" s="246"/>
      <c r="F44" s="77"/>
      <c r="G44" s="247"/>
      <c r="H44" s="245"/>
      <c r="I44" s="245"/>
      <c r="J44" s="453"/>
      <c r="K44" s="245"/>
      <c r="L44" s="245"/>
      <c r="M44" s="245"/>
      <c r="N44" s="246"/>
      <c r="O44" s="245"/>
    </row>
    <row r="45" spans="1:15">
      <c r="A45" s="36"/>
      <c r="C45" s="36"/>
      <c r="D45" s="245"/>
      <c r="E45" s="36"/>
    </row>
    <row r="46" spans="1:15">
      <c r="A46" s="36"/>
      <c r="C46" s="36"/>
      <c r="D46" s="245"/>
      <c r="E46" s="36"/>
    </row>
    <row r="47" spans="1:15">
      <c r="A47" s="36"/>
      <c r="C47" s="36"/>
      <c r="D47" s="245"/>
      <c r="E47" s="36"/>
    </row>
    <row r="48" spans="1:15">
      <c r="A48" s="36"/>
      <c r="C48" s="36"/>
      <c r="D48" s="36"/>
      <c r="E48" s="36"/>
    </row>
  </sheetData>
  <mergeCells count="1">
    <mergeCell ref="A1:M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933FF"/>
  </sheetPr>
  <dimension ref="A1:N48"/>
  <sheetViews>
    <sheetView workbookViewId="0">
      <pane ySplit="1" topLeftCell="A2" activePane="bottomLeft" state="frozen"/>
      <selection activeCell="L39" sqref="L39"/>
      <selection pane="bottomLeft" activeCell="P19" sqref="P19"/>
    </sheetView>
  </sheetViews>
  <sheetFormatPr defaultColWidth="11.7109375" defaultRowHeight="15"/>
  <cols>
    <col min="1" max="1" width="19.140625" style="154" bestFit="1" customWidth="1"/>
    <col min="2" max="2" width="12.140625" style="362" bestFit="1" customWidth="1"/>
    <col min="3" max="3" width="11.5703125" style="355" customWidth="1"/>
    <col min="4" max="4" width="15.85546875" style="158" bestFit="1" customWidth="1"/>
    <col min="5" max="5" width="11.140625" style="361" bestFit="1" customWidth="1"/>
    <col min="6" max="6" width="10.5703125" style="296" customWidth="1"/>
    <col min="7" max="7" width="26.42578125" style="157" bestFit="1" customWidth="1"/>
    <col min="8" max="8" width="12.140625" style="364" bestFit="1" customWidth="1"/>
    <col min="9" max="9" width="11.7109375" style="54"/>
    <col min="10" max="10" width="28" style="158" bestFit="1" customWidth="1"/>
    <col min="11" max="11" width="11.140625" style="158" bestFit="1" customWidth="1"/>
    <col min="12" max="12" width="11.7109375" style="60"/>
    <col min="13" max="13" width="10.28515625" style="126" bestFit="1" customWidth="1"/>
    <col min="14" max="14" width="11.5703125" style="67" bestFit="1" customWidth="1"/>
    <col min="15" max="16384" width="11.7109375" style="67"/>
  </cols>
  <sheetData>
    <row r="1" spans="1:14" s="221" customFormat="1" ht="15.75" thickBot="1">
      <c r="A1" s="152" t="s">
        <v>4527</v>
      </c>
      <c r="B1" s="366">
        <f>SUM(B2:B1048576)</f>
        <v>65902.941749999984</v>
      </c>
      <c r="C1" s="354"/>
      <c r="D1" s="356" t="s">
        <v>4528</v>
      </c>
      <c r="E1" s="367">
        <f>SUM(E2:E1048576)</f>
        <v>4531.0529999999999</v>
      </c>
      <c r="F1" s="125"/>
      <c r="G1" s="151" t="s">
        <v>4529</v>
      </c>
      <c r="H1" s="363">
        <f>SUM(H2:H10000)</f>
        <v>66256.273110000009</v>
      </c>
      <c r="I1" s="357"/>
      <c r="J1" s="153" t="s">
        <v>4530</v>
      </c>
      <c r="K1" s="366">
        <f>SUM(K2:K1048576)</f>
        <v>9340</v>
      </c>
      <c r="L1" s="358"/>
      <c r="M1" s="360" t="s">
        <v>4531</v>
      </c>
      <c r="N1" s="359">
        <f>SUM(H1-(B1+E1+K1))</f>
        <v>-13517.721639999974</v>
      </c>
    </row>
    <row r="2" spans="1:14" ht="15.75" thickBot="1">
      <c r="A2" s="154" t="s">
        <v>4532</v>
      </c>
      <c r="B2" s="155">
        <f>SUM(MasterExpenseRepairTBL!J:J)</f>
        <v>65902.941749999984</v>
      </c>
      <c r="D2" s="156" t="s">
        <v>1287</v>
      </c>
      <c r="E2" s="368">
        <f>SUMIF(LoadMaster!$DC:$DC,YTD_SnapShot!D2,LoadMaster!$DA:$DA)</f>
        <v>4531.0529999999999</v>
      </c>
      <c r="F2" s="544"/>
      <c r="G2" s="154" t="s">
        <v>4533</v>
      </c>
      <c r="H2" s="365">
        <f>SUM(LoadMaster!DA:DA)</f>
        <v>17103.473109999999</v>
      </c>
      <c r="I2" s="12"/>
      <c r="J2" s="156" t="s">
        <v>4534</v>
      </c>
      <c r="K2" s="155">
        <v>934</v>
      </c>
      <c r="L2" s="544"/>
      <c r="M2" s="520"/>
    </row>
    <row r="3" spans="1:14" ht="15.75" thickBot="1">
      <c r="F3" s="544"/>
      <c r="G3" s="154" t="s">
        <v>4535</v>
      </c>
      <c r="H3" s="364">
        <f>SUM(UBEarningWeeklyTBL!$F:$F)</f>
        <v>49152.80000000001</v>
      </c>
      <c r="J3" s="156" t="s">
        <v>4536</v>
      </c>
      <c r="K3" s="155">
        <v>934</v>
      </c>
      <c r="L3" s="544"/>
      <c r="M3" s="369" t="s">
        <v>4537</v>
      </c>
      <c r="N3" s="371">
        <f>SUM(UBMoneyIN!I7:I9)</f>
        <v>52048.3</v>
      </c>
    </row>
    <row r="4" spans="1:14" ht="15.75" thickBot="1">
      <c r="F4" s="544"/>
      <c r="G4" s="154"/>
      <c r="J4" s="156" t="s">
        <v>4538</v>
      </c>
      <c r="K4" s="155">
        <v>934</v>
      </c>
      <c r="L4" s="544"/>
      <c r="M4" s="370" t="s">
        <v>4539</v>
      </c>
      <c r="N4" s="372">
        <f>SUM(N1:N3)</f>
        <v>38530.578360000029</v>
      </c>
    </row>
    <row r="5" spans="1:14">
      <c r="F5" s="544"/>
      <c r="G5" s="154"/>
      <c r="J5" s="156" t="s">
        <v>4540</v>
      </c>
      <c r="K5" s="155">
        <v>934</v>
      </c>
      <c r="L5" s="544"/>
      <c r="M5" s="520"/>
    </row>
    <row r="6" spans="1:14">
      <c r="F6" s="544"/>
      <c r="G6" s="154"/>
      <c r="J6" s="156" t="s">
        <v>4541</v>
      </c>
      <c r="K6" s="155">
        <v>934</v>
      </c>
      <c r="L6" s="544"/>
      <c r="M6" s="520"/>
    </row>
    <row r="7" spans="1:14">
      <c r="F7" s="544"/>
      <c r="G7" s="154"/>
      <c r="J7" s="156" t="s">
        <v>4542</v>
      </c>
      <c r="K7" s="155">
        <v>934</v>
      </c>
      <c r="L7" s="544"/>
      <c r="M7" s="520"/>
    </row>
    <row r="8" spans="1:14">
      <c r="F8" s="544"/>
      <c r="G8" s="154"/>
      <c r="J8" s="156" t="s">
        <v>4543</v>
      </c>
      <c r="K8" s="155">
        <v>934</v>
      </c>
      <c r="L8" s="544"/>
      <c r="M8" s="520"/>
    </row>
    <row r="9" spans="1:14">
      <c r="F9" s="544"/>
      <c r="G9" s="154"/>
      <c r="J9" s="156" t="s">
        <v>4544</v>
      </c>
      <c r="K9" s="155">
        <v>934</v>
      </c>
      <c r="L9" s="544"/>
      <c r="M9" s="520"/>
    </row>
    <row r="10" spans="1:14">
      <c r="F10" s="544"/>
      <c r="G10" s="154"/>
      <c r="J10" s="156" t="s">
        <v>4545</v>
      </c>
      <c r="K10" s="155">
        <v>934</v>
      </c>
      <c r="L10" s="544"/>
      <c r="M10" s="520"/>
    </row>
    <row r="11" spans="1:14">
      <c r="F11" s="544"/>
      <c r="G11" s="154"/>
      <c r="J11" s="156" t="s">
        <v>4546</v>
      </c>
      <c r="K11" s="155">
        <v>934</v>
      </c>
      <c r="L11" s="544"/>
      <c r="M11" s="520"/>
    </row>
    <row r="12" spans="1:14">
      <c r="F12" s="544"/>
      <c r="G12" s="154"/>
      <c r="L12" s="544"/>
      <c r="M12" s="520"/>
    </row>
    <row r="13" spans="1:14">
      <c r="F13" s="544"/>
      <c r="G13" s="154"/>
      <c r="L13" s="544"/>
      <c r="M13" s="520"/>
    </row>
    <row r="14" spans="1:14">
      <c r="F14" s="544"/>
      <c r="G14" s="154"/>
      <c r="L14" s="544"/>
      <c r="M14" s="520"/>
    </row>
    <row r="15" spans="1:14">
      <c r="F15" s="544"/>
      <c r="G15" s="154"/>
      <c r="L15" s="544"/>
      <c r="M15" s="520"/>
    </row>
    <row r="16" spans="1:14">
      <c r="F16" s="544"/>
      <c r="G16" s="154"/>
      <c r="L16" s="544"/>
      <c r="M16" s="520"/>
    </row>
    <row r="17" spans="7:13">
      <c r="G17" s="154"/>
      <c r="L17" s="544"/>
      <c r="M17" s="520"/>
    </row>
    <row r="18" spans="7:13">
      <c r="G18" s="154"/>
      <c r="L18" s="544"/>
      <c r="M18" s="520"/>
    </row>
    <row r="19" spans="7:13">
      <c r="G19" s="154"/>
      <c r="L19" s="544"/>
      <c r="M19" s="520"/>
    </row>
    <row r="20" spans="7:13">
      <c r="G20" s="154"/>
      <c r="L20" s="544"/>
      <c r="M20" s="520"/>
    </row>
    <row r="21" spans="7:13">
      <c r="G21" s="154"/>
      <c r="L21" s="544"/>
      <c r="M21" s="520"/>
    </row>
    <row r="22" spans="7:13">
      <c r="G22" s="154"/>
      <c r="L22" s="544"/>
      <c r="M22" s="520"/>
    </row>
    <row r="23" spans="7:13">
      <c r="G23" s="154"/>
      <c r="L23" s="544"/>
      <c r="M23" s="520"/>
    </row>
    <row r="24" spans="7:13">
      <c r="G24" s="154"/>
      <c r="L24" s="544"/>
      <c r="M24" s="520"/>
    </row>
    <row r="25" spans="7:13">
      <c r="G25" s="154"/>
      <c r="L25" s="544"/>
      <c r="M25" s="520"/>
    </row>
    <row r="26" spans="7:13">
      <c r="G26" s="154"/>
      <c r="L26" s="544"/>
      <c r="M26" s="520"/>
    </row>
    <row r="27" spans="7:13">
      <c r="G27" s="154"/>
      <c r="L27" s="544"/>
      <c r="M27" s="520"/>
    </row>
    <row r="28" spans="7:13">
      <c r="G28" s="154"/>
      <c r="L28" s="544"/>
      <c r="M28" s="520"/>
    </row>
    <row r="29" spans="7:13">
      <c r="G29" s="154"/>
      <c r="L29" s="544"/>
      <c r="M29" s="520"/>
    </row>
    <row r="30" spans="7:13">
      <c r="G30" s="154"/>
      <c r="L30" s="544"/>
      <c r="M30" s="520"/>
    </row>
    <row r="31" spans="7:13">
      <c r="G31" s="154"/>
      <c r="L31" s="544"/>
      <c r="M31" s="520"/>
    </row>
    <row r="32" spans="7:13">
      <c r="G32" s="154"/>
      <c r="L32" s="544"/>
      <c r="M32" s="520"/>
    </row>
    <row r="33" spans="7:13">
      <c r="G33" s="154"/>
      <c r="L33" s="544"/>
      <c r="M33" s="520"/>
    </row>
    <row r="34" spans="7:13">
      <c r="G34" s="154"/>
      <c r="L34" s="544"/>
      <c r="M34" s="520"/>
    </row>
    <row r="35" spans="7:13">
      <c r="G35" s="154"/>
      <c r="L35" s="544"/>
      <c r="M35" s="520"/>
    </row>
    <row r="36" spans="7:13">
      <c r="G36" s="154"/>
      <c r="L36" s="544"/>
      <c r="M36" s="520"/>
    </row>
    <row r="37" spans="7:13">
      <c r="G37" s="154"/>
      <c r="L37" s="544"/>
      <c r="M37" s="520"/>
    </row>
    <row r="38" spans="7:13">
      <c r="G38" s="154"/>
      <c r="L38" s="544"/>
      <c r="M38" s="520"/>
    </row>
    <row r="39" spans="7:13">
      <c r="G39" s="154"/>
      <c r="L39" s="544"/>
      <c r="M39" s="520"/>
    </row>
    <row r="40" spans="7:13">
      <c r="G40" s="154"/>
      <c r="L40" s="544"/>
      <c r="M40" s="520"/>
    </row>
    <row r="41" spans="7:13">
      <c r="L41" s="544"/>
      <c r="M41" s="520"/>
    </row>
    <row r="42" spans="7:13">
      <c r="L42" s="544"/>
      <c r="M42" s="520"/>
    </row>
    <row r="43" spans="7:13">
      <c r="L43" s="544"/>
      <c r="M43" s="520"/>
    </row>
    <row r="44" spans="7:13">
      <c r="L44" s="544"/>
      <c r="M44" s="520"/>
    </row>
    <row r="45" spans="7:13">
      <c r="L45" s="544"/>
      <c r="M45" s="520"/>
    </row>
    <row r="46" spans="7:13">
      <c r="L46" s="544"/>
      <c r="M46" s="520"/>
    </row>
    <row r="47" spans="7:13">
      <c r="L47" s="544"/>
      <c r="M47" s="520"/>
    </row>
    <row r="48" spans="7:13">
      <c r="L48" s="544"/>
      <c r="M48" s="520"/>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sheetPr>
  <dimension ref="A1:K40"/>
  <sheetViews>
    <sheetView zoomScale="90" zoomScaleNormal="90" workbookViewId="0">
      <selection activeCell="A24" sqref="A24"/>
    </sheetView>
  </sheetViews>
  <sheetFormatPr defaultColWidth="8.85546875" defaultRowHeight="15"/>
  <cols>
    <col min="1" max="1" width="20.140625" style="328" customWidth="1"/>
    <col min="2" max="2" width="18.42578125" style="328" customWidth="1"/>
    <col min="3" max="3" width="13.85546875" style="328" customWidth="1"/>
    <col min="4" max="4" width="10.28515625" style="328" customWidth="1"/>
    <col min="5" max="5" width="12.28515625" style="328" customWidth="1"/>
    <col min="6" max="6" width="11.140625" style="328" customWidth="1"/>
    <col min="7" max="7" width="16.28515625" style="59" customWidth="1"/>
    <col min="8" max="9" width="8.85546875" style="328"/>
    <col min="10" max="10" width="11.140625" style="328" bestFit="1" customWidth="1"/>
    <col min="11" max="11" width="9.85546875" style="328" bestFit="1" customWidth="1"/>
    <col min="12" max="16384" width="8.85546875" style="328"/>
  </cols>
  <sheetData>
    <row r="1" spans="1:11">
      <c r="A1" s="97" t="s">
        <v>3814</v>
      </c>
      <c r="B1" s="520" t="s">
        <v>3836</v>
      </c>
      <c r="C1" s="520"/>
      <c r="D1" s="520"/>
      <c r="E1" s="520"/>
      <c r="F1" s="520"/>
      <c r="H1" s="520"/>
      <c r="I1" s="520"/>
      <c r="J1" s="520"/>
      <c r="K1" s="520"/>
    </row>
    <row r="2" spans="1:11">
      <c r="A2" s="97" t="s">
        <v>3815</v>
      </c>
      <c r="B2" s="274">
        <v>42566</v>
      </c>
      <c r="C2" s="520"/>
      <c r="D2" s="520"/>
      <c r="E2" s="520"/>
      <c r="F2" s="520"/>
      <c r="H2" s="520"/>
      <c r="I2" s="520"/>
      <c r="J2" s="520"/>
      <c r="K2" s="520"/>
    </row>
    <row r="3" spans="1:11">
      <c r="A3" s="520"/>
      <c r="B3" s="520"/>
      <c r="C3" s="520"/>
      <c r="D3" s="520"/>
      <c r="E3" s="520"/>
      <c r="F3" s="520"/>
      <c r="H3" s="520"/>
      <c r="I3" s="520"/>
      <c r="J3" s="520"/>
      <c r="K3" s="520"/>
    </row>
    <row r="4" spans="1:11">
      <c r="A4" s="97" t="s">
        <v>4547</v>
      </c>
      <c r="B4" s="97" t="s">
        <v>3806</v>
      </c>
      <c r="C4" s="97" t="s">
        <v>3817</v>
      </c>
      <c r="D4" s="97" t="s">
        <v>3818</v>
      </c>
      <c r="E4" s="97" t="s">
        <v>3819</v>
      </c>
      <c r="F4" s="340" t="s">
        <v>4548</v>
      </c>
      <c r="G4"/>
      <c r="H4" s="520"/>
      <c r="I4" s="520"/>
      <c r="J4" s="520"/>
      <c r="K4" s="520"/>
    </row>
    <row r="5" spans="1:11">
      <c r="A5" s="520" t="s">
        <v>4549</v>
      </c>
      <c r="B5" s="520">
        <v>75213587</v>
      </c>
      <c r="C5" s="274">
        <v>42562</v>
      </c>
      <c r="D5" s="520" t="s">
        <v>429</v>
      </c>
      <c r="E5" s="520" t="s">
        <v>3056</v>
      </c>
      <c r="F5" s="98">
        <v>511.5</v>
      </c>
      <c r="G5"/>
      <c r="H5" s="520"/>
      <c r="I5" s="520"/>
      <c r="J5" s="520"/>
      <c r="K5" s="520"/>
    </row>
    <row r="6" spans="1:11">
      <c r="A6" s="520" t="s">
        <v>4550</v>
      </c>
      <c r="B6" s="520">
        <v>7725559</v>
      </c>
      <c r="C6" s="274">
        <v>42563</v>
      </c>
      <c r="D6" s="520" t="s">
        <v>1906</v>
      </c>
      <c r="E6" s="520" t="s">
        <v>366</v>
      </c>
      <c r="F6" s="98">
        <v>837</v>
      </c>
      <c r="G6"/>
      <c r="H6" s="520"/>
      <c r="I6" s="520"/>
      <c r="J6" s="520"/>
      <c r="K6" s="520"/>
    </row>
    <row r="7" spans="1:11">
      <c r="A7" s="520" t="s">
        <v>4551</v>
      </c>
      <c r="B7" s="520" t="s">
        <v>3428</v>
      </c>
      <c r="C7" s="274">
        <v>42565</v>
      </c>
      <c r="D7" s="520" t="s">
        <v>395</v>
      </c>
      <c r="E7" s="520" t="s">
        <v>3435</v>
      </c>
      <c r="F7" s="98">
        <v>409.20000000000005</v>
      </c>
      <c r="G7"/>
      <c r="H7" s="520"/>
      <c r="I7" s="520"/>
      <c r="J7" s="520"/>
      <c r="K7" s="520"/>
    </row>
    <row r="8" spans="1:11">
      <c r="A8" s="520" t="s">
        <v>4552</v>
      </c>
      <c r="B8" s="520">
        <v>205279266</v>
      </c>
      <c r="C8" s="274">
        <v>42565</v>
      </c>
      <c r="D8" s="520" t="s">
        <v>3409</v>
      </c>
      <c r="E8" s="520" t="s">
        <v>248</v>
      </c>
      <c r="F8" s="98">
        <v>465</v>
      </c>
      <c r="G8"/>
      <c r="H8" s="520"/>
      <c r="I8" s="520"/>
      <c r="J8" s="520"/>
      <c r="K8" s="520"/>
    </row>
    <row r="9" spans="1:11">
      <c r="A9" s="520" t="s">
        <v>4553</v>
      </c>
      <c r="B9" s="520">
        <v>206844779</v>
      </c>
      <c r="C9" s="274">
        <v>42566</v>
      </c>
      <c r="D9" s="520" t="s">
        <v>214</v>
      </c>
      <c r="E9" s="520" t="s">
        <v>184</v>
      </c>
      <c r="F9" s="98">
        <v>372</v>
      </c>
      <c r="G9"/>
      <c r="H9" s="520"/>
      <c r="I9" s="520"/>
      <c r="J9" s="520"/>
      <c r="K9" s="520"/>
    </row>
    <row r="10" spans="1:11">
      <c r="A10" s="520" t="s">
        <v>3959</v>
      </c>
      <c r="B10" s="520"/>
      <c r="C10" s="520"/>
      <c r="D10" s="520"/>
      <c r="E10" s="520"/>
      <c r="F10" s="98">
        <v>2594.6999999999998</v>
      </c>
      <c r="G10"/>
      <c r="H10" s="520"/>
      <c r="I10" s="520"/>
      <c r="J10" s="520"/>
      <c r="K10" s="520"/>
    </row>
    <row r="11" spans="1:11">
      <c r="A11"/>
      <c r="B11"/>
      <c r="C11"/>
      <c r="D11"/>
      <c r="E11"/>
      <c r="F11"/>
      <c r="G11"/>
      <c r="H11" s="520"/>
      <c r="I11" s="520"/>
      <c r="J11" s="520"/>
      <c r="K11" s="520"/>
    </row>
    <row r="12" spans="1:11">
      <c r="A12" s="128"/>
      <c r="B12" s="128"/>
      <c r="C12" s="128"/>
      <c r="D12" s="129"/>
      <c r="E12" s="128"/>
      <c r="F12" s="128"/>
      <c r="G12" s="52"/>
      <c r="H12" s="520"/>
      <c r="I12" s="520"/>
      <c r="J12" s="520"/>
      <c r="K12" s="520"/>
    </row>
    <row r="13" spans="1:11">
      <c r="A13" s="97" t="s">
        <v>107</v>
      </c>
      <c r="B13" s="274">
        <v>42566</v>
      </c>
      <c r="C13" s="520"/>
      <c r="D13" s="59"/>
      <c r="E13" s="520"/>
      <c r="F13" s="520"/>
      <c r="H13" s="520"/>
      <c r="I13" s="520"/>
      <c r="J13" s="520"/>
      <c r="K13" s="520"/>
    </row>
    <row r="14" spans="1:11">
      <c r="A14" s="97" t="s">
        <v>3852</v>
      </c>
      <c r="B14" s="520" t="s">
        <v>3897</v>
      </c>
      <c r="C14" s="520"/>
      <c r="D14" s="59"/>
      <c r="E14" s="520"/>
      <c r="F14" s="520"/>
      <c r="H14" s="520"/>
      <c r="I14" s="520"/>
      <c r="J14" s="520"/>
      <c r="K14" s="520"/>
    </row>
    <row r="15" spans="1:11">
      <c r="A15" s="520"/>
      <c r="B15" s="520"/>
      <c r="C15" s="520"/>
      <c r="D15" s="59"/>
      <c r="E15" s="520"/>
      <c r="F15" s="520"/>
      <c r="H15" s="520"/>
      <c r="I15" s="520"/>
      <c r="J15" s="520"/>
      <c r="K15" s="520"/>
    </row>
    <row r="16" spans="1:11">
      <c r="A16" s="97" t="s">
        <v>4554</v>
      </c>
      <c r="B16" s="97" t="s">
        <v>3850</v>
      </c>
      <c r="C16" s="97" t="s">
        <v>4555</v>
      </c>
      <c r="D16" s="339" t="s">
        <v>4556</v>
      </c>
      <c r="E16" s="520"/>
      <c r="F16" s="520"/>
      <c r="H16" s="520"/>
      <c r="I16" s="520"/>
      <c r="J16" s="520"/>
      <c r="K16" s="520"/>
    </row>
    <row r="17" spans="1:11">
      <c r="A17" s="274">
        <v>42564</v>
      </c>
      <c r="B17" s="520">
        <v>1</v>
      </c>
      <c r="C17" s="520" t="s">
        <v>3955</v>
      </c>
      <c r="D17" s="98">
        <v>419.04</v>
      </c>
      <c r="E17" s="520"/>
      <c r="F17" s="520"/>
      <c r="H17" s="520"/>
      <c r="I17" s="520"/>
      <c r="J17" s="520"/>
      <c r="K17" s="520"/>
    </row>
    <row r="18" spans="1:11">
      <c r="A18" s="274">
        <v>42568</v>
      </c>
      <c r="B18" s="520">
        <v>1</v>
      </c>
      <c r="C18" s="520" t="s">
        <v>3946</v>
      </c>
      <c r="D18" s="98">
        <v>283.32</v>
      </c>
      <c r="E18" s="520"/>
      <c r="F18" s="520"/>
      <c r="H18" s="520"/>
      <c r="I18" s="520"/>
      <c r="J18" s="520"/>
      <c r="K18" s="520"/>
    </row>
    <row r="19" spans="1:11" s="520" customFormat="1">
      <c r="A19" s="341" t="s">
        <v>3959</v>
      </c>
      <c r="B19" s="342"/>
      <c r="C19" s="342"/>
      <c r="D19" s="343">
        <v>702.36</v>
      </c>
      <c r="G19" s="59"/>
    </row>
    <row r="20" spans="1:11" s="520" customFormat="1">
      <c r="A20"/>
      <c r="B20"/>
      <c r="G20" s="59"/>
    </row>
    <row r="21" spans="1:11">
      <c r="A21" s="521" t="s">
        <v>40</v>
      </c>
      <c r="B21" t="s">
        <v>3836</v>
      </c>
      <c r="C21"/>
      <c r="D21" s="105"/>
      <c r="E21" s="520"/>
      <c r="F21" s="520"/>
      <c r="H21" s="520"/>
      <c r="I21" s="520"/>
      <c r="J21" s="520"/>
      <c r="K21" s="520"/>
    </row>
    <row r="23" spans="1:11">
      <c r="A23" s="521" t="s">
        <v>4557</v>
      </c>
      <c r="B23" t="s">
        <v>4558</v>
      </c>
      <c r="C23"/>
      <c r="D23" s="520"/>
      <c r="E23" s="520"/>
      <c r="F23" s="520"/>
      <c r="H23" s="520"/>
      <c r="I23" s="520"/>
      <c r="J23" s="520"/>
      <c r="K23" s="520"/>
    </row>
    <row r="24" spans="1:11">
      <c r="A24" s="547" t="s">
        <v>4665</v>
      </c>
      <c r="B24" s="522">
        <v>250</v>
      </c>
      <c r="C24"/>
      <c r="D24" s="520"/>
      <c r="E24" s="520"/>
      <c r="F24" s="520"/>
      <c r="H24" s="520"/>
      <c r="I24" s="520"/>
      <c r="J24" s="520"/>
      <c r="K24" s="520"/>
    </row>
    <row r="25" spans="1:11">
      <c r="A25" s="288" t="s">
        <v>3959</v>
      </c>
      <c r="B25" s="524">
        <v>250</v>
      </c>
      <c r="C25"/>
      <c r="D25" s="520"/>
      <c r="E25" s="520"/>
      <c r="F25" s="520"/>
      <c r="H25" s="520"/>
      <c r="I25" s="520"/>
      <c r="J25" s="520"/>
      <c r="K25" s="520"/>
    </row>
    <row r="26" spans="1:11">
      <c r="A26"/>
      <c r="B26"/>
      <c r="C26"/>
      <c r="D26" s="520"/>
      <c r="E26" s="520"/>
      <c r="F26" s="520"/>
      <c r="H26" s="520"/>
      <c r="I26" s="520"/>
      <c r="J26" s="520"/>
      <c r="K26" s="520"/>
    </row>
    <row r="27" spans="1:11">
      <c r="A27" s="586" t="s">
        <v>4559</v>
      </c>
      <c r="B27" s="586"/>
      <c r="C27" s="586"/>
      <c r="D27" s="586"/>
      <c r="E27" s="586"/>
      <c r="F27" s="535">
        <f>GETPIVOTDATA("PayDriver",$A$4)-(GETPIVOTDATA("PricePlusTax",$A$16)+GETPIVOTDATA("DriverInsurance Premium",$A$23))</f>
        <v>1642.3399999999997</v>
      </c>
      <c r="H27" s="520"/>
      <c r="I27" s="520"/>
      <c r="J27" s="520"/>
      <c r="K27" s="520"/>
    </row>
    <row r="28" spans="1:11" s="520" customFormat="1">
      <c r="A28" s="587" t="s">
        <v>4560</v>
      </c>
      <c r="B28" s="587"/>
      <c r="C28" s="587"/>
      <c r="D28" s="587"/>
      <c r="E28" s="587"/>
      <c r="F28" s="536">
        <f>F27/2</f>
        <v>821.16999999999985</v>
      </c>
      <c r="G28" s="59"/>
    </row>
    <row r="29" spans="1:11">
      <c r="A29" s="588" t="s">
        <v>4561</v>
      </c>
      <c r="B29" s="588"/>
      <c r="C29" s="588"/>
      <c r="D29" s="588"/>
      <c r="E29" s="588"/>
      <c r="F29" s="59">
        <v>100</v>
      </c>
      <c r="H29" s="520"/>
      <c r="I29" s="520"/>
      <c r="J29" s="520"/>
      <c r="K29" s="520"/>
    </row>
    <row r="30" spans="1:11">
      <c r="A30" s="589" t="s">
        <v>4562</v>
      </c>
      <c r="B30" s="589"/>
      <c r="C30" s="589"/>
      <c r="D30" s="589"/>
      <c r="E30" s="589"/>
      <c r="F30" s="59">
        <v>-130</v>
      </c>
      <c r="H30" s="520"/>
      <c r="I30" s="520"/>
      <c r="J30" s="520"/>
      <c r="K30" s="520"/>
    </row>
    <row r="31" spans="1:11">
      <c r="A31" s="589" t="s">
        <v>4178</v>
      </c>
      <c r="B31" s="589"/>
      <c r="C31" s="589"/>
      <c r="D31" s="589"/>
      <c r="E31" s="589"/>
      <c r="F31" s="59">
        <v>-5</v>
      </c>
      <c r="H31" s="520"/>
      <c r="I31" s="520"/>
      <c r="J31" s="520"/>
      <c r="K31" s="520"/>
    </row>
    <row r="32" spans="1:11" s="520" customFormat="1">
      <c r="A32" s="585" t="s">
        <v>4563</v>
      </c>
      <c r="B32" s="585"/>
      <c r="C32" s="585"/>
      <c r="D32" s="585"/>
      <c r="E32" s="585"/>
      <c r="F32" s="537">
        <f>SUM(F28:F31)</f>
        <v>786.16999999999985</v>
      </c>
      <c r="G32" s="59"/>
    </row>
    <row r="33" spans="1:3">
      <c r="A33"/>
      <c r="B33"/>
      <c r="C33"/>
    </row>
    <row r="34" spans="1:3">
      <c r="A34"/>
      <c r="B34"/>
      <c r="C34"/>
    </row>
    <row r="35" spans="1:3">
      <c r="A35"/>
      <c r="B35"/>
      <c r="C35"/>
    </row>
    <row r="36" spans="1:3">
      <c r="A36"/>
      <c r="B36"/>
      <c r="C36"/>
    </row>
    <row r="37" spans="1:3">
      <c r="A37"/>
      <c r="B37"/>
      <c r="C37"/>
    </row>
    <row r="38" spans="1:3">
      <c r="A38"/>
      <c r="B38"/>
      <c r="C38"/>
    </row>
    <row r="39" spans="1:3">
      <c r="A39"/>
      <c r="B39"/>
      <c r="C39"/>
    </row>
    <row r="40" spans="1:3">
      <c r="A40"/>
      <c r="B40"/>
      <c r="C40"/>
    </row>
  </sheetData>
  <mergeCells count="6">
    <mergeCell ref="A32:E32"/>
    <mergeCell ref="A27:E27"/>
    <mergeCell ref="A28:E28"/>
    <mergeCell ref="A29:E29"/>
    <mergeCell ref="A30:E30"/>
    <mergeCell ref="A31:E31"/>
  </mergeCells>
  <pageMargins left="0.25" right="0.25" top="0.75" bottom="0.75" header="0.3" footer="0.3"/>
  <pageSetup orientation="landscape"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7"/>
  </sheetPr>
  <dimension ref="A1:H42"/>
  <sheetViews>
    <sheetView zoomScale="90" zoomScaleNormal="90" workbookViewId="0">
      <selection activeCell="F41" sqref="F41"/>
    </sheetView>
  </sheetViews>
  <sheetFormatPr defaultColWidth="8.85546875" defaultRowHeight="15"/>
  <cols>
    <col min="1" max="1" width="19.85546875" style="58" customWidth="1"/>
    <col min="2" max="2" width="18.42578125" style="58" customWidth="1"/>
    <col min="3" max="3" width="7.5703125" style="58" customWidth="1"/>
    <col min="4" max="4" width="9.5703125" style="58" customWidth="1"/>
    <col min="5" max="5" width="13.5703125" style="58" customWidth="1"/>
    <col min="6" max="6" width="13.28515625" style="59" customWidth="1"/>
    <col min="7" max="7" width="11.5703125" style="66" customWidth="1"/>
    <col min="8" max="8" width="16.28515625" style="58" customWidth="1"/>
    <col min="9" max="16384" width="8.85546875" style="58"/>
  </cols>
  <sheetData>
    <row r="1" spans="1:8">
      <c r="A1" s="127" t="s">
        <v>3814</v>
      </c>
      <c r="B1" s="547" t="s">
        <v>3831</v>
      </c>
      <c r="C1" s="298"/>
      <c r="D1" s="298"/>
      <c r="E1" s="298"/>
      <c r="H1" s="298"/>
    </row>
    <row r="2" spans="1:8">
      <c r="A2" s="127" t="s">
        <v>3815</v>
      </c>
      <c r="B2" s="297">
        <v>42566</v>
      </c>
      <c r="C2" s="298"/>
      <c r="D2" s="298"/>
      <c r="E2" s="298"/>
      <c r="H2" s="298"/>
    </row>
    <row r="4" spans="1:8">
      <c r="A4" s="127" t="s">
        <v>4547</v>
      </c>
      <c r="B4" s="127" t="s">
        <v>3806</v>
      </c>
      <c r="C4" s="127" t="s">
        <v>3816</v>
      </c>
      <c r="D4" s="127" t="s">
        <v>3817</v>
      </c>
      <c r="E4" s="127" t="s">
        <v>3818</v>
      </c>
      <c r="F4" s="127" t="s">
        <v>3819</v>
      </c>
      <c r="G4" s="12" t="s">
        <v>4564</v>
      </c>
      <c r="H4"/>
    </row>
    <row r="5" spans="1:8">
      <c r="A5" s="547" t="s">
        <v>4565</v>
      </c>
      <c r="B5" s="547">
        <v>3336239</v>
      </c>
      <c r="C5" s="297">
        <v>42573</v>
      </c>
      <c r="D5" s="297">
        <v>42562</v>
      </c>
      <c r="E5" s="547" t="s">
        <v>738</v>
      </c>
      <c r="F5" s="547" t="s">
        <v>531</v>
      </c>
      <c r="G5" s="12">
        <v>372</v>
      </c>
      <c r="H5"/>
    </row>
    <row r="6" spans="1:8">
      <c r="A6" s="547" t="s">
        <v>4566</v>
      </c>
      <c r="B6" s="547" t="s">
        <v>3377</v>
      </c>
      <c r="C6" s="297">
        <v>42573</v>
      </c>
      <c r="D6" s="297">
        <v>42563</v>
      </c>
      <c r="E6" s="547" t="s">
        <v>531</v>
      </c>
      <c r="F6" s="547" t="s">
        <v>3388</v>
      </c>
      <c r="G6" s="12">
        <v>279</v>
      </c>
      <c r="H6"/>
    </row>
    <row r="7" spans="1:8">
      <c r="A7" s="547" t="s">
        <v>4567</v>
      </c>
      <c r="B7" s="547">
        <v>573792</v>
      </c>
      <c r="C7" s="297">
        <v>42573</v>
      </c>
      <c r="D7" s="297">
        <v>42563</v>
      </c>
      <c r="E7" s="547" t="s">
        <v>449</v>
      </c>
      <c r="F7" s="547" t="s">
        <v>184</v>
      </c>
      <c r="G7" s="12">
        <v>372</v>
      </c>
      <c r="H7"/>
    </row>
    <row r="8" spans="1:8">
      <c r="A8" s="547" t="s">
        <v>3959</v>
      </c>
      <c r="B8" s="547"/>
      <c r="C8" s="547"/>
      <c r="D8" s="547"/>
      <c r="E8" s="547"/>
      <c r="F8" s="547"/>
      <c r="G8" s="12">
        <v>1023</v>
      </c>
      <c r="H8"/>
    </row>
    <row r="9" spans="1:8">
      <c r="A9"/>
      <c r="B9"/>
      <c r="C9"/>
      <c r="D9"/>
      <c r="E9"/>
      <c r="F9"/>
      <c r="G9"/>
      <c r="H9" s="298"/>
    </row>
    <row r="10" spans="1:8">
      <c r="A10"/>
      <c r="B10"/>
      <c r="C10"/>
      <c r="D10"/>
      <c r="E10"/>
      <c r="F10"/>
      <c r="G10"/>
      <c r="H10" s="298"/>
    </row>
    <row r="11" spans="1:8">
      <c r="A11" s="520"/>
      <c r="B11" s="520"/>
      <c r="C11" s="520"/>
      <c r="D11" s="520"/>
      <c r="E11" s="298"/>
      <c r="H11" s="298"/>
    </row>
    <row r="12" spans="1:8">
      <c r="A12" s="520"/>
      <c r="B12" s="520"/>
      <c r="C12" s="520"/>
      <c r="D12" s="520"/>
      <c r="E12" s="298"/>
      <c r="H12" s="298"/>
    </row>
    <row r="13" spans="1:8">
      <c r="A13"/>
      <c r="B13"/>
      <c r="C13" s="520"/>
      <c r="D13" s="520"/>
      <c r="E13" s="520"/>
      <c r="F13" s="520"/>
      <c r="G13" s="98"/>
      <c r="H13" s="298"/>
    </row>
    <row r="14" spans="1:8">
      <c r="A14" s="127" t="s">
        <v>3852</v>
      </c>
      <c r="B14" s="547" t="s">
        <v>4576</v>
      </c>
      <c r="C14" s="520"/>
      <c r="D14" s="520"/>
      <c r="E14" s="520"/>
      <c r="F14" s="520"/>
      <c r="G14" s="98"/>
      <c r="H14" s="298"/>
    </row>
    <row r="15" spans="1:8">
      <c r="A15" s="127" t="s">
        <v>107</v>
      </c>
      <c r="B15" s="297">
        <v>42566</v>
      </c>
      <c r="C15" s="520"/>
      <c r="D15" s="520"/>
      <c r="E15" s="520"/>
      <c r="F15" s="520"/>
      <c r="G15" s="98"/>
      <c r="H15" s="298"/>
    </row>
    <row r="16" spans="1:8">
      <c r="A16" s="520"/>
      <c r="B16" s="520"/>
      <c r="C16" s="520"/>
      <c r="D16" s="520"/>
      <c r="E16" s="520"/>
      <c r="F16" s="520"/>
      <c r="G16" s="98"/>
      <c r="H16" s="298"/>
    </row>
    <row r="17" spans="1:7">
      <c r="A17" s="127" t="s">
        <v>4568</v>
      </c>
      <c r="B17" s="127" t="s">
        <v>3853</v>
      </c>
      <c r="C17" s="127" t="s">
        <v>3850</v>
      </c>
      <c r="D17" s="547" t="s">
        <v>3971</v>
      </c>
      <c r="E17" s="105"/>
      <c r="F17" s="298"/>
    </row>
    <row r="18" spans="1:7" s="68" customFormat="1">
      <c r="A18" s="297">
        <v>42562</v>
      </c>
      <c r="B18" s="547" t="s">
        <v>3936</v>
      </c>
      <c r="C18" s="547">
        <v>3</v>
      </c>
      <c r="D18" s="12">
        <v>384.2</v>
      </c>
      <c r="E18" s="105"/>
      <c r="F18" s="221"/>
      <c r="G18" s="231"/>
    </row>
    <row r="19" spans="1:7">
      <c r="A19" s="297">
        <v>42563</v>
      </c>
      <c r="B19" s="547" t="s">
        <v>3926</v>
      </c>
      <c r="C19" s="547">
        <v>3</v>
      </c>
      <c r="D19" s="12">
        <v>173.58</v>
      </c>
      <c r="E19" s="105"/>
    </row>
    <row r="20" spans="1:7">
      <c r="A20" s="287" t="s">
        <v>3959</v>
      </c>
      <c r="B20" s="288"/>
      <c r="C20" s="288"/>
      <c r="D20" s="289">
        <v>557.78</v>
      </c>
      <c r="E20" s="298"/>
    </row>
    <row r="21" spans="1:7" s="298" customFormat="1">
      <c r="F21" s="59"/>
      <c r="G21" s="66"/>
    </row>
    <row r="22" spans="1:7">
      <c r="A22" s="521" t="s">
        <v>40</v>
      </c>
      <c r="B22" t="s">
        <v>3831</v>
      </c>
      <c r="C22" s="298"/>
      <c r="D22" s="298"/>
      <c r="E22" s="298"/>
    </row>
    <row r="24" spans="1:7">
      <c r="A24" s="521" t="s">
        <v>4569</v>
      </c>
      <c r="B24" t="s">
        <v>4558</v>
      </c>
      <c r="C24"/>
      <c r="D24" s="298"/>
      <c r="E24" s="298"/>
    </row>
    <row r="25" spans="1:7">
      <c r="A25" s="547" t="s">
        <v>4665</v>
      </c>
      <c r="B25" s="523">
        <v>189</v>
      </c>
      <c r="C25"/>
      <c r="D25" s="298"/>
      <c r="E25" s="298"/>
    </row>
    <row r="26" spans="1:7">
      <c r="A26" s="288" t="s">
        <v>3959</v>
      </c>
      <c r="B26" s="524">
        <v>189</v>
      </c>
      <c r="C26"/>
      <c r="D26" s="298"/>
      <c r="E26" s="298"/>
    </row>
    <row r="27" spans="1:7">
      <c r="A27"/>
      <c r="B27"/>
      <c r="C27"/>
      <c r="D27" s="298"/>
      <c r="E27" s="298"/>
    </row>
    <row r="28" spans="1:7">
      <c r="A28" s="586" t="s">
        <v>4570</v>
      </c>
      <c r="B28" s="586"/>
      <c r="C28" s="586"/>
      <c r="D28" s="586"/>
      <c r="E28" s="586"/>
      <c r="F28" s="586"/>
      <c r="G28" s="538">
        <f>GETPIVOTDATA("PayDriver",$A$4)-(GETPIVOTDATA("PricePlusTax",$A$17)+GETPIVOTDATA("DriverInsurance Premium",$A$24))</f>
        <v>276.22000000000003</v>
      </c>
    </row>
    <row r="29" spans="1:7" s="298" customFormat="1">
      <c r="A29" s="539" t="s">
        <v>4571</v>
      </c>
      <c r="B29" s="539"/>
      <c r="C29" s="539"/>
      <c r="D29" s="539"/>
      <c r="E29" s="539"/>
      <c r="F29" s="539"/>
      <c r="G29" s="540">
        <f>G28/2</f>
        <v>138.11000000000001</v>
      </c>
    </row>
    <row r="30" spans="1:7">
      <c r="A30" t="s">
        <v>4572</v>
      </c>
      <c r="B30"/>
      <c r="C30"/>
      <c r="D30" s="298"/>
      <c r="E30" s="298"/>
      <c r="G30" s="66">
        <v>100</v>
      </c>
    </row>
    <row r="31" spans="1:7">
      <c r="A31" t="s">
        <v>4573</v>
      </c>
      <c r="B31"/>
      <c r="C31"/>
      <c r="D31" s="298"/>
      <c r="E31" s="298"/>
      <c r="G31" s="66">
        <v>100</v>
      </c>
    </row>
    <row r="32" spans="1:7">
      <c r="A32" t="s">
        <v>4574</v>
      </c>
      <c r="B32"/>
      <c r="C32"/>
      <c r="D32" s="298"/>
      <c r="E32" s="298"/>
      <c r="G32" s="66">
        <v>40</v>
      </c>
    </row>
    <row r="33" spans="1:7">
      <c r="A33" t="s">
        <v>4178</v>
      </c>
      <c r="B33"/>
      <c r="C33"/>
      <c r="D33" s="298"/>
      <c r="E33" s="298"/>
      <c r="G33" s="66">
        <v>-5</v>
      </c>
    </row>
    <row r="34" spans="1:7" s="125" customFormat="1">
      <c r="A34" s="585" t="s">
        <v>4575</v>
      </c>
      <c r="B34" s="585"/>
      <c r="C34" s="585"/>
      <c r="D34" s="585"/>
      <c r="E34" s="585"/>
      <c r="F34" s="585"/>
      <c r="G34" s="439">
        <f>SUM(G29:G33)</f>
        <v>373.11</v>
      </c>
    </row>
    <row r="35" spans="1:7">
      <c r="A35"/>
      <c r="B35"/>
      <c r="C35"/>
      <c r="D35" s="298"/>
      <c r="E35" s="298"/>
    </row>
    <row r="36" spans="1:7">
      <c r="A36"/>
      <c r="B36"/>
      <c r="C36"/>
      <c r="D36" s="298"/>
      <c r="E36" s="298"/>
    </row>
    <row r="37" spans="1:7">
      <c r="A37"/>
      <c r="B37"/>
      <c r="C37"/>
      <c r="D37" s="298"/>
      <c r="E37" s="298"/>
    </row>
    <row r="38" spans="1:7">
      <c r="A38"/>
      <c r="B38"/>
      <c r="C38"/>
      <c r="D38" s="298"/>
      <c r="E38" s="298"/>
    </row>
    <row r="39" spans="1:7">
      <c r="A39"/>
      <c r="B39"/>
      <c r="C39"/>
      <c r="D39" s="298"/>
      <c r="E39" s="298"/>
    </row>
    <row r="40" spans="1:7">
      <c r="A40"/>
      <c r="B40"/>
      <c r="C40"/>
      <c r="D40" s="298"/>
      <c r="E40" s="298"/>
    </row>
    <row r="41" spans="1:7">
      <c r="A41"/>
      <c r="B41"/>
      <c r="C41"/>
      <c r="D41" s="298"/>
      <c r="E41" s="298"/>
    </row>
    <row r="42" spans="1:7">
      <c r="A42"/>
      <c r="B42"/>
      <c r="C42"/>
      <c r="D42" s="298"/>
      <c r="E42" s="298"/>
    </row>
  </sheetData>
  <mergeCells count="2">
    <mergeCell ref="A28:F28"/>
    <mergeCell ref="A34:F34"/>
  </mergeCells>
  <pageMargins left="0.25" right="0.25" top="0.75" bottom="0.75" header="0.3" footer="0.3"/>
  <pageSetup orientation="landscape"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7"/>
    <pageSetUpPr fitToPage="1"/>
  </sheetPr>
  <dimension ref="A2:G105"/>
  <sheetViews>
    <sheetView zoomScaleNormal="100" workbookViewId="0">
      <selection activeCell="K28" sqref="K28"/>
    </sheetView>
  </sheetViews>
  <sheetFormatPr defaultColWidth="8.85546875" defaultRowHeight="15"/>
  <cols>
    <col min="1" max="1" width="16.42578125" style="67" customWidth="1"/>
    <col min="2" max="2" width="17.85546875" style="67" customWidth="1"/>
    <col min="3" max="3" width="15.140625" style="67" customWidth="1"/>
    <col min="4" max="4" width="11.28515625" style="67" customWidth="1"/>
    <col min="5" max="5" width="11.7109375" style="67" customWidth="1"/>
    <col min="6" max="6" width="21.7109375" style="136" customWidth="1"/>
    <col min="7" max="7" width="19.28515625" style="73" customWidth="1"/>
    <col min="8" max="9" width="8.85546875" style="67"/>
    <col min="10" max="10" width="9.140625" style="67" bestFit="1" customWidth="1"/>
    <col min="11" max="11" width="9.85546875" style="67" bestFit="1" customWidth="1"/>
    <col min="12" max="16384" width="8.85546875" style="67"/>
  </cols>
  <sheetData>
    <row r="2" spans="1:7">
      <c r="A2" s="520"/>
      <c r="B2" s="520"/>
    </row>
    <row r="3" spans="1:7">
      <c r="A3" s="510" t="s">
        <v>3814</v>
      </c>
      <c r="B3" s="511" t="s">
        <v>3839</v>
      </c>
    </row>
    <row r="4" spans="1:7">
      <c r="A4" s="510" t="s">
        <v>3815</v>
      </c>
      <c r="B4" s="511" t="s">
        <v>4576</v>
      </c>
    </row>
    <row r="6" spans="1:7">
      <c r="A6" s="511" t="s">
        <v>4547</v>
      </c>
      <c r="B6" s="510" t="s">
        <v>3806</v>
      </c>
      <c r="C6" s="511" t="s">
        <v>3817</v>
      </c>
      <c r="D6" s="511" t="s">
        <v>3818</v>
      </c>
      <c r="E6" s="511" t="s">
        <v>3819</v>
      </c>
      <c r="F6" s="514" t="s">
        <v>4577</v>
      </c>
      <c r="G6" s="105"/>
    </row>
    <row r="7" spans="1:7">
      <c r="A7" s="67" t="s">
        <v>4578</v>
      </c>
      <c r="B7" s="67">
        <v>205023020</v>
      </c>
      <c r="C7" s="70">
        <v>42548</v>
      </c>
      <c r="D7" s="67" t="s">
        <v>1799</v>
      </c>
      <c r="E7" s="67" t="s">
        <v>3283</v>
      </c>
      <c r="F7" s="512">
        <v>516.15</v>
      </c>
      <c r="G7" s="105"/>
    </row>
    <row r="8" spans="1:7">
      <c r="A8" s="67" t="s">
        <v>4579</v>
      </c>
      <c r="B8" s="67">
        <v>565442</v>
      </c>
      <c r="C8" s="70">
        <v>42557</v>
      </c>
      <c r="D8" s="67" t="s">
        <v>605</v>
      </c>
      <c r="E8" s="67" t="s">
        <v>380</v>
      </c>
      <c r="F8" s="512">
        <v>279</v>
      </c>
      <c r="G8" s="105"/>
    </row>
    <row r="9" spans="1:7">
      <c r="A9" s="67" t="s">
        <v>4580</v>
      </c>
      <c r="B9" s="67" t="s">
        <v>3325</v>
      </c>
      <c r="C9" s="70">
        <v>42557</v>
      </c>
      <c r="D9" s="67" t="s">
        <v>1704</v>
      </c>
      <c r="E9" s="67" t="s">
        <v>738</v>
      </c>
      <c r="F9" s="512">
        <v>726</v>
      </c>
      <c r="G9" s="105"/>
    </row>
    <row r="10" spans="1:7">
      <c r="A10" s="67" t="s">
        <v>4581</v>
      </c>
      <c r="B10" s="67">
        <v>387643</v>
      </c>
      <c r="C10" s="70">
        <v>42559</v>
      </c>
      <c r="D10" s="67" t="s">
        <v>3342</v>
      </c>
      <c r="E10" s="67" t="s">
        <v>634</v>
      </c>
      <c r="F10" s="512">
        <v>790.5</v>
      </c>
      <c r="G10" s="105"/>
    </row>
    <row r="11" spans="1:7">
      <c r="A11" s="67" t="s">
        <v>4582</v>
      </c>
      <c r="B11" s="67">
        <v>16165</v>
      </c>
      <c r="C11" s="70">
        <v>42559</v>
      </c>
      <c r="D11" s="67" t="s">
        <v>299</v>
      </c>
      <c r="E11" s="67" t="s">
        <v>366</v>
      </c>
      <c r="F11" s="512">
        <v>465</v>
      </c>
      <c r="G11" s="105"/>
    </row>
    <row r="12" spans="1:7" ht="15.75" thickBot="1">
      <c r="A12" s="67" t="s">
        <v>4583</v>
      </c>
      <c r="B12" s="67">
        <v>3327673</v>
      </c>
      <c r="C12" s="70">
        <v>42558</v>
      </c>
      <c r="D12" s="67" t="s">
        <v>738</v>
      </c>
      <c r="E12" s="67" t="s">
        <v>531</v>
      </c>
      <c r="F12" s="512">
        <v>372</v>
      </c>
      <c r="G12" s="105"/>
    </row>
    <row r="13" spans="1:7">
      <c r="A13" s="510" t="s">
        <v>3959</v>
      </c>
      <c r="B13" s="510"/>
      <c r="C13" s="510"/>
      <c r="D13" s="510"/>
      <c r="E13" s="511"/>
      <c r="F13" s="513">
        <v>3148.65</v>
      </c>
      <c r="G13" s="98"/>
    </row>
    <row r="14" spans="1:7">
      <c r="A14" s="520"/>
      <c r="B14" s="520"/>
      <c r="C14" s="520"/>
      <c r="D14" s="520"/>
      <c r="E14" s="520"/>
      <c r="F14" s="59"/>
      <c r="G14" s="98"/>
    </row>
    <row r="15" spans="1:7">
      <c r="A15" s="520"/>
      <c r="B15" s="520"/>
      <c r="C15" s="520"/>
      <c r="D15" s="520"/>
      <c r="E15" s="520"/>
      <c r="F15" s="59"/>
      <c r="G15" s="98"/>
    </row>
    <row r="16" spans="1:7">
      <c r="A16" s="520" t="s">
        <v>4000</v>
      </c>
      <c r="B16" s="274">
        <v>42552</v>
      </c>
      <c r="C16" s="520"/>
      <c r="D16" s="520"/>
      <c r="E16" s="520"/>
      <c r="F16" s="59">
        <v>-130</v>
      </c>
      <c r="G16" s="98"/>
    </row>
    <row r="17" spans="1:7">
      <c r="A17" s="520" t="s">
        <v>4268</v>
      </c>
      <c r="B17" s="274">
        <v>42552</v>
      </c>
      <c r="C17" s="520"/>
      <c r="D17" s="520"/>
      <c r="E17" s="520"/>
      <c r="F17" s="59">
        <v>-732</v>
      </c>
      <c r="G17" s="98"/>
    </row>
    <row r="18" spans="1:7">
      <c r="A18" s="520" t="s">
        <v>4178</v>
      </c>
      <c r="B18" s="274">
        <v>42552</v>
      </c>
      <c r="C18" s="520"/>
      <c r="D18" s="520"/>
      <c r="E18" s="520"/>
      <c r="F18" s="59">
        <v>-17.649999999999999</v>
      </c>
      <c r="G18" s="98"/>
    </row>
    <row r="19" spans="1:7">
      <c r="A19" s="545" t="s">
        <v>4584</v>
      </c>
      <c r="B19" s="545"/>
      <c r="C19" s="545"/>
      <c r="D19" s="545"/>
      <c r="E19" s="545"/>
      <c r="F19" s="546">
        <v>2269</v>
      </c>
      <c r="G19" s="98"/>
    </row>
    <row r="20" spans="1:7">
      <c r="A20" s="520"/>
      <c r="B20" s="520"/>
      <c r="C20" s="520"/>
      <c r="D20" s="520"/>
      <c r="E20" s="520"/>
      <c r="F20" s="59"/>
      <c r="G20" s="98"/>
    </row>
    <row r="21" spans="1:7">
      <c r="A21" s="520"/>
      <c r="B21" s="520"/>
      <c r="C21" s="520"/>
      <c r="D21" s="520"/>
      <c r="E21" s="520"/>
      <c r="F21" s="59"/>
      <c r="G21" s="98"/>
    </row>
    <row r="22" spans="1:7">
      <c r="A22" s="520"/>
      <c r="B22" s="520"/>
      <c r="C22" s="520"/>
      <c r="D22" s="520"/>
      <c r="E22" s="520"/>
      <c r="F22" s="59"/>
      <c r="G22" s="98"/>
    </row>
    <row r="23" spans="1:7">
      <c r="A23" s="520"/>
      <c r="B23" s="520"/>
      <c r="C23" s="520"/>
      <c r="D23" s="520"/>
      <c r="E23" s="520"/>
      <c r="F23" s="59"/>
      <c r="G23" s="98"/>
    </row>
    <row r="24" spans="1:7">
      <c r="A24" s="520"/>
      <c r="B24" s="520"/>
      <c r="C24" s="520"/>
      <c r="D24" s="520"/>
      <c r="E24" s="520"/>
      <c r="F24" s="59"/>
      <c r="G24" s="98"/>
    </row>
    <row r="25" spans="1:7">
      <c r="A25" s="520"/>
      <c r="B25" s="520"/>
      <c r="C25" s="520"/>
      <c r="D25" s="520"/>
      <c r="E25" s="520"/>
      <c r="F25" s="59"/>
      <c r="G25" s="98"/>
    </row>
    <row r="26" spans="1:7">
      <c r="A26" s="520"/>
      <c r="B26" s="520"/>
      <c r="C26" s="520"/>
      <c r="D26" s="520"/>
      <c r="E26" s="520"/>
      <c r="F26" s="59"/>
      <c r="G26" s="98"/>
    </row>
    <row r="27" spans="1:7">
      <c r="A27" s="520"/>
      <c r="B27" s="520"/>
      <c r="C27" s="520"/>
      <c r="D27" s="520"/>
      <c r="E27" s="520"/>
      <c r="F27" s="59"/>
      <c r="G27" s="98"/>
    </row>
    <row r="28" spans="1:7">
      <c r="A28" s="520"/>
      <c r="B28" s="520"/>
      <c r="C28" s="520"/>
      <c r="D28" s="520"/>
      <c r="E28" s="520"/>
      <c r="F28" s="59"/>
      <c r="G28" s="98"/>
    </row>
    <row r="29" spans="1:7">
      <c r="A29" s="520"/>
      <c r="B29" s="520"/>
      <c r="C29" s="520"/>
      <c r="D29" s="520"/>
      <c r="E29" s="520"/>
      <c r="F29" s="59"/>
      <c r="G29" s="98"/>
    </row>
    <row r="30" spans="1:7">
      <c r="A30" s="520"/>
      <c r="B30" s="520"/>
      <c r="C30" s="520"/>
      <c r="D30" s="520"/>
      <c r="E30" s="520"/>
      <c r="F30" s="59"/>
      <c r="G30" s="98"/>
    </row>
    <row r="31" spans="1:7">
      <c r="A31" s="520"/>
      <c r="B31" s="520"/>
      <c r="C31" s="520"/>
      <c r="D31" s="520"/>
      <c r="E31" s="520"/>
      <c r="F31" s="59"/>
      <c r="G31" s="98"/>
    </row>
    <row r="32" spans="1:7">
      <c r="A32" s="520"/>
      <c r="B32" s="520"/>
      <c r="C32" s="520"/>
      <c r="D32" s="520"/>
      <c r="E32" s="520"/>
      <c r="F32" s="59"/>
      <c r="G32" s="98"/>
    </row>
    <row r="33" spans="1:7">
      <c r="A33" s="520"/>
      <c r="B33" s="520"/>
      <c r="C33" s="520"/>
      <c r="D33" s="520"/>
      <c r="E33" s="520"/>
      <c r="F33" s="59"/>
      <c r="G33" s="98"/>
    </row>
    <row r="34" spans="1:7">
      <c r="A34" s="520"/>
      <c r="B34" s="520"/>
      <c r="C34" s="520"/>
      <c r="D34" s="520"/>
      <c r="E34" s="520"/>
      <c r="F34" s="59"/>
      <c r="G34" s="98"/>
    </row>
    <row r="35" spans="1:7">
      <c r="A35" s="520"/>
      <c r="B35" s="520"/>
      <c r="C35" s="520"/>
      <c r="D35" s="520"/>
      <c r="E35" s="520"/>
      <c r="F35" s="59"/>
      <c r="G35" s="98"/>
    </row>
    <row r="36" spans="1:7">
      <c r="A36" s="520"/>
      <c r="B36" s="520"/>
      <c r="C36" s="520"/>
      <c r="D36" s="520"/>
      <c r="E36" s="520"/>
      <c r="F36" s="59"/>
      <c r="G36" s="98"/>
    </row>
    <row r="37" spans="1:7">
      <c r="A37" s="520"/>
      <c r="B37" s="520"/>
      <c r="C37" s="520"/>
      <c r="D37" s="520"/>
      <c r="E37" s="520"/>
      <c r="F37" s="59"/>
      <c r="G37" s="98"/>
    </row>
    <row r="38" spans="1:7">
      <c r="A38" s="520"/>
      <c r="B38" s="520"/>
      <c r="C38" s="520"/>
      <c r="D38" s="520"/>
      <c r="E38" s="520"/>
      <c r="F38" s="59"/>
      <c r="G38" s="98"/>
    </row>
    <row r="39" spans="1:7">
      <c r="A39" s="520"/>
      <c r="B39" s="520"/>
      <c r="C39" s="520"/>
      <c r="D39" s="520"/>
      <c r="E39" s="520"/>
      <c r="F39" s="59"/>
      <c r="G39" s="98"/>
    </row>
    <row r="40" spans="1:7">
      <c r="A40" s="520"/>
      <c r="B40" s="520"/>
      <c r="C40" s="520"/>
      <c r="D40" s="520"/>
      <c r="E40" s="520"/>
      <c r="F40" s="59"/>
      <c r="G40" s="98"/>
    </row>
    <row r="41" spans="1:7">
      <c r="A41" s="520"/>
      <c r="B41" s="520"/>
      <c r="C41" s="520"/>
      <c r="D41" s="520"/>
      <c r="E41" s="520"/>
      <c r="F41" s="59"/>
      <c r="G41" s="98"/>
    </row>
    <row r="42" spans="1:7">
      <c r="A42" s="520"/>
      <c r="B42" s="520"/>
      <c r="C42" s="520"/>
      <c r="D42" s="520"/>
      <c r="E42" s="520"/>
      <c r="F42" s="59"/>
      <c r="G42" s="98"/>
    </row>
    <row r="43" spans="1:7">
      <c r="A43" s="520"/>
      <c r="B43" s="520"/>
      <c r="C43" s="520"/>
      <c r="D43" s="520"/>
      <c r="E43" s="520"/>
      <c r="F43" s="59"/>
      <c r="G43" s="98"/>
    </row>
    <row r="44" spans="1:7">
      <c r="A44" s="520"/>
      <c r="B44" s="520"/>
      <c r="C44" s="520"/>
      <c r="D44" s="520"/>
      <c r="E44" s="520"/>
      <c r="F44" s="59"/>
      <c r="G44" s="98"/>
    </row>
    <row r="45" spans="1:7">
      <c r="A45" s="520"/>
      <c r="B45" s="520"/>
      <c r="C45" s="520"/>
      <c r="D45" s="520"/>
      <c r="E45" s="520"/>
      <c r="F45" s="59"/>
      <c r="G45" s="98"/>
    </row>
    <row r="46" spans="1:7">
      <c r="A46" s="520"/>
      <c r="B46" s="520"/>
      <c r="C46" s="520"/>
      <c r="D46" s="520"/>
      <c r="E46" s="520"/>
      <c r="F46" s="59"/>
      <c r="G46" s="98"/>
    </row>
    <row r="47" spans="1:7">
      <c r="A47" s="520"/>
      <c r="B47" s="520"/>
      <c r="C47" s="520"/>
      <c r="D47" s="520"/>
      <c r="E47" s="520"/>
      <c r="F47" s="59"/>
      <c r="G47" s="98"/>
    </row>
    <row r="48" spans="1:7">
      <c r="A48" s="520"/>
      <c r="B48" s="520"/>
      <c r="C48" s="520"/>
      <c r="D48" s="520"/>
      <c r="E48" s="520"/>
      <c r="F48" s="59"/>
      <c r="G48" s="98"/>
    </row>
    <row r="49" spans="1:7">
      <c r="A49" s="520"/>
      <c r="B49" s="520"/>
      <c r="C49" s="520"/>
      <c r="D49" s="520"/>
      <c r="E49" s="520"/>
      <c r="F49" s="59"/>
      <c r="G49" s="98"/>
    </row>
    <row r="50" spans="1:7">
      <c r="A50" s="520"/>
      <c r="B50" s="520"/>
      <c r="C50" s="520"/>
      <c r="D50" s="520"/>
      <c r="E50" s="520"/>
      <c r="F50" s="59"/>
      <c r="G50" s="98"/>
    </row>
    <row r="51" spans="1:7">
      <c r="A51" s="520"/>
      <c r="B51" s="520"/>
      <c r="C51" s="520"/>
      <c r="D51" s="520"/>
      <c r="E51" s="520"/>
      <c r="F51" s="59"/>
      <c r="G51" s="98"/>
    </row>
    <row r="52" spans="1:7">
      <c r="A52" s="520"/>
      <c r="B52" s="520"/>
      <c r="C52" s="520"/>
      <c r="D52" s="520"/>
      <c r="E52" s="520"/>
      <c r="F52" s="59"/>
      <c r="G52" s="98"/>
    </row>
    <row r="53" spans="1:7">
      <c r="A53" s="520"/>
      <c r="B53" s="520"/>
      <c r="C53" s="520"/>
      <c r="D53" s="520"/>
      <c r="E53" s="520"/>
      <c r="F53" s="59"/>
      <c r="G53" s="98"/>
    </row>
    <row r="54" spans="1:7">
      <c r="A54" s="520"/>
      <c r="B54" s="520"/>
      <c r="C54" s="520"/>
      <c r="D54" s="520"/>
      <c r="E54" s="520"/>
      <c r="F54" s="59"/>
      <c r="G54" s="98"/>
    </row>
    <row r="55" spans="1:7">
      <c r="A55" s="520"/>
      <c r="B55" s="520"/>
      <c r="C55" s="520"/>
      <c r="D55" s="520"/>
      <c r="E55" s="520"/>
      <c r="F55" s="59"/>
      <c r="G55" s="98"/>
    </row>
    <row r="56" spans="1:7">
      <c r="A56" s="520"/>
      <c r="B56" s="520"/>
      <c r="C56" s="520"/>
      <c r="D56" s="520"/>
      <c r="E56" s="520"/>
      <c r="F56" s="59"/>
      <c r="G56" s="98"/>
    </row>
    <row r="57" spans="1:7">
      <c r="A57" s="520"/>
      <c r="B57" s="520"/>
      <c r="C57" s="520"/>
      <c r="D57" s="520"/>
      <c r="E57" s="520"/>
      <c r="F57" s="59"/>
      <c r="G57" s="98"/>
    </row>
    <row r="58" spans="1:7">
      <c r="A58" s="520"/>
      <c r="B58" s="520"/>
      <c r="C58" s="520"/>
      <c r="D58" s="520"/>
      <c r="E58" s="520"/>
      <c r="F58" s="59"/>
      <c r="G58" s="98"/>
    </row>
    <row r="59" spans="1:7">
      <c r="A59" s="520"/>
      <c r="B59" s="520"/>
      <c r="C59" s="520"/>
      <c r="D59" s="520"/>
      <c r="E59" s="520"/>
      <c r="F59" s="59"/>
      <c r="G59" s="98"/>
    </row>
    <row r="60" spans="1:7">
      <c r="A60" s="520"/>
      <c r="B60" s="520"/>
      <c r="C60" s="520"/>
      <c r="D60" s="520"/>
      <c r="E60" s="520"/>
      <c r="F60" s="59"/>
      <c r="G60" s="98"/>
    </row>
    <row r="61" spans="1:7">
      <c r="A61" s="520"/>
      <c r="B61" s="520"/>
      <c r="C61" s="520"/>
      <c r="D61" s="520"/>
      <c r="E61" s="520"/>
      <c r="F61" s="59"/>
      <c r="G61" s="98"/>
    </row>
    <row r="62" spans="1:7">
      <c r="A62" s="520"/>
      <c r="B62" s="520"/>
      <c r="C62" s="520"/>
      <c r="D62" s="520"/>
      <c r="E62" s="520"/>
      <c r="F62" s="59"/>
      <c r="G62" s="98"/>
    </row>
    <row r="63" spans="1:7">
      <c r="A63" s="520"/>
      <c r="B63" s="520"/>
      <c r="C63" s="520"/>
      <c r="D63" s="520"/>
      <c r="E63" s="520"/>
      <c r="F63" s="59"/>
      <c r="G63" s="98"/>
    </row>
    <row r="64" spans="1:7">
      <c r="A64" s="520"/>
      <c r="B64" s="520"/>
      <c r="C64" s="520"/>
      <c r="D64" s="520"/>
      <c r="E64" s="520"/>
      <c r="F64" s="59"/>
      <c r="G64" s="98"/>
    </row>
    <row r="65" spans="1:7">
      <c r="A65" s="520"/>
      <c r="B65" s="520"/>
      <c r="C65" s="520"/>
      <c r="D65" s="520"/>
      <c r="E65" s="520"/>
      <c r="F65" s="59"/>
      <c r="G65" s="98"/>
    </row>
    <row r="66" spans="1:7">
      <c r="A66" s="520"/>
      <c r="B66" s="520"/>
      <c r="C66" s="520"/>
      <c r="D66" s="520"/>
      <c r="E66" s="520"/>
      <c r="F66" s="59"/>
      <c r="G66" s="98"/>
    </row>
    <row r="67" spans="1:7">
      <c r="A67" s="520"/>
      <c r="B67" s="520"/>
      <c r="C67" s="520"/>
      <c r="D67" s="520"/>
      <c r="E67" s="520"/>
      <c r="F67" s="59"/>
      <c r="G67" s="98"/>
    </row>
    <row r="68" spans="1:7">
      <c r="A68" s="520"/>
      <c r="B68" s="520"/>
      <c r="C68" s="520"/>
      <c r="D68" s="520"/>
      <c r="E68" s="520"/>
      <c r="F68" s="59"/>
      <c r="G68" s="98"/>
    </row>
    <row r="69" spans="1:7">
      <c r="A69" s="520"/>
      <c r="B69" s="520"/>
      <c r="C69" s="520"/>
      <c r="D69" s="520"/>
      <c r="E69" s="520"/>
      <c r="F69" s="59"/>
      <c r="G69" s="98"/>
    </row>
    <row r="70" spans="1:7">
      <c r="A70" s="520"/>
      <c r="B70" s="520"/>
      <c r="C70" s="520"/>
      <c r="D70" s="520"/>
      <c r="E70" s="520"/>
      <c r="F70" s="59"/>
      <c r="G70" s="98"/>
    </row>
    <row r="71" spans="1:7">
      <c r="A71" s="520"/>
      <c r="B71" s="520"/>
      <c r="C71" s="520"/>
      <c r="D71" s="520"/>
      <c r="E71" s="520"/>
      <c r="F71" s="59"/>
      <c r="G71" s="98"/>
    </row>
    <row r="72" spans="1:7">
      <c r="A72" s="520"/>
      <c r="B72" s="520"/>
      <c r="C72" s="520"/>
      <c r="D72" s="520"/>
      <c r="E72" s="520"/>
      <c r="F72" s="59"/>
      <c r="G72" s="98"/>
    </row>
    <row r="73" spans="1:7">
      <c r="A73" s="520"/>
      <c r="B73" s="520"/>
      <c r="C73" s="520"/>
      <c r="D73" s="520"/>
      <c r="E73" s="520"/>
      <c r="F73" s="59"/>
      <c r="G73" s="98"/>
    </row>
    <row r="74" spans="1:7">
      <c r="A74" s="520"/>
      <c r="B74" s="520"/>
      <c r="C74" s="520"/>
      <c r="D74" s="520"/>
      <c r="E74" s="520"/>
      <c r="F74" s="59"/>
      <c r="G74" s="98"/>
    </row>
    <row r="75" spans="1:7">
      <c r="A75" s="520"/>
      <c r="B75" s="520"/>
      <c r="C75" s="520"/>
      <c r="D75" s="520"/>
      <c r="E75" s="520"/>
      <c r="F75" s="59"/>
      <c r="G75" s="98"/>
    </row>
    <row r="76" spans="1:7">
      <c r="A76" s="520"/>
      <c r="B76" s="520"/>
      <c r="C76" s="520"/>
      <c r="D76" s="520"/>
      <c r="E76" s="520"/>
      <c r="F76" s="59"/>
      <c r="G76" s="98"/>
    </row>
    <row r="77" spans="1:7">
      <c r="A77" s="520"/>
      <c r="B77" s="520"/>
      <c r="C77" s="520"/>
      <c r="D77" s="520"/>
      <c r="E77" s="520"/>
      <c r="F77" s="59"/>
      <c r="G77" s="98"/>
    </row>
    <row r="78" spans="1:7">
      <c r="A78" s="520"/>
      <c r="B78" s="520"/>
      <c r="C78" s="520"/>
      <c r="D78" s="520"/>
      <c r="E78" s="520"/>
      <c r="F78" s="59"/>
      <c r="G78" s="98"/>
    </row>
    <row r="79" spans="1:7">
      <c r="A79" s="520"/>
      <c r="B79" s="520"/>
      <c r="C79" s="520"/>
      <c r="D79" s="520"/>
      <c r="E79" s="520"/>
      <c r="F79" s="59"/>
      <c r="G79" s="98"/>
    </row>
    <row r="80" spans="1:7">
      <c r="A80" s="520"/>
      <c r="B80" s="520"/>
      <c r="C80" s="520"/>
      <c r="D80" s="520"/>
      <c r="E80" s="520"/>
      <c r="F80" s="59"/>
      <c r="G80" s="98"/>
    </row>
    <row r="81" spans="1:7">
      <c r="A81" s="520"/>
      <c r="B81" s="520"/>
      <c r="C81" s="520"/>
      <c r="D81" s="520"/>
      <c r="E81" s="520"/>
      <c r="F81" s="59"/>
      <c r="G81" s="98"/>
    </row>
    <row r="82" spans="1:7">
      <c r="A82" s="520"/>
      <c r="B82" s="520"/>
      <c r="C82" s="520"/>
      <c r="D82" s="520"/>
      <c r="E82" s="520"/>
      <c r="F82" s="59"/>
      <c r="G82" s="98"/>
    </row>
    <row r="83" spans="1:7">
      <c r="A83" s="520"/>
      <c r="B83" s="520"/>
      <c r="C83" s="520"/>
      <c r="D83" s="520"/>
      <c r="E83" s="520"/>
      <c r="F83" s="59"/>
      <c r="G83" s="98"/>
    </row>
    <row r="84" spans="1:7">
      <c r="A84" s="520"/>
      <c r="B84" s="520"/>
      <c r="C84" s="520"/>
      <c r="D84" s="520"/>
      <c r="E84" s="520"/>
      <c r="F84" s="59"/>
      <c r="G84" s="98"/>
    </row>
    <row r="85" spans="1:7">
      <c r="A85" s="520"/>
      <c r="B85" s="520"/>
      <c r="C85" s="520"/>
      <c r="D85" s="520"/>
      <c r="E85" s="520"/>
      <c r="F85" s="59"/>
      <c r="G85" s="98"/>
    </row>
    <row r="86" spans="1:7">
      <c r="A86" s="520"/>
      <c r="B86" s="520"/>
      <c r="C86" s="520"/>
      <c r="D86" s="520"/>
      <c r="E86" s="520"/>
      <c r="F86" s="59"/>
      <c r="G86" s="98"/>
    </row>
    <row r="87" spans="1:7">
      <c r="A87" s="520"/>
      <c r="B87" s="520"/>
      <c r="C87" s="520"/>
      <c r="D87" s="520"/>
      <c r="E87" s="520"/>
      <c r="F87" s="59"/>
      <c r="G87" s="98"/>
    </row>
    <row r="88" spans="1:7">
      <c r="A88" s="520"/>
      <c r="B88" s="520"/>
      <c r="C88" s="520"/>
      <c r="D88" s="520"/>
      <c r="E88" s="520"/>
      <c r="F88" s="59"/>
      <c r="G88" s="98"/>
    </row>
    <row r="89" spans="1:7">
      <c r="A89" s="520"/>
      <c r="B89" s="520"/>
      <c r="C89" s="520"/>
      <c r="D89" s="520"/>
      <c r="E89" s="520"/>
      <c r="F89" s="59"/>
      <c r="G89" s="98"/>
    </row>
    <row r="90" spans="1:7">
      <c r="A90" s="520"/>
      <c r="B90" s="520"/>
      <c r="C90" s="520"/>
      <c r="D90" s="520"/>
      <c r="E90" s="520"/>
      <c r="F90" s="59"/>
      <c r="G90" s="98"/>
    </row>
    <row r="91" spans="1:7">
      <c r="A91" s="520"/>
      <c r="B91" s="520"/>
      <c r="C91" s="520"/>
      <c r="D91" s="520"/>
      <c r="E91" s="520"/>
      <c r="F91" s="59"/>
      <c r="G91" s="98"/>
    </row>
    <row r="92" spans="1:7">
      <c r="A92" s="520"/>
      <c r="B92" s="520"/>
      <c r="C92" s="520"/>
      <c r="D92" s="520"/>
      <c r="E92" s="520"/>
      <c r="F92" s="59"/>
      <c r="G92" s="98"/>
    </row>
    <row r="93" spans="1:7">
      <c r="A93" s="520"/>
      <c r="B93" s="520"/>
      <c r="C93" s="520"/>
      <c r="D93" s="520"/>
      <c r="E93" s="520"/>
      <c r="F93" s="59"/>
      <c r="G93" s="98"/>
    </row>
    <row r="94" spans="1:7">
      <c r="A94" s="520"/>
      <c r="B94" s="520"/>
      <c r="C94" s="520"/>
      <c r="D94" s="520"/>
      <c r="E94" s="520"/>
      <c r="F94" s="59"/>
      <c r="G94" s="98"/>
    </row>
    <row r="95" spans="1:7">
      <c r="A95" s="520"/>
      <c r="B95" s="520"/>
      <c r="C95" s="520"/>
      <c r="D95" s="520"/>
      <c r="E95" s="520"/>
      <c r="F95" s="59"/>
      <c r="G95" s="98"/>
    </row>
    <row r="96" spans="1:7">
      <c r="A96" s="520"/>
      <c r="B96" s="520"/>
      <c r="C96" s="520"/>
      <c r="D96" s="520"/>
      <c r="E96" s="520"/>
      <c r="F96" s="59"/>
      <c r="G96" s="98"/>
    </row>
    <row r="97" spans="1:7">
      <c r="A97" s="520"/>
      <c r="B97" s="520"/>
      <c r="C97" s="520"/>
      <c r="D97" s="520"/>
      <c r="E97" s="520"/>
      <c r="F97" s="59"/>
      <c r="G97" s="98"/>
    </row>
    <row r="98" spans="1:7">
      <c r="A98" s="520"/>
      <c r="B98" s="520"/>
      <c r="C98" s="520"/>
      <c r="D98" s="520"/>
      <c r="E98" s="520"/>
      <c r="F98" s="59"/>
      <c r="G98" s="98"/>
    </row>
    <row r="99" spans="1:7">
      <c r="A99" s="520"/>
      <c r="B99" s="520"/>
      <c r="C99" s="520"/>
      <c r="D99" s="520"/>
      <c r="E99" s="520"/>
      <c r="F99" s="59"/>
      <c r="G99" s="98"/>
    </row>
    <row r="100" spans="1:7">
      <c r="A100" s="520"/>
      <c r="B100" s="520"/>
      <c r="C100" s="520"/>
      <c r="D100" s="520"/>
      <c r="E100" s="520"/>
      <c r="F100" s="59"/>
      <c r="G100" s="98"/>
    </row>
    <row r="101" spans="1:7">
      <c r="A101" s="520"/>
      <c r="B101" s="520"/>
      <c r="C101" s="520"/>
      <c r="D101" s="520"/>
      <c r="E101" s="520"/>
      <c r="F101" s="59"/>
      <c r="G101" s="98"/>
    </row>
    <row r="102" spans="1:7">
      <c r="A102" s="520"/>
      <c r="B102" s="520"/>
      <c r="C102" s="520"/>
      <c r="D102" s="520"/>
      <c r="E102" s="520"/>
      <c r="F102" s="59"/>
      <c r="G102" s="98"/>
    </row>
    <row r="103" spans="1:7">
      <c r="A103" s="520"/>
      <c r="B103" s="520"/>
      <c r="C103" s="520"/>
      <c r="D103" s="520"/>
      <c r="E103" s="520"/>
      <c r="F103" s="59"/>
      <c r="G103" s="98"/>
    </row>
    <row r="104" spans="1:7">
      <c r="A104" s="520"/>
      <c r="B104" s="520"/>
      <c r="C104" s="520"/>
      <c r="D104" s="520"/>
      <c r="E104" s="520"/>
      <c r="F104" s="59"/>
      <c r="G104" s="98"/>
    </row>
    <row r="105" spans="1:7">
      <c r="A105" s="520"/>
      <c r="B105" s="520"/>
      <c r="C105" s="520"/>
      <c r="D105" s="520"/>
      <c r="E105" s="520"/>
      <c r="F105" s="59"/>
      <c r="G105" s="98"/>
    </row>
  </sheetData>
  <pageMargins left="0.25" right="0.25" top="0.75" bottom="0.75" header="0.3" footer="0.3"/>
  <pageSetup orientation="landscape" horizontalDpi="4294967293"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7"/>
  </sheetPr>
  <dimension ref="A1:I968"/>
  <sheetViews>
    <sheetView workbookViewId="0">
      <selection activeCell="K30" sqref="K30"/>
    </sheetView>
  </sheetViews>
  <sheetFormatPr defaultColWidth="9.140625" defaultRowHeight="15"/>
  <cols>
    <col min="1" max="1" width="14" style="65" customWidth="1"/>
    <col min="2" max="2" width="16" style="113" customWidth="1"/>
    <col min="3" max="3" width="14.5703125" style="65" customWidth="1"/>
    <col min="4" max="4" width="15.140625" style="65" customWidth="1"/>
    <col min="5" max="5" width="16.28515625" style="65" customWidth="1"/>
    <col min="6" max="6" width="18.85546875" style="13" customWidth="1"/>
    <col min="7" max="7" width="18.42578125" style="54" customWidth="1"/>
    <col min="8" max="8" width="18.5703125" style="107" customWidth="1"/>
    <col min="9" max="9" width="10.140625" style="65" customWidth="1"/>
    <col min="10" max="16384" width="9.140625" style="65"/>
  </cols>
  <sheetData>
    <row r="1" spans="1:9">
      <c r="A1" s="111" t="s">
        <v>4585</v>
      </c>
      <c r="B1" s="112" t="s">
        <v>3806</v>
      </c>
      <c r="C1" s="111" t="s">
        <v>3814</v>
      </c>
      <c r="D1" s="111" t="s">
        <v>3817</v>
      </c>
      <c r="E1" s="111" t="s">
        <v>3820</v>
      </c>
      <c r="F1" s="111" t="s">
        <v>3815</v>
      </c>
      <c r="G1" s="111" t="s">
        <v>3822</v>
      </c>
      <c r="H1" s="106" t="s">
        <v>4586</v>
      </c>
    </row>
    <row r="2" spans="1:9">
      <c r="A2" s="65" t="s">
        <v>4587</v>
      </c>
      <c r="B2" s="23">
        <v>189883405</v>
      </c>
      <c r="C2" s="65" t="s">
        <v>3883</v>
      </c>
      <c r="D2" s="42">
        <v>42376</v>
      </c>
      <c r="E2" s="65" t="s">
        <v>1287</v>
      </c>
      <c r="F2" s="42">
        <v>42377</v>
      </c>
      <c r="G2" s="42">
        <v>42384</v>
      </c>
      <c r="H2" s="114">
        <v>26.299999999999994</v>
      </c>
      <c r="I2" s="23"/>
    </row>
    <row r="3" spans="1:9">
      <c r="A3" s="65" t="s">
        <v>4588</v>
      </c>
      <c r="B3" s="23">
        <v>190223607</v>
      </c>
      <c r="C3" s="65" t="s">
        <v>3883</v>
      </c>
      <c r="D3" s="42">
        <v>42389</v>
      </c>
      <c r="E3" s="65" t="s">
        <v>1287</v>
      </c>
      <c r="F3" s="42">
        <v>42391</v>
      </c>
      <c r="G3" s="42">
        <v>42398</v>
      </c>
      <c r="H3" s="114">
        <v>20</v>
      </c>
      <c r="I3" s="23"/>
    </row>
    <row r="4" spans="1:9">
      <c r="A4" s="65" t="s">
        <v>4589</v>
      </c>
      <c r="B4" s="23">
        <v>189633109</v>
      </c>
      <c r="C4" s="65" t="s">
        <v>3883</v>
      </c>
      <c r="D4" s="42">
        <v>42373</v>
      </c>
      <c r="E4" s="65" t="s">
        <v>1287</v>
      </c>
      <c r="F4" s="42">
        <v>42377</v>
      </c>
      <c r="G4" s="42">
        <v>42384</v>
      </c>
      <c r="H4" s="114">
        <v>32.5</v>
      </c>
      <c r="I4" s="23"/>
    </row>
    <row r="5" spans="1:9">
      <c r="A5" s="65" t="s">
        <v>4590</v>
      </c>
      <c r="B5" s="23">
        <v>190782054</v>
      </c>
      <c r="C5" s="65" t="s">
        <v>3836</v>
      </c>
      <c r="D5" s="42">
        <v>42389</v>
      </c>
      <c r="E5" s="65" t="s">
        <v>1287</v>
      </c>
      <c r="F5" s="42">
        <v>42391</v>
      </c>
      <c r="G5" s="42">
        <v>42398</v>
      </c>
      <c r="H5" s="114">
        <v>30</v>
      </c>
      <c r="I5" s="23"/>
    </row>
    <row r="6" spans="1:9">
      <c r="A6" s="65" t="s">
        <v>4591</v>
      </c>
      <c r="B6" s="23">
        <v>190629371</v>
      </c>
      <c r="C6" s="65" t="s">
        <v>3883</v>
      </c>
      <c r="D6" s="42">
        <v>42383</v>
      </c>
      <c r="E6" s="65" t="s">
        <v>1287</v>
      </c>
      <c r="F6" s="42">
        <v>42384</v>
      </c>
      <c r="G6" s="42">
        <v>42391</v>
      </c>
      <c r="H6" s="114">
        <v>24.000000000000021</v>
      </c>
      <c r="I6" s="23"/>
    </row>
    <row r="7" spans="1:9">
      <c r="A7" s="65" t="s">
        <v>4592</v>
      </c>
      <c r="B7" s="65">
        <v>189636676</v>
      </c>
      <c r="C7" s="65" t="s">
        <v>3883</v>
      </c>
      <c r="D7" s="42">
        <v>42374</v>
      </c>
      <c r="E7" s="65" t="s">
        <v>1287</v>
      </c>
      <c r="F7" s="42">
        <v>42377</v>
      </c>
      <c r="G7" s="42">
        <v>42384</v>
      </c>
      <c r="H7" s="114">
        <v>25</v>
      </c>
      <c r="I7" s="23"/>
    </row>
    <row r="8" spans="1:9">
      <c r="A8" s="65" t="s">
        <v>4593</v>
      </c>
      <c r="B8" s="65">
        <v>190241991</v>
      </c>
      <c r="C8" s="65" t="s">
        <v>3883</v>
      </c>
      <c r="D8" s="42">
        <v>42380</v>
      </c>
      <c r="E8" s="65" t="s">
        <v>1287</v>
      </c>
      <c r="F8" s="42">
        <v>42384</v>
      </c>
      <c r="G8" s="42">
        <v>42391</v>
      </c>
      <c r="H8" s="114">
        <v>26.25</v>
      </c>
      <c r="I8" s="23"/>
    </row>
    <row r="9" spans="1:9">
      <c r="A9" s="65" t="s">
        <v>4594</v>
      </c>
      <c r="B9" s="65">
        <v>190016515</v>
      </c>
      <c r="C9" s="65" t="s">
        <v>3883</v>
      </c>
      <c r="D9" s="42">
        <v>42381</v>
      </c>
      <c r="E9" s="65" t="s">
        <v>1287</v>
      </c>
      <c r="F9" s="42">
        <v>42384</v>
      </c>
      <c r="G9" s="42">
        <v>42391</v>
      </c>
      <c r="H9" s="114">
        <v>39.249999999999929</v>
      </c>
      <c r="I9" s="23"/>
    </row>
    <row r="10" spans="1:9">
      <c r="A10" s="65" t="s">
        <v>4595</v>
      </c>
      <c r="B10" s="65">
        <v>190527533</v>
      </c>
      <c r="C10" s="65" t="s">
        <v>3883</v>
      </c>
      <c r="D10" s="42">
        <v>42382</v>
      </c>
      <c r="E10" s="65" t="s">
        <v>1287</v>
      </c>
      <c r="F10" s="42">
        <v>42384</v>
      </c>
      <c r="G10" s="42">
        <v>42391</v>
      </c>
      <c r="H10" s="114">
        <v>25</v>
      </c>
      <c r="I10" s="23"/>
    </row>
    <row r="11" spans="1:9">
      <c r="A11" s="65" t="s">
        <v>4596</v>
      </c>
      <c r="B11" s="65">
        <v>6510156</v>
      </c>
      <c r="C11" s="65" t="s">
        <v>3836</v>
      </c>
      <c r="D11" s="42">
        <v>42387</v>
      </c>
      <c r="E11" s="65" t="s">
        <v>1287</v>
      </c>
      <c r="F11" s="42">
        <v>42391</v>
      </c>
      <c r="G11" s="42">
        <v>42398</v>
      </c>
      <c r="H11" s="114">
        <v>17</v>
      </c>
      <c r="I11" s="23"/>
    </row>
    <row r="12" spans="1:9">
      <c r="A12" s="65" t="s">
        <v>4597</v>
      </c>
      <c r="B12" s="65">
        <v>190869437</v>
      </c>
      <c r="C12" s="65" t="s">
        <v>3883</v>
      </c>
      <c r="D12" s="42">
        <v>42387</v>
      </c>
      <c r="E12" s="65" t="s">
        <v>1287</v>
      </c>
      <c r="F12" s="42">
        <v>42391</v>
      </c>
      <c r="G12" s="42">
        <v>42398</v>
      </c>
      <c r="H12" s="114">
        <v>65</v>
      </c>
      <c r="I12" s="23"/>
    </row>
    <row r="13" spans="1:9">
      <c r="A13" s="65" t="s">
        <v>4598</v>
      </c>
      <c r="B13" s="65">
        <v>190660297</v>
      </c>
      <c r="C13" s="65" t="s">
        <v>3836</v>
      </c>
      <c r="D13" s="42">
        <v>42388</v>
      </c>
      <c r="E13" s="65" t="s">
        <v>1287</v>
      </c>
      <c r="F13" s="42">
        <v>42391</v>
      </c>
      <c r="G13" s="42">
        <v>42398</v>
      </c>
      <c r="H13" s="114">
        <v>35</v>
      </c>
      <c r="I13" s="23"/>
    </row>
    <row r="14" spans="1:9">
      <c r="A14" s="65" t="s">
        <v>4599</v>
      </c>
      <c r="B14" s="65">
        <v>194752488</v>
      </c>
      <c r="C14" s="65" t="s">
        <v>3831</v>
      </c>
      <c r="D14" s="42">
        <v>42431</v>
      </c>
      <c r="E14" s="65" t="s">
        <v>1287</v>
      </c>
      <c r="F14" s="42">
        <v>42433</v>
      </c>
      <c r="G14" s="42">
        <v>42440</v>
      </c>
      <c r="H14" s="114">
        <v>26.25</v>
      </c>
      <c r="I14" s="23"/>
    </row>
    <row r="15" spans="1:9">
      <c r="A15" s="65" t="s">
        <v>4600</v>
      </c>
      <c r="B15" s="65">
        <v>194773380</v>
      </c>
      <c r="C15" s="65" t="s">
        <v>3831</v>
      </c>
      <c r="D15" s="42">
        <v>42433</v>
      </c>
      <c r="E15" s="65" t="s">
        <v>1287</v>
      </c>
      <c r="F15" s="42">
        <v>42433</v>
      </c>
      <c r="G15" s="42">
        <v>42440</v>
      </c>
      <c r="H15" s="114">
        <v>20</v>
      </c>
      <c r="I15" s="23"/>
    </row>
    <row r="16" spans="1:9">
      <c r="A16" s="65" t="s">
        <v>4601</v>
      </c>
      <c r="B16" s="65">
        <v>48302</v>
      </c>
      <c r="C16" s="65" t="s">
        <v>3831</v>
      </c>
      <c r="D16" s="42">
        <v>42436</v>
      </c>
      <c r="E16" s="65" t="s">
        <v>1287</v>
      </c>
      <c r="F16" s="42">
        <v>42440</v>
      </c>
      <c r="G16" s="42">
        <v>42447</v>
      </c>
      <c r="H16" s="114">
        <v>32</v>
      </c>
      <c r="I16" s="23"/>
    </row>
    <row r="17" spans="1:9">
      <c r="A17" s="65" t="s">
        <v>4602</v>
      </c>
      <c r="B17" s="65">
        <v>7467933</v>
      </c>
      <c r="C17" s="65" t="s">
        <v>3831</v>
      </c>
      <c r="D17" s="42">
        <v>42438</v>
      </c>
      <c r="E17" s="65" t="s">
        <v>1287</v>
      </c>
      <c r="F17" s="42">
        <v>42440</v>
      </c>
      <c r="G17" s="42">
        <v>42447</v>
      </c>
      <c r="H17" s="114">
        <v>21</v>
      </c>
      <c r="I17" s="23"/>
    </row>
    <row r="18" spans="1:9">
      <c r="A18" s="65" t="s">
        <v>4603</v>
      </c>
      <c r="B18" s="65">
        <v>6707023</v>
      </c>
      <c r="C18" s="65" t="s">
        <v>3831</v>
      </c>
      <c r="D18" s="42">
        <v>42439</v>
      </c>
      <c r="E18" s="65" t="s">
        <v>1287</v>
      </c>
      <c r="F18" s="42">
        <v>42440</v>
      </c>
      <c r="G18" s="42">
        <v>42447</v>
      </c>
      <c r="H18" s="114">
        <v>20</v>
      </c>
      <c r="I18" s="23"/>
    </row>
    <row r="19" spans="1:9">
      <c r="A19" s="65" t="s">
        <v>4604</v>
      </c>
      <c r="B19" s="65">
        <v>48370</v>
      </c>
      <c r="C19" s="65" t="s">
        <v>3831</v>
      </c>
      <c r="D19" s="42">
        <v>42437</v>
      </c>
      <c r="E19" s="65" t="s">
        <v>1287</v>
      </c>
      <c r="F19" s="42">
        <v>42440</v>
      </c>
      <c r="G19" s="42">
        <v>42447</v>
      </c>
      <c r="H19" s="114">
        <v>20</v>
      </c>
    </row>
    <row r="20" spans="1:9">
      <c r="A20" s="65" t="s">
        <v>4605</v>
      </c>
      <c r="B20" s="65">
        <v>8472517</v>
      </c>
      <c r="C20" s="65" t="s">
        <v>3905</v>
      </c>
      <c r="D20" s="42">
        <v>42432</v>
      </c>
      <c r="E20" s="65" t="s">
        <v>1287</v>
      </c>
      <c r="F20" s="42">
        <v>42433</v>
      </c>
      <c r="G20" s="42">
        <v>42440</v>
      </c>
      <c r="H20" s="114">
        <v>27</v>
      </c>
    </row>
    <row r="21" spans="1:9">
      <c r="A21" s="65" t="s">
        <v>4606</v>
      </c>
      <c r="B21" s="65">
        <v>2397969</v>
      </c>
      <c r="C21" s="65" t="s">
        <v>3905</v>
      </c>
      <c r="D21" s="42">
        <v>42436</v>
      </c>
      <c r="E21" s="65" t="s">
        <v>1287</v>
      </c>
      <c r="F21" s="42">
        <v>42440</v>
      </c>
      <c r="G21" s="42">
        <v>42447</v>
      </c>
      <c r="H21" s="114">
        <v>30</v>
      </c>
    </row>
    <row r="22" spans="1:9">
      <c r="A22" s="65" t="s">
        <v>4607</v>
      </c>
      <c r="B22" s="65">
        <v>6693511</v>
      </c>
      <c r="C22" s="65" t="s">
        <v>3905</v>
      </c>
      <c r="D22" s="42">
        <v>42437</v>
      </c>
      <c r="E22" s="65" t="s">
        <v>1287</v>
      </c>
      <c r="F22" s="42">
        <v>42440</v>
      </c>
      <c r="G22" s="42">
        <v>42447</v>
      </c>
      <c r="H22" s="114">
        <v>40</v>
      </c>
    </row>
    <row r="23" spans="1:9">
      <c r="A23" s="65" t="s">
        <v>4608</v>
      </c>
      <c r="B23" s="65">
        <v>129934</v>
      </c>
      <c r="C23" s="65" t="s">
        <v>3905</v>
      </c>
      <c r="D23" s="42">
        <v>42438</v>
      </c>
      <c r="E23" s="65" t="s">
        <v>1287</v>
      </c>
      <c r="F23" s="42">
        <v>42440</v>
      </c>
      <c r="G23" s="42">
        <v>42447</v>
      </c>
      <c r="H23" s="114">
        <v>28</v>
      </c>
    </row>
    <row r="24" spans="1:9">
      <c r="A24" s="65" t="s">
        <v>4609</v>
      </c>
      <c r="B24" s="65" t="s">
        <v>2393</v>
      </c>
      <c r="C24" s="65" t="s">
        <v>3831</v>
      </c>
      <c r="D24" s="42">
        <v>42443</v>
      </c>
      <c r="E24" s="65" t="s">
        <v>1287</v>
      </c>
      <c r="F24" s="42">
        <v>42447</v>
      </c>
      <c r="G24" s="42">
        <v>42454</v>
      </c>
      <c r="H24" s="114">
        <v>42</v>
      </c>
    </row>
    <row r="25" spans="1:9">
      <c r="A25" s="65" t="s">
        <v>4610</v>
      </c>
      <c r="B25" s="65">
        <v>195699993</v>
      </c>
      <c r="C25" s="65" t="s">
        <v>3831</v>
      </c>
      <c r="D25" s="42">
        <v>42444</v>
      </c>
      <c r="E25" s="65" t="s">
        <v>1287</v>
      </c>
      <c r="F25" s="42">
        <v>42447</v>
      </c>
      <c r="G25" s="42">
        <v>42454</v>
      </c>
      <c r="H25" s="114">
        <v>25</v>
      </c>
    </row>
    <row r="26" spans="1:9">
      <c r="A26" s="65" t="s">
        <v>4611</v>
      </c>
      <c r="B26" s="65">
        <v>6696620</v>
      </c>
      <c r="C26" s="65" t="s">
        <v>3831</v>
      </c>
      <c r="D26" s="42">
        <v>42447</v>
      </c>
      <c r="E26" s="65" t="s">
        <v>1287</v>
      </c>
      <c r="F26" s="42">
        <v>42447</v>
      </c>
      <c r="G26" s="42">
        <v>42454</v>
      </c>
      <c r="H26" s="114">
        <v>43</v>
      </c>
    </row>
    <row r="27" spans="1:9">
      <c r="A27" s="65" t="s">
        <v>4612</v>
      </c>
      <c r="B27" s="65">
        <v>195960452</v>
      </c>
      <c r="C27" s="65" t="s">
        <v>3836</v>
      </c>
      <c r="D27" s="42">
        <v>42447</v>
      </c>
      <c r="E27" s="65" t="s">
        <v>1287</v>
      </c>
      <c r="F27" s="42">
        <v>42447</v>
      </c>
      <c r="G27" s="42">
        <v>42454</v>
      </c>
      <c r="H27" s="114">
        <v>25</v>
      </c>
    </row>
    <row r="28" spans="1:9">
      <c r="A28" s="65" t="s">
        <v>4613</v>
      </c>
      <c r="B28" s="65">
        <v>584539</v>
      </c>
      <c r="C28" s="65" t="s">
        <v>3831</v>
      </c>
      <c r="D28" s="42">
        <v>42450</v>
      </c>
      <c r="E28" s="65" t="s">
        <v>1287</v>
      </c>
      <c r="F28" s="42">
        <v>42454</v>
      </c>
      <c r="G28" s="42">
        <v>42461</v>
      </c>
      <c r="H28" s="114">
        <v>21</v>
      </c>
    </row>
    <row r="29" spans="1:9">
      <c r="A29" s="65" t="s">
        <v>4614</v>
      </c>
      <c r="B29" s="65">
        <v>14108475</v>
      </c>
      <c r="C29" s="65" t="s">
        <v>3836</v>
      </c>
      <c r="D29" s="42">
        <v>42451</v>
      </c>
      <c r="E29" s="65" t="s">
        <v>1287</v>
      </c>
      <c r="F29" s="42">
        <v>42454</v>
      </c>
      <c r="G29" s="42">
        <v>42461</v>
      </c>
      <c r="H29" s="114">
        <v>45</v>
      </c>
    </row>
    <row r="30" spans="1:9">
      <c r="A30" s="65" t="s">
        <v>4615</v>
      </c>
      <c r="B30" s="65">
        <v>1714997</v>
      </c>
      <c r="C30" s="65" t="s">
        <v>3831</v>
      </c>
      <c r="D30" s="42">
        <v>42452</v>
      </c>
      <c r="E30" s="65" t="s">
        <v>1287</v>
      </c>
      <c r="F30" s="42">
        <v>42454</v>
      </c>
      <c r="G30" s="42">
        <v>42461</v>
      </c>
      <c r="H30" s="114">
        <v>38.5</v>
      </c>
    </row>
    <row r="31" spans="1:9">
      <c r="A31" s="65" t="s">
        <v>4616</v>
      </c>
      <c r="B31" s="65">
        <v>7523393</v>
      </c>
      <c r="C31" s="65" t="s">
        <v>3836</v>
      </c>
      <c r="D31" s="42">
        <v>42453</v>
      </c>
      <c r="E31" s="65" t="s">
        <v>1287</v>
      </c>
      <c r="F31" s="42">
        <v>42454</v>
      </c>
      <c r="G31" s="42">
        <v>42461</v>
      </c>
      <c r="H31" s="114">
        <v>37.5</v>
      </c>
    </row>
    <row r="32" spans="1:9">
      <c r="A32" s="65" t="s">
        <v>4617</v>
      </c>
      <c r="B32" s="65">
        <v>196617262</v>
      </c>
      <c r="C32" s="65" t="s">
        <v>3831</v>
      </c>
      <c r="D32" s="42">
        <v>42453</v>
      </c>
      <c r="E32" s="65" t="s">
        <v>1287</v>
      </c>
      <c r="F32" s="42">
        <v>42454</v>
      </c>
      <c r="G32" s="42">
        <v>42461</v>
      </c>
      <c r="H32" s="114">
        <v>31.500000000000021</v>
      </c>
    </row>
    <row r="33" spans="1:8">
      <c r="A33" s="65" t="s">
        <v>4618</v>
      </c>
      <c r="B33" s="65">
        <v>133718</v>
      </c>
      <c r="C33" s="65" t="s">
        <v>3836</v>
      </c>
      <c r="D33" s="42">
        <v>42452</v>
      </c>
      <c r="E33" s="65" t="s">
        <v>1287</v>
      </c>
      <c r="F33" s="42">
        <v>42454</v>
      </c>
      <c r="G33" s="42">
        <v>42461</v>
      </c>
      <c r="H33" s="114">
        <v>24.524999999999977</v>
      </c>
    </row>
    <row r="34" spans="1:8">
      <c r="A34" s="65" t="s">
        <v>4619</v>
      </c>
      <c r="B34" s="65">
        <v>10796543</v>
      </c>
      <c r="C34" s="65" t="s">
        <v>3831</v>
      </c>
      <c r="D34" s="42">
        <v>42457</v>
      </c>
      <c r="E34" s="65" t="s">
        <v>1287</v>
      </c>
      <c r="F34" s="42">
        <v>42461</v>
      </c>
      <c r="G34" s="42">
        <v>42468</v>
      </c>
      <c r="H34" s="114">
        <v>17.099999999999977</v>
      </c>
    </row>
    <row r="35" spans="1:8">
      <c r="A35" s="65" t="s">
        <v>4620</v>
      </c>
      <c r="B35" s="65">
        <v>104249</v>
      </c>
      <c r="C35" s="65" t="s">
        <v>3836</v>
      </c>
      <c r="D35" s="42">
        <v>42458</v>
      </c>
      <c r="E35" s="65" t="s">
        <v>1287</v>
      </c>
      <c r="F35" s="42">
        <v>42461</v>
      </c>
      <c r="G35" s="42">
        <v>42468</v>
      </c>
      <c r="H35" s="114">
        <v>42</v>
      </c>
    </row>
    <row r="36" spans="1:8">
      <c r="A36" s="65" t="s">
        <v>4621</v>
      </c>
      <c r="B36" s="65">
        <v>2415536</v>
      </c>
      <c r="C36" s="65" t="s">
        <v>3831</v>
      </c>
      <c r="D36" s="42">
        <v>42458</v>
      </c>
      <c r="E36" s="65" t="s">
        <v>1287</v>
      </c>
      <c r="F36" s="42">
        <v>42461</v>
      </c>
      <c r="G36" s="42">
        <v>42468</v>
      </c>
      <c r="H36" s="114">
        <v>30</v>
      </c>
    </row>
    <row r="37" spans="1:8">
      <c r="A37" s="65" t="s">
        <v>4622</v>
      </c>
      <c r="B37" s="65">
        <v>52692</v>
      </c>
      <c r="C37" s="65" t="s">
        <v>3831</v>
      </c>
      <c r="D37" s="42">
        <v>42459</v>
      </c>
      <c r="E37" s="65" t="s">
        <v>1287</v>
      </c>
      <c r="F37" s="42">
        <v>42461</v>
      </c>
      <c r="G37" s="42">
        <v>42468</v>
      </c>
      <c r="H37" s="114">
        <v>42</v>
      </c>
    </row>
    <row r="38" spans="1:8">
      <c r="A38" s="65" t="s">
        <v>4623</v>
      </c>
      <c r="B38" s="65">
        <v>2174783</v>
      </c>
      <c r="C38" s="65" t="s">
        <v>3836</v>
      </c>
      <c r="D38" s="42">
        <v>42459</v>
      </c>
      <c r="E38" s="65" t="s">
        <v>1287</v>
      </c>
      <c r="F38" s="42">
        <v>42461</v>
      </c>
      <c r="G38" s="42">
        <v>42468</v>
      </c>
      <c r="H38" s="114">
        <v>59.42999999999995</v>
      </c>
    </row>
    <row r="39" spans="1:8">
      <c r="A39" s="65" t="s">
        <v>4624</v>
      </c>
      <c r="B39" s="65">
        <v>6785645</v>
      </c>
      <c r="C39" s="65" t="s">
        <v>3831</v>
      </c>
      <c r="D39" s="42">
        <v>42460</v>
      </c>
      <c r="E39" s="65" t="s">
        <v>1287</v>
      </c>
      <c r="F39" s="42">
        <v>42461</v>
      </c>
      <c r="G39" s="42">
        <v>42468</v>
      </c>
      <c r="H39" s="114">
        <v>33</v>
      </c>
    </row>
    <row r="40" spans="1:8">
      <c r="A40" s="65" t="s">
        <v>4625</v>
      </c>
      <c r="B40" s="65">
        <v>2176371</v>
      </c>
      <c r="C40" s="65" t="s">
        <v>3831</v>
      </c>
      <c r="D40" s="42">
        <v>42460</v>
      </c>
      <c r="E40" s="65" t="s">
        <v>1287</v>
      </c>
      <c r="F40" s="42">
        <v>42461</v>
      </c>
      <c r="G40" s="42">
        <v>42468</v>
      </c>
      <c r="H40" s="114">
        <v>59.42999999999995</v>
      </c>
    </row>
    <row r="41" spans="1:8">
      <c r="A41" s="65" t="s">
        <v>4626</v>
      </c>
      <c r="B41" s="65">
        <v>196652404</v>
      </c>
      <c r="C41" s="65" t="s">
        <v>3836</v>
      </c>
      <c r="D41" s="42">
        <v>42461</v>
      </c>
      <c r="E41" s="65" t="s">
        <v>1287</v>
      </c>
      <c r="F41" s="42">
        <v>42461</v>
      </c>
      <c r="G41" s="42">
        <v>42468</v>
      </c>
      <c r="H41" s="114">
        <v>22</v>
      </c>
    </row>
    <row r="42" spans="1:8">
      <c r="A42" s="65" t="s">
        <v>4627</v>
      </c>
      <c r="B42" s="65">
        <v>136783</v>
      </c>
      <c r="C42" s="65" t="s">
        <v>3831</v>
      </c>
      <c r="D42" s="42">
        <v>42465</v>
      </c>
      <c r="E42" s="65" t="s">
        <v>1287</v>
      </c>
      <c r="F42" s="42">
        <v>42468</v>
      </c>
      <c r="G42" s="42">
        <v>42475</v>
      </c>
      <c r="H42" s="114">
        <v>36</v>
      </c>
    </row>
    <row r="43" spans="1:8">
      <c r="A43" s="65" t="s">
        <v>4628</v>
      </c>
      <c r="B43" s="65">
        <v>8493569</v>
      </c>
      <c r="C43" s="65" t="s">
        <v>3836</v>
      </c>
      <c r="D43" s="42">
        <v>42466</v>
      </c>
      <c r="E43" s="65" t="s">
        <v>1287</v>
      </c>
      <c r="F43" s="42">
        <v>42468</v>
      </c>
      <c r="G43" s="42">
        <v>42475</v>
      </c>
      <c r="H43" s="114">
        <v>27</v>
      </c>
    </row>
    <row r="44" spans="1:8">
      <c r="A44" s="65" t="s">
        <v>4629</v>
      </c>
      <c r="B44" s="65">
        <v>2176383</v>
      </c>
      <c r="C44" s="65" t="s">
        <v>3831</v>
      </c>
      <c r="D44" s="42">
        <v>42466</v>
      </c>
      <c r="E44" s="65" t="s">
        <v>1287</v>
      </c>
      <c r="F44" s="42">
        <v>42468</v>
      </c>
      <c r="G44" s="42">
        <v>42475</v>
      </c>
      <c r="H44" s="114">
        <v>52.5</v>
      </c>
    </row>
    <row r="45" spans="1:8">
      <c r="A45" s="65" t="s">
        <v>4630</v>
      </c>
      <c r="B45" s="65">
        <v>184251</v>
      </c>
      <c r="C45" s="65" t="s">
        <v>3839</v>
      </c>
      <c r="D45" s="42">
        <v>42464</v>
      </c>
      <c r="E45" s="65" t="s">
        <v>1287</v>
      </c>
      <c r="F45" s="42">
        <v>42468</v>
      </c>
      <c r="G45" s="42">
        <v>42475</v>
      </c>
      <c r="H45" s="114">
        <v>42</v>
      </c>
    </row>
    <row r="46" spans="1:8">
      <c r="A46" s="65" t="s">
        <v>4631</v>
      </c>
      <c r="B46" s="65">
        <v>136077</v>
      </c>
      <c r="C46" s="65" t="s">
        <v>3831</v>
      </c>
      <c r="D46" s="42">
        <v>42464</v>
      </c>
      <c r="E46" s="65" t="s">
        <v>1287</v>
      </c>
      <c r="F46" s="42">
        <v>42468</v>
      </c>
      <c r="G46" s="42">
        <v>42475</v>
      </c>
      <c r="H46" s="114">
        <v>31.5</v>
      </c>
    </row>
    <row r="47" spans="1:8">
      <c r="A47" s="65" t="s">
        <v>4632</v>
      </c>
      <c r="B47" s="65">
        <v>1939302</v>
      </c>
      <c r="C47" s="65" t="s">
        <v>3839</v>
      </c>
      <c r="D47" s="42">
        <v>42466</v>
      </c>
      <c r="E47" s="65" t="s">
        <v>1287</v>
      </c>
      <c r="F47" s="42">
        <v>42468</v>
      </c>
      <c r="G47" s="42">
        <v>42475</v>
      </c>
      <c r="H47" s="114">
        <v>40</v>
      </c>
    </row>
    <row r="48" spans="1:8">
      <c r="A48" s="65" t="s">
        <v>4633</v>
      </c>
      <c r="B48" s="65">
        <v>6097031</v>
      </c>
      <c r="C48" s="65" t="s">
        <v>3839</v>
      </c>
      <c r="D48" s="42">
        <v>42467</v>
      </c>
      <c r="E48" s="65" t="s">
        <v>1287</v>
      </c>
      <c r="F48" s="42">
        <v>42468</v>
      </c>
      <c r="G48" s="42">
        <v>42475</v>
      </c>
      <c r="H48" s="114">
        <v>49</v>
      </c>
    </row>
    <row r="49" spans="1:8">
      <c r="A49" s="65" t="s">
        <v>4634</v>
      </c>
      <c r="B49" s="65">
        <v>197738044</v>
      </c>
      <c r="C49" s="65" t="s">
        <v>3831</v>
      </c>
      <c r="D49" s="42">
        <v>42468</v>
      </c>
      <c r="E49" s="65" t="s">
        <v>1287</v>
      </c>
      <c r="F49" s="42">
        <v>42468</v>
      </c>
      <c r="G49" s="42">
        <v>42475</v>
      </c>
      <c r="H49" s="114">
        <v>25</v>
      </c>
    </row>
    <row r="50" spans="1:8">
      <c r="A50" s="65" t="s">
        <v>4635</v>
      </c>
      <c r="B50" s="65">
        <v>72380</v>
      </c>
      <c r="C50" s="65" t="s">
        <v>3831</v>
      </c>
      <c r="D50" s="42">
        <v>42471</v>
      </c>
      <c r="E50" s="65" t="s">
        <v>1287</v>
      </c>
      <c r="F50" s="42">
        <v>42475</v>
      </c>
      <c r="G50" s="42">
        <v>42482</v>
      </c>
      <c r="H50" s="114">
        <v>18.75</v>
      </c>
    </row>
    <row r="51" spans="1:8">
      <c r="A51" s="65" t="s">
        <v>4636</v>
      </c>
      <c r="B51" s="65">
        <v>6817405</v>
      </c>
      <c r="C51" s="65" t="s">
        <v>3839</v>
      </c>
      <c r="D51" s="42">
        <v>42471</v>
      </c>
      <c r="E51" s="65" t="s">
        <v>1287</v>
      </c>
      <c r="F51" s="42">
        <v>42475</v>
      </c>
      <c r="G51" s="42">
        <v>42482</v>
      </c>
      <c r="H51" s="114">
        <v>12</v>
      </c>
    </row>
    <row r="52" spans="1:8">
      <c r="A52" s="65" t="s">
        <v>4637</v>
      </c>
      <c r="B52" s="65">
        <v>1939545</v>
      </c>
      <c r="C52" s="65" t="s">
        <v>3839</v>
      </c>
      <c r="D52" s="42">
        <v>42472</v>
      </c>
      <c r="E52" s="65" t="s">
        <v>1287</v>
      </c>
      <c r="F52" s="42">
        <v>42475</v>
      </c>
      <c r="G52" s="42">
        <v>42482</v>
      </c>
      <c r="H52" s="114">
        <v>24</v>
      </c>
    </row>
    <row r="53" spans="1:8">
      <c r="A53" s="65" t="s">
        <v>4638</v>
      </c>
      <c r="B53" s="65">
        <v>197701189</v>
      </c>
      <c r="C53" s="65" t="s">
        <v>3836</v>
      </c>
      <c r="D53" s="42">
        <v>42472</v>
      </c>
      <c r="E53" s="65" t="s">
        <v>1287</v>
      </c>
      <c r="F53" s="42">
        <v>42475</v>
      </c>
      <c r="G53" s="42">
        <v>42482</v>
      </c>
      <c r="H53" s="114">
        <v>5.3</v>
      </c>
    </row>
    <row r="54" spans="1:8">
      <c r="A54" s="65" t="s">
        <v>4639</v>
      </c>
      <c r="B54" s="65">
        <v>1947998</v>
      </c>
      <c r="C54" s="65" t="s">
        <v>3831</v>
      </c>
      <c r="D54" s="42">
        <v>42473</v>
      </c>
      <c r="E54" s="65" t="s">
        <v>1287</v>
      </c>
      <c r="F54" s="42">
        <v>42475</v>
      </c>
      <c r="G54" s="42">
        <v>42482</v>
      </c>
      <c r="H54" s="114">
        <v>24</v>
      </c>
    </row>
    <row r="55" spans="1:8">
      <c r="A55" s="65" t="s">
        <v>4640</v>
      </c>
      <c r="B55" s="65">
        <v>54867</v>
      </c>
      <c r="C55" s="65" t="s">
        <v>3839</v>
      </c>
      <c r="D55" s="42">
        <v>42473</v>
      </c>
      <c r="E55" s="65" t="s">
        <v>1287</v>
      </c>
      <c r="F55" s="42">
        <v>42475</v>
      </c>
      <c r="G55" s="42">
        <v>42482</v>
      </c>
      <c r="H55" s="114">
        <v>18</v>
      </c>
    </row>
    <row r="56" spans="1:8">
      <c r="A56" s="65" t="s">
        <v>4641</v>
      </c>
      <c r="B56" s="65">
        <v>2422057</v>
      </c>
      <c r="C56" s="65" t="s">
        <v>3839</v>
      </c>
      <c r="D56" s="42">
        <v>42468</v>
      </c>
      <c r="E56" s="65" t="s">
        <v>1287</v>
      </c>
      <c r="F56" s="42">
        <v>42468</v>
      </c>
      <c r="G56" s="42">
        <v>42475</v>
      </c>
      <c r="H56" s="114">
        <v>30</v>
      </c>
    </row>
    <row r="57" spans="1:8">
      <c r="A57" s="65" t="s">
        <v>4642</v>
      </c>
      <c r="B57" s="65">
        <v>198121</v>
      </c>
      <c r="C57" s="65" t="s">
        <v>3839</v>
      </c>
      <c r="D57" s="42">
        <v>42474</v>
      </c>
      <c r="E57" s="65" t="s">
        <v>1287</v>
      </c>
      <c r="F57" s="42">
        <v>42475</v>
      </c>
      <c r="G57" s="42">
        <v>42482</v>
      </c>
      <c r="H57" s="114">
        <v>32.5</v>
      </c>
    </row>
    <row r="58" spans="1:8">
      <c r="A58" s="65" t="s">
        <v>4643</v>
      </c>
      <c r="B58" s="65">
        <v>7606632</v>
      </c>
      <c r="C58" s="65" t="s">
        <v>3839</v>
      </c>
      <c r="D58" s="42">
        <v>42475</v>
      </c>
      <c r="E58" s="65" t="s">
        <v>1287</v>
      </c>
      <c r="F58" s="42">
        <v>42475</v>
      </c>
      <c r="G58" s="42">
        <v>42482</v>
      </c>
      <c r="H58" s="114">
        <v>9.8999999999999648</v>
      </c>
    </row>
    <row r="59" spans="1:8">
      <c r="A59" s="65" t="s">
        <v>4644</v>
      </c>
      <c r="B59" s="65">
        <v>7623324</v>
      </c>
      <c r="C59" s="65" t="s">
        <v>3831</v>
      </c>
      <c r="D59" s="42">
        <v>42474</v>
      </c>
      <c r="E59" s="65" t="s">
        <v>1287</v>
      </c>
      <c r="F59" s="42">
        <v>42475</v>
      </c>
      <c r="G59" s="42">
        <v>42482</v>
      </c>
      <c r="H59" s="114">
        <v>19.5</v>
      </c>
    </row>
    <row r="60" spans="1:8">
      <c r="A60" s="65" t="s">
        <v>4645</v>
      </c>
      <c r="B60" s="65">
        <v>1960419</v>
      </c>
      <c r="C60" s="65" t="s">
        <v>3831</v>
      </c>
      <c r="D60" s="42">
        <v>42475</v>
      </c>
      <c r="E60" s="65" t="s">
        <v>1287</v>
      </c>
      <c r="F60" s="42">
        <v>42475</v>
      </c>
      <c r="G60" s="42">
        <v>42482</v>
      </c>
      <c r="H60" s="114">
        <v>16</v>
      </c>
    </row>
    <row r="61" spans="1:8">
      <c r="A61" s="65" t="s">
        <v>4646</v>
      </c>
      <c r="B61" s="65">
        <v>1957352</v>
      </c>
      <c r="C61" s="65" t="s">
        <v>3831</v>
      </c>
      <c r="D61" s="42">
        <v>42481</v>
      </c>
      <c r="E61" s="65" t="s">
        <v>1287</v>
      </c>
      <c r="F61" s="42">
        <v>42482</v>
      </c>
      <c r="G61" s="42">
        <v>42489</v>
      </c>
      <c r="H61" s="114">
        <v>24</v>
      </c>
    </row>
    <row r="62" spans="1:8">
      <c r="A62" s="65" t="s">
        <v>4647</v>
      </c>
      <c r="B62" s="65">
        <v>6110081</v>
      </c>
      <c r="C62" s="65" t="s">
        <v>3831</v>
      </c>
      <c r="D62" s="42">
        <v>42480</v>
      </c>
      <c r="E62" s="65" t="s">
        <v>1287</v>
      </c>
      <c r="F62" s="42">
        <v>42482</v>
      </c>
      <c r="G62" s="42">
        <v>42489</v>
      </c>
      <c r="H62" s="114">
        <v>42</v>
      </c>
    </row>
    <row r="63" spans="1:8">
      <c r="A63" s="65" t="s">
        <v>4648</v>
      </c>
      <c r="B63" s="65">
        <v>1750862</v>
      </c>
      <c r="C63" s="65" t="s">
        <v>3831</v>
      </c>
      <c r="D63" s="42">
        <v>42485</v>
      </c>
      <c r="E63" s="65" t="s">
        <v>1287</v>
      </c>
      <c r="F63" s="42">
        <v>42489</v>
      </c>
      <c r="G63" s="42">
        <v>42496</v>
      </c>
      <c r="H63" s="114">
        <v>39.875</v>
      </c>
    </row>
    <row r="64" spans="1:8">
      <c r="A64" s="65" t="s">
        <v>4649</v>
      </c>
      <c r="B64" s="65">
        <v>1959498</v>
      </c>
      <c r="C64" s="65" t="s">
        <v>3831</v>
      </c>
      <c r="D64" s="42">
        <v>42486</v>
      </c>
      <c r="E64" s="65" t="s">
        <v>1287</v>
      </c>
      <c r="F64" s="42">
        <v>42489</v>
      </c>
      <c r="G64" s="42">
        <v>42496</v>
      </c>
      <c r="H64" s="114">
        <v>24</v>
      </c>
    </row>
    <row r="65" spans="1:8">
      <c r="A65" s="65" t="s">
        <v>4650</v>
      </c>
      <c r="B65" s="65">
        <v>1750864</v>
      </c>
      <c r="C65" s="65" t="s">
        <v>3836</v>
      </c>
      <c r="D65" s="42">
        <v>42485</v>
      </c>
      <c r="E65" s="65" t="s">
        <v>1287</v>
      </c>
      <c r="F65" s="42">
        <v>42489</v>
      </c>
      <c r="G65" s="42">
        <v>42496</v>
      </c>
      <c r="H65" s="114">
        <v>39.875</v>
      </c>
    </row>
    <row r="66" spans="1:8">
      <c r="A66" s="65" t="s">
        <v>4651</v>
      </c>
      <c r="B66" s="65">
        <v>1959495</v>
      </c>
      <c r="C66" s="65" t="s">
        <v>3836</v>
      </c>
      <c r="D66" s="42">
        <v>42486</v>
      </c>
      <c r="E66" s="65" t="s">
        <v>1287</v>
      </c>
      <c r="F66" s="42">
        <v>42489</v>
      </c>
      <c r="G66" s="42">
        <v>42496</v>
      </c>
      <c r="H66" s="114">
        <v>24</v>
      </c>
    </row>
    <row r="67" spans="1:8">
      <c r="A67" s="65" t="s">
        <v>4652</v>
      </c>
      <c r="B67" s="65">
        <v>1959513</v>
      </c>
      <c r="C67" s="65" t="s">
        <v>3839</v>
      </c>
      <c r="D67" s="42">
        <v>42486</v>
      </c>
      <c r="E67" s="65" t="s">
        <v>1287</v>
      </c>
      <c r="F67" s="42">
        <v>42489</v>
      </c>
      <c r="G67" s="42">
        <v>42496</v>
      </c>
      <c r="H67" s="114">
        <v>24</v>
      </c>
    </row>
    <row r="68" spans="1:8">
      <c r="A68" s="65" t="s">
        <v>4653</v>
      </c>
      <c r="B68" s="65">
        <v>5423</v>
      </c>
      <c r="C68" s="65" t="s">
        <v>3839</v>
      </c>
      <c r="D68" s="42">
        <v>42480</v>
      </c>
      <c r="E68" s="65" t="s">
        <v>1287</v>
      </c>
      <c r="F68" s="42">
        <v>42482</v>
      </c>
      <c r="G68" s="42">
        <v>42489</v>
      </c>
      <c r="H68" s="114">
        <v>45.5</v>
      </c>
    </row>
    <row r="69" spans="1:8">
      <c r="A69" s="65" t="s">
        <v>4654</v>
      </c>
      <c r="B69" s="65">
        <v>7640228</v>
      </c>
      <c r="C69" s="65" t="s">
        <v>3839</v>
      </c>
      <c r="D69" s="42">
        <v>42479</v>
      </c>
      <c r="E69" s="65" t="s">
        <v>1287</v>
      </c>
      <c r="F69" s="42">
        <v>42482</v>
      </c>
      <c r="G69" s="42">
        <v>42489</v>
      </c>
      <c r="H69" s="114">
        <v>19.5</v>
      </c>
    </row>
    <row r="70" spans="1:8">
      <c r="A70" s="65" t="s">
        <v>4655</v>
      </c>
      <c r="B70" s="65">
        <v>1948031</v>
      </c>
      <c r="C70" s="65" t="s">
        <v>3839</v>
      </c>
      <c r="D70" s="42">
        <v>42478</v>
      </c>
      <c r="E70" s="65" t="s">
        <v>1287</v>
      </c>
      <c r="F70" s="42">
        <v>42482</v>
      </c>
      <c r="G70" s="42">
        <v>42489</v>
      </c>
      <c r="H70" s="114">
        <v>24</v>
      </c>
    </row>
    <row r="71" spans="1:8">
      <c r="A71" s="65" t="s">
        <v>4656</v>
      </c>
      <c r="B71" s="65">
        <v>7263196</v>
      </c>
      <c r="C71" s="65" t="s">
        <v>3839</v>
      </c>
      <c r="D71" s="42">
        <v>42481</v>
      </c>
      <c r="E71" s="65" t="s">
        <v>1287</v>
      </c>
      <c r="F71" s="42">
        <v>42482</v>
      </c>
      <c r="G71" s="42">
        <v>42489</v>
      </c>
      <c r="H71" s="114">
        <v>26</v>
      </c>
    </row>
    <row r="72" spans="1:8">
      <c r="A72" s="65" t="s">
        <v>4657</v>
      </c>
      <c r="B72" s="65">
        <v>55420</v>
      </c>
      <c r="C72" s="65" t="s">
        <v>3839</v>
      </c>
      <c r="D72" s="42">
        <v>42485</v>
      </c>
      <c r="E72" s="65" t="s">
        <v>1287</v>
      </c>
      <c r="F72" s="42">
        <v>42489</v>
      </c>
      <c r="G72" s="42">
        <v>42496</v>
      </c>
      <c r="H72" s="114">
        <v>24</v>
      </c>
    </row>
    <row r="73" spans="1:8">
      <c r="A73" s="65" t="s">
        <v>4658</v>
      </c>
      <c r="B73" s="65">
        <v>7635016</v>
      </c>
      <c r="C73" s="65" t="s">
        <v>3831</v>
      </c>
      <c r="D73" s="42">
        <v>42478</v>
      </c>
      <c r="E73" s="65" t="s">
        <v>1287</v>
      </c>
      <c r="F73" s="42">
        <v>42482</v>
      </c>
      <c r="G73" s="42">
        <v>42489</v>
      </c>
      <c r="H73" s="114">
        <v>19.5</v>
      </c>
    </row>
    <row r="74" spans="1:8">
      <c r="A74" s="65" t="s">
        <v>4659</v>
      </c>
      <c r="B74" s="65">
        <v>7677201</v>
      </c>
      <c r="C74" s="65" t="s">
        <v>3831</v>
      </c>
      <c r="D74" s="42">
        <v>42487</v>
      </c>
      <c r="E74" s="65" t="s">
        <v>1287</v>
      </c>
      <c r="F74" s="42">
        <v>42489</v>
      </c>
      <c r="G74" s="42">
        <v>42496</v>
      </c>
      <c r="H74" s="114">
        <v>19.5</v>
      </c>
    </row>
    <row r="75" spans="1:8">
      <c r="A75" s="65" t="s">
        <v>4660</v>
      </c>
      <c r="B75" s="65">
        <v>142276</v>
      </c>
      <c r="C75" s="65" t="s">
        <v>3836</v>
      </c>
      <c r="D75" s="42">
        <v>42488</v>
      </c>
      <c r="E75" s="65" t="s">
        <v>1287</v>
      </c>
      <c r="F75" s="42">
        <v>42489</v>
      </c>
      <c r="G75" s="42">
        <v>42496</v>
      </c>
      <c r="H75" s="114">
        <v>15.837999999999997</v>
      </c>
    </row>
    <row r="76" spans="1:8">
      <c r="A76" s="65" t="s">
        <v>4661</v>
      </c>
      <c r="B76" s="65">
        <v>3169398</v>
      </c>
      <c r="C76" s="65" t="s">
        <v>3836</v>
      </c>
      <c r="D76" s="42">
        <v>42487</v>
      </c>
      <c r="E76" s="65" t="s">
        <v>1287</v>
      </c>
      <c r="F76" s="42">
        <v>42489</v>
      </c>
      <c r="G76" s="42">
        <v>42496</v>
      </c>
      <c r="H76" s="114">
        <v>35</v>
      </c>
    </row>
    <row r="77" spans="1:8">
      <c r="A77" s="65" t="s">
        <v>4662</v>
      </c>
      <c r="B77" s="65">
        <v>189958627</v>
      </c>
      <c r="C77" s="65" t="s">
        <v>3883</v>
      </c>
      <c r="D77" s="42">
        <v>42375</v>
      </c>
      <c r="E77" s="65" t="s">
        <v>1287</v>
      </c>
      <c r="F77" s="42">
        <v>42377</v>
      </c>
      <c r="G77" s="42">
        <v>42384</v>
      </c>
      <c r="H77" s="114">
        <v>26.25</v>
      </c>
    </row>
    <row r="78" spans="1:8">
      <c r="A78" s="65" t="s">
        <v>3830</v>
      </c>
      <c r="B78" s="65">
        <v>8398</v>
      </c>
      <c r="C78" s="65" t="s">
        <v>3831</v>
      </c>
      <c r="D78" s="42">
        <v>42467</v>
      </c>
      <c r="E78" s="65" t="s">
        <v>1287</v>
      </c>
      <c r="F78" s="42">
        <v>42468</v>
      </c>
      <c r="G78" s="42">
        <v>42475</v>
      </c>
      <c r="H78" s="114">
        <v>0</v>
      </c>
    </row>
    <row r="79" spans="1:8">
      <c r="A79" s="65" t="s">
        <v>3829</v>
      </c>
      <c r="B79" s="65">
        <v>8398</v>
      </c>
      <c r="C79" s="65" t="s">
        <v>3836</v>
      </c>
      <c r="D79" s="42">
        <v>42467</v>
      </c>
      <c r="E79" s="65" t="s">
        <v>1287</v>
      </c>
      <c r="F79" s="42">
        <v>42468</v>
      </c>
      <c r="G79" s="42">
        <v>42475</v>
      </c>
      <c r="H79" s="114">
        <v>30</v>
      </c>
    </row>
    <row r="80" spans="1:8">
      <c r="A80" s="65" t="s">
        <v>3832</v>
      </c>
      <c r="B80" s="65">
        <v>1957337</v>
      </c>
      <c r="C80" s="65" t="s">
        <v>3831</v>
      </c>
      <c r="D80" s="42">
        <v>42479</v>
      </c>
      <c r="E80" s="65" t="s">
        <v>1287</v>
      </c>
      <c r="F80" s="42">
        <v>42482</v>
      </c>
      <c r="G80" s="42">
        <v>42489</v>
      </c>
      <c r="H80" s="114">
        <v>24</v>
      </c>
    </row>
    <row r="81" spans="1:8">
      <c r="A81" s="65" t="s">
        <v>3835</v>
      </c>
      <c r="B81" s="65">
        <v>1957337</v>
      </c>
      <c r="C81" s="65" t="s">
        <v>3836</v>
      </c>
      <c r="D81" s="42">
        <v>42479</v>
      </c>
      <c r="E81" s="65" t="s">
        <v>1287</v>
      </c>
      <c r="F81" s="42">
        <v>42482</v>
      </c>
      <c r="G81" s="42">
        <v>42489</v>
      </c>
      <c r="H81" s="114"/>
    </row>
    <row r="82" spans="1:8">
      <c r="A82" s="65" t="s">
        <v>3834</v>
      </c>
      <c r="B82" s="65">
        <v>6843970</v>
      </c>
      <c r="C82" s="65" t="s">
        <v>3831</v>
      </c>
      <c r="D82" s="42">
        <v>42479</v>
      </c>
      <c r="E82" s="65" t="s">
        <v>1287</v>
      </c>
      <c r="F82" s="42">
        <v>42482</v>
      </c>
      <c r="G82" s="42">
        <v>42489</v>
      </c>
      <c r="H82" s="114">
        <v>15</v>
      </c>
    </row>
    <row r="83" spans="1:8">
      <c r="A83" s="65" t="s">
        <v>3837</v>
      </c>
      <c r="B83" s="65">
        <v>6843970</v>
      </c>
      <c r="C83" s="65" t="s">
        <v>3836</v>
      </c>
      <c r="D83" s="42">
        <v>42480</v>
      </c>
      <c r="E83" s="65" t="s">
        <v>1287</v>
      </c>
      <c r="F83" s="42">
        <v>42482</v>
      </c>
      <c r="G83" s="42">
        <v>42489</v>
      </c>
      <c r="H83" s="114"/>
    </row>
    <row r="84" spans="1:8">
      <c r="A84" s="23" t="s">
        <v>3959</v>
      </c>
      <c r="B84" s="23"/>
      <c r="C84" s="23"/>
      <c r="D84" s="23"/>
      <c r="E84" s="23"/>
      <c r="F84" s="23"/>
      <c r="G84" s="23"/>
      <c r="H84" s="114">
        <v>2322.3229999999999</v>
      </c>
    </row>
    <row r="85" spans="1:8">
      <c r="A85"/>
      <c r="B85"/>
      <c r="C85"/>
      <c r="D85"/>
      <c r="E85"/>
      <c r="F85"/>
      <c r="G85"/>
      <c r="H85"/>
    </row>
    <row r="86" spans="1:8">
      <c r="A86"/>
      <c r="B86"/>
      <c r="C86"/>
      <c r="D86"/>
      <c r="E86"/>
      <c r="F86"/>
      <c r="G86"/>
      <c r="H86"/>
    </row>
    <row r="87" spans="1:8">
      <c r="A87"/>
      <c r="B87"/>
      <c r="C87"/>
      <c r="D87"/>
      <c r="E87"/>
      <c r="F87"/>
      <c r="G87"/>
      <c r="H87"/>
    </row>
    <row r="88" spans="1:8">
      <c r="A88"/>
      <c r="B88"/>
      <c r="C88"/>
      <c r="D88"/>
      <c r="E88"/>
      <c r="F88"/>
      <c r="G88"/>
      <c r="H88"/>
    </row>
    <row r="89" spans="1:8">
      <c r="A89"/>
      <c r="B89"/>
      <c r="C89"/>
      <c r="D89"/>
      <c r="E89"/>
      <c r="F89"/>
      <c r="G89"/>
      <c r="H89"/>
    </row>
    <row r="90" spans="1:8">
      <c r="A90"/>
      <c r="B90"/>
      <c r="C90"/>
      <c r="D90"/>
      <c r="E90"/>
      <c r="F90"/>
      <c r="G90"/>
      <c r="H90"/>
    </row>
    <row r="91" spans="1:8">
      <c r="A91"/>
      <c r="B91"/>
      <c r="C91"/>
      <c r="D91"/>
      <c r="E91"/>
      <c r="F91"/>
      <c r="G91"/>
      <c r="H91"/>
    </row>
    <row r="92" spans="1:8">
      <c r="A92"/>
      <c r="B92"/>
      <c r="C92"/>
      <c r="D92"/>
      <c r="E92"/>
      <c r="F92"/>
      <c r="G92"/>
      <c r="H92"/>
    </row>
    <row r="93" spans="1:8">
      <c r="A93"/>
      <c r="B93"/>
      <c r="C93"/>
      <c r="D93"/>
      <c r="E93"/>
      <c r="F93"/>
      <c r="G93"/>
      <c r="H93"/>
    </row>
    <row r="94" spans="1:8">
      <c r="A94"/>
      <c r="B94"/>
      <c r="C94"/>
      <c r="D94"/>
      <c r="E94"/>
      <c r="F94"/>
      <c r="G94"/>
      <c r="H94"/>
    </row>
    <row r="95" spans="1:8">
      <c r="A95"/>
      <c r="B95"/>
      <c r="C95"/>
      <c r="D95"/>
      <c r="E95"/>
      <c r="F95"/>
      <c r="G95"/>
      <c r="H95"/>
    </row>
    <row r="96" spans="1:8">
      <c r="A96"/>
      <c r="B96"/>
      <c r="C96"/>
      <c r="D96"/>
      <c r="E96"/>
      <c r="F96"/>
      <c r="G96"/>
      <c r="H96"/>
    </row>
    <row r="97" spans="1:8">
      <c r="A97"/>
      <c r="B97"/>
      <c r="C97"/>
      <c r="D97"/>
      <c r="E97"/>
      <c r="F97"/>
      <c r="G97"/>
      <c r="H97"/>
    </row>
    <row r="98" spans="1:8">
      <c r="A98"/>
      <c r="B98"/>
      <c r="C98"/>
      <c r="D98"/>
      <c r="E98"/>
      <c r="F98"/>
      <c r="G98"/>
      <c r="H98"/>
    </row>
    <row r="99" spans="1:8">
      <c r="A99"/>
      <c r="B99"/>
      <c r="C99"/>
      <c r="D99"/>
      <c r="E99"/>
      <c r="F99"/>
      <c r="G99"/>
      <c r="H99"/>
    </row>
    <row r="100" spans="1:8">
      <c r="A100"/>
      <c r="B100"/>
      <c r="C100"/>
      <c r="D100"/>
      <c r="E100"/>
      <c r="F100"/>
      <c r="G100"/>
      <c r="H100"/>
    </row>
    <row r="101" spans="1:8">
      <c r="A101"/>
      <c r="B101"/>
      <c r="C101"/>
      <c r="D101"/>
      <c r="E101"/>
      <c r="F101"/>
      <c r="G101"/>
      <c r="H101"/>
    </row>
    <row r="102" spans="1:8">
      <c r="A102"/>
      <c r="B102"/>
      <c r="C102"/>
      <c r="D102"/>
      <c r="E102"/>
      <c r="F102"/>
      <c r="G102"/>
      <c r="H102"/>
    </row>
    <row r="103" spans="1:8">
      <c r="A103"/>
      <c r="B103"/>
      <c r="C103"/>
      <c r="D103"/>
      <c r="E103"/>
      <c r="F103"/>
      <c r="G103"/>
      <c r="H103"/>
    </row>
    <row r="104" spans="1:8">
      <c r="A104"/>
      <c r="B104"/>
      <c r="C104"/>
      <c r="D104"/>
      <c r="E104"/>
      <c r="F104"/>
      <c r="G104"/>
      <c r="H104"/>
    </row>
    <row r="105" spans="1:8">
      <c r="A105"/>
      <c r="B105"/>
      <c r="C105"/>
      <c r="D105"/>
      <c r="E105"/>
      <c r="F105"/>
      <c r="G105"/>
      <c r="H105"/>
    </row>
    <row r="106" spans="1:8">
      <c r="A106"/>
      <c r="B106"/>
      <c r="C106"/>
      <c r="D106"/>
      <c r="E106"/>
      <c r="F106"/>
      <c r="G106"/>
      <c r="H106"/>
    </row>
    <row r="107" spans="1:8">
      <c r="A107"/>
      <c r="B107"/>
      <c r="C107"/>
      <c r="D107"/>
      <c r="E107"/>
      <c r="F107"/>
      <c r="G107"/>
      <c r="H107"/>
    </row>
    <row r="108" spans="1:8">
      <c r="A108"/>
      <c r="B108"/>
      <c r="C108"/>
      <c r="D108"/>
      <c r="E108"/>
      <c r="F108"/>
      <c r="G108"/>
      <c r="H108"/>
    </row>
    <row r="109" spans="1:8">
      <c r="A109"/>
      <c r="B109"/>
      <c r="C109"/>
      <c r="D109"/>
      <c r="E109"/>
      <c r="F109"/>
      <c r="G109"/>
      <c r="H109"/>
    </row>
    <row r="110" spans="1:8">
      <c r="A110"/>
      <c r="B110"/>
      <c r="C110"/>
      <c r="D110"/>
      <c r="E110"/>
      <c r="F110"/>
      <c r="G110"/>
      <c r="H110"/>
    </row>
    <row r="111" spans="1:8">
      <c r="A111"/>
      <c r="B111"/>
      <c r="C111"/>
      <c r="D111"/>
      <c r="E111"/>
      <c r="F111"/>
      <c r="G111"/>
      <c r="H111"/>
    </row>
    <row r="112" spans="1:8">
      <c r="A112"/>
      <c r="B112"/>
      <c r="C112"/>
      <c r="D112"/>
      <c r="E112"/>
      <c r="F112"/>
      <c r="G112"/>
      <c r="H112"/>
    </row>
    <row r="113" spans="1:8">
      <c r="A113"/>
      <c r="B113"/>
      <c r="C113"/>
      <c r="D113"/>
      <c r="E113"/>
      <c r="F113"/>
      <c r="G113"/>
      <c r="H113"/>
    </row>
    <row r="114" spans="1:8">
      <c r="A114"/>
      <c r="B114"/>
      <c r="C114"/>
      <c r="D114"/>
      <c r="E114"/>
      <c r="F114"/>
      <c r="G114"/>
      <c r="H114"/>
    </row>
    <row r="115" spans="1:8">
      <c r="A115"/>
      <c r="B115"/>
      <c r="C115"/>
      <c r="D115"/>
      <c r="E115"/>
      <c r="F115"/>
      <c r="G115"/>
      <c r="H115"/>
    </row>
    <row r="116" spans="1:8">
      <c r="A116"/>
      <c r="B116"/>
      <c r="C116"/>
      <c r="D116"/>
      <c r="E116"/>
      <c r="F116"/>
      <c r="G116"/>
      <c r="H116"/>
    </row>
    <row r="117" spans="1:8">
      <c r="A117"/>
      <c r="B117"/>
      <c r="C117"/>
      <c r="D117"/>
      <c r="E117"/>
      <c r="F117"/>
      <c r="G117"/>
      <c r="H117"/>
    </row>
    <row r="118" spans="1:8">
      <c r="A118"/>
      <c r="B118"/>
      <c r="C118"/>
      <c r="D118"/>
      <c r="E118"/>
      <c r="F118"/>
      <c r="G118"/>
      <c r="H118"/>
    </row>
    <row r="119" spans="1:8">
      <c r="A119"/>
      <c r="B119"/>
      <c r="C119"/>
      <c r="D119"/>
      <c r="E119"/>
      <c r="F119"/>
      <c r="G119"/>
      <c r="H119"/>
    </row>
    <row r="120" spans="1:8">
      <c r="A120"/>
      <c r="B120"/>
      <c r="C120"/>
      <c r="D120"/>
      <c r="E120"/>
      <c r="F120"/>
      <c r="G120"/>
      <c r="H120"/>
    </row>
    <row r="121" spans="1:8">
      <c r="A121"/>
      <c r="B121"/>
      <c r="C121"/>
      <c r="D121"/>
      <c r="E121"/>
      <c r="F121"/>
      <c r="G121"/>
      <c r="H121"/>
    </row>
    <row r="122" spans="1:8">
      <c r="A122"/>
      <c r="B122"/>
      <c r="C122"/>
      <c r="D122"/>
      <c r="E122"/>
      <c r="F122"/>
      <c r="G122"/>
      <c r="H122"/>
    </row>
    <row r="123" spans="1:8">
      <c r="A123"/>
      <c r="B123"/>
      <c r="C123"/>
      <c r="D123"/>
      <c r="E123"/>
      <c r="F123"/>
      <c r="G123"/>
      <c r="H123"/>
    </row>
    <row r="124" spans="1:8">
      <c r="A124"/>
      <c r="B124"/>
      <c r="C124"/>
      <c r="D124"/>
      <c r="E124"/>
      <c r="F124"/>
      <c r="G124"/>
      <c r="H124"/>
    </row>
    <row r="125" spans="1:8">
      <c r="A125"/>
      <c r="B125"/>
      <c r="C125"/>
      <c r="D125"/>
      <c r="E125"/>
      <c r="F125"/>
      <c r="G125"/>
      <c r="H125"/>
    </row>
    <row r="126" spans="1:8">
      <c r="A126"/>
      <c r="B126"/>
      <c r="C126"/>
      <c r="D126"/>
      <c r="E126"/>
      <c r="F126"/>
      <c r="G126"/>
      <c r="H126"/>
    </row>
    <row r="127" spans="1:8">
      <c r="A127"/>
      <c r="B127"/>
      <c r="C127"/>
      <c r="D127"/>
      <c r="E127"/>
      <c r="F127"/>
      <c r="G127"/>
      <c r="H127"/>
    </row>
    <row r="128" spans="1:8">
      <c r="A128"/>
      <c r="B128"/>
      <c r="C128"/>
      <c r="D128"/>
      <c r="E128"/>
      <c r="F128"/>
      <c r="G128"/>
      <c r="H128"/>
    </row>
    <row r="129" spans="1:8">
      <c r="A129"/>
      <c r="B129"/>
      <c r="C129"/>
      <c r="D129"/>
      <c r="E129"/>
      <c r="F129"/>
      <c r="G129"/>
      <c r="H129"/>
    </row>
    <row r="130" spans="1:8">
      <c r="A130"/>
      <c r="B130"/>
      <c r="C130"/>
      <c r="D130"/>
      <c r="E130"/>
      <c r="F130"/>
      <c r="G130"/>
      <c r="H130"/>
    </row>
    <row r="131" spans="1:8">
      <c r="A131"/>
      <c r="B131"/>
      <c r="C131"/>
      <c r="D131"/>
      <c r="E131"/>
      <c r="F131"/>
      <c r="G131"/>
      <c r="H131"/>
    </row>
    <row r="132" spans="1:8">
      <c r="A132"/>
      <c r="B132"/>
      <c r="C132"/>
      <c r="D132"/>
      <c r="E132"/>
      <c r="F132"/>
      <c r="G132"/>
      <c r="H132"/>
    </row>
    <row r="133" spans="1:8">
      <c r="A133"/>
      <c r="B133"/>
      <c r="C133"/>
      <c r="D133"/>
      <c r="E133"/>
      <c r="F133"/>
      <c r="G133"/>
      <c r="H133"/>
    </row>
    <row r="134" spans="1:8">
      <c r="A134"/>
      <c r="B134"/>
      <c r="C134"/>
      <c r="D134"/>
      <c r="E134"/>
      <c r="F134"/>
      <c r="G134"/>
      <c r="H134"/>
    </row>
    <row r="135" spans="1:8">
      <c r="A135"/>
      <c r="B135"/>
      <c r="C135"/>
      <c r="D135"/>
      <c r="E135"/>
      <c r="F135"/>
      <c r="G135"/>
      <c r="H135"/>
    </row>
    <row r="136" spans="1:8">
      <c r="A136"/>
      <c r="B136"/>
      <c r="C136"/>
      <c r="D136"/>
      <c r="E136"/>
      <c r="F136"/>
      <c r="G136"/>
      <c r="H136"/>
    </row>
    <row r="137" spans="1:8">
      <c r="A137"/>
      <c r="B137"/>
      <c r="C137"/>
      <c r="D137"/>
      <c r="E137"/>
      <c r="F137"/>
      <c r="G137"/>
      <c r="H137"/>
    </row>
    <row r="138" spans="1:8">
      <c r="A138"/>
      <c r="B138"/>
      <c r="C138"/>
      <c r="D138"/>
      <c r="E138"/>
      <c r="F138"/>
      <c r="G138"/>
      <c r="H138"/>
    </row>
    <row r="139" spans="1:8">
      <c r="A139"/>
      <c r="B139"/>
      <c r="C139"/>
      <c r="D139"/>
      <c r="E139"/>
      <c r="F139"/>
      <c r="G139"/>
      <c r="H139"/>
    </row>
    <row r="140" spans="1:8">
      <c r="A140"/>
      <c r="B140"/>
      <c r="C140"/>
      <c r="D140"/>
      <c r="E140"/>
      <c r="F140"/>
      <c r="G140"/>
      <c r="H140"/>
    </row>
    <row r="141" spans="1:8">
      <c r="A141"/>
      <c r="B141"/>
      <c r="C141"/>
      <c r="D141"/>
      <c r="E141"/>
      <c r="F141"/>
      <c r="G141"/>
      <c r="H141"/>
    </row>
    <row r="142" spans="1:8">
      <c r="A142"/>
      <c r="B142"/>
      <c r="C142"/>
      <c r="D142"/>
      <c r="E142"/>
      <c r="F142"/>
      <c r="G142"/>
      <c r="H142"/>
    </row>
    <row r="143" spans="1:8">
      <c r="A143"/>
      <c r="B143"/>
      <c r="C143"/>
      <c r="D143"/>
      <c r="E143"/>
      <c r="F143"/>
      <c r="G143"/>
      <c r="H143"/>
    </row>
    <row r="144" spans="1:8">
      <c r="A144"/>
      <c r="B144"/>
      <c r="C144"/>
      <c r="D144"/>
      <c r="E144"/>
      <c r="F144"/>
      <c r="G144"/>
      <c r="H144"/>
    </row>
    <row r="145" spans="1:8">
      <c r="A145"/>
      <c r="B145"/>
      <c r="C145"/>
      <c r="D145"/>
      <c r="E145"/>
      <c r="F145"/>
      <c r="G145"/>
      <c r="H145"/>
    </row>
    <row r="146" spans="1:8">
      <c r="A146"/>
      <c r="B146"/>
      <c r="C146"/>
      <c r="D146"/>
      <c r="E146"/>
      <c r="F146"/>
      <c r="G146"/>
      <c r="H146"/>
    </row>
    <row r="147" spans="1:8">
      <c r="A147"/>
      <c r="B147"/>
      <c r="C147"/>
      <c r="D147"/>
      <c r="E147"/>
      <c r="F147"/>
      <c r="G147"/>
      <c r="H147"/>
    </row>
    <row r="148" spans="1:8">
      <c r="A148"/>
      <c r="B148"/>
      <c r="C148"/>
      <c r="D148"/>
      <c r="E148"/>
      <c r="F148"/>
      <c r="G148"/>
      <c r="H148"/>
    </row>
    <row r="149" spans="1:8">
      <c r="A149"/>
      <c r="B149"/>
      <c r="C149"/>
      <c r="D149"/>
      <c r="E149"/>
      <c r="F149"/>
      <c r="G149"/>
      <c r="H149"/>
    </row>
    <row r="150" spans="1:8">
      <c r="A150"/>
      <c r="B150"/>
      <c r="C150"/>
      <c r="D150"/>
      <c r="E150"/>
      <c r="F150"/>
      <c r="G150"/>
      <c r="H150"/>
    </row>
    <row r="151" spans="1:8">
      <c r="A151"/>
      <c r="B151"/>
      <c r="C151"/>
      <c r="D151"/>
      <c r="E151"/>
      <c r="F151"/>
      <c r="G151"/>
      <c r="H151"/>
    </row>
    <row r="152" spans="1:8">
      <c r="A152"/>
      <c r="B152"/>
      <c r="C152"/>
      <c r="D152"/>
      <c r="E152"/>
      <c r="F152"/>
      <c r="G152"/>
      <c r="H152"/>
    </row>
    <row r="153" spans="1:8">
      <c r="A153"/>
      <c r="B153"/>
      <c r="C153"/>
      <c r="D153"/>
      <c r="E153"/>
      <c r="F153"/>
      <c r="G153"/>
      <c r="H153"/>
    </row>
    <row r="154" spans="1:8">
      <c r="A154"/>
      <c r="B154"/>
      <c r="C154"/>
      <c r="D154"/>
      <c r="E154"/>
      <c r="F154"/>
      <c r="G154"/>
      <c r="H154"/>
    </row>
    <row r="155" spans="1:8">
      <c r="A155"/>
      <c r="B155"/>
      <c r="C155"/>
      <c r="D155"/>
      <c r="E155"/>
      <c r="F155"/>
      <c r="G155"/>
      <c r="H155"/>
    </row>
    <row r="156" spans="1:8">
      <c r="A156"/>
      <c r="B156"/>
      <c r="C156"/>
      <c r="D156"/>
      <c r="E156"/>
      <c r="F156"/>
      <c r="G156"/>
      <c r="H156"/>
    </row>
    <row r="157" spans="1:8">
      <c r="A157"/>
      <c r="B157"/>
      <c r="C157"/>
      <c r="D157"/>
      <c r="E157"/>
      <c r="F157"/>
      <c r="G157"/>
      <c r="H157"/>
    </row>
    <row r="158" spans="1:8">
      <c r="A158"/>
      <c r="B158"/>
      <c r="C158"/>
      <c r="D158"/>
      <c r="E158"/>
      <c r="F158"/>
      <c r="G158"/>
      <c r="H158"/>
    </row>
    <row r="159" spans="1:8">
      <c r="A159"/>
      <c r="B159"/>
      <c r="C159"/>
      <c r="D159"/>
      <c r="E159"/>
      <c r="F159"/>
      <c r="G159"/>
      <c r="H159"/>
    </row>
    <row r="160" spans="1:8">
      <c r="A160"/>
      <c r="B160"/>
      <c r="C160"/>
      <c r="D160"/>
      <c r="E160"/>
      <c r="F160"/>
      <c r="G160"/>
      <c r="H160"/>
    </row>
    <row r="161" spans="1:8">
      <c r="A161"/>
      <c r="B161"/>
      <c r="C161"/>
      <c r="D161"/>
      <c r="E161"/>
      <c r="F161"/>
      <c r="G161"/>
      <c r="H161"/>
    </row>
    <row r="162" spans="1:8">
      <c r="A162"/>
      <c r="B162"/>
      <c r="C162"/>
      <c r="D162"/>
      <c r="E162"/>
      <c r="F162"/>
      <c r="G162"/>
      <c r="H162"/>
    </row>
    <row r="163" spans="1:8">
      <c r="A163"/>
      <c r="B163"/>
      <c r="C163"/>
      <c r="D163"/>
      <c r="E163"/>
      <c r="F163"/>
      <c r="G163"/>
      <c r="H163"/>
    </row>
    <row r="164" spans="1:8">
      <c r="A164"/>
      <c r="B164"/>
      <c r="C164"/>
      <c r="D164"/>
      <c r="E164"/>
      <c r="F164"/>
      <c r="G164"/>
      <c r="H164"/>
    </row>
    <row r="165" spans="1:8">
      <c r="A165"/>
      <c r="B165"/>
      <c r="C165"/>
      <c r="D165"/>
      <c r="E165"/>
      <c r="F165"/>
      <c r="G165"/>
      <c r="H165"/>
    </row>
    <row r="166" spans="1:8">
      <c r="A166"/>
      <c r="B166"/>
      <c r="C166"/>
      <c r="D166"/>
      <c r="E166"/>
      <c r="F166"/>
      <c r="G166"/>
      <c r="H166"/>
    </row>
    <row r="167" spans="1:8">
      <c r="A167"/>
      <c r="B167"/>
      <c r="C167"/>
      <c r="D167"/>
      <c r="E167"/>
      <c r="F167"/>
      <c r="G167"/>
      <c r="H167"/>
    </row>
    <row r="168" spans="1:8">
      <c r="A168"/>
      <c r="B168"/>
      <c r="C168"/>
      <c r="D168"/>
      <c r="E168"/>
      <c r="F168"/>
      <c r="G168"/>
      <c r="H168"/>
    </row>
    <row r="169" spans="1:8">
      <c r="A169"/>
      <c r="B169"/>
      <c r="C169"/>
      <c r="D169"/>
      <c r="E169"/>
      <c r="F169"/>
      <c r="G169"/>
      <c r="H169"/>
    </row>
    <row r="170" spans="1:8">
      <c r="A170"/>
      <c r="B170"/>
      <c r="C170"/>
      <c r="D170"/>
      <c r="E170"/>
      <c r="F170"/>
      <c r="G170"/>
      <c r="H170"/>
    </row>
    <row r="171" spans="1:8">
      <c r="A171"/>
      <c r="B171"/>
      <c r="C171"/>
      <c r="D171"/>
      <c r="E171"/>
      <c r="F171"/>
      <c r="G171"/>
      <c r="H171"/>
    </row>
    <row r="172" spans="1:8">
      <c r="A172"/>
      <c r="B172"/>
      <c r="C172"/>
      <c r="D172"/>
      <c r="E172"/>
      <c r="F172"/>
      <c r="G172"/>
      <c r="H172"/>
    </row>
    <row r="173" spans="1:8">
      <c r="A173"/>
      <c r="B173"/>
      <c r="C173"/>
      <c r="D173"/>
      <c r="E173"/>
      <c r="F173"/>
      <c r="G173"/>
      <c r="H173"/>
    </row>
    <row r="174" spans="1:8">
      <c r="A174"/>
      <c r="B174"/>
      <c r="C174"/>
      <c r="D174"/>
      <c r="E174"/>
      <c r="F174"/>
      <c r="G174"/>
      <c r="H174"/>
    </row>
    <row r="175" spans="1:8">
      <c r="A175"/>
      <c r="B175"/>
      <c r="C175"/>
      <c r="D175"/>
      <c r="E175"/>
      <c r="F175"/>
      <c r="G175"/>
      <c r="H175"/>
    </row>
    <row r="176" spans="1:8">
      <c r="A176"/>
      <c r="B176"/>
      <c r="C176"/>
      <c r="D176"/>
      <c r="E176"/>
      <c r="F176"/>
      <c r="G176"/>
      <c r="H176"/>
    </row>
    <row r="177" spans="1:8">
      <c r="A177"/>
      <c r="B177"/>
      <c r="C177"/>
      <c r="D177"/>
      <c r="E177"/>
      <c r="F177"/>
      <c r="G177"/>
      <c r="H177"/>
    </row>
    <row r="178" spans="1:8">
      <c r="A178"/>
      <c r="B178"/>
      <c r="C178"/>
      <c r="D178"/>
      <c r="E178"/>
      <c r="F178"/>
      <c r="G178"/>
      <c r="H178"/>
    </row>
    <row r="179" spans="1:8">
      <c r="A179"/>
      <c r="B179"/>
      <c r="C179"/>
      <c r="D179"/>
      <c r="E179"/>
      <c r="F179"/>
      <c r="G179"/>
      <c r="H179"/>
    </row>
    <row r="180" spans="1:8">
      <c r="A180"/>
      <c r="B180"/>
      <c r="C180"/>
      <c r="D180"/>
      <c r="E180"/>
      <c r="F180"/>
      <c r="G180"/>
      <c r="H180"/>
    </row>
    <row r="181" spans="1:8">
      <c r="A181"/>
      <c r="B181"/>
      <c r="C181"/>
      <c r="D181"/>
      <c r="E181"/>
      <c r="F181"/>
      <c r="G181"/>
      <c r="H181"/>
    </row>
    <row r="182" spans="1:8">
      <c r="A182"/>
      <c r="B182"/>
      <c r="C182"/>
      <c r="D182"/>
      <c r="E182"/>
      <c r="F182"/>
      <c r="G182"/>
      <c r="H182"/>
    </row>
    <row r="183" spans="1:8">
      <c r="A183"/>
      <c r="B183"/>
      <c r="C183"/>
      <c r="D183"/>
      <c r="E183"/>
      <c r="F183"/>
      <c r="G183"/>
      <c r="H183"/>
    </row>
    <row r="184" spans="1:8">
      <c r="A184"/>
      <c r="B184"/>
      <c r="C184"/>
      <c r="D184"/>
      <c r="E184"/>
      <c r="F184"/>
      <c r="G184"/>
      <c r="H184"/>
    </row>
    <row r="185" spans="1:8">
      <c r="A185"/>
      <c r="B185"/>
      <c r="C185"/>
      <c r="D185"/>
      <c r="E185"/>
      <c r="F185"/>
      <c r="G185"/>
      <c r="H185"/>
    </row>
    <row r="186" spans="1:8">
      <c r="A186"/>
      <c r="B186"/>
      <c r="C186"/>
      <c r="D186"/>
      <c r="E186"/>
      <c r="F186"/>
      <c r="G186"/>
      <c r="H186"/>
    </row>
    <row r="187" spans="1:8">
      <c r="A187"/>
      <c r="B187"/>
      <c r="C187"/>
      <c r="D187"/>
      <c r="E187"/>
      <c r="F187"/>
      <c r="G187"/>
      <c r="H187"/>
    </row>
    <row r="188" spans="1:8">
      <c r="A188"/>
      <c r="B188"/>
      <c r="C188"/>
      <c r="D188"/>
      <c r="E188"/>
      <c r="F188"/>
      <c r="G188"/>
      <c r="H188"/>
    </row>
    <row r="189" spans="1:8">
      <c r="A189"/>
      <c r="B189"/>
      <c r="C189"/>
      <c r="D189"/>
      <c r="E189"/>
      <c r="F189"/>
      <c r="G189"/>
      <c r="H189"/>
    </row>
    <row r="190" spans="1:8">
      <c r="A190"/>
      <c r="B190"/>
      <c r="C190"/>
      <c r="D190"/>
      <c r="E190"/>
      <c r="F190"/>
      <c r="G190"/>
      <c r="H190"/>
    </row>
    <row r="191" spans="1:8">
      <c r="A191"/>
      <c r="B191"/>
      <c r="C191"/>
      <c r="D191"/>
      <c r="E191"/>
      <c r="F191"/>
      <c r="G191"/>
      <c r="H191"/>
    </row>
    <row r="192" spans="1:8">
      <c r="A192"/>
      <c r="B192"/>
      <c r="C192"/>
      <c r="D192"/>
      <c r="E192"/>
      <c r="F192"/>
      <c r="G192"/>
      <c r="H192"/>
    </row>
    <row r="193" spans="1:8">
      <c r="A193"/>
      <c r="B193"/>
      <c r="C193"/>
      <c r="D193"/>
      <c r="E193"/>
      <c r="F193"/>
      <c r="G193"/>
      <c r="H193"/>
    </row>
    <row r="194" spans="1:8">
      <c r="A194"/>
      <c r="B194"/>
      <c r="C194"/>
      <c r="D194"/>
      <c r="E194"/>
      <c r="F194"/>
      <c r="G194"/>
      <c r="H194"/>
    </row>
    <row r="195" spans="1:8">
      <c r="A195"/>
      <c r="B195"/>
      <c r="C195"/>
      <c r="D195"/>
      <c r="E195"/>
      <c r="F195"/>
      <c r="G195"/>
      <c r="H195"/>
    </row>
    <row r="196" spans="1:8">
      <c r="A196"/>
      <c r="B196"/>
      <c r="C196"/>
      <c r="D196"/>
      <c r="E196"/>
      <c r="F196"/>
      <c r="G196"/>
      <c r="H196"/>
    </row>
    <row r="197" spans="1:8">
      <c r="A197"/>
      <c r="B197"/>
      <c r="C197"/>
      <c r="D197"/>
      <c r="E197"/>
      <c r="F197"/>
      <c r="G197"/>
      <c r="H197"/>
    </row>
    <row r="198" spans="1:8">
      <c r="A198"/>
      <c r="B198"/>
      <c r="C198"/>
      <c r="D198"/>
      <c r="E198"/>
      <c r="F198"/>
      <c r="G198"/>
      <c r="H198"/>
    </row>
    <row r="199" spans="1:8">
      <c r="A199"/>
      <c r="B199"/>
      <c r="C199"/>
      <c r="D199"/>
      <c r="E199"/>
      <c r="F199"/>
      <c r="G199"/>
      <c r="H199"/>
    </row>
    <row r="200" spans="1:8">
      <c r="A200"/>
      <c r="B200"/>
      <c r="C200"/>
      <c r="D200"/>
      <c r="E200"/>
      <c r="F200"/>
      <c r="G200"/>
      <c r="H200"/>
    </row>
    <row r="201" spans="1:8">
      <c r="A201"/>
      <c r="B201"/>
      <c r="C201"/>
      <c r="D201"/>
      <c r="E201"/>
      <c r="F201"/>
      <c r="G201"/>
      <c r="H201"/>
    </row>
    <row r="202" spans="1:8">
      <c r="A202"/>
      <c r="B202"/>
      <c r="C202"/>
      <c r="D202"/>
      <c r="E202"/>
      <c r="F202"/>
      <c r="G202"/>
      <c r="H202"/>
    </row>
    <row r="203" spans="1:8">
      <c r="A203"/>
      <c r="B203"/>
      <c r="C203"/>
      <c r="D203"/>
      <c r="E203"/>
      <c r="F203"/>
      <c r="G203"/>
      <c r="H203"/>
    </row>
    <row r="204" spans="1:8">
      <c r="A204"/>
      <c r="B204"/>
      <c r="C204"/>
      <c r="D204"/>
      <c r="E204"/>
      <c r="F204"/>
      <c r="G204"/>
      <c r="H204"/>
    </row>
    <row r="205" spans="1:8">
      <c r="A205"/>
      <c r="B205"/>
      <c r="C205"/>
      <c r="D205"/>
      <c r="E205"/>
      <c r="F205"/>
      <c r="G205"/>
      <c r="H205"/>
    </row>
    <row r="206" spans="1:8">
      <c r="A206"/>
      <c r="B206"/>
      <c r="C206"/>
      <c r="D206"/>
      <c r="E206"/>
      <c r="F206"/>
      <c r="G206"/>
      <c r="H206"/>
    </row>
    <row r="207" spans="1:8">
      <c r="A207"/>
      <c r="B207"/>
      <c r="C207"/>
      <c r="D207"/>
      <c r="E207"/>
      <c r="F207"/>
      <c r="G207"/>
      <c r="H207"/>
    </row>
    <row r="208" spans="1:8">
      <c r="A208"/>
      <c r="B208"/>
      <c r="C208"/>
      <c r="D208"/>
      <c r="E208"/>
      <c r="F208"/>
      <c r="G208"/>
      <c r="H208"/>
    </row>
    <row r="209" spans="1:8">
      <c r="A209"/>
      <c r="B209"/>
      <c r="C209"/>
      <c r="D209"/>
      <c r="E209"/>
      <c r="F209"/>
      <c r="G209"/>
      <c r="H209"/>
    </row>
    <row r="210" spans="1:8">
      <c r="A210"/>
      <c r="B210"/>
      <c r="C210"/>
      <c r="D210"/>
      <c r="E210"/>
      <c r="F210"/>
      <c r="G210"/>
      <c r="H210"/>
    </row>
    <row r="211" spans="1:8">
      <c r="A211"/>
      <c r="B211"/>
      <c r="C211"/>
      <c r="D211"/>
      <c r="E211"/>
      <c r="F211"/>
      <c r="G211"/>
      <c r="H211"/>
    </row>
    <row r="212" spans="1:8">
      <c r="A212"/>
      <c r="B212"/>
      <c r="C212"/>
      <c r="D212"/>
      <c r="E212"/>
      <c r="F212"/>
      <c r="G212"/>
      <c r="H212"/>
    </row>
    <row r="213" spans="1:8">
      <c r="A213"/>
      <c r="B213"/>
      <c r="C213"/>
      <c r="D213"/>
      <c r="E213"/>
      <c r="F213"/>
      <c r="G213"/>
      <c r="H213"/>
    </row>
    <row r="214" spans="1:8">
      <c r="A214"/>
      <c r="B214"/>
      <c r="C214"/>
      <c r="D214"/>
      <c r="E214"/>
      <c r="F214"/>
      <c r="G214"/>
      <c r="H214"/>
    </row>
    <row r="215" spans="1:8">
      <c r="A215"/>
      <c r="B215"/>
      <c r="C215"/>
      <c r="D215"/>
      <c r="E215"/>
      <c r="F215"/>
      <c r="G215"/>
      <c r="H215"/>
    </row>
    <row r="216" spans="1:8">
      <c r="A216"/>
      <c r="B216"/>
      <c r="C216"/>
      <c r="D216"/>
      <c r="E216"/>
      <c r="F216"/>
      <c r="G216"/>
      <c r="H216"/>
    </row>
    <row r="217" spans="1:8">
      <c r="A217"/>
      <c r="B217"/>
      <c r="C217"/>
      <c r="D217"/>
      <c r="E217"/>
      <c r="F217"/>
      <c r="G217"/>
      <c r="H217"/>
    </row>
    <row r="218" spans="1:8">
      <c r="A218"/>
      <c r="B218"/>
      <c r="C218"/>
      <c r="D218"/>
      <c r="E218"/>
      <c r="F218"/>
      <c r="G218"/>
      <c r="H218"/>
    </row>
    <row r="219" spans="1:8">
      <c r="A219"/>
      <c r="B219"/>
      <c r="C219"/>
      <c r="D219"/>
      <c r="E219"/>
      <c r="F219"/>
      <c r="G219"/>
      <c r="H219"/>
    </row>
    <row r="220" spans="1:8">
      <c r="A220"/>
      <c r="B220"/>
      <c r="C220"/>
      <c r="D220"/>
      <c r="E220"/>
      <c r="F220"/>
      <c r="G220"/>
      <c r="H220"/>
    </row>
    <row r="221" spans="1:8">
      <c r="A221"/>
      <c r="B221"/>
      <c r="C221"/>
      <c r="D221"/>
      <c r="E221"/>
      <c r="F221"/>
      <c r="G221"/>
      <c r="H221"/>
    </row>
    <row r="222" spans="1:8">
      <c r="A222"/>
      <c r="B222"/>
      <c r="C222"/>
      <c r="D222"/>
      <c r="E222"/>
      <c r="F222"/>
      <c r="G222"/>
      <c r="H222"/>
    </row>
    <row r="223" spans="1:8">
      <c r="A223"/>
      <c r="B223"/>
      <c r="C223"/>
      <c r="D223"/>
      <c r="E223"/>
      <c r="F223"/>
      <c r="G223"/>
      <c r="H223"/>
    </row>
    <row r="224" spans="1:8">
      <c r="A224"/>
      <c r="B224"/>
      <c r="C224"/>
      <c r="D224"/>
      <c r="E224"/>
      <c r="F224"/>
      <c r="G224"/>
      <c r="H224"/>
    </row>
    <row r="225" spans="1:8">
      <c r="A225"/>
      <c r="B225"/>
      <c r="C225"/>
      <c r="D225"/>
      <c r="E225"/>
      <c r="F225"/>
      <c r="G225"/>
      <c r="H225"/>
    </row>
    <row r="226" spans="1:8">
      <c r="A226"/>
      <c r="B226"/>
      <c r="C226"/>
      <c r="D226"/>
      <c r="E226"/>
      <c r="F226"/>
      <c r="G226"/>
      <c r="H226"/>
    </row>
    <row r="227" spans="1:8">
      <c r="A227"/>
      <c r="B227"/>
      <c r="C227"/>
      <c r="D227"/>
      <c r="E227"/>
      <c r="F227"/>
      <c r="G227"/>
      <c r="H227"/>
    </row>
    <row r="228" spans="1:8">
      <c r="A228"/>
      <c r="B228"/>
      <c r="C228"/>
      <c r="D228"/>
      <c r="E228"/>
      <c r="F228"/>
      <c r="G228"/>
      <c r="H228"/>
    </row>
    <row r="229" spans="1:8">
      <c r="A229"/>
      <c r="B229"/>
      <c r="C229"/>
      <c r="D229"/>
      <c r="E229"/>
      <c r="F229"/>
      <c r="G229"/>
      <c r="H229"/>
    </row>
    <row r="230" spans="1:8">
      <c r="A230"/>
      <c r="B230"/>
      <c r="C230"/>
      <c r="D230"/>
      <c r="E230"/>
      <c r="F230"/>
      <c r="G230"/>
      <c r="H230"/>
    </row>
    <row r="231" spans="1:8">
      <c r="A231"/>
      <c r="B231"/>
      <c r="C231"/>
      <c r="D231"/>
      <c r="E231"/>
      <c r="F231"/>
      <c r="G231"/>
      <c r="H231"/>
    </row>
    <row r="232" spans="1:8">
      <c r="A232"/>
      <c r="B232"/>
      <c r="C232"/>
      <c r="D232"/>
      <c r="E232"/>
      <c r="F232"/>
      <c r="G232"/>
      <c r="H232"/>
    </row>
    <row r="233" spans="1:8">
      <c r="A233"/>
      <c r="B233"/>
      <c r="C233"/>
      <c r="D233"/>
      <c r="E233"/>
      <c r="F233"/>
      <c r="G233"/>
      <c r="H233"/>
    </row>
    <row r="234" spans="1:8">
      <c r="A234"/>
      <c r="B234"/>
      <c r="C234"/>
      <c r="D234"/>
      <c r="E234"/>
      <c r="F234"/>
      <c r="G234"/>
      <c r="H234"/>
    </row>
    <row r="235" spans="1:8">
      <c r="A235"/>
      <c r="B235"/>
      <c r="C235"/>
      <c r="D235"/>
      <c r="E235"/>
      <c r="F235"/>
      <c r="G235"/>
      <c r="H235"/>
    </row>
    <row r="236" spans="1:8">
      <c r="A236"/>
      <c r="B236"/>
      <c r="C236"/>
      <c r="D236"/>
      <c r="E236"/>
      <c r="F236"/>
      <c r="G236"/>
      <c r="H236"/>
    </row>
    <row r="237" spans="1:8">
      <c r="A237"/>
      <c r="B237"/>
      <c r="C237"/>
      <c r="D237"/>
      <c r="E237"/>
      <c r="F237"/>
      <c r="G237"/>
      <c r="H237"/>
    </row>
    <row r="238" spans="1:8">
      <c r="A238"/>
      <c r="B238"/>
      <c r="C238"/>
      <c r="D238"/>
      <c r="E238"/>
      <c r="F238"/>
      <c r="G238"/>
      <c r="H238"/>
    </row>
    <row r="239" spans="1:8">
      <c r="A239"/>
      <c r="B239"/>
      <c r="C239"/>
      <c r="D239"/>
      <c r="E239"/>
      <c r="F239"/>
      <c r="G239"/>
      <c r="H239"/>
    </row>
    <row r="240" spans="1:8">
      <c r="A240"/>
      <c r="B240"/>
      <c r="C240"/>
      <c r="D240"/>
      <c r="E240"/>
      <c r="F240"/>
      <c r="G240"/>
      <c r="H240"/>
    </row>
    <row r="241" spans="1:8">
      <c r="A241"/>
      <c r="B241"/>
      <c r="C241"/>
      <c r="D241"/>
      <c r="E241"/>
      <c r="F241"/>
      <c r="G241"/>
      <c r="H241"/>
    </row>
    <row r="242" spans="1:8">
      <c r="A242"/>
      <c r="B242"/>
      <c r="C242"/>
      <c r="D242"/>
      <c r="E242"/>
      <c r="F242"/>
      <c r="G242"/>
      <c r="H242"/>
    </row>
    <row r="243" spans="1:8">
      <c r="A243"/>
      <c r="B243"/>
      <c r="C243"/>
      <c r="D243"/>
      <c r="E243"/>
      <c r="F243"/>
      <c r="G243"/>
      <c r="H243"/>
    </row>
    <row r="244" spans="1:8">
      <c r="A244"/>
      <c r="B244"/>
      <c r="C244"/>
      <c r="D244"/>
      <c r="E244"/>
      <c r="F244"/>
      <c r="G244"/>
      <c r="H244"/>
    </row>
    <row r="245" spans="1:8">
      <c r="A245"/>
      <c r="B245"/>
      <c r="C245"/>
      <c r="D245"/>
      <c r="E245"/>
      <c r="F245"/>
      <c r="G245"/>
      <c r="H245"/>
    </row>
    <row r="246" spans="1:8">
      <c r="A246"/>
      <c r="B246"/>
      <c r="C246"/>
      <c r="D246"/>
      <c r="E246"/>
      <c r="F246"/>
      <c r="G246"/>
      <c r="H246"/>
    </row>
    <row r="247" spans="1:8">
      <c r="A247"/>
      <c r="B247"/>
      <c r="C247"/>
      <c r="D247"/>
      <c r="E247"/>
      <c r="F247"/>
      <c r="G247"/>
      <c r="H247"/>
    </row>
    <row r="248" spans="1:8">
      <c r="A248"/>
      <c r="B248"/>
      <c r="C248"/>
      <c r="D248"/>
      <c r="E248"/>
      <c r="F248"/>
      <c r="G248"/>
      <c r="H248"/>
    </row>
    <row r="249" spans="1:8">
      <c r="A249"/>
      <c r="B249"/>
      <c r="C249"/>
      <c r="D249"/>
      <c r="E249"/>
      <c r="F249"/>
      <c r="G249"/>
      <c r="H249"/>
    </row>
    <row r="250" spans="1:8">
      <c r="A250"/>
      <c r="B250"/>
      <c r="C250"/>
      <c r="D250"/>
      <c r="E250"/>
      <c r="F250"/>
      <c r="G250"/>
      <c r="H250"/>
    </row>
    <row r="251" spans="1:8">
      <c r="A251"/>
      <c r="B251"/>
      <c r="C251"/>
      <c r="D251"/>
      <c r="E251"/>
      <c r="F251"/>
      <c r="G251"/>
      <c r="H251"/>
    </row>
    <row r="252" spans="1:8">
      <c r="A252"/>
      <c r="B252"/>
      <c r="C252"/>
      <c r="D252"/>
      <c r="E252"/>
      <c r="F252"/>
      <c r="G252"/>
      <c r="H252"/>
    </row>
    <row r="253" spans="1:8">
      <c r="A253"/>
      <c r="B253"/>
      <c r="C253"/>
      <c r="D253"/>
      <c r="E253"/>
      <c r="F253"/>
      <c r="G253"/>
      <c r="H253"/>
    </row>
    <row r="254" spans="1:8">
      <c r="A254"/>
      <c r="B254"/>
      <c r="C254"/>
      <c r="D254"/>
      <c r="E254"/>
      <c r="F254"/>
      <c r="G254"/>
      <c r="H254"/>
    </row>
    <row r="255" spans="1:8">
      <c r="A255"/>
      <c r="B255"/>
      <c r="C255"/>
      <c r="D255"/>
      <c r="E255"/>
      <c r="F255"/>
      <c r="G255"/>
      <c r="H255"/>
    </row>
    <row r="256" spans="1:8">
      <c r="A256"/>
      <c r="B256"/>
      <c r="C256"/>
      <c r="D256"/>
      <c r="E256"/>
      <c r="F256"/>
      <c r="G256"/>
      <c r="H256"/>
    </row>
    <row r="257" spans="1:8">
      <c r="A257"/>
      <c r="B257"/>
      <c r="C257"/>
      <c r="D257"/>
      <c r="E257"/>
      <c r="F257"/>
      <c r="G257"/>
      <c r="H257"/>
    </row>
    <row r="258" spans="1:8">
      <c r="A258"/>
      <c r="B258"/>
      <c r="C258"/>
      <c r="D258"/>
      <c r="E258"/>
      <c r="F258"/>
      <c r="G258"/>
      <c r="H258"/>
    </row>
    <row r="259" spans="1:8">
      <c r="A259"/>
      <c r="B259"/>
      <c r="C259"/>
      <c r="D259"/>
      <c r="E259"/>
      <c r="F259"/>
      <c r="G259"/>
      <c r="H259"/>
    </row>
    <row r="260" spans="1:8">
      <c r="A260"/>
      <c r="B260"/>
      <c r="C260"/>
      <c r="D260"/>
      <c r="E260"/>
      <c r="F260"/>
      <c r="G260"/>
      <c r="H260"/>
    </row>
    <row r="261" spans="1:8">
      <c r="A261"/>
      <c r="B261"/>
      <c r="C261"/>
      <c r="D261"/>
      <c r="E261"/>
      <c r="F261"/>
      <c r="G261"/>
      <c r="H261"/>
    </row>
    <row r="262" spans="1:8">
      <c r="A262"/>
      <c r="B262"/>
      <c r="C262"/>
      <c r="D262"/>
      <c r="E262"/>
      <c r="F262"/>
      <c r="G262"/>
      <c r="H262"/>
    </row>
    <row r="263" spans="1:8">
      <c r="A263"/>
      <c r="B263"/>
      <c r="C263"/>
      <c r="D263"/>
      <c r="E263"/>
      <c r="F263"/>
      <c r="G263"/>
      <c r="H263"/>
    </row>
    <row r="264" spans="1:8">
      <c r="A264"/>
      <c r="B264"/>
      <c r="C264"/>
      <c r="D264"/>
      <c r="E264"/>
      <c r="F264"/>
      <c r="G264"/>
      <c r="H264"/>
    </row>
    <row r="265" spans="1:8">
      <c r="A265"/>
      <c r="B265"/>
      <c r="C265"/>
      <c r="D265"/>
      <c r="E265"/>
      <c r="F265"/>
      <c r="G265"/>
      <c r="H265"/>
    </row>
    <row r="266" spans="1:8">
      <c r="A266"/>
      <c r="B266"/>
      <c r="C266"/>
      <c r="D266"/>
      <c r="E266"/>
      <c r="F266"/>
      <c r="G266"/>
      <c r="H266"/>
    </row>
    <row r="267" spans="1:8">
      <c r="A267"/>
      <c r="B267"/>
      <c r="C267"/>
      <c r="D267"/>
      <c r="E267"/>
      <c r="F267"/>
      <c r="G267"/>
      <c r="H267"/>
    </row>
    <row r="268" spans="1:8">
      <c r="A268"/>
      <c r="B268"/>
      <c r="C268"/>
      <c r="D268"/>
      <c r="E268"/>
      <c r="F268"/>
      <c r="G268"/>
      <c r="H268"/>
    </row>
    <row r="269" spans="1:8">
      <c r="A269"/>
      <c r="B269"/>
      <c r="C269"/>
      <c r="D269"/>
      <c r="E269"/>
      <c r="F269"/>
      <c r="G269"/>
      <c r="H269"/>
    </row>
    <row r="270" spans="1:8">
      <c r="A270"/>
      <c r="B270"/>
      <c r="C270"/>
      <c r="D270"/>
      <c r="E270"/>
      <c r="F270"/>
      <c r="G270"/>
      <c r="H270"/>
    </row>
    <row r="271" spans="1:8">
      <c r="A271"/>
      <c r="B271"/>
      <c r="C271"/>
      <c r="D271"/>
      <c r="E271"/>
      <c r="F271"/>
      <c r="G271"/>
      <c r="H271"/>
    </row>
    <row r="272" spans="1:8">
      <c r="A272"/>
      <c r="B272"/>
      <c r="C272"/>
      <c r="D272"/>
      <c r="E272"/>
      <c r="F272"/>
      <c r="G272"/>
      <c r="H272"/>
    </row>
    <row r="273" spans="1:8">
      <c r="A273"/>
      <c r="B273"/>
      <c r="C273"/>
      <c r="D273"/>
      <c r="E273"/>
      <c r="F273"/>
      <c r="G273"/>
      <c r="H273"/>
    </row>
    <row r="274" spans="1:8">
      <c r="A274"/>
      <c r="B274"/>
      <c r="C274"/>
      <c r="D274"/>
      <c r="E274"/>
      <c r="F274"/>
      <c r="G274"/>
      <c r="H274"/>
    </row>
    <row r="275" spans="1:8">
      <c r="A275"/>
      <c r="B275"/>
      <c r="C275"/>
      <c r="D275"/>
      <c r="E275"/>
      <c r="F275"/>
      <c r="G275"/>
      <c r="H275"/>
    </row>
    <row r="276" spans="1:8">
      <c r="A276"/>
      <c r="B276"/>
      <c r="C276"/>
      <c r="D276"/>
      <c r="E276"/>
      <c r="F276"/>
      <c r="G276"/>
      <c r="H276"/>
    </row>
    <row r="277" spans="1:8">
      <c r="A277"/>
      <c r="B277"/>
      <c r="C277"/>
      <c r="D277"/>
      <c r="E277"/>
      <c r="F277"/>
      <c r="G277"/>
      <c r="H277"/>
    </row>
    <row r="278" spans="1:8">
      <c r="A278"/>
      <c r="B278"/>
      <c r="C278"/>
      <c r="D278"/>
      <c r="E278"/>
      <c r="F278"/>
      <c r="G278"/>
      <c r="H278"/>
    </row>
    <row r="279" spans="1:8">
      <c r="A279"/>
      <c r="B279"/>
      <c r="C279"/>
      <c r="D279"/>
      <c r="E279"/>
      <c r="F279"/>
      <c r="G279"/>
      <c r="H279"/>
    </row>
    <row r="280" spans="1:8">
      <c r="A280"/>
      <c r="B280"/>
      <c r="C280"/>
      <c r="D280"/>
      <c r="E280"/>
      <c r="F280"/>
      <c r="G280"/>
      <c r="H280"/>
    </row>
    <row r="281" spans="1:8">
      <c r="A281"/>
      <c r="B281"/>
      <c r="C281"/>
      <c r="D281"/>
      <c r="E281"/>
      <c r="F281"/>
      <c r="G281"/>
      <c r="H281"/>
    </row>
    <row r="282" spans="1:8">
      <c r="A282"/>
      <c r="B282"/>
      <c r="C282"/>
      <c r="D282"/>
      <c r="E282"/>
      <c r="F282"/>
      <c r="G282"/>
      <c r="H282"/>
    </row>
    <row r="283" spans="1:8">
      <c r="A283"/>
      <c r="B283"/>
      <c r="C283"/>
      <c r="D283"/>
      <c r="E283"/>
      <c r="F283"/>
      <c r="G283"/>
      <c r="H283"/>
    </row>
    <row r="284" spans="1:8">
      <c r="A284"/>
      <c r="B284"/>
      <c r="C284"/>
      <c r="D284"/>
      <c r="E284"/>
      <c r="F284"/>
      <c r="G284"/>
      <c r="H284"/>
    </row>
    <row r="285" spans="1:8">
      <c r="A285"/>
      <c r="B285"/>
      <c r="C285"/>
      <c r="D285"/>
      <c r="E285"/>
      <c r="F285"/>
      <c r="G285"/>
      <c r="H285"/>
    </row>
    <row r="286" spans="1:8">
      <c r="A286"/>
      <c r="B286"/>
      <c r="C286"/>
      <c r="D286"/>
      <c r="E286"/>
      <c r="F286"/>
      <c r="G286"/>
      <c r="H286"/>
    </row>
    <row r="287" spans="1:8">
      <c r="A287"/>
      <c r="B287"/>
      <c r="C287"/>
      <c r="D287"/>
      <c r="E287"/>
      <c r="F287"/>
      <c r="G287"/>
      <c r="H287"/>
    </row>
    <row r="288" spans="1:8">
      <c r="A288"/>
      <c r="B288"/>
      <c r="C288"/>
      <c r="D288"/>
      <c r="E288"/>
      <c r="F288"/>
      <c r="G288"/>
      <c r="H288"/>
    </row>
    <row r="289" spans="1:8">
      <c r="A289"/>
      <c r="B289"/>
      <c r="C289"/>
      <c r="D289"/>
      <c r="E289"/>
      <c r="F289"/>
      <c r="G289"/>
      <c r="H289"/>
    </row>
    <row r="290" spans="1:8">
      <c r="A290"/>
      <c r="B290"/>
      <c r="C290"/>
      <c r="D290"/>
      <c r="E290"/>
      <c r="F290"/>
      <c r="G290"/>
      <c r="H290"/>
    </row>
    <row r="291" spans="1:8">
      <c r="A291"/>
      <c r="B291"/>
      <c r="C291"/>
      <c r="D291"/>
      <c r="E291"/>
      <c r="F291"/>
      <c r="G291"/>
      <c r="H291"/>
    </row>
    <row r="292" spans="1:8">
      <c r="A292"/>
      <c r="B292"/>
      <c r="C292"/>
      <c r="D292"/>
      <c r="E292"/>
      <c r="F292"/>
      <c r="G292"/>
      <c r="H292"/>
    </row>
    <row r="293" spans="1:8">
      <c r="A293"/>
      <c r="B293"/>
      <c r="C293"/>
      <c r="D293"/>
      <c r="E293"/>
      <c r="F293"/>
      <c r="G293"/>
      <c r="H293"/>
    </row>
    <row r="294" spans="1:8">
      <c r="A294"/>
      <c r="B294"/>
      <c r="C294"/>
      <c r="D294"/>
      <c r="E294"/>
      <c r="F294"/>
      <c r="G294"/>
      <c r="H294"/>
    </row>
    <row r="295" spans="1:8">
      <c r="A295"/>
      <c r="B295"/>
      <c r="C295"/>
      <c r="D295"/>
      <c r="E295"/>
      <c r="F295"/>
      <c r="G295"/>
      <c r="H295"/>
    </row>
    <row r="296" spans="1:8">
      <c r="A296"/>
      <c r="B296"/>
      <c r="C296"/>
      <c r="D296"/>
      <c r="E296"/>
      <c r="F296"/>
      <c r="G296"/>
      <c r="H296"/>
    </row>
    <row r="297" spans="1:8">
      <c r="A297"/>
      <c r="B297"/>
      <c r="C297"/>
      <c r="D297"/>
      <c r="E297"/>
      <c r="F297"/>
      <c r="G297"/>
      <c r="H297"/>
    </row>
    <row r="298" spans="1:8">
      <c r="A298"/>
      <c r="B298"/>
      <c r="C298"/>
      <c r="D298"/>
      <c r="E298"/>
      <c r="F298"/>
      <c r="G298"/>
      <c r="H298"/>
    </row>
    <row r="299" spans="1:8">
      <c r="A299"/>
      <c r="B299"/>
      <c r="C299"/>
      <c r="D299"/>
      <c r="E299"/>
      <c r="F299"/>
      <c r="G299"/>
      <c r="H299"/>
    </row>
    <row r="300" spans="1:8">
      <c r="A300"/>
      <c r="B300"/>
      <c r="C300"/>
      <c r="D300"/>
      <c r="E300"/>
      <c r="F300"/>
      <c r="G300"/>
      <c r="H300"/>
    </row>
    <row r="301" spans="1:8">
      <c r="A301"/>
      <c r="B301"/>
      <c r="C301"/>
      <c r="D301"/>
      <c r="E301"/>
      <c r="F301"/>
      <c r="G301"/>
      <c r="H301"/>
    </row>
    <row r="302" spans="1:8">
      <c r="A302"/>
      <c r="B302"/>
      <c r="C302"/>
      <c r="D302"/>
      <c r="E302"/>
      <c r="F302"/>
      <c r="G302"/>
      <c r="H302"/>
    </row>
    <row r="303" spans="1:8">
      <c r="A303"/>
      <c r="B303"/>
      <c r="C303"/>
      <c r="D303"/>
      <c r="E303"/>
      <c r="F303"/>
      <c r="G303"/>
      <c r="H303"/>
    </row>
    <row r="304" spans="1:8">
      <c r="A304"/>
      <c r="B304"/>
      <c r="C304"/>
      <c r="D304"/>
      <c r="E304"/>
      <c r="F304"/>
      <c r="G304"/>
      <c r="H304"/>
    </row>
    <row r="305" spans="1:8">
      <c r="A305"/>
      <c r="B305"/>
      <c r="C305"/>
      <c r="D305"/>
      <c r="E305"/>
      <c r="F305"/>
      <c r="G305"/>
      <c r="H305"/>
    </row>
    <row r="306" spans="1:8">
      <c r="A306"/>
      <c r="B306"/>
      <c r="C306"/>
      <c r="D306"/>
      <c r="E306"/>
      <c r="F306"/>
      <c r="G306"/>
      <c r="H306"/>
    </row>
    <row r="307" spans="1:8">
      <c r="A307"/>
      <c r="B307"/>
      <c r="C307"/>
      <c r="D307"/>
      <c r="E307"/>
      <c r="F307"/>
      <c r="G307"/>
      <c r="H307"/>
    </row>
    <row r="308" spans="1:8">
      <c r="A308"/>
      <c r="B308"/>
      <c r="C308"/>
      <c r="D308"/>
      <c r="E308"/>
      <c r="F308"/>
      <c r="G308"/>
      <c r="H308"/>
    </row>
    <row r="309" spans="1:8">
      <c r="A309"/>
      <c r="B309"/>
      <c r="C309"/>
      <c r="D309"/>
      <c r="E309"/>
      <c r="F309"/>
      <c r="G309"/>
      <c r="H309"/>
    </row>
    <row r="310" spans="1:8">
      <c r="A310"/>
      <c r="B310"/>
      <c r="C310"/>
      <c r="D310"/>
      <c r="E310"/>
      <c r="F310"/>
      <c r="G310"/>
      <c r="H310"/>
    </row>
    <row r="311" spans="1:8">
      <c r="A311"/>
      <c r="B311"/>
      <c r="C311"/>
      <c r="D311"/>
      <c r="E311"/>
      <c r="F311"/>
      <c r="G311"/>
      <c r="H311"/>
    </row>
    <row r="312" spans="1:8">
      <c r="A312"/>
      <c r="B312"/>
      <c r="C312"/>
      <c r="D312"/>
      <c r="E312"/>
      <c r="F312"/>
      <c r="G312"/>
      <c r="H312"/>
    </row>
    <row r="313" spans="1:8">
      <c r="A313"/>
      <c r="B313"/>
      <c r="C313"/>
      <c r="D313"/>
      <c r="E313"/>
      <c r="F313"/>
      <c r="G313"/>
      <c r="H313"/>
    </row>
    <row r="314" spans="1:8">
      <c r="A314"/>
      <c r="B314"/>
      <c r="C314"/>
      <c r="D314"/>
      <c r="E314"/>
      <c r="F314"/>
      <c r="G314"/>
      <c r="H314"/>
    </row>
    <row r="315" spans="1:8">
      <c r="A315"/>
      <c r="B315"/>
      <c r="C315"/>
      <c r="D315"/>
      <c r="E315"/>
      <c r="F315"/>
      <c r="G315"/>
      <c r="H315"/>
    </row>
    <row r="316" spans="1:8">
      <c r="A316"/>
      <c r="B316"/>
      <c r="C316"/>
      <c r="D316"/>
      <c r="E316"/>
      <c r="F316"/>
      <c r="G316"/>
      <c r="H316"/>
    </row>
    <row r="317" spans="1:8">
      <c r="A317"/>
      <c r="B317"/>
      <c r="C317"/>
      <c r="D317"/>
      <c r="E317"/>
      <c r="F317"/>
      <c r="G317"/>
      <c r="H317"/>
    </row>
    <row r="318" spans="1:8">
      <c r="A318"/>
      <c r="B318"/>
      <c r="C318"/>
      <c r="D318"/>
      <c r="E318"/>
      <c r="F318"/>
      <c r="G318"/>
      <c r="H318"/>
    </row>
    <row r="319" spans="1:8">
      <c r="A319"/>
      <c r="B319"/>
      <c r="C319"/>
      <c r="D319"/>
      <c r="E319"/>
      <c r="F319"/>
      <c r="G319"/>
      <c r="H319"/>
    </row>
    <row r="320" spans="1:8">
      <c r="A320"/>
      <c r="B320"/>
      <c r="C320"/>
      <c r="D320"/>
      <c r="E320"/>
      <c r="F320"/>
      <c r="G320"/>
      <c r="H320"/>
    </row>
    <row r="321" spans="1:8">
      <c r="A321"/>
      <c r="B321"/>
      <c r="C321"/>
      <c r="D321"/>
      <c r="E321"/>
      <c r="F321"/>
      <c r="G321"/>
      <c r="H321"/>
    </row>
    <row r="322" spans="1:8">
      <c r="A322"/>
      <c r="B322"/>
      <c r="C322"/>
      <c r="D322"/>
      <c r="E322"/>
      <c r="F322"/>
      <c r="G322"/>
      <c r="H322"/>
    </row>
    <row r="323" spans="1:8">
      <c r="A323"/>
      <c r="B323"/>
      <c r="C323"/>
      <c r="D323"/>
      <c r="E323"/>
      <c r="F323"/>
      <c r="G323"/>
      <c r="H323"/>
    </row>
    <row r="324" spans="1:8">
      <c r="A324"/>
      <c r="B324"/>
      <c r="C324"/>
      <c r="D324"/>
      <c r="E324"/>
      <c r="F324"/>
      <c r="G324"/>
      <c r="H324"/>
    </row>
    <row r="325" spans="1:8">
      <c r="A325"/>
      <c r="B325"/>
      <c r="C325"/>
      <c r="D325"/>
      <c r="E325"/>
      <c r="F325"/>
      <c r="G325"/>
      <c r="H325"/>
    </row>
    <row r="326" spans="1:8">
      <c r="A326"/>
      <c r="B326"/>
      <c r="C326"/>
      <c r="D326"/>
      <c r="E326"/>
      <c r="F326"/>
      <c r="G326"/>
      <c r="H326"/>
    </row>
    <row r="327" spans="1:8">
      <c r="A327"/>
      <c r="B327"/>
      <c r="C327"/>
      <c r="D327"/>
      <c r="E327"/>
      <c r="F327"/>
      <c r="G327"/>
      <c r="H327"/>
    </row>
    <row r="328" spans="1:8">
      <c r="A328"/>
      <c r="B328"/>
      <c r="C328"/>
      <c r="D328"/>
      <c r="E328"/>
      <c r="F328"/>
      <c r="G328"/>
      <c r="H328"/>
    </row>
    <row r="329" spans="1:8">
      <c r="A329"/>
      <c r="B329"/>
      <c r="C329"/>
      <c r="D329"/>
      <c r="E329"/>
      <c r="F329"/>
      <c r="G329"/>
      <c r="H329"/>
    </row>
    <row r="330" spans="1:8">
      <c r="A330"/>
      <c r="B330"/>
      <c r="C330"/>
      <c r="D330"/>
      <c r="E330"/>
      <c r="F330"/>
      <c r="G330"/>
      <c r="H330"/>
    </row>
    <row r="331" spans="1:8">
      <c r="A331"/>
      <c r="B331"/>
      <c r="C331"/>
      <c r="D331"/>
      <c r="E331"/>
      <c r="F331"/>
      <c r="G331"/>
      <c r="H331"/>
    </row>
    <row r="332" spans="1:8">
      <c r="A332"/>
      <c r="B332"/>
      <c r="C332"/>
      <c r="D332"/>
      <c r="E332"/>
      <c r="F332"/>
      <c r="G332"/>
      <c r="H332"/>
    </row>
    <row r="333" spans="1:8">
      <c r="A333"/>
      <c r="B333"/>
      <c r="C333"/>
      <c r="D333"/>
      <c r="E333"/>
      <c r="F333"/>
      <c r="G333"/>
      <c r="H333"/>
    </row>
    <row r="334" spans="1:8">
      <c r="A334"/>
      <c r="B334"/>
      <c r="C334"/>
      <c r="D334"/>
      <c r="E334"/>
      <c r="F334"/>
      <c r="G334"/>
      <c r="H334"/>
    </row>
    <row r="335" spans="1:8">
      <c r="A335"/>
      <c r="B335"/>
      <c r="C335"/>
      <c r="D335"/>
      <c r="E335"/>
      <c r="F335"/>
      <c r="G335"/>
      <c r="H335"/>
    </row>
    <row r="336" spans="1:8">
      <c r="A336"/>
      <c r="B336"/>
      <c r="C336"/>
      <c r="D336"/>
      <c r="E336"/>
      <c r="F336"/>
      <c r="G336"/>
      <c r="H336"/>
    </row>
    <row r="337" spans="1:8">
      <c r="A337"/>
      <c r="B337"/>
      <c r="C337"/>
      <c r="D337"/>
      <c r="E337"/>
      <c r="F337"/>
      <c r="G337"/>
      <c r="H337"/>
    </row>
    <row r="338" spans="1:8">
      <c r="A338"/>
      <c r="B338"/>
      <c r="C338"/>
      <c r="D338"/>
      <c r="E338"/>
      <c r="F338"/>
      <c r="G338"/>
      <c r="H338"/>
    </row>
    <row r="339" spans="1:8">
      <c r="A339"/>
      <c r="B339"/>
      <c r="C339"/>
      <c r="D339"/>
      <c r="E339"/>
      <c r="F339"/>
      <c r="G339"/>
      <c r="H339"/>
    </row>
    <row r="340" spans="1:8">
      <c r="B340" s="65"/>
      <c r="F340" s="65"/>
    </row>
    <row r="341" spans="1:8">
      <c r="B341" s="65"/>
      <c r="F341" s="65"/>
    </row>
    <row r="342" spans="1:8">
      <c r="B342" s="65"/>
      <c r="F342" s="65"/>
    </row>
    <row r="343" spans="1:8">
      <c r="B343" s="65"/>
      <c r="F343" s="65"/>
    </row>
    <row r="344" spans="1:8">
      <c r="B344" s="65"/>
      <c r="F344" s="65"/>
    </row>
    <row r="345" spans="1:8">
      <c r="B345" s="65"/>
      <c r="F345" s="65"/>
    </row>
    <row r="346" spans="1:8">
      <c r="B346" s="65"/>
      <c r="F346" s="65"/>
    </row>
    <row r="347" spans="1:8">
      <c r="B347" s="65"/>
      <c r="F347" s="65"/>
    </row>
    <row r="348" spans="1:8">
      <c r="B348" s="65"/>
      <c r="F348" s="65"/>
    </row>
    <row r="349" spans="1:8">
      <c r="B349" s="65"/>
      <c r="F349" s="65"/>
    </row>
    <row r="350" spans="1:8">
      <c r="B350" s="65"/>
      <c r="F350" s="65"/>
    </row>
    <row r="351" spans="1:8">
      <c r="B351" s="65"/>
      <c r="F351" s="65"/>
    </row>
    <row r="352" spans="1:8">
      <c r="B352" s="65"/>
      <c r="F352" s="65"/>
    </row>
    <row r="353" spans="2:6">
      <c r="B353" s="65"/>
      <c r="F353" s="65"/>
    </row>
    <row r="354" spans="2:6">
      <c r="B354" s="65"/>
      <c r="F354" s="65"/>
    </row>
    <row r="355" spans="2:6">
      <c r="B355" s="65"/>
      <c r="F355" s="65"/>
    </row>
    <row r="356" spans="2:6">
      <c r="B356" s="65"/>
      <c r="F356" s="65"/>
    </row>
    <row r="357" spans="2:6">
      <c r="B357" s="65"/>
      <c r="F357" s="65"/>
    </row>
    <row r="358" spans="2:6">
      <c r="B358" s="65"/>
      <c r="F358" s="65"/>
    </row>
    <row r="359" spans="2:6">
      <c r="B359" s="65"/>
      <c r="F359" s="65"/>
    </row>
    <row r="360" spans="2:6">
      <c r="B360" s="65"/>
      <c r="F360" s="65"/>
    </row>
    <row r="361" spans="2:6">
      <c r="B361" s="65"/>
      <c r="F361" s="65"/>
    </row>
    <row r="362" spans="2:6">
      <c r="B362" s="65"/>
      <c r="F362" s="65"/>
    </row>
    <row r="363" spans="2:6">
      <c r="B363" s="65"/>
      <c r="F363" s="65"/>
    </row>
    <row r="364" spans="2:6">
      <c r="B364" s="65"/>
      <c r="F364" s="65"/>
    </row>
    <row r="365" spans="2:6">
      <c r="B365" s="65"/>
      <c r="F365" s="65"/>
    </row>
    <row r="366" spans="2:6">
      <c r="B366" s="65"/>
      <c r="F366" s="65"/>
    </row>
    <row r="367" spans="2:6">
      <c r="B367" s="65"/>
      <c r="F367" s="65"/>
    </row>
    <row r="368" spans="2:6">
      <c r="B368" s="65"/>
      <c r="F368" s="65"/>
    </row>
    <row r="369" spans="2:6">
      <c r="B369" s="65"/>
      <c r="F369" s="65"/>
    </row>
    <row r="370" spans="2:6">
      <c r="B370" s="65"/>
      <c r="F370" s="65"/>
    </row>
    <row r="371" spans="2:6">
      <c r="B371" s="65"/>
      <c r="F371" s="65"/>
    </row>
    <row r="372" spans="2:6">
      <c r="B372" s="65"/>
      <c r="F372" s="65"/>
    </row>
    <row r="373" spans="2:6">
      <c r="B373" s="65"/>
      <c r="F373" s="65"/>
    </row>
    <row r="374" spans="2:6">
      <c r="B374" s="65"/>
      <c r="F374" s="65"/>
    </row>
    <row r="375" spans="2:6">
      <c r="B375" s="65"/>
      <c r="F375" s="65"/>
    </row>
    <row r="376" spans="2:6">
      <c r="B376" s="65"/>
      <c r="F376" s="65"/>
    </row>
    <row r="377" spans="2:6">
      <c r="B377" s="65"/>
      <c r="F377" s="65"/>
    </row>
    <row r="378" spans="2:6">
      <c r="B378" s="65"/>
      <c r="F378" s="65"/>
    </row>
    <row r="379" spans="2:6">
      <c r="B379" s="65"/>
      <c r="F379" s="65"/>
    </row>
    <row r="380" spans="2:6">
      <c r="B380" s="65"/>
      <c r="F380" s="65"/>
    </row>
    <row r="381" spans="2:6">
      <c r="B381" s="65"/>
      <c r="F381" s="65"/>
    </row>
    <row r="382" spans="2:6">
      <c r="B382" s="65"/>
      <c r="F382" s="65"/>
    </row>
    <row r="383" spans="2:6">
      <c r="B383" s="65"/>
      <c r="F383" s="65"/>
    </row>
    <row r="384" spans="2:6">
      <c r="B384" s="65"/>
      <c r="F384" s="65"/>
    </row>
    <row r="385" spans="2:6">
      <c r="B385" s="65"/>
      <c r="F385" s="65"/>
    </row>
    <row r="386" spans="2:6">
      <c r="B386" s="65"/>
      <c r="F386" s="65"/>
    </row>
    <row r="387" spans="2:6">
      <c r="B387" s="65"/>
      <c r="F387" s="65"/>
    </row>
    <row r="388" spans="2:6">
      <c r="B388" s="65"/>
      <c r="F388" s="65"/>
    </row>
    <row r="389" spans="2:6">
      <c r="B389" s="65"/>
      <c r="F389" s="65"/>
    </row>
    <row r="390" spans="2:6">
      <c r="B390" s="65"/>
      <c r="F390" s="65"/>
    </row>
    <row r="391" spans="2:6">
      <c r="B391" s="65"/>
      <c r="F391" s="65"/>
    </row>
    <row r="392" spans="2:6">
      <c r="B392" s="65"/>
      <c r="F392" s="65"/>
    </row>
    <row r="393" spans="2:6">
      <c r="B393" s="65"/>
      <c r="F393" s="65"/>
    </row>
    <row r="394" spans="2:6">
      <c r="B394" s="65"/>
      <c r="F394" s="65"/>
    </row>
    <row r="395" spans="2:6">
      <c r="B395" s="65"/>
      <c r="F395" s="65"/>
    </row>
    <row r="396" spans="2:6">
      <c r="B396" s="65"/>
      <c r="F396" s="65"/>
    </row>
    <row r="397" spans="2:6">
      <c r="B397" s="65"/>
      <c r="F397" s="65"/>
    </row>
    <row r="398" spans="2:6">
      <c r="B398" s="65"/>
      <c r="F398" s="65"/>
    </row>
    <row r="399" spans="2:6">
      <c r="B399" s="65"/>
      <c r="F399" s="65"/>
    </row>
    <row r="400" spans="2:6">
      <c r="B400" s="65"/>
      <c r="F400" s="65"/>
    </row>
    <row r="401" spans="2:6">
      <c r="B401" s="65"/>
      <c r="F401" s="65"/>
    </row>
    <row r="402" spans="2:6">
      <c r="B402" s="65"/>
      <c r="F402" s="65"/>
    </row>
    <row r="403" spans="2:6">
      <c r="B403" s="65"/>
      <c r="F403" s="65"/>
    </row>
    <row r="404" spans="2:6">
      <c r="B404" s="65"/>
      <c r="F404" s="65"/>
    </row>
    <row r="405" spans="2:6">
      <c r="B405" s="65"/>
      <c r="F405" s="65"/>
    </row>
    <row r="406" spans="2:6">
      <c r="B406" s="65"/>
      <c r="F406" s="65"/>
    </row>
    <row r="407" spans="2:6">
      <c r="B407" s="65"/>
      <c r="F407" s="65"/>
    </row>
    <row r="408" spans="2:6">
      <c r="B408" s="65"/>
      <c r="F408" s="65"/>
    </row>
    <row r="409" spans="2:6">
      <c r="B409" s="65"/>
      <c r="F409" s="65"/>
    </row>
    <row r="410" spans="2:6">
      <c r="B410" s="65"/>
      <c r="F410" s="65"/>
    </row>
    <row r="411" spans="2:6">
      <c r="B411" s="65"/>
      <c r="F411" s="65"/>
    </row>
    <row r="412" spans="2:6">
      <c r="B412" s="65"/>
      <c r="F412" s="65"/>
    </row>
    <row r="413" spans="2:6">
      <c r="B413" s="65"/>
      <c r="F413" s="65"/>
    </row>
    <row r="414" spans="2:6">
      <c r="B414" s="65"/>
      <c r="F414" s="65"/>
    </row>
    <row r="415" spans="2:6">
      <c r="B415" s="65"/>
      <c r="F415" s="65"/>
    </row>
    <row r="416" spans="2:6">
      <c r="B416" s="65"/>
      <c r="F416" s="65"/>
    </row>
    <row r="417" spans="2:6">
      <c r="B417" s="65"/>
      <c r="F417" s="65"/>
    </row>
    <row r="418" spans="2:6">
      <c r="B418" s="65"/>
      <c r="F418" s="65"/>
    </row>
    <row r="419" spans="2:6">
      <c r="B419" s="65"/>
      <c r="F419" s="65"/>
    </row>
    <row r="420" spans="2:6">
      <c r="B420" s="65"/>
      <c r="F420" s="65"/>
    </row>
    <row r="421" spans="2:6">
      <c r="B421" s="65"/>
      <c r="F421" s="65"/>
    </row>
    <row r="422" spans="2:6">
      <c r="B422" s="65"/>
      <c r="F422" s="65"/>
    </row>
    <row r="423" spans="2:6">
      <c r="B423" s="65"/>
      <c r="F423" s="65"/>
    </row>
    <row r="424" spans="2:6">
      <c r="B424" s="65"/>
      <c r="F424" s="65"/>
    </row>
    <row r="425" spans="2:6">
      <c r="B425" s="65"/>
      <c r="F425" s="65"/>
    </row>
    <row r="426" spans="2:6">
      <c r="B426" s="65"/>
      <c r="F426" s="65"/>
    </row>
    <row r="427" spans="2:6">
      <c r="B427" s="65"/>
      <c r="F427" s="65"/>
    </row>
    <row r="428" spans="2:6">
      <c r="B428" s="65"/>
      <c r="F428" s="65"/>
    </row>
    <row r="429" spans="2:6">
      <c r="B429" s="65"/>
      <c r="F429" s="65"/>
    </row>
    <row r="430" spans="2:6">
      <c r="B430" s="65"/>
      <c r="F430" s="65"/>
    </row>
    <row r="431" spans="2:6">
      <c r="B431" s="65"/>
      <c r="F431" s="65"/>
    </row>
    <row r="432" spans="2:6">
      <c r="B432" s="65"/>
      <c r="F432" s="65"/>
    </row>
    <row r="433" spans="2:6">
      <c r="B433" s="65"/>
      <c r="F433" s="65"/>
    </row>
    <row r="434" spans="2:6">
      <c r="B434" s="65"/>
      <c r="F434" s="65"/>
    </row>
    <row r="435" spans="2:6">
      <c r="B435" s="65"/>
      <c r="F435" s="65"/>
    </row>
    <row r="436" spans="2:6">
      <c r="B436" s="65"/>
      <c r="F436" s="65"/>
    </row>
    <row r="437" spans="2:6">
      <c r="B437" s="65"/>
      <c r="F437" s="65"/>
    </row>
    <row r="438" spans="2:6">
      <c r="B438" s="65"/>
      <c r="F438" s="65"/>
    </row>
    <row r="439" spans="2:6">
      <c r="B439" s="65"/>
      <c r="F439" s="65"/>
    </row>
    <row r="440" spans="2:6">
      <c r="B440" s="65"/>
      <c r="F440" s="65"/>
    </row>
    <row r="441" spans="2:6">
      <c r="B441" s="65"/>
      <c r="F441" s="65"/>
    </row>
    <row r="442" spans="2:6">
      <c r="B442" s="65"/>
      <c r="F442" s="65"/>
    </row>
    <row r="443" spans="2:6">
      <c r="B443" s="65"/>
      <c r="F443" s="65"/>
    </row>
    <row r="444" spans="2:6">
      <c r="B444" s="65"/>
      <c r="F444" s="65"/>
    </row>
    <row r="445" spans="2:6">
      <c r="B445" s="65"/>
      <c r="F445" s="65"/>
    </row>
    <row r="446" spans="2:6">
      <c r="B446" s="65"/>
      <c r="F446" s="65"/>
    </row>
    <row r="447" spans="2:6">
      <c r="B447" s="65"/>
      <c r="F447" s="65"/>
    </row>
    <row r="448" spans="2:6">
      <c r="B448" s="65"/>
      <c r="F448" s="65"/>
    </row>
    <row r="449" spans="2:6">
      <c r="B449" s="65"/>
      <c r="F449" s="65"/>
    </row>
    <row r="450" spans="2:6">
      <c r="B450" s="65"/>
      <c r="F450" s="65"/>
    </row>
    <row r="451" spans="2:6">
      <c r="B451" s="65"/>
      <c r="F451" s="65"/>
    </row>
    <row r="452" spans="2:6">
      <c r="B452" s="65"/>
      <c r="F452" s="65"/>
    </row>
    <row r="453" spans="2:6">
      <c r="B453" s="65"/>
      <c r="F453" s="65"/>
    </row>
    <row r="454" spans="2:6">
      <c r="B454" s="65"/>
      <c r="F454" s="65"/>
    </row>
    <row r="455" spans="2:6">
      <c r="B455" s="65"/>
      <c r="F455" s="65"/>
    </row>
    <row r="456" spans="2:6">
      <c r="B456" s="65"/>
      <c r="F456" s="65"/>
    </row>
    <row r="457" spans="2:6">
      <c r="B457" s="65"/>
      <c r="F457" s="65"/>
    </row>
    <row r="458" spans="2:6">
      <c r="B458" s="65"/>
      <c r="F458" s="65"/>
    </row>
    <row r="459" spans="2:6">
      <c r="B459" s="65"/>
      <c r="F459" s="65"/>
    </row>
    <row r="460" spans="2:6">
      <c r="B460" s="65"/>
      <c r="F460" s="65"/>
    </row>
    <row r="461" spans="2:6">
      <c r="B461" s="65"/>
      <c r="F461" s="65"/>
    </row>
    <row r="462" spans="2:6">
      <c r="B462" s="65"/>
      <c r="F462" s="65"/>
    </row>
    <row r="463" spans="2:6">
      <c r="B463" s="65"/>
      <c r="F463" s="65"/>
    </row>
    <row r="464" spans="2:6">
      <c r="B464" s="65"/>
      <c r="F464" s="65"/>
    </row>
    <row r="465" spans="2:6">
      <c r="B465" s="65"/>
      <c r="F465" s="65"/>
    </row>
    <row r="466" spans="2:6">
      <c r="B466" s="65"/>
      <c r="F466" s="65"/>
    </row>
    <row r="467" spans="2:6">
      <c r="B467" s="65"/>
      <c r="F467" s="65"/>
    </row>
    <row r="468" spans="2:6">
      <c r="B468" s="65"/>
      <c r="F468" s="65"/>
    </row>
    <row r="469" spans="2:6">
      <c r="B469" s="65"/>
      <c r="F469" s="65"/>
    </row>
    <row r="470" spans="2:6">
      <c r="B470" s="65"/>
      <c r="F470" s="65"/>
    </row>
    <row r="471" spans="2:6">
      <c r="B471" s="65"/>
      <c r="F471" s="65"/>
    </row>
    <row r="472" spans="2:6">
      <c r="B472" s="65"/>
      <c r="F472" s="65"/>
    </row>
    <row r="473" spans="2:6">
      <c r="B473" s="65"/>
      <c r="F473" s="65"/>
    </row>
    <row r="474" spans="2:6">
      <c r="B474" s="65"/>
      <c r="F474" s="65"/>
    </row>
    <row r="475" spans="2:6">
      <c r="B475" s="65"/>
      <c r="F475" s="65"/>
    </row>
    <row r="476" spans="2:6">
      <c r="B476" s="65"/>
      <c r="F476" s="65"/>
    </row>
    <row r="477" spans="2:6">
      <c r="B477" s="65"/>
      <c r="F477" s="65"/>
    </row>
    <row r="478" spans="2:6">
      <c r="B478" s="65"/>
      <c r="F478" s="65"/>
    </row>
    <row r="479" spans="2:6">
      <c r="B479" s="65"/>
      <c r="F479" s="65"/>
    </row>
    <row r="480" spans="2:6">
      <c r="B480" s="65"/>
      <c r="F480" s="65"/>
    </row>
    <row r="481" spans="2:6">
      <c r="B481" s="65"/>
      <c r="F481" s="65"/>
    </row>
    <row r="482" spans="2:6">
      <c r="B482" s="65"/>
      <c r="F482" s="65"/>
    </row>
    <row r="483" spans="2:6">
      <c r="B483" s="65"/>
      <c r="F483" s="65"/>
    </row>
    <row r="484" spans="2:6">
      <c r="B484" s="65"/>
      <c r="F484" s="65"/>
    </row>
    <row r="485" spans="2:6">
      <c r="B485" s="65"/>
      <c r="F485" s="65"/>
    </row>
    <row r="486" spans="2:6">
      <c r="B486" s="65"/>
      <c r="F486" s="65"/>
    </row>
    <row r="487" spans="2:6">
      <c r="B487" s="65"/>
      <c r="F487" s="65"/>
    </row>
    <row r="488" spans="2:6">
      <c r="B488" s="65"/>
      <c r="F488" s="65"/>
    </row>
    <row r="489" spans="2:6">
      <c r="B489" s="65"/>
      <c r="F489" s="65"/>
    </row>
    <row r="490" spans="2:6">
      <c r="B490" s="65"/>
      <c r="F490" s="65"/>
    </row>
    <row r="491" spans="2:6">
      <c r="B491" s="65"/>
      <c r="F491" s="65"/>
    </row>
    <row r="492" spans="2:6">
      <c r="B492" s="65"/>
      <c r="F492" s="65"/>
    </row>
    <row r="493" spans="2:6">
      <c r="B493" s="65"/>
      <c r="F493" s="65"/>
    </row>
    <row r="494" spans="2:6">
      <c r="B494" s="65"/>
      <c r="F494" s="65"/>
    </row>
    <row r="495" spans="2:6">
      <c r="B495" s="65"/>
      <c r="F495" s="65"/>
    </row>
    <row r="496" spans="2:6">
      <c r="B496" s="65"/>
      <c r="F496" s="65"/>
    </row>
    <row r="497" spans="2:6">
      <c r="B497" s="65"/>
      <c r="F497" s="65"/>
    </row>
    <row r="498" spans="2:6">
      <c r="B498" s="65"/>
      <c r="F498" s="65"/>
    </row>
    <row r="499" spans="2:6">
      <c r="B499" s="65"/>
      <c r="F499" s="65"/>
    </row>
    <row r="500" spans="2:6">
      <c r="B500" s="65"/>
      <c r="F500" s="65"/>
    </row>
    <row r="501" spans="2:6">
      <c r="B501" s="65"/>
      <c r="F501" s="65"/>
    </row>
    <row r="502" spans="2:6">
      <c r="B502" s="65"/>
      <c r="F502" s="65"/>
    </row>
    <row r="503" spans="2:6">
      <c r="B503" s="65"/>
      <c r="F503" s="65"/>
    </row>
    <row r="504" spans="2:6">
      <c r="B504" s="65"/>
      <c r="F504" s="65"/>
    </row>
    <row r="505" spans="2:6">
      <c r="B505" s="65"/>
      <c r="F505" s="65"/>
    </row>
    <row r="506" spans="2:6">
      <c r="B506" s="65"/>
      <c r="F506" s="65"/>
    </row>
    <row r="507" spans="2:6">
      <c r="B507" s="65"/>
      <c r="F507" s="65"/>
    </row>
    <row r="508" spans="2:6">
      <c r="B508" s="65"/>
      <c r="F508" s="65"/>
    </row>
    <row r="509" spans="2:6">
      <c r="B509" s="65"/>
      <c r="F509" s="65"/>
    </row>
    <row r="510" spans="2:6">
      <c r="B510" s="65"/>
      <c r="F510" s="65"/>
    </row>
    <row r="511" spans="2:6">
      <c r="B511" s="65"/>
      <c r="F511" s="65"/>
    </row>
    <row r="512" spans="2:6">
      <c r="B512" s="65"/>
      <c r="F512" s="65"/>
    </row>
    <row r="513" spans="2:6">
      <c r="B513" s="65"/>
      <c r="F513" s="65"/>
    </row>
    <row r="514" spans="2:6">
      <c r="B514" s="65"/>
      <c r="F514" s="65"/>
    </row>
    <row r="515" spans="2:6">
      <c r="B515" s="65"/>
      <c r="F515" s="65"/>
    </row>
    <row r="516" spans="2:6">
      <c r="B516" s="65"/>
      <c r="F516" s="65"/>
    </row>
    <row r="517" spans="2:6">
      <c r="B517" s="65"/>
      <c r="F517" s="65"/>
    </row>
    <row r="518" spans="2:6">
      <c r="B518" s="65"/>
      <c r="F518" s="65"/>
    </row>
    <row r="519" spans="2:6">
      <c r="B519" s="65"/>
      <c r="F519" s="65"/>
    </row>
    <row r="520" spans="2:6">
      <c r="B520" s="65"/>
      <c r="F520" s="65"/>
    </row>
    <row r="521" spans="2:6">
      <c r="B521" s="65"/>
      <c r="F521" s="65"/>
    </row>
    <row r="522" spans="2:6">
      <c r="B522" s="65"/>
      <c r="F522" s="65"/>
    </row>
    <row r="523" spans="2:6">
      <c r="B523" s="65"/>
      <c r="F523" s="65"/>
    </row>
    <row r="524" spans="2:6">
      <c r="B524" s="65"/>
      <c r="F524" s="65"/>
    </row>
    <row r="525" spans="2:6">
      <c r="B525" s="65"/>
      <c r="F525" s="65"/>
    </row>
    <row r="526" spans="2:6">
      <c r="B526" s="65"/>
      <c r="F526" s="65"/>
    </row>
    <row r="527" spans="2:6">
      <c r="B527" s="65"/>
      <c r="F527" s="65"/>
    </row>
    <row r="528" spans="2:6">
      <c r="B528" s="65"/>
      <c r="F528" s="65"/>
    </row>
    <row r="529" spans="2:6">
      <c r="B529" s="65"/>
      <c r="F529" s="65"/>
    </row>
    <row r="530" spans="2:6">
      <c r="B530" s="65"/>
      <c r="F530" s="65"/>
    </row>
    <row r="531" spans="2:6">
      <c r="B531" s="65"/>
      <c r="F531" s="65"/>
    </row>
    <row r="532" spans="2:6">
      <c r="B532" s="65"/>
      <c r="F532" s="65"/>
    </row>
    <row r="533" spans="2:6">
      <c r="B533" s="65"/>
      <c r="F533" s="65"/>
    </row>
    <row r="534" spans="2:6">
      <c r="B534" s="65"/>
      <c r="F534" s="65"/>
    </row>
    <row r="535" spans="2:6">
      <c r="B535" s="65"/>
      <c r="F535" s="65"/>
    </row>
    <row r="536" spans="2:6">
      <c r="B536" s="65"/>
      <c r="F536" s="65"/>
    </row>
    <row r="537" spans="2:6">
      <c r="B537" s="65"/>
      <c r="F537" s="65"/>
    </row>
    <row r="538" spans="2:6">
      <c r="B538" s="65"/>
      <c r="F538" s="65"/>
    </row>
    <row r="539" spans="2:6">
      <c r="B539" s="65"/>
      <c r="F539" s="65"/>
    </row>
    <row r="540" spans="2:6">
      <c r="B540" s="65"/>
      <c r="F540" s="65"/>
    </row>
    <row r="541" spans="2:6">
      <c r="B541" s="65"/>
      <c r="F541" s="65"/>
    </row>
    <row r="542" spans="2:6">
      <c r="B542" s="65"/>
      <c r="F542" s="65"/>
    </row>
    <row r="543" spans="2:6">
      <c r="B543" s="65"/>
      <c r="F543" s="65"/>
    </row>
    <row r="544" spans="2:6">
      <c r="B544" s="65"/>
      <c r="F544" s="65"/>
    </row>
    <row r="545" spans="2:6">
      <c r="B545" s="65"/>
      <c r="F545" s="65"/>
    </row>
    <row r="546" spans="2:6">
      <c r="B546" s="65"/>
      <c r="F546" s="65"/>
    </row>
    <row r="547" spans="2:6">
      <c r="B547" s="65"/>
      <c r="F547" s="65"/>
    </row>
    <row r="548" spans="2:6">
      <c r="B548" s="65"/>
      <c r="F548" s="65"/>
    </row>
    <row r="549" spans="2:6">
      <c r="B549" s="65"/>
      <c r="F549" s="65"/>
    </row>
    <row r="550" spans="2:6">
      <c r="B550" s="65"/>
      <c r="F550" s="65"/>
    </row>
    <row r="551" spans="2:6">
      <c r="B551" s="65"/>
      <c r="F551" s="65"/>
    </row>
    <row r="552" spans="2:6">
      <c r="B552" s="65"/>
      <c r="F552" s="65"/>
    </row>
    <row r="553" spans="2:6">
      <c r="B553" s="65"/>
      <c r="F553" s="65"/>
    </row>
    <row r="554" spans="2:6">
      <c r="B554" s="65"/>
      <c r="F554" s="65"/>
    </row>
    <row r="555" spans="2:6">
      <c r="B555" s="65"/>
      <c r="F555" s="65"/>
    </row>
    <row r="556" spans="2:6">
      <c r="B556" s="65"/>
      <c r="F556" s="65"/>
    </row>
    <row r="557" spans="2:6">
      <c r="B557" s="65"/>
      <c r="F557" s="65"/>
    </row>
    <row r="558" spans="2:6">
      <c r="B558" s="65"/>
      <c r="F558" s="65"/>
    </row>
    <row r="559" spans="2:6">
      <c r="B559" s="65"/>
      <c r="F559" s="65"/>
    </row>
    <row r="560" spans="2:6">
      <c r="B560" s="65"/>
      <c r="F560" s="65"/>
    </row>
    <row r="561" spans="2:6">
      <c r="B561" s="65"/>
      <c r="F561" s="65"/>
    </row>
    <row r="562" spans="2:6">
      <c r="B562" s="65"/>
      <c r="F562" s="65"/>
    </row>
    <row r="563" spans="2:6">
      <c r="B563" s="65"/>
      <c r="F563" s="65"/>
    </row>
    <row r="564" spans="2:6">
      <c r="B564" s="65"/>
      <c r="F564" s="65"/>
    </row>
    <row r="565" spans="2:6">
      <c r="B565" s="65"/>
      <c r="F565" s="65"/>
    </row>
    <row r="566" spans="2:6">
      <c r="B566" s="65"/>
      <c r="F566" s="65"/>
    </row>
    <row r="567" spans="2:6">
      <c r="B567" s="65"/>
      <c r="F567" s="65"/>
    </row>
    <row r="568" spans="2:6">
      <c r="B568" s="65"/>
      <c r="F568" s="65"/>
    </row>
    <row r="569" spans="2:6">
      <c r="B569" s="65"/>
      <c r="F569" s="65"/>
    </row>
    <row r="570" spans="2:6">
      <c r="B570" s="65"/>
      <c r="F570" s="65"/>
    </row>
    <row r="571" spans="2:6">
      <c r="B571" s="65"/>
      <c r="F571" s="65"/>
    </row>
    <row r="572" spans="2:6">
      <c r="B572" s="65"/>
      <c r="F572" s="65"/>
    </row>
    <row r="573" spans="2:6">
      <c r="B573" s="65"/>
      <c r="F573" s="65"/>
    </row>
    <row r="574" spans="2:6">
      <c r="B574" s="65"/>
      <c r="F574" s="65"/>
    </row>
    <row r="575" spans="2:6">
      <c r="B575" s="65"/>
      <c r="F575" s="65"/>
    </row>
    <row r="576" spans="2:6">
      <c r="B576" s="65"/>
      <c r="F576" s="65"/>
    </row>
    <row r="577" spans="2:6">
      <c r="B577" s="65"/>
      <c r="F577" s="65"/>
    </row>
    <row r="578" spans="2:6">
      <c r="B578" s="65"/>
      <c r="F578" s="65"/>
    </row>
    <row r="579" spans="2:6">
      <c r="B579" s="65"/>
      <c r="F579" s="65"/>
    </row>
    <row r="580" spans="2:6">
      <c r="B580" s="65"/>
      <c r="F580" s="65"/>
    </row>
    <row r="581" spans="2:6">
      <c r="B581" s="65"/>
      <c r="F581" s="65"/>
    </row>
    <row r="582" spans="2:6">
      <c r="B582" s="65"/>
      <c r="F582" s="65"/>
    </row>
    <row r="583" spans="2:6">
      <c r="B583" s="65"/>
      <c r="F583" s="65"/>
    </row>
    <row r="584" spans="2:6">
      <c r="B584" s="65"/>
      <c r="F584" s="65"/>
    </row>
    <row r="585" spans="2:6">
      <c r="B585" s="65"/>
      <c r="F585" s="65"/>
    </row>
    <row r="586" spans="2:6">
      <c r="B586" s="65"/>
      <c r="F586" s="65"/>
    </row>
    <row r="587" spans="2:6">
      <c r="B587" s="65"/>
      <c r="F587" s="65"/>
    </row>
    <row r="588" spans="2:6">
      <c r="B588" s="65"/>
      <c r="F588" s="65"/>
    </row>
    <row r="589" spans="2:6">
      <c r="B589" s="65"/>
      <c r="F589" s="65"/>
    </row>
    <row r="590" spans="2:6">
      <c r="B590" s="65"/>
      <c r="F590" s="65"/>
    </row>
    <row r="591" spans="2:6">
      <c r="B591" s="65"/>
      <c r="F591" s="65"/>
    </row>
    <row r="592" spans="2:6">
      <c r="B592" s="65"/>
      <c r="F592" s="65"/>
    </row>
    <row r="593" spans="2:6">
      <c r="B593" s="65"/>
      <c r="F593" s="65"/>
    </row>
    <row r="594" spans="2:6">
      <c r="B594" s="65"/>
      <c r="F594" s="65"/>
    </row>
    <row r="595" spans="2:6">
      <c r="B595" s="65"/>
      <c r="F595" s="65"/>
    </row>
    <row r="596" spans="2:6">
      <c r="B596" s="65"/>
      <c r="F596" s="65"/>
    </row>
    <row r="597" spans="2:6">
      <c r="B597" s="65"/>
      <c r="F597" s="65"/>
    </row>
    <row r="598" spans="2:6">
      <c r="B598" s="65"/>
      <c r="F598" s="65"/>
    </row>
    <row r="599" spans="2:6">
      <c r="B599" s="65"/>
      <c r="F599" s="65"/>
    </row>
    <row r="600" spans="2:6">
      <c r="B600" s="65"/>
      <c r="F600" s="65"/>
    </row>
    <row r="601" spans="2:6">
      <c r="B601" s="65"/>
      <c r="F601" s="65"/>
    </row>
    <row r="602" spans="2:6">
      <c r="B602" s="65"/>
      <c r="F602" s="65"/>
    </row>
    <row r="603" spans="2:6">
      <c r="B603" s="65"/>
      <c r="F603" s="65"/>
    </row>
    <row r="604" spans="2:6">
      <c r="B604" s="65"/>
      <c r="F604" s="65"/>
    </row>
    <row r="605" spans="2:6">
      <c r="B605" s="65"/>
      <c r="F605" s="65"/>
    </row>
    <row r="606" spans="2:6">
      <c r="B606" s="65"/>
      <c r="F606" s="65"/>
    </row>
    <row r="607" spans="2:6">
      <c r="B607" s="65"/>
      <c r="F607" s="65"/>
    </row>
    <row r="608" spans="2:6">
      <c r="B608" s="65"/>
      <c r="F608" s="65"/>
    </row>
    <row r="609" spans="2:6">
      <c r="B609" s="65"/>
      <c r="F609" s="65"/>
    </row>
    <row r="610" spans="2:6">
      <c r="B610" s="65"/>
      <c r="F610" s="65"/>
    </row>
    <row r="611" spans="2:6">
      <c r="B611" s="65"/>
      <c r="F611" s="65"/>
    </row>
    <row r="612" spans="2:6">
      <c r="B612" s="65"/>
      <c r="F612" s="65"/>
    </row>
    <row r="613" spans="2:6">
      <c r="B613" s="65"/>
      <c r="F613" s="65"/>
    </row>
    <row r="614" spans="2:6">
      <c r="B614" s="65"/>
      <c r="F614" s="65"/>
    </row>
    <row r="615" spans="2:6">
      <c r="B615" s="65"/>
      <c r="F615" s="65"/>
    </row>
    <row r="616" spans="2:6">
      <c r="B616" s="65"/>
      <c r="F616" s="65"/>
    </row>
    <row r="617" spans="2:6">
      <c r="B617" s="65"/>
      <c r="F617" s="65"/>
    </row>
    <row r="618" spans="2:6">
      <c r="B618" s="65"/>
      <c r="F618" s="65"/>
    </row>
    <row r="619" spans="2:6">
      <c r="B619" s="65"/>
      <c r="F619" s="65"/>
    </row>
    <row r="620" spans="2:6">
      <c r="B620" s="65"/>
      <c r="F620" s="65"/>
    </row>
    <row r="621" spans="2:6">
      <c r="B621" s="65"/>
      <c r="F621" s="65"/>
    </row>
    <row r="622" spans="2:6">
      <c r="B622" s="65"/>
      <c r="F622" s="65"/>
    </row>
    <row r="623" spans="2:6">
      <c r="B623" s="65"/>
      <c r="F623" s="65"/>
    </row>
    <row r="624" spans="2:6">
      <c r="B624" s="65"/>
      <c r="F624" s="65"/>
    </row>
    <row r="625" spans="2:6">
      <c r="B625" s="65"/>
      <c r="F625" s="65"/>
    </row>
    <row r="626" spans="2:6">
      <c r="B626" s="65"/>
      <c r="F626" s="65"/>
    </row>
    <row r="627" spans="2:6">
      <c r="B627" s="65"/>
      <c r="F627" s="65"/>
    </row>
    <row r="628" spans="2:6">
      <c r="B628" s="65"/>
      <c r="F628" s="65"/>
    </row>
    <row r="629" spans="2:6">
      <c r="B629" s="65"/>
      <c r="F629" s="65"/>
    </row>
    <row r="630" spans="2:6">
      <c r="B630" s="65"/>
      <c r="F630" s="65"/>
    </row>
    <row r="631" spans="2:6">
      <c r="B631" s="65"/>
      <c r="F631" s="65"/>
    </row>
    <row r="632" spans="2:6">
      <c r="B632" s="65"/>
      <c r="F632" s="65"/>
    </row>
    <row r="633" spans="2:6">
      <c r="B633" s="65"/>
      <c r="F633" s="65"/>
    </row>
    <row r="634" spans="2:6">
      <c r="B634" s="65"/>
      <c r="F634" s="65"/>
    </row>
    <row r="635" spans="2:6">
      <c r="B635" s="65"/>
      <c r="F635" s="65"/>
    </row>
    <row r="636" spans="2:6">
      <c r="B636" s="65"/>
      <c r="F636" s="65"/>
    </row>
    <row r="637" spans="2:6">
      <c r="B637" s="65"/>
      <c r="F637" s="65"/>
    </row>
    <row r="638" spans="2:6">
      <c r="B638" s="65"/>
      <c r="F638" s="65"/>
    </row>
    <row r="639" spans="2:6">
      <c r="B639" s="65"/>
      <c r="F639" s="65"/>
    </row>
    <row r="640" spans="2:6">
      <c r="B640" s="65"/>
      <c r="F640" s="65"/>
    </row>
    <row r="641" spans="2:6">
      <c r="B641" s="65"/>
      <c r="F641" s="65"/>
    </row>
    <row r="642" spans="2:6">
      <c r="B642" s="65"/>
      <c r="F642" s="65"/>
    </row>
    <row r="643" spans="2:6">
      <c r="B643" s="65"/>
      <c r="F643" s="65"/>
    </row>
    <row r="644" spans="2:6">
      <c r="B644" s="65"/>
      <c r="F644" s="65"/>
    </row>
    <row r="645" spans="2:6">
      <c r="B645" s="65"/>
      <c r="F645" s="65"/>
    </row>
    <row r="646" spans="2:6">
      <c r="B646" s="65"/>
      <c r="F646" s="65"/>
    </row>
    <row r="647" spans="2:6">
      <c r="B647" s="65"/>
    </row>
    <row r="648" spans="2:6">
      <c r="B648" s="65"/>
    </row>
    <row r="649" spans="2:6">
      <c r="B649" s="65"/>
    </row>
    <row r="650" spans="2:6">
      <c r="B650" s="65"/>
    </row>
    <row r="651" spans="2:6">
      <c r="B651" s="65"/>
    </row>
    <row r="652" spans="2:6">
      <c r="B652" s="65"/>
    </row>
    <row r="653" spans="2:6">
      <c r="B653" s="65"/>
    </row>
    <row r="654" spans="2:6">
      <c r="B654" s="65"/>
    </row>
    <row r="655" spans="2:6">
      <c r="B655" s="65"/>
    </row>
    <row r="656" spans="2:6">
      <c r="B656" s="65"/>
    </row>
    <row r="657" spans="2:2">
      <c r="B657" s="65"/>
    </row>
    <row r="658" spans="2:2">
      <c r="B658" s="65"/>
    </row>
    <row r="659" spans="2:2">
      <c r="B659" s="65"/>
    </row>
    <row r="660" spans="2:2">
      <c r="B660" s="65"/>
    </row>
    <row r="661" spans="2:2">
      <c r="B661" s="65"/>
    </row>
    <row r="662" spans="2:2">
      <c r="B662" s="65"/>
    </row>
    <row r="663" spans="2:2">
      <c r="B663" s="65"/>
    </row>
    <row r="664" spans="2:2">
      <c r="B664" s="65"/>
    </row>
    <row r="665" spans="2:2">
      <c r="B665" s="65"/>
    </row>
    <row r="666" spans="2:2">
      <c r="B666" s="65"/>
    </row>
    <row r="667" spans="2:2">
      <c r="B667" s="65"/>
    </row>
    <row r="668" spans="2:2">
      <c r="B668" s="65"/>
    </row>
    <row r="669" spans="2:2">
      <c r="B669" s="65"/>
    </row>
    <row r="670" spans="2:2">
      <c r="B670" s="65"/>
    </row>
    <row r="671" spans="2:2">
      <c r="B671" s="65"/>
    </row>
    <row r="672" spans="2:2">
      <c r="B672" s="65"/>
    </row>
    <row r="673" spans="2:2">
      <c r="B673" s="65"/>
    </row>
    <row r="674" spans="2:2">
      <c r="B674" s="65"/>
    </row>
    <row r="675" spans="2:2">
      <c r="B675" s="65"/>
    </row>
    <row r="676" spans="2:2">
      <c r="B676" s="65"/>
    </row>
    <row r="677" spans="2:2">
      <c r="B677" s="65"/>
    </row>
    <row r="678" spans="2:2">
      <c r="B678" s="65"/>
    </row>
    <row r="679" spans="2:2">
      <c r="B679" s="65"/>
    </row>
    <row r="680" spans="2:2">
      <c r="B680" s="65"/>
    </row>
    <row r="681" spans="2:2">
      <c r="B681" s="65"/>
    </row>
    <row r="682" spans="2:2">
      <c r="B682" s="65"/>
    </row>
    <row r="683" spans="2:2">
      <c r="B683" s="65"/>
    </row>
    <row r="684" spans="2:2">
      <c r="B684" s="65"/>
    </row>
    <row r="685" spans="2:2">
      <c r="B685" s="65"/>
    </row>
    <row r="686" spans="2:2">
      <c r="B686" s="65"/>
    </row>
    <row r="687" spans="2:2">
      <c r="B687" s="65"/>
    </row>
    <row r="688" spans="2:2">
      <c r="B688" s="65"/>
    </row>
    <row r="689" spans="2:2">
      <c r="B689" s="65"/>
    </row>
    <row r="690" spans="2:2">
      <c r="B690" s="65"/>
    </row>
    <row r="691" spans="2:2">
      <c r="B691" s="65"/>
    </row>
    <row r="692" spans="2:2">
      <c r="B692" s="65"/>
    </row>
    <row r="693" spans="2:2">
      <c r="B693" s="65"/>
    </row>
    <row r="694" spans="2:2">
      <c r="B694" s="65"/>
    </row>
    <row r="695" spans="2:2">
      <c r="B695" s="65"/>
    </row>
    <row r="696" spans="2:2">
      <c r="B696" s="65"/>
    </row>
    <row r="697" spans="2:2">
      <c r="B697" s="65"/>
    </row>
    <row r="698" spans="2:2">
      <c r="B698" s="65"/>
    </row>
    <row r="699" spans="2:2">
      <c r="B699" s="65"/>
    </row>
    <row r="700" spans="2:2">
      <c r="B700" s="65"/>
    </row>
    <row r="701" spans="2:2">
      <c r="B701" s="65"/>
    </row>
    <row r="702" spans="2:2">
      <c r="B702" s="65"/>
    </row>
    <row r="703" spans="2:2">
      <c r="B703" s="65"/>
    </row>
    <row r="704" spans="2:2">
      <c r="B704" s="65"/>
    </row>
    <row r="705" spans="2:2">
      <c r="B705" s="65"/>
    </row>
    <row r="706" spans="2:2">
      <c r="B706" s="65"/>
    </row>
    <row r="707" spans="2:2">
      <c r="B707" s="65"/>
    </row>
    <row r="708" spans="2:2">
      <c r="B708" s="65"/>
    </row>
    <row r="709" spans="2:2">
      <c r="B709" s="65"/>
    </row>
    <row r="710" spans="2:2">
      <c r="B710" s="65"/>
    </row>
    <row r="711" spans="2:2">
      <c r="B711" s="65"/>
    </row>
    <row r="712" spans="2:2">
      <c r="B712" s="65"/>
    </row>
    <row r="713" spans="2:2">
      <c r="B713" s="65"/>
    </row>
    <row r="714" spans="2:2">
      <c r="B714" s="65"/>
    </row>
    <row r="715" spans="2:2">
      <c r="B715" s="65"/>
    </row>
    <row r="716" spans="2:2">
      <c r="B716" s="65"/>
    </row>
    <row r="717" spans="2:2">
      <c r="B717" s="65"/>
    </row>
    <row r="718" spans="2:2">
      <c r="B718" s="65"/>
    </row>
    <row r="719" spans="2:2">
      <c r="B719" s="65"/>
    </row>
    <row r="720" spans="2:2">
      <c r="B720" s="65"/>
    </row>
    <row r="721" spans="2:2">
      <c r="B721" s="65"/>
    </row>
    <row r="722" spans="2:2">
      <c r="B722" s="65"/>
    </row>
    <row r="723" spans="2:2">
      <c r="B723" s="65"/>
    </row>
    <row r="724" spans="2:2">
      <c r="B724" s="65"/>
    </row>
    <row r="725" spans="2:2">
      <c r="B725" s="65"/>
    </row>
    <row r="726" spans="2:2">
      <c r="B726" s="65"/>
    </row>
    <row r="727" spans="2:2">
      <c r="B727" s="65"/>
    </row>
    <row r="728" spans="2:2">
      <c r="B728" s="65"/>
    </row>
    <row r="729" spans="2:2">
      <c r="B729" s="65"/>
    </row>
    <row r="730" spans="2:2">
      <c r="B730" s="65"/>
    </row>
    <row r="731" spans="2:2">
      <c r="B731" s="65"/>
    </row>
    <row r="732" spans="2:2">
      <c r="B732" s="65"/>
    </row>
    <row r="733" spans="2:2">
      <c r="B733" s="65"/>
    </row>
    <row r="734" spans="2:2">
      <c r="B734" s="65"/>
    </row>
    <row r="735" spans="2:2">
      <c r="B735" s="65"/>
    </row>
    <row r="736" spans="2:2">
      <c r="B736" s="65"/>
    </row>
    <row r="737" spans="2:2">
      <c r="B737" s="65"/>
    </row>
    <row r="738" spans="2:2">
      <c r="B738" s="65"/>
    </row>
    <row r="739" spans="2:2">
      <c r="B739" s="65"/>
    </row>
    <row r="740" spans="2:2">
      <c r="B740" s="65"/>
    </row>
    <row r="741" spans="2:2">
      <c r="B741" s="65"/>
    </row>
    <row r="742" spans="2:2">
      <c r="B742" s="65"/>
    </row>
    <row r="743" spans="2:2">
      <c r="B743" s="65"/>
    </row>
    <row r="744" spans="2:2">
      <c r="B744" s="65"/>
    </row>
    <row r="745" spans="2:2">
      <c r="B745" s="65"/>
    </row>
    <row r="746" spans="2:2">
      <c r="B746" s="65"/>
    </row>
    <row r="747" spans="2:2">
      <c r="B747" s="65"/>
    </row>
    <row r="748" spans="2:2">
      <c r="B748" s="65"/>
    </row>
    <row r="749" spans="2:2">
      <c r="B749" s="65"/>
    </row>
    <row r="750" spans="2:2">
      <c r="B750" s="65"/>
    </row>
    <row r="751" spans="2:2">
      <c r="B751" s="65"/>
    </row>
    <row r="752" spans="2:2">
      <c r="B752" s="65"/>
    </row>
    <row r="753" spans="2:2">
      <c r="B753" s="65"/>
    </row>
    <row r="754" spans="2:2">
      <c r="B754" s="65"/>
    </row>
    <row r="755" spans="2:2">
      <c r="B755" s="65"/>
    </row>
    <row r="756" spans="2:2">
      <c r="B756" s="65"/>
    </row>
    <row r="757" spans="2:2">
      <c r="B757" s="65"/>
    </row>
    <row r="758" spans="2:2">
      <c r="B758" s="65"/>
    </row>
    <row r="759" spans="2:2">
      <c r="B759" s="65"/>
    </row>
    <row r="760" spans="2:2">
      <c r="B760" s="65"/>
    </row>
    <row r="761" spans="2:2">
      <c r="B761" s="65"/>
    </row>
    <row r="762" spans="2:2">
      <c r="B762" s="65"/>
    </row>
    <row r="763" spans="2:2">
      <c r="B763" s="65"/>
    </row>
    <row r="764" spans="2:2">
      <c r="B764" s="65"/>
    </row>
    <row r="765" spans="2:2">
      <c r="B765" s="65"/>
    </row>
    <row r="766" spans="2:2">
      <c r="B766" s="65"/>
    </row>
    <row r="767" spans="2:2">
      <c r="B767" s="65"/>
    </row>
    <row r="768" spans="2:2">
      <c r="B768" s="65"/>
    </row>
    <row r="769" spans="2:2">
      <c r="B769" s="65"/>
    </row>
    <row r="770" spans="2:2">
      <c r="B770" s="65"/>
    </row>
    <row r="771" spans="2:2">
      <c r="B771" s="65"/>
    </row>
    <row r="772" spans="2:2">
      <c r="B772" s="65"/>
    </row>
    <row r="773" spans="2:2">
      <c r="B773" s="65"/>
    </row>
    <row r="774" spans="2:2">
      <c r="B774" s="65"/>
    </row>
    <row r="775" spans="2:2">
      <c r="B775" s="65"/>
    </row>
    <row r="776" spans="2:2">
      <c r="B776" s="65"/>
    </row>
    <row r="777" spans="2:2">
      <c r="B777" s="65"/>
    </row>
    <row r="778" spans="2:2">
      <c r="B778" s="65"/>
    </row>
    <row r="779" spans="2:2">
      <c r="B779" s="65"/>
    </row>
    <row r="780" spans="2:2">
      <c r="B780" s="65"/>
    </row>
    <row r="781" spans="2:2">
      <c r="B781" s="65"/>
    </row>
    <row r="782" spans="2:2">
      <c r="B782" s="65"/>
    </row>
    <row r="783" spans="2:2">
      <c r="B783" s="65"/>
    </row>
    <row r="784" spans="2:2">
      <c r="B784" s="65"/>
    </row>
    <row r="785" spans="2:2">
      <c r="B785" s="65"/>
    </row>
    <row r="786" spans="2:2">
      <c r="B786" s="65"/>
    </row>
    <row r="787" spans="2:2">
      <c r="B787" s="65"/>
    </row>
    <row r="788" spans="2:2">
      <c r="B788" s="65"/>
    </row>
    <row r="789" spans="2:2">
      <c r="B789" s="65"/>
    </row>
    <row r="790" spans="2:2">
      <c r="B790" s="65"/>
    </row>
    <row r="791" spans="2:2">
      <c r="B791" s="65"/>
    </row>
    <row r="792" spans="2:2">
      <c r="B792" s="65"/>
    </row>
    <row r="793" spans="2:2">
      <c r="B793" s="65"/>
    </row>
    <row r="794" spans="2:2">
      <c r="B794" s="65"/>
    </row>
    <row r="795" spans="2:2">
      <c r="B795" s="65"/>
    </row>
    <row r="796" spans="2:2">
      <c r="B796" s="65"/>
    </row>
    <row r="797" spans="2:2">
      <c r="B797" s="65"/>
    </row>
    <row r="798" spans="2:2">
      <c r="B798" s="65"/>
    </row>
    <row r="799" spans="2:2">
      <c r="B799" s="65"/>
    </row>
    <row r="800" spans="2:2">
      <c r="B800" s="65"/>
    </row>
    <row r="801" spans="2:2">
      <c r="B801" s="65"/>
    </row>
    <row r="802" spans="2:2">
      <c r="B802" s="65"/>
    </row>
    <row r="803" spans="2:2">
      <c r="B803" s="65"/>
    </row>
    <row r="804" spans="2:2">
      <c r="B804" s="65"/>
    </row>
    <row r="805" spans="2:2">
      <c r="B805" s="65"/>
    </row>
    <row r="806" spans="2:2">
      <c r="B806" s="65"/>
    </row>
    <row r="807" spans="2:2">
      <c r="B807" s="65"/>
    </row>
    <row r="808" spans="2:2">
      <c r="B808" s="65"/>
    </row>
    <row r="809" spans="2:2">
      <c r="B809" s="65"/>
    </row>
    <row r="810" spans="2:2">
      <c r="B810" s="65"/>
    </row>
    <row r="811" spans="2:2">
      <c r="B811" s="65"/>
    </row>
    <row r="812" spans="2:2">
      <c r="B812" s="65"/>
    </row>
    <row r="813" spans="2:2">
      <c r="B813" s="65"/>
    </row>
    <row r="814" spans="2:2">
      <c r="B814" s="65"/>
    </row>
    <row r="815" spans="2:2">
      <c r="B815" s="65"/>
    </row>
    <row r="816" spans="2:2">
      <c r="B816" s="65"/>
    </row>
    <row r="817" spans="2:2">
      <c r="B817" s="65"/>
    </row>
    <row r="818" spans="2:2">
      <c r="B818" s="65"/>
    </row>
    <row r="819" spans="2:2">
      <c r="B819" s="65"/>
    </row>
    <row r="820" spans="2:2">
      <c r="B820" s="65"/>
    </row>
    <row r="821" spans="2:2">
      <c r="B821" s="65"/>
    </row>
    <row r="822" spans="2:2">
      <c r="B822" s="65"/>
    </row>
    <row r="823" spans="2:2">
      <c r="B823" s="65"/>
    </row>
    <row r="824" spans="2:2">
      <c r="B824" s="65"/>
    </row>
    <row r="825" spans="2:2">
      <c r="B825" s="65"/>
    </row>
    <row r="826" spans="2:2">
      <c r="B826" s="65"/>
    </row>
    <row r="827" spans="2:2">
      <c r="B827" s="65"/>
    </row>
    <row r="828" spans="2:2">
      <c r="B828" s="65"/>
    </row>
    <row r="829" spans="2:2">
      <c r="B829" s="65"/>
    </row>
    <row r="830" spans="2:2">
      <c r="B830" s="65"/>
    </row>
    <row r="831" spans="2:2">
      <c r="B831" s="65"/>
    </row>
    <row r="832" spans="2:2">
      <c r="B832" s="65"/>
    </row>
    <row r="833" spans="2:2">
      <c r="B833" s="65"/>
    </row>
    <row r="834" spans="2:2">
      <c r="B834" s="65"/>
    </row>
    <row r="835" spans="2:2">
      <c r="B835" s="65"/>
    </row>
    <row r="836" spans="2:2">
      <c r="B836" s="65"/>
    </row>
    <row r="837" spans="2:2">
      <c r="B837" s="65"/>
    </row>
    <row r="838" spans="2:2">
      <c r="B838" s="65"/>
    </row>
    <row r="839" spans="2:2">
      <c r="B839" s="65"/>
    </row>
    <row r="840" spans="2:2">
      <c r="B840" s="65"/>
    </row>
    <row r="841" spans="2:2">
      <c r="B841" s="65"/>
    </row>
    <row r="842" spans="2:2">
      <c r="B842" s="65"/>
    </row>
    <row r="843" spans="2:2">
      <c r="B843" s="65"/>
    </row>
    <row r="844" spans="2:2">
      <c r="B844" s="65"/>
    </row>
    <row r="845" spans="2:2">
      <c r="B845" s="65"/>
    </row>
    <row r="846" spans="2:2">
      <c r="B846" s="65"/>
    </row>
    <row r="847" spans="2:2">
      <c r="B847" s="65"/>
    </row>
    <row r="848" spans="2:2">
      <c r="B848" s="65"/>
    </row>
    <row r="849" spans="2:2">
      <c r="B849" s="65"/>
    </row>
    <row r="850" spans="2:2">
      <c r="B850" s="65"/>
    </row>
    <row r="851" spans="2:2">
      <c r="B851" s="65"/>
    </row>
    <row r="852" spans="2:2">
      <c r="B852" s="65"/>
    </row>
    <row r="853" spans="2:2">
      <c r="B853" s="65"/>
    </row>
    <row r="854" spans="2:2">
      <c r="B854" s="65"/>
    </row>
    <row r="855" spans="2:2">
      <c r="B855" s="65"/>
    </row>
    <row r="856" spans="2:2">
      <c r="B856" s="65"/>
    </row>
    <row r="857" spans="2:2">
      <c r="B857" s="65"/>
    </row>
    <row r="858" spans="2:2">
      <c r="B858" s="65"/>
    </row>
    <row r="859" spans="2:2">
      <c r="B859" s="65"/>
    </row>
    <row r="860" spans="2:2">
      <c r="B860" s="65"/>
    </row>
    <row r="861" spans="2:2">
      <c r="B861" s="65"/>
    </row>
    <row r="862" spans="2:2">
      <c r="B862" s="65"/>
    </row>
    <row r="863" spans="2:2">
      <c r="B863" s="65"/>
    </row>
    <row r="864" spans="2:2">
      <c r="B864" s="65"/>
    </row>
    <row r="865" spans="2:2">
      <c r="B865" s="65"/>
    </row>
    <row r="866" spans="2:2">
      <c r="B866" s="65"/>
    </row>
    <row r="867" spans="2:2">
      <c r="B867" s="65"/>
    </row>
    <row r="868" spans="2:2">
      <c r="B868" s="65"/>
    </row>
    <row r="869" spans="2:2">
      <c r="B869" s="65"/>
    </row>
    <row r="870" spans="2:2">
      <c r="B870" s="65"/>
    </row>
    <row r="871" spans="2:2">
      <c r="B871" s="65"/>
    </row>
    <row r="872" spans="2:2">
      <c r="B872" s="65"/>
    </row>
    <row r="873" spans="2:2">
      <c r="B873" s="65"/>
    </row>
    <row r="874" spans="2:2">
      <c r="B874" s="65"/>
    </row>
    <row r="875" spans="2:2">
      <c r="B875" s="65"/>
    </row>
    <row r="876" spans="2:2">
      <c r="B876" s="65"/>
    </row>
    <row r="877" spans="2:2">
      <c r="B877" s="65"/>
    </row>
    <row r="878" spans="2:2">
      <c r="B878" s="65"/>
    </row>
    <row r="879" spans="2:2">
      <c r="B879" s="65"/>
    </row>
    <row r="880" spans="2:2">
      <c r="B880" s="65"/>
    </row>
    <row r="881" spans="2:2">
      <c r="B881" s="65"/>
    </row>
    <row r="882" spans="2:2">
      <c r="B882" s="65"/>
    </row>
    <row r="883" spans="2:2">
      <c r="B883" s="65"/>
    </row>
    <row r="884" spans="2:2">
      <c r="B884" s="65"/>
    </row>
    <row r="885" spans="2:2">
      <c r="B885" s="65"/>
    </row>
    <row r="886" spans="2:2">
      <c r="B886" s="65"/>
    </row>
    <row r="887" spans="2:2">
      <c r="B887" s="65"/>
    </row>
    <row r="888" spans="2:2">
      <c r="B888" s="65"/>
    </row>
    <row r="889" spans="2:2">
      <c r="B889" s="65"/>
    </row>
    <row r="890" spans="2:2">
      <c r="B890" s="65"/>
    </row>
    <row r="891" spans="2:2">
      <c r="B891" s="65"/>
    </row>
    <row r="892" spans="2:2">
      <c r="B892" s="65"/>
    </row>
    <row r="893" spans="2:2">
      <c r="B893" s="65"/>
    </row>
    <row r="894" spans="2:2">
      <c r="B894" s="65"/>
    </row>
    <row r="895" spans="2:2">
      <c r="B895" s="65"/>
    </row>
    <row r="896" spans="2:2">
      <c r="B896" s="65"/>
    </row>
    <row r="897" spans="2:2">
      <c r="B897" s="65"/>
    </row>
    <row r="898" spans="2:2">
      <c r="B898" s="65"/>
    </row>
    <row r="899" spans="2:2">
      <c r="B899" s="65"/>
    </row>
    <row r="900" spans="2:2">
      <c r="B900" s="65"/>
    </row>
    <row r="901" spans="2:2">
      <c r="B901" s="65"/>
    </row>
    <row r="902" spans="2:2">
      <c r="B902" s="65"/>
    </row>
    <row r="903" spans="2:2">
      <c r="B903" s="65"/>
    </row>
    <row r="904" spans="2:2">
      <c r="B904" s="65"/>
    </row>
    <row r="905" spans="2:2">
      <c r="B905" s="65"/>
    </row>
    <row r="906" spans="2:2">
      <c r="B906" s="65"/>
    </row>
    <row r="907" spans="2:2">
      <c r="B907" s="65"/>
    </row>
    <row r="908" spans="2:2">
      <c r="B908" s="65"/>
    </row>
    <row r="909" spans="2:2">
      <c r="B909" s="65"/>
    </row>
    <row r="910" spans="2:2">
      <c r="B910" s="65"/>
    </row>
    <row r="911" spans="2:2">
      <c r="B911" s="65"/>
    </row>
    <row r="912" spans="2:2">
      <c r="B912" s="65"/>
    </row>
    <row r="913" spans="2:2">
      <c r="B913" s="65"/>
    </row>
    <row r="914" spans="2:2">
      <c r="B914" s="65"/>
    </row>
    <row r="915" spans="2:2">
      <c r="B915" s="65"/>
    </row>
    <row r="916" spans="2:2">
      <c r="B916" s="65"/>
    </row>
    <row r="917" spans="2:2">
      <c r="B917" s="65"/>
    </row>
    <row r="918" spans="2:2">
      <c r="B918" s="65"/>
    </row>
    <row r="919" spans="2:2">
      <c r="B919" s="65"/>
    </row>
    <row r="920" spans="2:2">
      <c r="B920" s="65"/>
    </row>
    <row r="921" spans="2:2">
      <c r="B921" s="65"/>
    </row>
    <row r="922" spans="2:2">
      <c r="B922" s="65"/>
    </row>
    <row r="923" spans="2:2">
      <c r="B923" s="65"/>
    </row>
    <row r="924" spans="2:2">
      <c r="B924" s="65"/>
    </row>
    <row r="925" spans="2:2">
      <c r="B925" s="65"/>
    </row>
    <row r="926" spans="2:2">
      <c r="B926" s="65"/>
    </row>
    <row r="927" spans="2:2">
      <c r="B927" s="65"/>
    </row>
    <row r="928" spans="2:2">
      <c r="B928" s="65"/>
    </row>
    <row r="929" spans="2:2">
      <c r="B929" s="65"/>
    </row>
    <row r="930" spans="2:2">
      <c r="B930" s="65"/>
    </row>
    <row r="931" spans="2:2">
      <c r="B931" s="65"/>
    </row>
    <row r="932" spans="2:2">
      <c r="B932" s="65"/>
    </row>
    <row r="933" spans="2:2">
      <c r="B933" s="65"/>
    </row>
    <row r="934" spans="2:2">
      <c r="B934" s="65"/>
    </row>
    <row r="935" spans="2:2">
      <c r="B935" s="65"/>
    </row>
    <row r="936" spans="2:2">
      <c r="B936" s="65"/>
    </row>
    <row r="937" spans="2:2">
      <c r="B937" s="65"/>
    </row>
    <row r="938" spans="2:2">
      <c r="B938" s="65"/>
    </row>
    <row r="939" spans="2:2">
      <c r="B939" s="65"/>
    </row>
    <row r="940" spans="2:2">
      <c r="B940" s="65"/>
    </row>
    <row r="941" spans="2:2">
      <c r="B941" s="65"/>
    </row>
    <row r="942" spans="2:2">
      <c r="B942" s="65"/>
    </row>
    <row r="943" spans="2:2">
      <c r="B943" s="65"/>
    </row>
    <row r="944" spans="2:2">
      <c r="B944" s="65"/>
    </row>
    <row r="945" spans="2:2">
      <c r="B945" s="65"/>
    </row>
    <row r="946" spans="2:2">
      <c r="B946" s="65"/>
    </row>
    <row r="947" spans="2:2">
      <c r="B947" s="65"/>
    </row>
    <row r="948" spans="2:2">
      <c r="B948" s="65"/>
    </row>
    <row r="949" spans="2:2">
      <c r="B949" s="65"/>
    </row>
    <row r="950" spans="2:2">
      <c r="B950" s="65"/>
    </row>
    <row r="951" spans="2:2">
      <c r="B951" s="65"/>
    </row>
    <row r="952" spans="2:2">
      <c r="B952" s="65"/>
    </row>
    <row r="953" spans="2:2">
      <c r="B953" s="65"/>
    </row>
    <row r="954" spans="2:2">
      <c r="B954" s="65"/>
    </row>
    <row r="955" spans="2:2">
      <c r="B955" s="65"/>
    </row>
    <row r="956" spans="2:2">
      <c r="B956" s="65"/>
    </row>
    <row r="957" spans="2:2">
      <c r="B957" s="65"/>
    </row>
    <row r="958" spans="2:2">
      <c r="B958" s="65"/>
    </row>
    <row r="959" spans="2:2">
      <c r="B959" s="65"/>
    </row>
    <row r="960" spans="2:2">
      <c r="B960" s="65"/>
    </row>
    <row r="961" spans="2:2">
      <c r="B961" s="65"/>
    </row>
    <row r="962" spans="2:2">
      <c r="B962" s="65"/>
    </row>
    <row r="963" spans="2:2">
      <c r="B963" s="65"/>
    </row>
    <row r="964" spans="2:2">
      <c r="B964" s="65"/>
    </row>
    <row r="965" spans="2:2">
      <c r="B965" s="65"/>
    </row>
    <row r="966" spans="2:2">
      <c r="B966" s="65"/>
    </row>
    <row r="967" spans="2:2">
      <c r="B967" s="65"/>
    </row>
    <row r="968" spans="2:2">
      <c r="B968" s="65"/>
    </row>
  </sheetData>
  <pageMargins left="0.25" right="0.25" top="0.75" bottom="0.75" header="0.3" footer="0.3"/>
  <pageSetup orientation="landscape" r:id="rId2"/>
  <drawing r:id="rId3"/>
  <extLst>
    <ext xmlns:x14="http://schemas.microsoft.com/office/spreadsheetml/2009/9/main" uri="{A8765BA9-456A-4dab-B4F3-ACF838C121DE}">
      <x14:slicerList>
        <x14:slicer r:id="rId4"/>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4"/>
  <sheetViews>
    <sheetView workbookViewId="0">
      <selection activeCell="C14" sqref="C14"/>
    </sheetView>
  </sheetViews>
  <sheetFormatPr defaultRowHeight="15"/>
  <cols>
    <col min="1" max="1" width="19.42578125" bestFit="1" customWidth="1"/>
    <col min="3" max="3" width="8.7109375" bestFit="1" customWidth="1"/>
    <col min="5" max="5" width="12.140625" bestFit="1" customWidth="1"/>
    <col min="7" max="7" width="20.28515625" bestFit="1" customWidth="1"/>
  </cols>
  <sheetData>
    <row r="1" spans="1:7" s="352" customFormat="1">
      <c r="A1" s="352" t="s">
        <v>3967</v>
      </c>
      <c r="C1" s="352" t="s">
        <v>3851</v>
      </c>
      <c r="E1" s="352" t="s">
        <v>4663</v>
      </c>
      <c r="G1" s="352" t="s">
        <v>39</v>
      </c>
    </row>
    <row r="2" spans="1:7">
      <c r="A2" t="s">
        <v>3979</v>
      </c>
      <c r="C2" t="s">
        <v>3978</v>
      </c>
      <c r="E2" t="s">
        <v>3983</v>
      </c>
      <c r="G2" t="s">
        <v>130</v>
      </c>
    </row>
    <row r="3" spans="1:7">
      <c r="A3" t="s">
        <v>3990</v>
      </c>
      <c r="C3" t="s">
        <v>4371</v>
      </c>
      <c r="E3" t="s">
        <v>4664</v>
      </c>
      <c r="G3" t="s">
        <v>148</v>
      </c>
    </row>
    <row r="4" spans="1:7">
      <c r="A4" t="s">
        <v>3997</v>
      </c>
      <c r="C4" t="s">
        <v>3863</v>
      </c>
      <c r="G4" t="s">
        <v>162</v>
      </c>
    </row>
    <row r="5" spans="1:7">
      <c r="A5" t="s">
        <v>4002</v>
      </c>
      <c r="C5" t="s">
        <v>3896</v>
      </c>
      <c r="G5" t="s">
        <v>192</v>
      </c>
    </row>
    <row r="6" spans="1:7">
      <c r="A6" t="s">
        <v>4159</v>
      </c>
      <c r="C6" t="s">
        <v>4067</v>
      </c>
      <c r="G6" t="s">
        <v>663</v>
      </c>
    </row>
    <row r="7" spans="1:7">
      <c r="C7" t="s">
        <v>4001</v>
      </c>
      <c r="G7" t="s">
        <v>948</v>
      </c>
    </row>
    <row r="8" spans="1:7">
      <c r="C8" t="s">
        <v>4030</v>
      </c>
      <c r="G8" t="s">
        <v>1409</v>
      </c>
    </row>
    <row r="9" spans="1:7">
      <c r="C9" t="s">
        <v>3956</v>
      </c>
      <c r="G9" t="s">
        <v>1769</v>
      </c>
    </row>
    <row r="10" spans="1:7">
      <c r="C10" t="s">
        <v>3960</v>
      </c>
      <c r="G10" t="s">
        <v>2149</v>
      </c>
    </row>
    <row r="11" spans="1:7">
      <c r="C11" t="s">
        <v>4435</v>
      </c>
      <c r="G11" t="s">
        <v>2234</v>
      </c>
    </row>
    <row r="12" spans="1:7">
      <c r="C12" t="s">
        <v>4427</v>
      </c>
      <c r="G12" t="s">
        <v>2337</v>
      </c>
    </row>
    <row r="13" spans="1:7">
      <c r="C13" t="s">
        <v>4311</v>
      </c>
      <c r="G13" t="s">
        <v>3427</v>
      </c>
    </row>
    <row r="14" spans="1:7">
      <c r="G14" t="s">
        <v>3511</v>
      </c>
    </row>
  </sheetData>
  <sortState ref="C1:C243">
    <sortCondition ref="C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249977111117893"/>
  </sheetPr>
  <dimension ref="A1:CW493"/>
  <sheetViews>
    <sheetView topLeftCell="C1" zoomScaleNormal="100" workbookViewId="0">
      <pane ySplit="1" topLeftCell="A13" activePane="bottomLeft" state="frozen"/>
      <selection activeCell="E20" sqref="E20"/>
      <selection pane="bottomLeft" activeCell="H25" sqref="H25"/>
    </sheetView>
  </sheetViews>
  <sheetFormatPr defaultColWidth="11.7109375" defaultRowHeight="15"/>
  <cols>
    <col min="1" max="1" width="40.7109375" style="91" bestFit="1" customWidth="1"/>
    <col min="2" max="2" width="35.140625" style="91" bestFit="1" customWidth="1"/>
    <col min="3" max="3" width="16.5703125" style="91" bestFit="1" customWidth="1"/>
    <col min="4" max="4" width="13.5703125" style="91" customWidth="1"/>
    <col min="5" max="5" width="16" style="91" customWidth="1"/>
    <col min="6" max="6" width="11.7109375" style="91" customWidth="1"/>
    <col min="7" max="7" width="15.28515625" style="92" bestFit="1" customWidth="1"/>
    <col min="8" max="8" width="180" style="60" bestFit="1" customWidth="1"/>
    <col min="9" max="97" width="11.7109375" style="60"/>
    <col min="98" max="98" width="10" style="60" bestFit="1" customWidth="1"/>
    <col min="99" max="99" width="3" style="60" bestFit="1" customWidth="1"/>
    <col min="100" max="100" width="2" style="60" bestFit="1" customWidth="1"/>
    <col min="101" max="16384" width="11.7109375" style="60"/>
  </cols>
  <sheetData>
    <row r="1" spans="1:97" s="69" customFormat="1">
      <c r="A1" s="90" t="s">
        <v>3</v>
      </c>
      <c r="B1" s="90" t="s">
        <v>5</v>
      </c>
      <c r="C1" s="90" t="s">
        <v>6</v>
      </c>
      <c r="D1" s="90" t="s">
        <v>7</v>
      </c>
      <c r="E1" s="90" t="s">
        <v>8</v>
      </c>
      <c r="F1" s="90" t="s">
        <v>9</v>
      </c>
      <c r="G1" s="78" t="s">
        <v>3564</v>
      </c>
      <c r="H1" s="543" t="s">
        <v>3565</v>
      </c>
      <c r="I1" s="543"/>
      <c r="J1" s="543"/>
      <c r="K1" s="543"/>
      <c r="L1" s="543"/>
      <c r="M1" s="543"/>
      <c r="N1" s="543"/>
      <c r="O1" s="543"/>
      <c r="P1" s="543"/>
      <c r="Q1" s="543"/>
      <c r="R1" s="543"/>
      <c r="S1" s="543"/>
      <c r="T1" s="543"/>
      <c r="U1" s="543"/>
      <c r="V1" s="543"/>
      <c r="W1" s="543"/>
      <c r="X1" s="543"/>
      <c r="Y1" s="543"/>
      <c r="Z1" s="543"/>
      <c r="AA1" s="543"/>
      <c r="AB1" s="543"/>
      <c r="AC1" s="543"/>
      <c r="AD1" s="543"/>
      <c r="AE1" s="543"/>
      <c r="AF1" s="543"/>
      <c r="AG1" s="543"/>
      <c r="AH1" s="543"/>
      <c r="AI1" s="543"/>
      <c r="AJ1" s="543"/>
      <c r="AK1" s="543"/>
      <c r="AL1" s="543"/>
      <c r="AM1" s="543"/>
      <c r="AN1" s="543"/>
      <c r="AO1" s="543"/>
      <c r="AP1" s="543"/>
      <c r="AQ1" s="543"/>
      <c r="AR1" s="543"/>
      <c r="AS1" s="543"/>
      <c r="AT1" s="543"/>
      <c r="AU1" s="543"/>
      <c r="AV1" s="543"/>
      <c r="AW1" s="543"/>
      <c r="AX1" s="543"/>
      <c r="AY1" s="543"/>
      <c r="AZ1" s="543"/>
      <c r="BA1" s="543"/>
      <c r="BB1" s="543"/>
      <c r="BC1" s="543"/>
      <c r="BD1" s="543"/>
      <c r="BE1" s="543"/>
      <c r="BF1" s="543"/>
      <c r="BG1" s="543"/>
      <c r="BH1" s="543"/>
      <c r="BI1" s="543"/>
      <c r="BJ1" s="543"/>
      <c r="BK1" s="543"/>
      <c r="BL1" s="543"/>
      <c r="BM1" s="543"/>
      <c r="BN1" s="543"/>
      <c r="BO1" s="543"/>
      <c r="BP1" s="543"/>
      <c r="BQ1" s="543"/>
      <c r="BR1" s="543"/>
      <c r="BS1" s="543"/>
      <c r="BT1" s="543"/>
      <c r="BU1" s="543"/>
      <c r="BV1" s="543"/>
      <c r="BW1" s="543"/>
      <c r="BX1" s="543"/>
      <c r="BY1" s="543"/>
      <c r="BZ1" s="543"/>
      <c r="CA1" s="543"/>
      <c r="CB1" s="543"/>
      <c r="CC1" s="543"/>
      <c r="CD1" s="543"/>
      <c r="CE1" s="543"/>
      <c r="CF1" s="543"/>
      <c r="CG1" s="543"/>
      <c r="CH1" s="543"/>
      <c r="CI1" s="543"/>
      <c r="CJ1" s="543"/>
      <c r="CK1" s="543"/>
      <c r="CL1" s="543"/>
      <c r="CM1" s="543"/>
      <c r="CN1" s="543"/>
      <c r="CO1" s="543"/>
      <c r="CP1" s="543"/>
      <c r="CQ1" s="543"/>
      <c r="CR1" s="543"/>
      <c r="CS1" s="543"/>
    </row>
    <row r="2" spans="1:97">
      <c r="A2" s="416" t="s">
        <v>2661</v>
      </c>
      <c r="B2" s="551" t="s">
        <v>3566</v>
      </c>
      <c r="C2" s="550" t="s">
        <v>214</v>
      </c>
      <c r="D2" s="235" t="s">
        <v>2206</v>
      </c>
      <c r="E2" s="235" t="s">
        <v>2207</v>
      </c>
      <c r="F2" s="235">
        <v>93706</v>
      </c>
      <c r="G2" s="566">
        <v>0</v>
      </c>
      <c r="H2" s="544" t="s">
        <v>3567</v>
      </c>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544"/>
      <c r="AN2" s="544"/>
      <c r="AO2" s="544"/>
      <c r="AP2" s="544"/>
      <c r="AQ2" s="544"/>
      <c r="AR2" s="544"/>
      <c r="AS2" s="544"/>
      <c r="AT2" s="544"/>
      <c r="AU2" s="544"/>
      <c r="AV2" s="544"/>
      <c r="AW2" s="544"/>
      <c r="AX2" s="544"/>
      <c r="AY2" s="544"/>
      <c r="AZ2" s="544"/>
      <c r="BA2" s="544"/>
      <c r="BB2" s="544"/>
      <c r="BC2" s="544"/>
      <c r="BD2" s="544"/>
      <c r="BE2" s="544"/>
      <c r="BF2" s="544"/>
      <c r="BG2" s="544"/>
      <c r="BH2" s="544"/>
      <c r="BI2" s="544"/>
      <c r="BJ2" s="544"/>
      <c r="BK2" s="544"/>
      <c r="BL2" s="544"/>
      <c r="BM2" s="544"/>
      <c r="BN2" s="544"/>
      <c r="BO2" s="544"/>
      <c r="BP2" s="544"/>
      <c r="BQ2" s="544"/>
      <c r="BR2" s="544"/>
      <c r="BS2" s="544"/>
      <c r="BT2" s="544"/>
      <c r="BU2" s="544"/>
      <c r="BV2" s="544"/>
      <c r="BW2" s="544"/>
      <c r="BX2" s="544"/>
      <c r="BY2" s="544"/>
      <c r="BZ2" s="544"/>
      <c r="CA2" s="544"/>
      <c r="CB2" s="544"/>
      <c r="CC2" s="544"/>
      <c r="CD2" s="544"/>
      <c r="CE2" s="544"/>
      <c r="CF2" s="544"/>
      <c r="CG2" s="544"/>
      <c r="CH2" s="544"/>
      <c r="CI2" s="544"/>
      <c r="CJ2" s="544"/>
      <c r="CK2" s="544"/>
      <c r="CL2" s="544"/>
      <c r="CM2" s="544"/>
      <c r="CN2" s="544"/>
      <c r="CO2" s="544"/>
      <c r="CP2" s="544"/>
      <c r="CQ2" s="544"/>
      <c r="CR2" s="544"/>
      <c r="CS2" s="544"/>
    </row>
    <row r="3" spans="1:97">
      <c r="A3" s="411" t="s">
        <v>2676</v>
      </c>
      <c r="B3" s="551" t="s">
        <v>3568</v>
      </c>
      <c r="C3" s="550" t="s">
        <v>3569</v>
      </c>
      <c r="D3" s="235" t="s">
        <v>3570</v>
      </c>
      <c r="E3" s="235" t="s">
        <v>2207</v>
      </c>
      <c r="F3" s="235">
        <v>62525</v>
      </c>
      <c r="G3" s="566">
        <v>0</v>
      </c>
      <c r="H3" s="544" t="s">
        <v>3571</v>
      </c>
      <c r="I3" s="544"/>
      <c r="J3" s="544"/>
      <c r="K3" s="544"/>
      <c r="L3" s="544"/>
      <c r="M3" s="544"/>
      <c r="N3" s="544"/>
      <c r="O3" s="544"/>
      <c r="P3" s="544"/>
      <c r="Q3" s="544"/>
      <c r="R3" s="544"/>
      <c r="S3" s="544"/>
      <c r="T3" s="544"/>
      <c r="U3" s="544"/>
      <c r="V3" s="544"/>
      <c r="W3" s="544"/>
      <c r="X3" s="544"/>
      <c r="Y3" s="544"/>
      <c r="Z3" s="544"/>
      <c r="AA3" s="544"/>
      <c r="AB3" s="544"/>
      <c r="AC3" s="544"/>
      <c r="AD3" s="544"/>
      <c r="AE3" s="544"/>
      <c r="AF3" s="544"/>
      <c r="AG3" s="544"/>
      <c r="AH3" s="544"/>
      <c r="AI3" s="544"/>
      <c r="AJ3" s="544"/>
      <c r="AK3" s="544"/>
      <c r="AL3" s="544"/>
      <c r="AM3" s="544"/>
      <c r="AN3" s="544"/>
      <c r="AO3" s="544"/>
      <c r="AP3" s="544"/>
      <c r="AQ3" s="544"/>
      <c r="AR3" s="544"/>
      <c r="AS3" s="544"/>
      <c r="AT3" s="544"/>
      <c r="AU3" s="544"/>
      <c r="AV3" s="544"/>
      <c r="AW3" s="544"/>
      <c r="AX3" s="544"/>
      <c r="AY3" s="544"/>
      <c r="AZ3" s="544"/>
      <c r="BA3" s="544"/>
      <c r="BB3" s="544"/>
      <c r="BC3" s="544"/>
      <c r="BD3" s="544"/>
      <c r="BE3" s="544"/>
      <c r="BF3" s="544"/>
      <c r="BG3" s="544"/>
      <c r="BH3" s="544"/>
      <c r="BI3" s="544"/>
      <c r="BJ3" s="544"/>
      <c r="BK3" s="544"/>
      <c r="BL3" s="544"/>
      <c r="BM3" s="544"/>
      <c r="BN3" s="544"/>
      <c r="BO3" s="544"/>
      <c r="BP3" s="544"/>
      <c r="BQ3" s="544"/>
      <c r="BR3" s="544"/>
      <c r="BS3" s="544"/>
      <c r="BT3" s="544"/>
      <c r="BU3" s="544"/>
      <c r="BV3" s="544"/>
      <c r="BW3" s="544"/>
      <c r="BX3" s="544"/>
      <c r="BY3" s="544"/>
      <c r="BZ3" s="544"/>
      <c r="CA3" s="544"/>
      <c r="CB3" s="544"/>
      <c r="CC3" s="544"/>
      <c r="CD3" s="544"/>
      <c r="CE3" s="544"/>
      <c r="CF3" s="544"/>
      <c r="CG3" s="544"/>
      <c r="CH3" s="544"/>
      <c r="CI3" s="544"/>
      <c r="CJ3" s="544"/>
      <c r="CK3" s="544"/>
      <c r="CL3" s="544"/>
      <c r="CM3" s="544"/>
      <c r="CN3" s="544"/>
      <c r="CO3" s="544"/>
      <c r="CP3" s="544"/>
      <c r="CQ3" s="544"/>
      <c r="CR3" s="544"/>
      <c r="CS3" s="544"/>
    </row>
    <row r="4" spans="1:97">
      <c r="A4" s="91" t="s">
        <v>3572</v>
      </c>
      <c r="B4" s="284" t="s">
        <v>3573</v>
      </c>
      <c r="C4" s="284" t="s">
        <v>3574</v>
      </c>
      <c r="D4" s="91" t="s">
        <v>2206</v>
      </c>
      <c r="E4" s="91" t="s">
        <v>2207</v>
      </c>
      <c r="F4" s="91">
        <v>91012</v>
      </c>
      <c r="G4" s="566">
        <v>0.02</v>
      </c>
      <c r="H4" s="544" t="s">
        <v>3575</v>
      </c>
      <c r="I4" s="544"/>
      <c r="J4" s="544"/>
      <c r="K4" s="544"/>
      <c r="L4" s="544"/>
      <c r="M4" s="544"/>
      <c r="N4" s="544"/>
      <c r="O4" s="544"/>
      <c r="P4" s="544"/>
      <c r="Q4" s="544"/>
      <c r="R4" s="544"/>
      <c r="S4" s="544"/>
      <c r="T4" s="544"/>
      <c r="U4" s="544"/>
      <c r="V4" s="544"/>
      <c r="W4" s="544"/>
      <c r="X4" s="544"/>
      <c r="Y4" s="544"/>
      <c r="Z4" s="544"/>
      <c r="AA4" s="544"/>
      <c r="AB4" s="544"/>
      <c r="AC4" s="544"/>
      <c r="AD4" s="544"/>
      <c r="AE4" s="544"/>
      <c r="AF4" s="544"/>
      <c r="AG4" s="544"/>
      <c r="AH4" s="544"/>
      <c r="AI4" s="544"/>
      <c r="AJ4" s="544"/>
      <c r="AK4" s="544"/>
      <c r="AL4" s="544"/>
      <c r="AM4" s="544"/>
      <c r="AN4" s="544"/>
      <c r="AO4" s="544"/>
      <c r="AP4" s="544"/>
      <c r="AQ4" s="544"/>
      <c r="AR4" s="544"/>
      <c r="AS4" s="544"/>
      <c r="AT4" s="544"/>
      <c r="AU4" s="544"/>
      <c r="AV4" s="544"/>
      <c r="AW4" s="544"/>
      <c r="AX4" s="544"/>
      <c r="AY4" s="544"/>
      <c r="AZ4" s="544"/>
      <c r="BA4" s="544"/>
      <c r="BB4" s="544"/>
      <c r="BC4" s="544"/>
      <c r="BD4" s="544"/>
      <c r="BE4" s="544"/>
      <c r="BF4" s="544"/>
      <c r="BG4" s="544"/>
      <c r="BH4" s="544"/>
      <c r="BI4" s="544"/>
      <c r="BJ4" s="544"/>
      <c r="BK4" s="544"/>
      <c r="BL4" s="544"/>
      <c r="BM4" s="544"/>
      <c r="BN4" s="544"/>
      <c r="BO4" s="544"/>
      <c r="BP4" s="544"/>
      <c r="BQ4" s="544"/>
      <c r="BR4" s="544"/>
      <c r="BS4" s="544"/>
      <c r="BT4" s="544"/>
      <c r="BU4" s="544"/>
      <c r="BV4" s="544"/>
      <c r="BW4" s="544"/>
      <c r="BX4" s="544"/>
      <c r="BY4" s="544"/>
      <c r="BZ4" s="544"/>
      <c r="CA4" s="544"/>
      <c r="CB4" s="544"/>
      <c r="CC4" s="544"/>
      <c r="CD4" s="544"/>
      <c r="CE4" s="544"/>
      <c r="CF4" s="544"/>
      <c r="CG4" s="544"/>
      <c r="CH4" s="544"/>
      <c r="CI4" s="544"/>
      <c r="CJ4" s="544"/>
      <c r="CK4" s="544"/>
      <c r="CL4" s="544"/>
      <c r="CM4" s="544"/>
      <c r="CN4" s="544"/>
      <c r="CO4" s="544"/>
      <c r="CP4" s="544"/>
      <c r="CQ4" s="544"/>
      <c r="CR4" s="544"/>
      <c r="CS4" s="1"/>
    </row>
    <row r="5" spans="1:97">
      <c r="A5" s="91" t="s">
        <v>3284</v>
      </c>
      <c r="B5" s="91" t="s">
        <v>3576</v>
      </c>
      <c r="C5" s="91" t="s">
        <v>3577</v>
      </c>
      <c r="D5" s="91" t="s">
        <v>3578</v>
      </c>
      <c r="E5" s="91" t="s">
        <v>2207</v>
      </c>
      <c r="F5" s="91" t="s">
        <v>3579</v>
      </c>
      <c r="G5" s="566">
        <v>0</v>
      </c>
      <c r="H5" s="544"/>
      <c r="I5" s="544"/>
      <c r="J5" s="544"/>
      <c r="K5" s="544"/>
      <c r="L5" s="544"/>
      <c r="M5" s="544"/>
      <c r="N5" s="544"/>
      <c r="O5" s="544"/>
      <c r="P5" s="544"/>
      <c r="Q5" s="544"/>
      <c r="R5" s="544"/>
      <c r="S5" s="544"/>
      <c r="T5" s="544"/>
      <c r="U5" s="544"/>
      <c r="V5" s="544"/>
      <c r="W5" s="544"/>
      <c r="X5" s="544"/>
      <c r="Y5" s="544"/>
      <c r="Z5" s="544"/>
      <c r="AA5" s="544"/>
      <c r="AB5" s="544"/>
      <c r="AC5" s="544"/>
      <c r="AD5" s="544"/>
      <c r="AE5" s="544"/>
      <c r="AF5" s="544"/>
      <c r="AG5" s="544"/>
      <c r="AH5" s="544"/>
      <c r="AI5" s="544"/>
      <c r="AJ5" s="544"/>
      <c r="AK5" s="544"/>
      <c r="AL5" s="544"/>
      <c r="AM5" s="544"/>
      <c r="AN5" s="544"/>
      <c r="AO5" s="544"/>
      <c r="AP5" s="544"/>
      <c r="AQ5" s="544"/>
      <c r="AR5" s="544"/>
      <c r="AS5" s="544"/>
      <c r="AT5" s="544"/>
      <c r="AU5" s="544"/>
      <c r="AV5" s="544"/>
      <c r="AW5" s="544"/>
      <c r="AX5" s="544"/>
      <c r="AY5" s="544"/>
      <c r="AZ5" s="544"/>
      <c r="BA5" s="544"/>
      <c r="BB5" s="544"/>
      <c r="BC5" s="544"/>
      <c r="BD5" s="544"/>
      <c r="BE5" s="544"/>
      <c r="BF5" s="544"/>
      <c r="BG5" s="544"/>
      <c r="BH5" s="544"/>
      <c r="BI5" s="544"/>
      <c r="BJ5" s="544"/>
      <c r="BK5" s="544"/>
      <c r="BL5" s="544"/>
      <c r="BM5" s="544"/>
      <c r="BN5" s="544"/>
      <c r="BO5" s="544"/>
      <c r="BP5" s="544"/>
      <c r="BQ5" s="544"/>
      <c r="BR5" s="544"/>
      <c r="BS5" s="544"/>
      <c r="BT5" s="544"/>
      <c r="BU5" s="544"/>
      <c r="BV5" s="544"/>
      <c r="BW5" s="544"/>
      <c r="BX5" s="544"/>
      <c r="BY5" s="544"/>
      <c r="BZ5" s="544"/>
      <c r="CA5" s="544"/>
      <c r="CB5" s="544"/>
      <c r="CC5" s="544"/>
      <c r="CD5" s="544"/>
      <c r="CE5" s="544"/>
      <c r="CF5" s="544"/>
      <c r="CG5" s="544"/>
      <c r="CH5" s="544"/>
      <c r="CI5" s="544"/>
      <c r="CJ5" s="544"/>
      <c r="CK5" s="544"/>
      <c r="CL5" s="544"/>
      <c r="CM5" s="544"/>
      <c r="CN5" s="544"/>
      <c r="CO5" s="544"/>
      <c r="CP5" s="544"/>
      <c r="CQ5" s="544"/>
      <c r="CR5" s="544"/>
      <c r="CS5" s="1"/>
    </row>
    <row r="6" spans="1:97">
      <c r="A6" s="91" t="s">
        <v>2287</v>
      </c>
      <c r="B6" s="3" t="s">
        <v>3580</v>
      </c>
      <c r="C6" s="91" t="s">
        <v>2000</v>
      </c>
      <c r="D6" s="91" t="s">
        <v>2206</v>
      </c>
      <c r="E6" s="91" t="s">
        <v>2207</v>
      </c>
      <c r="F6" s="91">
        <v>92127</v>
      </c>
      <c r="G6" s="92">
        <v>0.03</v>
      </c>
      <c r="H6" s="544" t="s">
        <v>3581</v>
      </c>
      <c r="I6" s="544"/>
      <c r="J6" s="544"/>
      <c r="K6" s="544"/>
      <c r="L6" s="544"/>
      <c r="M6" s="544"/>
      <c r="N6" s="544"/>
      <c r="O6" s="544"/>
      <c r="P6" s="544"/>
      <c r="Q6" s="544"/>
      <c r="R6" s="544"/>
      <c r="S6" s="544"/>
      <c r="T6" s="544"/>
      <c r="U6" s="544"/>
      <c r="V6" s="544"/>
      <c r="W6" s="544"/>
      <c r="X6" s="544"/>
      <c r="Y6" s="544"/>
      <c r="Z6" s="544"/>
      <c r="AA6" s="544"/>
      <c r="AB6" s="544"/>
      <c r="AC6" s="544"/>
      <c r="AD6" s="544"/>
      <c r="AE6" s="544"/>
      <c r="AF6" s="544"/>
      <c r="AG6" s="544"/>
      <c r="AH6" s="544"/>
      <c r="AI6" s="544"/>
      <c r="AJ6" s="544"/>
      <c r="AK6" s="544"/>
      <c r="AL6" s="544"/>
      <c r="AM6" s="544"/>
      <c r="AN6" s="544"/>
      <c r="AO6" s="544"/>
      <c r="AP6" s="544"/>
      <c r="AQ6" s="544"/>
      <c r="AR6" s="544"/>
      <c r="AS6" s="544"/>
      <c r="AT6" s="544"/>
      <c r="AU6" s="544"/>
      <c r="AV6" s="544"/>
      <c r="AW6" s="544"/>
      <c r="AX6" s="544"/>
      <c r="AY6" s="544"/>
      <c r="AZ6" s="544"/>
      <c r="BA6" s="544"/>
      <c r="BB6" s="544"/>
      <c r="BC6" s="544"/>
      <c r="BD6" s="544"/>
      <c r="BE6" s="544"/>
      <c r="BF6" s="544"/>
      <c r="BG6" s="544"/>
      <c r="BH6" s="544"/>
      <c r="BI6" s="544"/>
      <c r="BJ6" s="544"/>
      <c r="BK6" s="544"/>
      <c r="BL6" s="544"/>
      <c r="BM6" s="544"/>
      <c r="BN6" s="544"/>
      <c r="BO6" s="544"/>
      <c r="BP6" s="544"/>
      <c r="BQ6" s="544"/>
      <c r="BR6" s="544"/>
      <c r="BS6" s="544"/>
      <c r="BT6" s="544"/>
      <c r="BU6" s="544"/>
      <c r="BV6" s="544"/>
      <c r="BW6" s="544"/>
      <c r="BX6" s="544"/>
      <c r="BY6" s="544"/>
      <c r="BZ6" s="544"/>
      <c r="CA6" s="544"/>
      <c r="CB6" s="544"/>
      <c r="CC6" s="544"/>
      <c r="CD6" s="544"/>
      <c r="CE6" s="544"/>
      <c r="CF6" s="544"/>
      <c r="CG6" s="544"/>
      <c r="CH6" s="544"/>
      <c r="CI6" s="544"/>
      <c r="CJ6" s="544"/>
      <c r="CK6" s="544"/>
      <c r="CL6" s="544"/>
      <c r="CM6" s="544"/>
      <c r="CN6" s="544"/>
      <c r="CO6" s="544"/>
      <c r="CP6" s="544"/>
      <c r="CQ6" s="544"/>
      <c r="CR6" s="544"/>
      <c r="CS6" s="1"/>
    </row>
    <row r="7" spans="1:97">
      <c r="A7" s="563" t="s">
        <v>3414</v>
      </c>
      <c r="B7" s="91" t="s">
        <v>3582</v>
      </c>
      <c r="C7" s="91" t="s">
        <v>3583</v>
      </c>
      <c r="D7" s="91" t="s">
        <v>2647</v>
      </c>
      <c r="E7" s="91" t="s">
        <v>2207</v>
      </c>
      <c r="F7" s="91">
        <v>78749</v>
      </c>
      <c r="G7" s="566">
        <v>0</v>
      </c>
      <c r="H7" s="544" t="s">
        <v>3584</v>
      </c>
      <c r="I7" s="544"/>
      <c r="J7" s="544"/>
      <c r="K7" s="544"/>
      <c r="L7" s="544"/>
      <c r="M7" s="544"/>
      <c r="N7" s="544"/>
      <c r="O7" s="544"/>
      <c r="P7" s="544"/>
      <c r="Q7" s="544"/>
      <c r="R7" s="544"/>
      <c r="S7" s="544"/>
      <c r="T7" s="544"/>
      <c r="U7" s="544"/>
      <c r="V7" s="544"/>
      <c r="W7" s="544"/>
      <c r="X7" s="544"/>
      <c r="Y7" s="544"/>
      <c r="Z7" s="544"/>
      <c r="AA7" s="544"/>
      <c r="AB7" s="544"/>
      <c r="AC7" s="544"/>
      <c r="AD7" s="544"/>
      <c r="AE7" s="544"/>
      <c r="AF7" s="544"/>
      <c r="AG7" s="544"/>
      <c r="AH7" s="544"/>
      <c r="AI7" s="544"/>
      <c r="AJ7" s="544"/>
      <c r="AK7" s="544"/>
      <c r="AL7" s="544"/>
      <c r="AM7" s="544"/>
      <c r="AN7" s="544"/>
      <c r="AO7" s="544"/>
      <c r="AP7" s="544"/>
      <c r="AQ7" s="544"/>
      <c r="AR7" s="544"/>
      <c r="AS7" s="544"/>
      <c r="AT7" s="544"/>
      <c r="AU7" s="544"/>
      <c r="AV7" s="544"/>
      <c r="AW7" s="544"/>
      <c r="AX7" s="544"/>
      <c r="AY7" s="544"/>
      <c r="AZ7" s="544"/>
      <c r="BA7" s="544"/>
      <c r="BB7" s="544"/>
      <c r="BC7" s="544"/>
      <c r="BD7" s="544"/>
      <c r="BE7" s="544"/>
      <c r="BF7" s="544"/>
      <c r="BG7" s="544"/>
      <c r="BH7" s="544"/>
      <c r="BI7" s="544"/>
      <c r="BJ7" s="544"/>
      <c r="BK7" s="544"/>
      <c r="BL7" s="544"/>
      <c r="BM7" s="544"/>
      <c r="BN7" s="544"/>
      <c r="BO7" s="544"/>
      <c r="BP7" s="544"/>
      <c r="BQ7" s="544"/>
      <c r="BR7" s="544"/>
      <c r="BS7" s="544"/>
      <c r="BT7" s="544"/>
      <c r="BU7" s="544"/>
      <c r="BV7" s="544"/>
      <c r="BW7" s="544"/>
      <c r="BX7" s="544"/>
      <c r="BY7" s="544"/>
      <c r="BZ7" s="544"/>
      <c r="CA7" s="544"/>
      <c r="CB7" s="544"/>
      <c r="CC7" s="544"/>
      <c r="CD7" s="544"/>
      <c r="CE7" s="544"/>
      <c r="CF7" s="544"/>
      <c r="CG7" s="544"/>
      <c r="CH7" s="544"/>
      <c r="CI7" s="544"/>
      <c r="CJ7" s="544"/>
      <c r="CK7" s="544"/>
      <c r="CL7" s="544"/>
      <c r="CM7" s="544"/>
      <c r="CN7" s="544"/>
      <c r="CO7" s="544"/>
      <c r="CP7" s="544"/>
      <c r="CQ7" s="544"/>
      <c r="CR7" s="544"/>
      <c r="CS7" s="1"/>
    </row>
    <row r="8" spans="1:97">
      <c r="A8" s="91" t="s">
        <v>664</v>
      </c>
      <c r="B8" s="91" t="s">
        <v>3585</v>
      </c>
      <c r="C8" s="91" t="s">
        <v>228</v>
      </c>
      <c r="D8" s="91" t="s">
        <v>139</v>
      </c>
      <c r="E8" s="91" t="s">
        <v>2207</v>
      </c>
      <c r="F8" s="91">
        <v>94544</v>
      </c>
      <c r="G8" s="92">
        <v>0</v>
      </c>
      <c r="H8" s="544" t="s">
        <v>3586</v>
      </c>
      <c r="I8" s="544"/>
      <c r="J8" s="544"/>
      <c r="K8" s="544"/>
      <c r="L8" s="544"/>
      <c r="M8" s="544"/>
      <c r="N8" s="544"/>
      <c r="O8" s="544"/>
      <c r="P8" s="544"/>
      <c r="Q8" s="544"/>
      <c r="R8" s="544"/>
      <c r="S8" s="544"/>
      <c r="T8" s="544"/>
      <c r="U8" s="544"/>
      <c r="V8" s="544"/>
      <c r="W8" s="544"/>
      <c r="X8" s="544"/>
      <c r="Y8" s="544"/>
      <c r="Z8" s="544"/>
      <c r="AA8" s="544"/>
      <c r="AB8" s="544"/>
      <c r="AC8" s="544"/>
      <c r="AD8" s="544"/>
      <c r="AE8" s="544"/>
      <c r="AF8" s="544"/>
      <c r="AG8" s="544"/>
      <c r="AH8" s="544"/>
      <c r="AI8" s="544"/>
      <c r="AJ8" s="544"/>
      <c r="AK8" s="544"/>
      <c r="AL8" s="544"/>
      <c r="AM8" s="544"/>
      <c r="AN8" s="544"/>
      <c r="AO8" s="544"/>
      <c r="AP8" s="544"/>
      <c r="AQ8" s="544"/>
      <c r="AR8" s="544"/>
      <c r="AS8" s="544"/>
      <c r="AT8" s="544"/>
      <c r="AU8" s="544"/>
      <c r="AV8" s="544"/>
      <c r="AW8" s="544"/>
      <c r="AX8" s="544"/>
      <c r="AY8" s="544"/>
      <c r="AZ8" s="544"/>
      <c r="BA8" s="544"/>
      <c r="BB8" s="544"/>
      <c r="BC8" s="544"/>
      <c r="BD8" s="544"/>
      <c r="BE8" s="544"/>
      <c r="BF8" s="544"/>
      <c r="BG8" s="544"/>
      <c r="BH8" s="544"/>
      <c r="BI8" s="544"/>
      <c r="BJ8" s="544"/>
      <c r="BK8" s="544"/>
      <c r="BL8" s="544"/>
      <c r="BM8" s="544"/>
      <c r="BN8" s="544"/>
      <c r="BO8" s="544"/>
      <c r="BP8" s="544"/>
      <c r="BQ8" s="544"/>
      <c r="BR8" s="544"/>
      <c r="BS8" s="544"/>
      <c r="BT8" s="544"/>
      <c r="BU8" s="544"/>
      <c r="BV8" s="544"/>
      <c r="BW8" s="544"/>
      <c r="BX8" s="544"/>
      <c r="BY8" s="544"/>
      <c r="BZ8" s="544"/>
      <c r="CA8" s="544"/>
      <c r="CB8" s="544"/>
      <c r="CC8" s="544"/>
      <c r="CD8" s="544"/>
      <c r="CE8" s="544"/>
      <c r="CF8" s="544"/>
      <c r="CG8" s="544"/>
      <c r="CH8" s="544"/>
      <c r="CI8" s="544"/>
      <c r="CJ8" s="544"/>
      <c r="CK8" s="544"/>
      <c r="CL8" s="544"/>
      <c r="CM8" s="544"/>
      <c r="CN8" s="544"/>
      <c r="CO8" s="544"/>
      <c r="CP8" s="544"/>
      <c r="CQ8" s="544"/>
      <c r="CR8" s="544"/>
      <c r="CS8" s="1"/>
    </row>
    <row r="9" spans="1:97">
      <c r="A9" s="91" t="s">
        <v>2115</v>
      </c>
      <c r="B9" s="91" t="s">
        <v>3587</v>
      </c>
      <c r="C9" s="91" t="s">
        <v>3588</v>
      </c>
      <c r="D9" s="91" t="s">
        <v>3589</v>
      </c>
      <c r="E9" s="91" t="s">
        <v>2207</v>
      </c>
      <c r="F9" s="91">
        <v>45380</v>
      </c>
      <c r="G9" s="92">
        <v>0.02</v>
      </c>
      <c r="H9" s="544" t="s">
        <v>3590</v>
      </c>
      <c r="I9" s="544"/>
      <c r="J9" s="544"/>
      <c r="K9" s="544"/>
      <c r="L9" s="544"/>
      <c r="M9" s="544"/>
      <c r="N9" s="544"/>
      <c r="O9" s="544"/>
      <c r="P9" s="544"/>
      <c r="Q9" s="544"/>
      <c r="R9" s="544"/>
      <c r="S9" s="544"/>
      <c r="T9" s="544"/>
      <c r="U9" s="544"/>
      <c r="V9" s="544"/>
      <c r="W9" s="544"/>
      <c r="X9" s="544"/>
      <c r="Y9" s="544"/>
      <c r="Z9" s="544"/>
      <c r="AA9" s="544"/>
      <c r="AB9" s="544"/>
      <c r="AC9" s="544"/>
      <c r="AD9" s="544"/>
      <c r="AE9" s="544"/>
      <c r="AF9" s="544"/>
      <c r="AG9" s="544"/>
      <c r="AH9" s="544"/>
      <c r="AI9" s="544"/>
      <c r="AJ9" s="544"/>
      <c r="AK9" s="544"/>
      <c r="AL9" s="544"/>
      <c r="AM9" s="544"/>
      <c r="AN9" s="544"/>
      <c r="AO9" s="544"/>
      <c r="AP9" s="544"/>
      <c r="AQ9" s="544"/>
      <c r="AR9" s="544"/>
      <c r="AS9" s="544"/>
      <c r="AT9" s="544"/>
      <c r="AU9" s="544"/>
      <c r="AV9" s="544"/>
      <c r="AW9" s="544"/>
      <c r="AX9" s="544"/>
      <c r="AY9" s="544"/>
      <c r="AZ9" s="544"/>
      <c r="BA9" s="544"/>
      <c r="BB9" s="544"/>
      <c r="BC9" s="544"/>
      <c r="BD9" s="544"/>
      <c r="BE9" s="544"/>
      <c r="BF9" s="544"/>
      <c r="BG9" s="544"/>
      <c r="BH9" s="544"/>
      <c r="BI9" s="544"/>
      <c r="BJ9" s="544"/>
      <c r="BK9" s="544"/>
      <c r="BL9" s="544"/>
      <c r="BM9" s="544"/>
      <c r="BN9" s="544"/>
      <c r="BO9" s="544"/>
      <c r="BP9" s="544"/>
      <c r="BQ9" s="544"/>
      <c r="BR9" s="544"/>
      <c r="BS9" s="544"/>
      <c r="BT9" s="544"/>
      <c r="BU9" s="544"/>
      <c r="BV9" s="544"/>
      <c r="BW9" s="544"/>
      <c r="BX9" s="544"/>
      <c r="BY9" s="544"/>
      <c r="BZ9" s="544"/>
      <c r="CA9" s="544"/>
      <c r="CB9" s="544"/>
      <c r="CC9" s="544"/>
      <c r="CD9" s="544"/>
      <c r="CE9" s="544"/>
      <c r="CF9" s="544"/>
      <c r="CG9" s="544"/>
      <c r="CH9" s="544"/>
      <c r="CI9" s="544"/>
      <c r="CJ9" s="544"/>
      <c r="CK9" s="544"/>
      <c r="CL9" s="544"/>
      <c r="CM9" s="544"/>
      <c r="CN9" s="544"/>
      <c r="CO9" s="544"/>
      <c r="CP9" s="544"/>
      <c r="CQ9" s="544"/>
      <c r="CR9" s="544"/>
      <c r="CS9" s="1"/>
    </row>
    <row r="10" spans="1:97">
      <c r="A10" s="91" t="s">
        <v>3198</v>
      </c>
      <c r="B10" s="91" t="s">
        <v>3591</v>
      </c>
      <c r="C10" s="91" t="s">
        <v>3330</v>
      </c>
      <c r="D10" s="91" t="s">
        <v>2206</v>
      </c>
      <c r="E10" s="91" t="s">
        <v>2207</v>
      </c>
      <c r="F10" s="91">
        <v>95366</v>
      </c>
      <c r="G10" s="566">
        <v>0</v>
      </c>
      <c r="H10" s="544" t="s">
        <v>3592</v>
      </c>
      <c r="I10" s="544"/>
      <c r="J10" s="544"/>
      <c r="K10" s="544"/>
      <c r="L10" s="544"/>
      <c r="M10" s="544"/>
      <c r="N10" s="544"/>
      <c r="O10" s="544"/>
      <c r="P10" s="544"/>
      <c r="Q10" s="544"/>
      <c r="R10" s="544"/>
      <c r="S10" s="544"/>
      <c r="T10" s="544"/>
      <c r="U10" s="544"/>
      <c r="V10" s="544"/>
      <c r="W10" s="544"/>
      <c r="X10" s="544"/>
      <c r="Y10" s="544"/>
      <c r="Z10" s="544"/>
      <c r="AA10" s="544"/>
      <c r="AB10" s="544"/>
      <c r="AC10" s="544"/>
      <c r="AD10" s="544"/>
      <c r="AE10" s="544"/>
      <c r="AF10" s="544"/>
      <c r="AG10" s="544"/>
      <c r="AH10" s="544"/>
      <c r="AI10" s="544"/>
      <c r="AJ10" s="544"/>
      <c r="AK10" s="544"/>
      <c r="AL10" s="544"/>
      <c r="AM10" s="544"/>
      <c r="AN10" s="544"/>
      <c r="AO10" s="544"/>
      <c r="AP10" s="544"/>
      <c r="AQ10" s="544"/>
      <c r="AR10" s="544"/>
      <c r="AS10" s="544"/>
      <c r="AT10" s="544"/>
      <c r="AU10" s="544"/>
      <c r="AV10" s="544"/>
      <c r="AW10" s="544"/>
      <c r="AX10" s="544"/>
      <c r="AY10" s="544"/>
      <c r="AZ10" s="544"/>
      <c r="BA10" s="544"/>
      <c r="BB10" s="544"/>
      <c r="BC10" s="544"/>
      <c r="BD10" s="544"/>
      <c r="BE10" s="544"/>
      <c r="BF10" s="544"/>
      <c r="BG10" s="544"/>
      <c r="BH10" s="544"/>
      <c r="BI10" s="544"/>
      <c r="BJ10" s="544"/>
      <c r="BK10" s="544"/>
      <c r="BL10" s="544"/>
      <c r="BM10" s="544"/>
      <c r="BN10" s="544"/>
      <c r="BO10" s="544"/>
      <c r="BP10" s="544"/>
      <c r="BQ10" s="544"/>
      <c r="BR10" s="544"/>
      <c r="BS10" s="544"/>
      <c r="BT10" s="544"/>
      <c r="BU10" s="544"/>
      <c r="BV10" s="544"/>
      <c r="BW10" s="544"/>
      <c r="BX10" s="544"/>
      <c r="BY10" s="544"/>
      <c r="BZ10" s="544"/>
      <c r="CA10" s="544"/>
      <c r="CB10" s="544"/>
      <c r="CC10" s="544"/>
      <c r="CD10" s="544"/>
      <c r="CE10" s="544"/>
      <c r="CF10" s="544"/>
      <c r="CG10" s="544"/>
      <c r="CH10" s="544"/>
      <c r="CI10" s="544"/>
      <c r="CJ10" s="544"/>
      <c r="CK10" s="544"/>
      <c r="CL10" s="544"/>
      <c r="CM10" s="544"/>
      <c r="CN10" s="544"/>
      <c r="CO10" s="544"/>
      <c r="CP10" s="544"/>
      <c r="CQ10" s="544"/>
      <c r="CR10" s="544"/>
      <c r="CS10" s="1"/>
    </row>
    <row r="11" spans="1:97">
      <c r="A11" s="91" t="s">
        <v>3028</v>
      </c>
      <c r="B11" s="327" t="s">
        <v>3593</v>
      </c>
      <c r="C11" s="327" t="s">
        <v>3594</v>
      </c>
      <c r="D11" s="232" t="s">
        <v>2206</v>
      </c>
      <c r="E11" s="232" t="s">
        <v>2207</v>
      </c>
      <c r="F11" s="7">
        <v>94043</v>
      </c>
      <c r="G11" s="566">
        <v>0</v>
      </c>
      <c r="H11" s="544" t="s">
        <v>3595</v>
      </c>
      <c r="I11" s="544"/>
      <c r="J11" s="544"/>
      <c r="K11" s="544"/>
      <c r="L11" s="544"/>
      <c r="M11" s="544"/>
      <c r="N11" s="544"/>
      <c r="O11" s="544"/>
      <c r="P11" s="544"/>
      <c r="Q11" s="544"/>
      <c r="R11" s="544"/>
      <c r="S11" s="544"/>
      <c r="T11" s="544"/>
      <c r="U11" s="544"/>
      <c r="V11" s="544"/>
      <c r="W11" s="544"/>
      <c r="X11" s="544"/>
      <c r="Y11" s="544"/>
      <c r="Z11" s="544"/>
      <c r="AA11" s="544"/>
      <c r="AB11" s="544"/>
      <c r="AC11" s="544"/>
      <c r="AD11" s="544"/>
      <c r="AE11" s="544"/>
      <c r="AF11" s="544"/>
      <c r="AG11" s="544"/>
      <c r="AH11" s="544"/>
      <c r="AI11" s="544"/>
      <c r="AJ11" s="544"/>
      <c r="AK11" s="544"/>
      <c r="AL11" s="544"/>
      <c r="AM11" s="544"/>
      <c r="AN11" s="544"/>
      <c r="AO11" s="544"/>
      <c r="AP11" s="544"/>
      <c r="AQ11" s="544"/>
      <c r="AR11" s="544"/>
      <c r="AS11" s="544"/>
      <c r="AT11" s="544"/>
      <c r="AU11" s="544"/>
      <c r="AV11" s="544"/>
      <c r="AW11" s="544"/>
      <c r="AX11" s="544"/>
      <c r="AY11" s="544"/>
      <c r="AZ11" s="544"/>
      <c r="BA11" s="544"/>
      <c r="BB11" s="544"/>
      <c r="BC11" s="544"/>
      <c r="BD11" s="544"/>
      <c r="BE11" s="544"/>
      <c r="BF11" s="544"/>
      <c r="BG11" s="544"/>
      <c r="BH11" s="544"/>
      <c r="BI11" s="544"/>
      <c r="BJ11" s="544"/>
      <c r="BK11" s="544"/>
      <c r="BL11" s="544"/>
      <c r="BM11" s="544"/>
      <c r="BN11" s="544"/>
      <c r="BO11" s="544"/>
      <c r="BP11" s="544"/>
      <c r="BQ11" s="544"/>
      <c r="BR11" s="544"/>
      <c r="BS11" s="544"/>
      <c r="BT11" s="544"/>
      <c r="BU11" s="544"/>
      <c r="BV11" s="544"/>
      <c r="BW11" s="544"/>
      <c r="BX11" s="544"/>
      <c r="BY11" s="544"/>
      <c r="BZ11" s="544"/>
      <c r="CA11" s="544"/>
      <c r="CB11" s="544"/>
      <c r="CC11" s="544"/>
      <c r="CD11" s="544"/>
      <c r="CE11" s="544"/>
      <c r="CF11" s="544"/>
      <c r="CG11" s="544"/>
      <c r="CH11" s="544"/>
      <c r="CI11" s="544"/>
      <c r="CJ11" s="544"/>
      <c r="CK11" s="544"/>
      <c r="CL11" s="544"/>
      <c r="CM11" s="544"/>
      <c r="CN11" s="544"/>
      <c r="CO11" s="544"/>
      <c r="CP11" s="544"/>
      <c r="CQ11" s="544"/>
      <c r="CR11" s="544"/>
      <c r="CS11" s="1"/>
    </row>
    <row r="12" spans="1:97">
      <c r="A12" s="91" t="s">
        <v>1824</v>
      </c>
      <c r="B12" s="91" t="s">
        <v>3596</v>
      </c>
      <c r="C12" s="91" t="s">
        <v>214</v>
      </c>
      <c r="D12" s="91" t="s">
        <v>139</v>
      </c>
      <c r="E12" s="91" t="s">
        <v>2207</v>
      </c>
      <c r="F12" s="91">
        <v>93711</v>
      </c>
      <c r="G12" s="92">
        <v>0.03</v>
      </c>
      <c r="H12" s="544" t="s">
        <v>3597</v>
      </c>
      <c r="I12" s="544"/>
      <c r="J12" s="544"/>
      <c r="K12" s="544"/>
      <c r="L12" s="544"/>
      <c r="M12" s="544"/>
      <c r="N12" s="544"/>
      <c r="O12" s="544"/>
      <c r="P12" s="544"/>
      <c r="Q12" s="544"/>
      <c r="R12" s="544"/>
      <c r="S12" s="544"/>
      <c r="T12" s="544"/>
      <c r="U12" s="544"/>
      <c r="V12" s="544"/>
      <c r="W12" s="544"/>
      <c r="X12" s="544"/>
      <c r="Y12" s="544"/>
      <c r="Z12" s="544"/>
      <c r="AA12" s="544"/>
      <c r="AB12" s="544"/>
      <c r="AC12" s="544"/>
      <c r="AD12" s="544"/>
      <c r="AE12" s="544"/>
      <c r="AF12" s="544"/>
      <c r="AG12" s="544"/>
      <c r="AH12" s="544"/>
      <c r="AI12" s="544"/>
      <c r="AJ12" s="544"/>
      <c r="AK12" s="544"/>
      <c r="AL12" s="544"/>
      <c r="AM12" s="544"/>
      <c r="AN12" s="544"/>
      <c r="AO12" s="544"/>
      <c r="AP12" s="544"/>
      <c r="AQ12" s="544"/>
      <c r="AR12" s="544"/>
      <c r="AS12" s="544"/>
      <c r="AT12" s="544"/>
      <c r="AU12" s="544"/>
      <c r="AV12" s="544"/>
      <c r="AW12" s="544"/>
      <c r="AX12" s="544"/>
      <c r="AY12" s="544"/>
      <c r="AZ12" s="544"/>
      <c r="BA12" s="544"/>
      <c r="BB12" s="544"/>
      <c r="BC12" s="544"/>
      <c r="BD12" s="544"/>
      <c r="BE12" s="544"/>
      <c r="BF12" s="544"/>
      <c r="BG12" s="544"/>
      <c r="BH12" s="544"/>
      <c r="BI12" s="544"/>
      <c r="BJ12" s="544"/>
      <c r="BK12" s="544"/>
      <c r="BL12" s="544"/>
      <c r="BM12" s="544"/>
      <c r="BN12" s="544"/>
      <c r="BO12" s="544"/>
      <c r="BP12" s="544"/>
      <c r="BQ12" s="544"/>
      <c r="BR12" s="544"/>
      <c r="BS12" s="544"/>
      <c r="BT12" s="544"/>
      <c r="BU12" s="544"/>
      <c r="BV12" s="544"/>
      <c r="BW12" s="544"/>
      <c r="BX12" s="544"/>
      <c r="BY12" s="544"/>
      <c r="BZ12" s="544"/>
      <c r="CA12" s="544"/>
      <c r="CB12" s="544"/>
      <c r="CC12" s="544"/>
      <c r="CD12" s="544"/>
      <c r="CE12" s="544"/>
      <c r="CF12" s="544"/>
      <c r="CG12" s="544"/>
      <c r="CH12" s="544"/>
      <c r="CI12" s="544"/>
      <c r="CJ12" s="544"/>
      <c r="CK12" s="544"/>
      <c r="CL12" s="544"/>
      <c r="CM12" s="544"/>
      <c r="CN12" s="544"/>
      <c r="CO12" s="544"/>
      <c r="CP12" s="544"/>
      <c r="CQ12" s="544"/>
      <c r="CR12" s="544"/>
      <c r="CS12" s="1"/>
    </row>
    <row r="13" spans="1:97" ht="15" customHeight="1">
      <c r="A13" s="563" t="s">
        <v>3102</v>
      </c>
      <c r="B13" s="91" t="s">
        <v>3598</v>
      </c>
      <c r="C13" s="91" t="s">
        <v>3599</v>
      </c>
      <c r="D13" s="91" t="s">
        <v>3600</v>
      </c>
      <c r="E13" s="91" t="s">
        <v>2207</v>
      </c>
      <c r="F13" s="91">
        <v>1453</v>
      </c>
      <c r="G13" s="566">
        <v>0</v>
      </c>
      <c r="H13" s="544" t="s">
        <v>3601</v>
      </c>
      <c r="I13" s="544"/>
      <c r="J13" s="544"/>
      <c r="K13" s="544"/>
      <c r="L13" s="544"/>
      <c r="M13" s="544"/>
      <c r="N13" s="544"/>
      <c r="O13" s="544"/>
      <c r="P13" s="544"/>
      <c r="Q13" s="544"/>
      <c r="R13" s="544"/>
      <c r="S13" s="544"/>
      <c r="T13" s="544"/>
      <c r="U13" s="544"/>
      <c r="V13" s="544"/>
      <c r="W13" s="544"/>
      <c r="X13" s="544"/>
      <c r="Y13" s="544"/>
      <c r="Z13" s="544"/>
      <c r="AA13" s="544"/>
      <c r="AB13" s="544"/>
      <c r="AC13" s="544"/>
      <c r="AD13" s="544"/>
      <c r="AE13" s="544"/>
      <c r="AF13" s="544"/>
      <c r="AG13" s="544"/>
      <c r="AH13" s="544"/>
      <c r="AI13" s="544"/>
      <c r="AJ13" s="544"/>
      <c r="AK13" s="544"/>
      <c r="AL13" s="544"/>
      <c r="AM13" s="544"/>
      <c r="AN13" s="544"/>
      <c r="AO13" s="544"/>
      <c r="AP13" s="544"/>
      <c r="AQ13" s="544"/>
      <c r="AR13" s="544"/>
      <c r="AS13" s="544"/>
      <c r="AT13" s="544"/>
      <c r="AU13" s="544"/>
      <c r="AV13" s="544"/>
      <c r="AW13" s="544"/>
      <c r="AX13" s="544"/>
      <c r="AY13" s="544"/>
      <c r="AZ13" s="544"/>
      <c r="BA13" s="544"/>
      <c r="BB13" s="544"/>
      <c r="BC13" s="544"/>
      <c r="BD13" s="544"/>
      <c r="BE13" s="544"/>
      <c r="BF13" s="544"/>
      <c r="BG13" s="544"/>
      <c r="BH13" s="544"/>
      <c r="BI13" s="544"/>
      <c r="BJ13" s="544"/>
      <c r="BK13" s="544"/>
      <c r="BL13" s="544"/>
      <c r="BM13" s="544"/>
      <c r="BN13" s="544"/>
      <c r="BO13" s="544"/>
      <c r="BP13" s="544"/>
      <c r="BQ13" s="544"/>
      <c r="BR13" s="544"/>
      <c r="BS13" s="544"/>
      <c r="BT13" s="544"/>
      <c r="BU13" s="544"/>
      <c r="BV13" s="544"/>
      <c r="BW13" s="544"/>
      <c r="BX13" s="544"/>
      <c r="BY13" s="544"/>
      <c r="BZ13" s="544"/>
      <c r="CA13" s="544"/>
      <c r="CB13" s="544"/>
      <c r="CC13" s="544"/>
      <c r="CD13" s="544"/>
      <c r="CE13" s="544"/>
      <c r="CF13" s="544"/>
      <c r="CG13" s="544"/>
      <c r="CH13" s="544"/>
      <c r="CI13" s="544"/>
      <c r="CJ13" s="544"/>
      <c r="CK13" s="544"/>
      <c r="CL13" s="544"/>
      <c r="CM13" s="544"/>
      <c r="CN13" s="544"/>
      <c r="CO13" s="544"/>
      <c r="CP13" s="544"/>
      <c r="CQ13" s="544"/>
      <c r="CR13" s="544"/>
      <c r="CS13" s="1"/>
    </row>
    <row r="14" spans="1:97">
      <c r="A14" s="91" t="s">
        <v>1997</v>
      </c>
      <c r="B14" s="91" t="s">
        <v>3602</v>
      </c>
      <c r="C14" s="91" t="s">
        <v>3603</v>
      </c>
      <c r="D14" s="91" t="s">
        <v>3604</v>
      </c>
      <c r="E14" s="91" t="s">
        <v>2207</v>
      </c>
      <c r="F14" s="91">
        <v>48089</v>
      </c>
      <c r="G14" s="92">
        <v>0.02</v>
      </c>
      <c r="H14" s="87" t="s">
        <v>3605</v>
      </c>
      <c r="I14" s="544"/>
      <c r="J14" s="544"/>
      <c r="K14" s="544"/>
      <c r="L14" s="544"/>
      <c r="M14" s="544"/>
      <c r="N14" s="544"/>
      <c r="O14" s="544"/>
      <c r="P14" s="544"/>
      <c r="Q14" s="544"/>
      <c r="R14" s="544"/>
      <c r="S14" s="544"/>
      <c r="T14" s="544"/>
      <c r="U14" s="544"/>
      <c r="V14" s="544"/>
      <c r="W14" s="544"/>
      <c r="X14" s="544"/>
      <c r="Y14" s="544"/>
      <c r="Z14" s="544"/>
      <c r="AA14" s="544"/>
      <c r="AB14" s="544"/>
      <c r="AC14" s="544"/>
      <c r="AD14" s="544"/>
      <c r="AE14" s="544"/>
      <c r="AF14" s="544"/>
      <c r="AG14" s="544"/>
      <c r="AH14" s="544"/>
      <c r="AI14" s="544"/>
      <c r="AJ14" s="544"/>
      <c r="AK14" s="544"/>
      <c r="AL14" s="544"/>
      <c r="AM14" s="544"/>
      <c r="AN14" s="544"/>
      <c r="AO14" s="544"/>
      <c r="AP14" s="544"/>
      <c r="AQ14" s="544"/>
      <c r="AR14" s="544"/>
      <c r="AS14" s="544"/>
      <c r="AT14" s="544"/>
      <c r="AU14" s="544"/>
      <c r="AV14" s="544"/>
      <c r="AW14" s="544"/>
      <c r="AX14" s="544"/>
      <c r="AY14" s="544"/>
      <c r="AZ14" s="544"/>
      <c r="BA14" s="544"/>
      <c r="BB14" s="544"/>
      <c r="BC14" s="544"/>
      <c r="BD14" s="544"/>
      <c r="BE14" s="544"/>
      <c r="BF14" s="544"/>
      <c r="BG14" s="544"/>
      <c r="BH14" s="544"/>
      <c r="BI14" s="544"/>
      <c r="BJ14" s="544"/>
      <c r="BK14" s="544"/>
      <c r="BL14" s="544"/>
      <c r="BM14" s="544"/>
      <c r="BN14" s="544"/>
      <c r="BO14" s="544"/>
      <c r="BP14" s="544"/>
      <c r="BQ14" s="544"/>
      <c r="BR14" s="544"/>
      <c r="BS14" s="544"/>
      <c r="BT14" s="544"/>
      <c r="BU14" s="544"/>
      <c r="BV14" s="544"/>
      <c r="BW14" s="544"/>
      <c r="BX14" s="544"/>
      <c r="BY14" s="544"/>
      <c r="BZ14" s="544"/>
      <c r="CA14" s="544"/>
      <c r="CB14" s="544"/>
      <c r="CC14" s="544"/>
      <c r="CD14" s="544"/>
      <c r="CE14" s="544"/>
      <c r="CF14" s="544"/>
      <c r="CG14" s="544"/>
      <c r="CH14" s="544"/>
      <c r="CI14" s="544"/>
      <c r="CJ14" s="544"/>
      <c r="CK14" s="544"/>
      <c r="CL14" s="544"/>
      <c r="CM14" s="544"/>
      <c r="CN14" s="544"/>
      <c r="CO14" s="544"/>
      <c r="CP14" s="544"/>
      <c r="CQ14" s="544"/>
      <c r="CR14" s="544"/>
      <c r="CS14" s="1"/>
    </row>
    <row r="15" spans="1:97">
      <c r="A15" s="91" t="s">
        <v>111</v>
      </c>
      <c r="B15" s="91" t="s">
        <v>3606</v>
      </c>
      <c r="C15" s="91" t="s">
        <v>3607</v>
      </c>
      <c r="D15" s="91" t="s">
        <v>3608</v>
      </c>
      <c r="E15" s="91" t="s">
        <v>2207</v>
      </c>
      <c r="F15" s="91">
        <v>60654</v>
      </c>
      <c r="G15" s="92">
        <v>0.02</v>
      </c>
      <c r="H15" s="544" t="s">
        <v>3609</v>
      </c>
      <c r="I15" s="544"/>
      <c r="J15" s="544"/>
      <c r="K15" s="544"/>
      <c r="L15" s="544"/>
      <c r="M15" s="544"/>
      <c r="N15" s="544"/>
      <c r="O15" s="544"/>
      <c r="P15" s="544"/>
      <c r="Q15" s="544"/>
      <c r="R15" s="544"/>
      <c r="S15" s="544"/>
      <c r="T15" s="544"/>
      <c r="U15" s="544"/>
      <c r="V15" s="544"/>
      <c r="W15" s="544"/>
      <c r="X15" s="544"/>
      <c r="Y15" s="544"/>
      <c r="Z15" s="544"/>
      <c r="AA15" s="544"/>
      <c r="AB15" s="544"/>
      <c r="AC15" s="544"/>
      <c r="AD15" s="544"/>
      <c r="AE15" s="544"/>
      <c r="AF15" s="544"/>
      <c r="AG15" s="544"/>
      <c r="AH15" s="544"/>
      <c r="AI15" s="544"/>
      <c r="AJ15" s="544"/>
      <c r="AK15" s="544"/>
      <c r="AL15" s="544"/>
      <c r="AM15" s="544"/>
      <c r="AN15" s="544"/>
      <c r="AO15" s="544"/>
      <c r="AP15" s="544"/>
      <c r="AQ15" s="544"/>
      <c r="AR15" s="544"/>
      <c r="AS15" s="544"/>
      <c r="AT15" s="544"/>
      <c r="AU15" s="544"/>
      <c r="AV15" s="544"/>
      <c r="AW15" s="544"/>
      <c r="AX15" s="544"/>
      <c r="AY15" s="544"/>
      <c r="AZ15" s="544"/>
      <c r="BA15" s="544"/>
      <c r="BB15" s="544"/>
      <c r="BC15" s="544"/>
      <c r="BD15" s="544"/>
      <c r="BE15" s="544"/>
      <c r="BF15" s="544"/>
      <c r="BG15" s="544"/>
      <c r="BH15" s="544"/>
      <c r="BI15" s="544"/>
      <c r="BJ15" s="544"/>
      <c r="BK15" s="544"/>
      <c r="BL15" s="544"/>
      <c r="BM15" s="544"/>
      <c r="BN15" s="544"/>
      <c r="BO15" s="544"/>
      <c r="BP15" s="544"/>
      <c r="BQ15" s="544"/>
      <c r="BR15" s="544"/>
      <c r="BS15" s="544"/>
      <c r="BT15" s="544"/>
      <c r="BU15" s="544"/>
      <c r="BV15" s="544"/>
      <c r="BW15" s="544"/>
      <c r="BX15" s="544"/>
      <c r="BY15" s="544"/>
      <c r="BZ15" s="544"/>
      <c r="CA15" s="544"/>
      <c r="CB15" s="544"/>
      <c r="CC15" s="544"/>
      <c r="CD15" s="544"/>
      <c r="CE15" s="544"/>
      <c r="CF15" s="544"/>
      <c r="CG15" s="544"/>
      <c r="CH15" s="544"/>
      <c r="CI15" s="544"/>
      <c r="CJ15" s="544"/>
      <c r="CK15" s="544"/>
      <c r="CL15" s="544"/>
      <c r="CM15" s="544"/>
      <c r="CN15" s="544"/>
      <c r="CO15" s="544"/>
      <c r="CP15" s="544"/>
      <c r="CQ15" s="544"/>
      <c r="CR15" s="544"/>
      <c r="CS15" s="1"/>
    </row>
    <row r="16" spans="1:97">
      <c r="A16" s="91" t="s">
        <v>2815</v>
      </c>
      <c r="B16" s="91" t="s">
        <v>3610</v>
      </c>
      <c r="C16" s="279" t="s">
        <v>3611</v>
      </c>
      <c r="D16" s="91" t="s">
        <v>3570</v>
      </c>
      <c r="E16" s="91" t="s">
        <v>2207</v>
      </c>
      <c r="F16" s="91">
        <v>60148</v>
      </c>
      <c r="G16" s="566">
        <v>0.03</v>
      </c>
      <c r="H16" s="544" t="s">
        <v>3612</v>
      </c>
      <c r="I16" s="544"/>
      <c r="J16" s="544"/>
      <c r="K16" s="544"/>
      <c r="L16" s="544"/>
      <c r="M16" s="544"/>
      <c r="N16" s="544"/>
      <c r="O16" s="544"/>
      <c r="P16" s="544"/>
      <c r="Q16" s="544"/>
      <c r="R16" s="544"/>
      <c r="S16" s="544"/>
      <c r="T16" s="544"/>
      <c r="U16" s="544"/>
      <c r="V16" s="544"/>
      <c r="W16" s="544"/>
      <c r="X16" s="544"/>
      <c r="Y16" s="544"/>
      <c r="Z16" s="544"/>
      <c r="AA16" s="544"/>
      <c r="AB16" s="544"/>
      <c r="AC16" s="544"/>
      <c r="AD16" s="544"/>
      <c r="AE16" s="544"/>
      <c r="AF16" s="544"/>
      <c r="AG16" s="544"/>
      <c r="AH16" s="544"/>
      <c r="AI16" s="544"/>
      <c r="AJ16" s="544"/>
      <c r="AK16" s="544"/>
      <c r="AL16" s="544"/>
      <c r="AM16" s="544"/>
      <c r="AN16" s="544"/>
      <c r="AO16" s="544"/>
      <c r="AP16" s="544"/>
      <c r="AQ16" s="544"/>
      <c r="AR16" s="544"/>
      <c r="AS16" s="544"/>
      <c r="AT16" s="544"/>
      <c r="AU16" s="544"/>
      <c r="AV16" s="544"/>
      <c r="AW16" s="544"/>
      <c r="AX16" s="544"/>
      <c r="AY16" s="544"/>
      <c r="AZ16" s="544"/>
      <c r="BA16" s="544"/>
      <c r="BB16" s="544"/>
      <c r="BC16" s="544"/>
      <c r="BD16" s="544"/>
      <c r="BE16" s="544"/>
      <c r="BF16" s="544"/>
      <c r="BG16" s="544"/>
      <c r="BH16" s="544"/>
      <c r="BI16" s="544"/>
      <c r="BJ16" s="544"/>
      <c r="BK16" s="544"/>
      <c r="BL16" s="544"/>
      <c r="BM16" s="544"/>
      <c r="BN16" s="544"/>
      <c r="BO16" s="544"/>
      <c r="BP16" s="544"/>
      <c r="BQ16" s="544"/>
      <c r="BR16" s="544"/>
      <c r="BS16" s="544"/>
      <c r="BT16" s="544"/>
      <c r="BU16" s="544"/>
      <c r="BV16" s="544"/>
      <c r="BW16" s="544"/>
      <c r="BX16" s="544"/>
      <c r="BY16" s="544"/>
      <c r="BZ16" s="544"/>
      <c r="CA16" s="544"/>
      <c r="CB16" s="544"/>
      <c r="CC16" s="544"/>
      <c r="CD16" s="544"/>
      <c r="CE16" s="544"/>
      <c r="CF16" s="544"/>
      <c r="CG16" s="544"/>
      <c r="CH16" s="544"/>
      <c r="CI16" s="544"/>
      <c r="CJ16" s="544"/>
      <c r="CK16" s="544"/>
      <c r="CL16" s="544"/>
      <c r="CM16" s="544"/>
      <c r="CN16" s="544"/>
      <c r="CO16" s="544"/>
      <c r="CP16" s="544"/>
      <c r="CQ16" s="544"/>
      <c r="CR16" s="544"/>
      <c r="CS16" s="1"/>
    </row>
    <row r="17" spans="1:97">
      <c r="A17" s="91" t="s">
        <v>2911</v>
      </c>
      <c r="B17" s="91" t="s">
        <v>3613</v>
      </c>
      <c r="C17" s="91" t="s">
        <v>3614</v>
      </c>
      <c r="D17" s="91" t="s">
        <v>3615</v>
      </c>
      <c r="E17" s="91" t="s">
        <v>2207</v>
      </c>
      <c r="F17" s="91">
        <v>38654</v>
      </c>
      <c r="G17" s="566">
        <v>0</v>
      </c>
      <c r="H17" s="544" t="s">
        <v>3616</v>
      </c>
      <c r="I17" s="544"/>
      <c r="J17" s="544"/>
      <c r="K17" s="544"/>
      <c r="L17" s="544"/>
      <c r="M17" s="544"/>
      <c r="N17" s="544"/>
      <c r="O17" s="544"/>
      <c r="P17" s="544"/>
      <c r="Q17" s="544"/>
      <c r="R17" s="544"/>
      <c r="S17" s="544"/>
      <c r="T17" s="544"/>
      <c r="U17" s="544"/>
      <c r="V17" s="544"/>
      <c r="W17" s="544"/>
      <c r="X17" s="544"/>
      <c r="Y17" s="544"/>
      <c r="Z17" s="544"/>
      <c r="AA17" s="544"/>
      <c r="AB17" s="544"/>
      <c r="AC17" s="544"/>
      <c r="AD17" s="544"/>
      <c r="AE17" s="544"/>
      <c r="AF17" s="544"/>
      <c r="AG17" s="544"/>
      <c r="AH17" s="544"/>
      <c r="AI17" s="544"/>
      <c r="AJ17" s="544"/>
      <c r="AK17" s="544"/>
      <c r="AL17" s="544"/>
      <c r="AM17" s="544"/>
      <c r="AN17" s="544"/>
      <c r="AO17" s="544"/>
      <c r="AP17" s="544"/>
      <c r="AQ17" s="544"/>
      <c r="AR17" s="544"/>
      <c r="AS17" s="544"/>
      <c r="AT17" s="544"/>
      <c r="AU17" s="544"/>
      <c r="AV17" s="544"/>
      <c r="AW17" s="544"/>
      <c r="AX17" s="544"/>
      <c r="AY17" s="544"/>
      <c r="AZ17" s="544"/>
      <c r="BA17" s="544"/>
      <c r="BB17" s="544"/>
      <c r="BC17" s="544"/>
      <c r="BD17" s="544"/>
      <c r="BE17" s="544"/>
      <c r="BF17" s="544"/>
      <c r="BG17" s="544"/>
      <c r="BH17" s="544"/>
      <c r="BI17" s="544"/>
      <c r="BJ17" s="544"/>
      <c r="BK17" s="544"/>
      <c r="BL17" s="544"/>
      <c r="BM17" s="544"/>
      <c r="BN17" s="544"/>
      <c r="BO17" s="544"/>
      <c r="BP17" s="544"/>
      <c r="BQ17" s="544"/>
      <c r="BR17" s="544"/>
      <c r="BS17" s="544"/>
      <c r="BT17" s="544"/>
      <c r="BU17" s="544"/>
      <c r="BV17" s="544"/>
      <c r="BW17" s="544"/>
      <c r="BX17" s="544"/>
      <c r="BY17" s="544"/>
      <c r="BZ17" s="544"/>
      <c r="CA17" s="544"/>
      <c r="CB17" s="544"/>
      <c r="CC17" s="544"/>
      <c r="CD17" s="544"/>
      <c r="CE17" s="544"/>
      <c r="CF17" s="544"/>
      <c r="CG17" s="544"/>
      <c r="CH17" s="544"/>
      <c r="CI17" s="544"/>
      <c r="CJ17" s="544"/>
      <c r="CK17" s="544"/>
      <c r="CL17" s="544"/>
      <c r="CM17" s="544"/>
      <c r="CN17" s="544"/>
      <c r="CO17" s="544"/>
      <c r="CP17" s="544"/>
      <c r="CQ17" s="544"/>
      <c r="CR17" s="544"/>
      <c r="CS17" s="1"/>
    </row>
    <row r="18" spans="1:97">
      <c r="A18" s="91" t="s">
        <v>2004</v>
      </c>
      <c r="B18" s="91" t="s">
        <v>3617</v>
      </c>
      <c r="C18" s="91" t="s">
        <v>3618</v>
      </c>
      <c r="D18" s="91" t="s">
        <v>3619</v>
      </c>
      <c r="E18" s="91" t="s">
        <v>2207</v>
      </c>
      <c r="F18" s="91" t="s">
        <v>3620</v>
      </c>
      <c r="G18" s="92">
        <v>0</v>
      </c>
      <c r="H18" s="544" t="s">
        <v>3621</v>
      </c>
      <c r="I18" s="544"/>
      <c r="J18" s="544"/>
      <c r="K18" s="544"/>
      <c r="L18" s="544"/>
      <c r="M18" s="544"/>
      <c r="N18" s="544"/>
      <c r="O18" s="544"/>
      <c r="P18" s="544"/>
      <c r="Q18" s="544"/>
      <c r="R18" s="544"/>
      <c r="S18" s="544"/>
      <c r="T18" s="544"/>
      <c r="U18" s="544"/>
      <c r="V18" s="544"/>
      <c r="W18" s="544"/>
      <c r="X18" s="544"/>
      <c r="Y18" s="544"/>
      <c r="Z18" s="544"/>
      <c r="AA18" s="544"/>
      <c r="AB18" s="544"/>
      <c r="AC18" s="544"/>
      <c r="AD18" s="544"/>
      <c r="AE18" s="544"/>
      <c r="AF18" s="544"/>
      <c r="AG18" s="544"/>
      <c r="AH18" s="544"/>
      <c r="AI18" s="544"/>
      <c r="AJ18" s="544"/>
      <c r="AK18" s="544"/>
      <c r="AL18" s="544"/>
      <c r="AM18" s="544"/>
      <c r="AN18" s="544"/>
      <c r="AO18" s="544"/>
      <c r="AP18" s="544"/>
      <c r="AQ18" s="544"/>
      <c r="AR18" s="544"/>
      <c r="AS18" s="544"/>
      <c r="AT18" s="544"/>
      <c r="AU18" s="544"/>
      <c r="AV18" s="544"/>
      <c r="AW18" s="544"/>
      <c r="AX18" s="544"/>
      <c r="AY18" s="544"/>
      <c r="AZ18" s="544"/>
      <c r="BA18" s="544"/>
      <c r="BB18" s="544"/>
      <c r="BC18" s="544"/>
      <c r="BD18" s="544"/>
      <c r="BE18" s="544"/>
      <c r="BF18" s="544"/>
      <c r="BG18" s="544"/>
      <c r="BH18" s="544"/>
      <c r="BI18" s="544"/>
      <c r="BJ18" s="544"/>
      <c r="BK18" s="544"/>
      <c r="BL18" s="544"/>
      <c r="BM18" s="544"/>
      <c r="BN18" s="544"/>
      <c r="BO18" s="544"/>
      <c r="BP18" s="544"/>
      <c r="BQ18" s="544"/>
      <c r="BR18" s="544"/>
      <c r="BS18" s="544"/>
      <c r="BT18" s="544"/>
      <c r="BU18" s="544"/>
      <c r="BV18" s="544"/>
      <c r="BW18" s="544"/>
      <c r="BX18" s="544"/>
      <c r="BY18" s="544"/>
      <c r="BZ18" s="544"/>
      <c r="CA18" s="544"/>
      <c r="CB18" s="544"/>
      <c r="CC18" s="544"/>
      <c r="CD18" s="544"/>
      <c r="CE18" s="544"/>
      <c r="CF18" s="544"/>
      <c r="CG18" s="544"/>
      <c r="CH18" s="544"/>
      <c r="CI18" s="544"/>
      <c r="CJ18" s="544"/>
      <c r="CK18" s="544"/>
      <c r="CL18" s="544"/>
      <c r="CM18" s="544"/>
      <c r="CN18" s="544"/>
      <c r="CO18" s="544"/>
      <c r="CP18" s="544"/>
      <c r="CQ18" s="544"/>
      <c r="CR18" s="544"/>
      <c r="CS18" s="1"/>
    </row>
    <row r="19" spans="1:97">
      <c r="A19" s="91" t="s">
        <v>445</v>
      </c>
      <c r="B19" s="91" t="s">
        <v>3622</v>
      </c>
      <c r="C19" s="91" t="s">
        <v>3623</v>
      </c>
      <c r="D19" s="91" t="s">
        <v>3624</v>
      </c>
      <c r="E19" s="91" t="s">
        <v>2207</v>
      </c>
      <c r="F19" s="91">
        <v>30005</v>
      </c>
      <c r="G19" s="92">
        <v>0.03</v>
      </c>
      <c r="H19" s="544" t="s">
        <v>3625</v>
      </c>
      <c r="I19" s="544"/>
      <c r="J19" s="544"/>
      <c r="K19" s="544"/>
      <c r="L19" s="544"/>
      <c r="M19" s="544"/>
      <c r="N19" s="544"/>
      <c r="O19" s="544"/>
      <c r="P19" s="544"/>
      <c r="Q19" s="544"/>
      <c r="R19" s="544"/>
      <c r="S19" s="544"/>
      <c r="T19" s="544"/>
      <c r="U19" s="544"/>
      <c r="V19" s="544"/>
      <c r="W19" s="544"/>
      <c r="X19" s="544"/>
      <c r="Y19" s="544"/>
      <c r="Z19" s="544"/>
      <c r="AA19" s="544"/>
      <c r="AB19" s="544"/>
      <c r="AC19" s="544"/>
      <c r="AD19" s="544"/>
      <c r="AE19" s="544"/>
      <c r="AF19" s="544"/>
      <c r="AG19" s="544"/>
      <c r="AH19" s="544"/>
      <c r="AI19" s="544"/>
      <c r="AJ19" s="544"/>
      <c r="AK19" s="544"/>
      <c r="AL19" s="544"/>
      <c r="AM19" s="544"/>
      <c r="AN19" s="544"/>
      <c r="AO19" s="544"/>
      <c r="AP19" s="544"/>
      <c r="AQ19" s="544"/>
      <c r="AR19" s="544"/>
      <c r="AS19" s="544"/>
      <c r="AT19" s="544"/>
      <c r="AU19" s="544"/>
      <c r="AV19" s="544"/>
      <c r="AW19" s="544"/>
      <c r="AX19" s="544"/>
      <c r="AY19" s="544"/>
      <c r="AZ19" s="544"/>
      <c r="BA19" s="544"/>
      <c r="BB19" s="544"/>
      <c r="BC19" s="544"/>
      <c r="BD19" s="544"/>
      <c r="BE19" s="544"/>
      <c r="BF19" s="544"/>
      <c r="BG19" s="544"/>
      <c r="BH19" s="544"/>
      <c r="BI19" s="544"/>
      <c r="BJ19" s="544"/>
      <c r="BK19" s="544"/>
      <c r="BL19" s="544"/>
      <c r="BM19" s="544"/>
      <c r="BN19" s="544"/>
      <c r="BO19" s="544"/>
      <c r="BP19" s="544"/>
      <c r="BQ19" s="544"/>
      <c r="BR19" s="544"/>
      <c r="BS19" s="544"/>
      <c r="BT19" s="544"/>
      <c r="BU19" s="544"/>
      <c r="BV19" s="544"/>
      <c r="BW19" s="544"/>
      <c r="BX19" s="544"/>
      <c r="BY19" s="544"/>
      <c r="BZ19" s="544"/>
      <c r="CA19" s="544"/>
      <c r="CB19" s="544"/>
      <c r="CC19" s="544"/>
      <c r="CD19" s="544"/>
      <c r="CE19" s="544"/>
      <c r="CF19" s="544"/>
      <c r="CG19" s="544"/>
      <c r="CH19" s="544"/>
      <c r="CI19" s="544"/>
      <c r="CJ19" s="544"/>
      <c r="CK19" s="544"/>
      <c r="CL19" s="544"/>
      <c r="CM19" s="544"/>
      <c r="CN19" s="544"/>
      <c r="CO19" s="544"/>
      <c r="CP19" s="544"/>
      <c r="CQ19" s="544"/>
      <c r="CR19" s="544"/>
      <c r="CS19" s="1"/>
    </row>
    <row r="20" spans="1:97">
      <c r="A20" s="91" t="s">
        <v>3347</v>
      </c>
      <c r="B20" s="91" t="s">
        <v>3626</v>
      </c>
      <c r="C20" s="91" t="s">
        <v>3627</v>
      </c>
      <c r="D20" s="91" t="s">
        <v>3589</v>
      </c>
      <c r="E20" s="91" t="s">
        <v>2207</v>
      </c>
      <c r="F20" s="91">
        <v>45250</v>
      </c>
      <c r="G20" s="566">
        <v>0</v>
      </c>
      <c r="H20" s="544" t="s">
        <v>3628</v>
      </c>
      <c r="I20" s="544"/>
      <c r="J20" s="544"/>
      <c r="K20" s="544"/>
      <c r="L20" s="544"/>
      <c r="M20" s="544"/>
      <c r="N20" s="544"/>
      <c r="O20" s="544"/>
      <c r="P20" s="544"/>
      <c r="Q20" s="544"/>
      <c r="R20" s="544"/>
      <c r="S20" s="544"/>
      <c r="T20" s="544"/>
      <c r="U20" s="544"/>
      <c r="V20" s="544"/>
      <c r="W20" s="544"/>
      <c r="X20" s="544"/>
      <c r="Y20" s="544"/>
      <c r="Z20" s="544"/>
      <c r="AA20" s="544"/>
      <c r="AB20" s="544"/>
      <c r="AC20" s="544"/>
      <c r="AD20" s="544"/>
      <c r="AE20" s="544"/>
      <c r="AF20" s="544"/>
      <c r="AG20" s="544"/>
      <c r="AH20" s="544"/>
      <c r="AI20" s="544"/>
      <c r="AJ20" s="544"/>
      <c r="AK20" s="544"/>
      <c r="AL20" s="544"/>
      <c r="AM20" s="544"/>
      <c r="AN20" s="544"/>
      <c r="AO20" s="544"/>
      <c r="AP20" s="544"/>
      <c r="AQ20" s="544"/>
      <c r="AR20" s="544"/>
      <c r="AS20" s="544"/>
      <c r="AT20" s="544"/>
      <c r="AU20" s="544"/>
      <c r="AV20" s="544"/>
      <c r="AW20" s="544"/>
      <c r="AX20" s="544"/>
      <c r="AY20" s="544"/>
      <c r="AZ20" s="544"/>
      <c r="BA20" s="544"/>
      <c r="BB20" s="544"/>
      <c r="BC20" s="544"/>
      <c r="BD20" s="544"/>
      <c r="BE20" s="544"/>
      <c r="BF20" s="544"/>
      <c r="BG20" s="544"/>
      <c r="BH20" s="544"/>
      <c r="BI20" s="544"/>
      <c r="BJ20" s="544"/>
      <c r="BK20" s="544"/>
      <c r="BL20" s="544"/>
      <c r="BM20" s="544"/>
      <c r="BN20" s="544"/>
      <c r="BO20" s="544"/>
      <c r="BP20" s="544"/>
      <c r="BQ20" s="544"/>
      <c r="BR20" s="544"/>
      <c r="BS20" s="544"/>
      <c r="BT20" s="544"/>
      <c r="BU20" s="544"/>
      <c r="BV20" s="544"/>
      <c r="BW20" s="544"/>
      <c r="BX20" s="544"/>
      <c r="BY20" s="544"/>
      <c r="BZ20" s="544"/>
      <c r="CA20" s="544"/>
      <c r="CB20" s="544"/>
      <c r="CC20" s="544"/>
      <c r="CD20" s="544"/>
      <c r="CE20" s="544"/>
      <c r="CF20" s="544"/>
      <c r="CG20" s="544"/>
      <c r="CH20" s="544"/>
      <c r="CI20" s="544"/>
      <c r="CJ20" s="544"/>
      <c r="CK20" s="544"/>
      <c r="CL20" s="544"/>
      <c r="CM20" s="544"/>
      <c r="CN20" s="544"/>
      <c r="CO20" s="544"/>
      <c r="CP20" s="544"/>
      <c r="CQ20" s="544"/>
      <c r="CR20" s="544"/>
      <c r="CS20" s="1"/>
    </row>
    <row r="21" spans="1:97">
      <c r="A21" s="91" t="s">
        <v>2436</v>
      </c>
      <c r="B21" s="91" t="s">
        <v>3629</v>
      </c>
      <c r="C21" s="91" t="s">
        <v>3630</v>
      </c>
      <c r="D21" s="91" t="s">
        <v>3631</v>
      </c>
      <c r="E21" s="91" t="s">
        <v>2207</v>
      </c>
      <c r="F21" s="91" t="s">
        <v>3632</v>
      </c>
      <c r="G21" s="316">
        <v>0</v>
      </c>
      <c r="H21" s="544" t="s">
        <v>3633</v>
      </c>
      <c r="I21" s="544"/>
      <c r="J21" s="544"/>
      <c r="K21" s="544"/>
      <c r="L21" s="544"/>
      <c r="M21" s="544"/>
      <c r="N21" s="544"/>
      <c r="O21" s="544"/>
      <c r="P21" s="544"/>
      <c r="Q21" s="544"/>
      <c r="R21" s="544"/>
      <c r="S21" s="544"/>
      <c r="T21" s="544"/>
      <c r="U21" s="544"/>
      <c r="V21" s="544"/>
      <c r="W21" s="544"/>
      <c r="X21" s="544"/>
      <c r="Y21" s="544"/>
      <c r="Z21" s="544"/>
      <c r="AA21" s="544"/>
      <c r="AB21" s="544"/>
      <c r="AC21" s="544"/>
      <c r="AD21" s="544"/>
      <c r="AE21" s="544"/>
      <c r="AF21" s="544"/>
      <c r="AG21" s="544"/>
      <c r="AH21" s="544"/>
      <c r="AI21" s="544"/>
      <c r="AJ21" s="544"/>
      <c r="AK21" s="544"/>
      <c r="AL21" s="544"/>
      <c r="AM21" s="544"/>
      <c r="AN21" s="544"/>
      <c r="AO21" s="544"/>
      <c r="AP21" s="544"/>
      <c r="AQ21" s="544"/>
      <c r="AR21" s="544"/>
      <c r="AS21" s="544"/>
      <c r="AT21" s="544"/>
      <c r="AU21" s="544"/>
      <c r="AV21" s="544"/>
      <c r="AW21" s="544"/>
      <c r="AX21" s="544"/>
      <c r="AY21" s="544"/>
      <c r="AZ21" s="544"/>
      <c r="BA21" s="544"/>
      <c r="BB21" s="544"/>
      <c r="BC21" s="544"/>
      <c r="BD21" s="544"/>
      <c r="BE21" s="544"/>
      <c r="BF21" s="544"/>
      <c r="BG21" s="544"/>
      <c r="BH21" s="544"/>
      <c r="BI21" s="544"/>
      <c r="BJ21" s="544"/>
      <c r="BK21" s="544"/>
      <c r="BL21" s="544"/>
      <c r="BM21" s="544"/>
      <c r="BN21" s="544"/>
      <c r="BO21" s="544"/>
      <c r="BP21" s="544"/>
      <c r="BQ21" s="544"/>
      <c r="BR21" s="544"/>
      <c r="BS21" s="544"/>
      <c r="BT21" s="544"/>
      <c r="BU21" s="544"/>
      <c r="BV21" s="544"/>
      <c r="BW21" s="544"/>
      <c r="BX21" s="544"/>
      <c r="BY21" s="544"/>
      <c r="BZ21" s="544"/>
      <c r="CA21" s="544"/>
      <c r="CB21" s="544"/>
      <c r="CC21" s="544"/>
      <c r="CD21" s="544"/>
      <c r="CE21" s="544"/>
      <c r="CF21" s="544"/>
      <c r="CG21" s="544"/>
      <c r="CH21" s="544"/>
      <c r="CI21" s="544"/>
      <c r="CJ21" s="544"/>
      <c r="CK21" s="544"/>
      <c r="CL21" s="544"/>
      <c r="CM21" s="544"/>
      <c r="CN21" s="544"/>
      <c r="CO21" s="544"/>
      <c r="CP21" s="544"/>
      <c r="CQ21" s="544"/>
      <c r="CR21" s="544"/>
      <c r="CS21" s="1"/>
    </row>
    <row r="22" spans="1:97">
      <c r="A22" s="91" t="s">
        <v>2785</v>
      </c>
      <c r="B22" s="91" t="s">
        <v>3634</v>
      </c>
      <c r="C22" s="280" t="s">
        <v>3635</v>
      </c>
      <c r="D22" s="91" t="s">
        <v>2206</v>
      </c>
      <c r="E22" s="91" t="s">
        <v>2207</v>
      </c>
      <c r="F22" s="91">
        <v>94583</v>
      </c>
      <c r="G22" s="566">
        <v>0</v>
      </c>
      <c r="H22" s="544" t="s">
        <v>3636</v>
      </c>
      <c r="I22" s="544"/>
      <c r="J22" s="544"/>
      <c r="K22" s="544"/>
      <c r="L22" s="544"/>
      <c r="M22" s="544"/>
      <c r="N22" s="544"/>
      <c r="O22" s="544"/>
      <c r="P22" s="544"/>
      <c r="Q22" s="544"/>
      <c r="R22" s="544"/>
      <c r="S22" s="544"/>
      <c r="T22" s="544"/>
      <c r="U22" s="544"/>
      <c r="V22" s="544"/>
      <c r="W22" s="544"/>
      <c r="X22" s="544"/>
      <c r="Y22" s="544"/>
      <c r="Z22" s="544"/>
      <c r="AA22" s="544"/>
      <c r="AB22" s="544"/>
      <c r="AC22" s="544"/>
      <c r="AD22" s="544"/>
      <c r="AE22" s="544"/>
      <c r="AF22" s="544"/>
      <c r="AG22" s="544"/>
      <c r="AH22" s="544"/>
      <c r="AI22" s="544"/>
      <c r="AJ22" s="544"/>
      <c r="AK22" s="544"/>
      <c r="AL22" s="544"/>
      <c r="AM22" s="544"/>
      <c r="AN22" s="544"/>
      <c r="AO22" s="544"/>
      <c r="AP22" s="544"/>
      <c r="AQ22" s="544"/>
      <c r="AR22" s="544"/>
      <c r="AS22" s="544"/>
      <c r="AT22" s="544"/>
      <c r="AU22" s="544"/>
      <c r="AV22" s="544"/>
      <c r="AW22" s="544"/>
      <c r="AX22" s="544"/>
      <c r="AY22" s="544"/>
      <c r="AZ22" s="544"/>
      <c r="BA22" s="544"/>
      <c r="BB22" s="544"/>
      <c r="BC22" s="544"/>
      <c r="BD22" s="544"/>
      <c r="BE22" s="544"/>
      <c r="BF22" s="544"/>
      <c r="BG22" s="544"/>
      <c r="BH22" s="544"/>
      <c r="BI22" s="544"/>
      <c r="BJ22" s="544"/>
      <c r="BK22" s="544"/>
      <c r="BL22" s="544"/>
      <c r="BM22" s="544"/>
      <c r="BN22" s="544"/>
      <c r="BO22" s="544"/>
      <c r="BP22" s="544"/>
      <c r="BQ22" s="544"/>
      <c r="BR22" s="544"/>
      <c r="BS22" s="544"/>
      <c r="BT22" s="544"/>
      <c r="BU22" s="544"/>
      <c r="BV22" s="544"/>
      <c r="BW22" s="544"/>
      <c r="BX22" s="544"/>
      <c r="BY22" s="544"/>
      <c r="BZ22" s="544"/>
      <c r="CA22" s="544"/>
      <c r="CB22" s="544"/>
      <c r="CC22" s="544"/>
      <c r="CD22" s="544"/>
      <c r="CE22" s="544"/>
      <c r="CF22" s="544"/>
      <c r="CG22" s="544"/>
      <c r="CH22" s="544"/>
      <c r="CI22" s="544"/>
      <c r="CJ22" s="544"/>
      <c r="CK22" s="544"/>
      <c r="CL22" s="544"/>
      <c r="CM22" s="544"/>
      <c r="CN22" s="544"/>
      <c r="CO22" s="544"/>
      <c r="CP22" s="544"/>
      <c r="CQ22" s="544"/>
      <c r="CR22" s="544"/>
      <c r="CS22" s="1"/>
    </row>
    <row r="23" spans="1:97">
      <c r="A23" s="91" t="s">
        <v>2703</v>
      </c>
      <c r="B23" s="91" t="s">
        <v>3637</v>
      </c>
      <c r="C23" s="91" t="s">
        <v>3607</v>
      </c>
      <c r="D23" s="91" t="s">
        <v>3570</v>
      </c>
      <c r="E23" s="91" t="s">
        <v>2207</v>
      </c>
      <c r="F23" s="91">
        <v>60654</v>
      </c>
      <c r="G23" s="566">
        <v>0.02</v>
      </c>
      <c r="H23" s="544" t="s">
        <v>3638</v>
      </c>
      <c r="I23" s="544"/>
      <c r="J23" s="544"/>
      <c r="K23" s="544"/>
      <c r="L23" s="544"/>
      <c r="M23" s="544"/>
      <c r="N23" s="544"/>
      <c r="O23" s="544"/>
      <c r="P23" s="544"/>
      <c r="Q23" s="544"/>
      <c r="R23" s="544"/>
      <c r="S23" s="544"/>
      <c r="T23" s="544"/>
      <c r="U23" s="544"/>
      <c r="V23" s="544"/>
      <c r="W23" s="544"/>
      <c r="X23" s="544"/>
      <c r="Y23" s="544"/>
      <c r="Z23" s="544"/>
      <c r="AA23" s="544"/>
      <c r="AB23" s="544"/>
      <c r="AC23" s="544"/>
      <c r="AD23" s="544"/>
      <c r="AE23" s="544"/>
      <c r="AF23" s="544"/>
      <c r="AG23" s="544"/>
      <c r="AH23" s="544"/>
      <c r="AI23" s="544"/>
      <c r="AJ23" s="544"/>
      <c r="AK23" s="544"/>
      <c r="AL23" s="544"/>
      <c r="AM23" s="544"/>
      <c r="AN23" s="544"/>
      <c r="AO23" s="544"/>
      <c r="AP23" s="544"/>
      <c r="AQ23" s="544"/>
      <c r="AR23" s="544"/>
      <c r="AS23" s="544"/>
      <c r="AT23" s="544"/>
      <c r="AU23" s="544"/>
      <c r="AV23" s="544"/>
      <c r="AW23" s="544"/>
      <c r="AX23" s="544"/>
      <c r="AY23" s="544"/>
      <c r="AZ23" s="544"/>
      <c r="BA23" s="544"/>
      <c r="BB23" s="544"/>
      <c r="BC23" s="544"/>
      <c r="BD23" s="544"/>
      <c r="BE23" s="544"/>
      <c r="BF23" s="544"/>
      <c r="BG23" s="544"/>
      <c r="BH23" s="544"/>
      <c r="BI23" s="544"/>
      <c r="BJ23" s="544"/>
      <c r="BK23" s="544"/>
      <c r="BL23" s="544"/>
      <c r="BM23" s="544"/>
      <c r="BN23" s="544"/>
      <c r="BO23" s="544"/>
      <c r="BP23" s="544"/>
      <c r="BQ23" s="544"/>
      <c r="BR23" s="544"/>
      <c r="BS23" s="544"/>
      <c r="BT23" s="544"/>
      <c r="BU23" s="544"/>
      <c r="BV23" s="544"/>
      <c r="BW23" s="544"/>
      <c r="BX23" s="544"/>
      <c r="BY23" s="544"/>
      <c r="BZ23" s="544"/>
      <c r="CA23" s="544"/>
      <c r="CB23" s="544"/>
      <c r="CC23" s="544"/>
      <c r="CD23" s="544"/>
      <c r="CE23" s="544"/>
      <c r="CF23" s="544"/>
      <c r="CG23" s="544"/>
      <c r="CH23" s="544"/>
      <c r="CI23" s="544"/>
      <c r="CJ23" s="544"/>
      <c r="CK23" s="544"/>
      <c r="CL23" s="544"/>
      <c r="CM23" s="544"/>
      <c r="CN23" s="544"/>
      <c r="CO23" s="544"/>
      <c r="CP23" s="544"/>
      <c r="CQ23" s="544"/>
      <c r="CR23" s="544"/>
      <c r="CS23" s="1"/>
    </row>
    <row r="24" spans="1:97">
      <c r="A24" s="91" t="s">
        <v>984</v>
      </c>
      <c r="B24" s="91" t="s">
        <v>3639</v>
      </c>
      <c r="C24" s="91" t="s">
        <v>3640</v>
      </c>
      <c r="D24" s="91" t="s">
        <v>803</v>
      </c>
      <c r="E24" s="91" t="s">
        <v>2207</v>
      </c>
      <c r="F24" s="91">
        <v>84130</v>
      </c>
      <c r="G24" s="92">
        <v>0.04</v>
      </c>
      <c r="H24" s="544" t="s">
        <v>3641</v>
      </c>
      <c r="I24" s="544"/>
      <c r="J24" s="544"/>
      <c r="K24" s="544"/>
      <c r="L24" s="544"/>
      <c r="M24" s="544"/>
      <c r="N24" s="544"/>
      <c r="O24" s="544"/>
      <c r="P24" s="544"/>
      <c r="Q24" s="544"/>
      <c r="R24" s="544"/>
      <c r="S24" s="544"/>
      <c r="T24" s="544"/>
      <c r="U24" s="544"/>
      <c r="V24" s="544"/>
      <c r="W24" s="544"/>
      <c r="X24" s="544"/>
      <c r="Y24" s="544"/>
      <c r="Z24" s="544"/>
      <c r="AA24" s="544"/>
      <c r="AB24" s="544"/>
      <c r="AC24" s="544"/>
      <c r="AD24" s="544"/>
      <c r="AE24" s="544"/>
      <c r="AF24" s="544"/>
      <c r="AG24" s="544"/>
      <c r="AH24" s="544"/>
      <c r="AI24" s="544"/>
      <c r="AJ24" s="544"/>
      <c r="AK24" s="544"/>
      <c r="AL24" s="544"/>
      <c r="AM24" s="544"/>
      <c r="AN24" s="544"/>
      <c r="AO24" s="544"/>
      <c r="AP24" s="544"/>
      <c r="AQ24" s="544"/>
      <c r="AR24" s="544"/>
      <c r="AS24" s="544"/>
      <c r="AT24" s="544"/>
      <c r="AU24" s="544"/>
      <c r="AV24" s="544"/>
      <c r="AW24" s="544"/>
      <c r="AX24" s="544"/>
      <c r="AY24" s="544"/>
      <c r="AZ24" s="544"/>
      <c r="BA24" s="544"/>
      <c r="BB24" s="544"/>
      <c r="BC24" s="544"/>
      <c r="BD24" s="544"/>
      <c r="BE24" s="544"/>
      <c r="BF24" s="544"/>
      <c r="BG24" s="544"/>
      <c r="BH24" s="544"/>
      <c r="BI24" s="544"/>
      <c r="BJ24" s="544"/>
      <c r="BK24" s="544"/>
      <c r="BL24" s="544"/>
      <c r="BM24" s="544"/>
      <c r="BN24" s="544"/>
      <c r="BO24" s="544"/>
      <c r="BP24" s="544"/>
      <c r="BQ24" s="544"/>
      <c r="BR24" s="544"/>
      <c r="BS24" s="544"/>
      <c r="BT24" s="544"/>
      <c r="BU24" s="544"/>
      <c r="BV24" s="544"/>
      <c r="BW24" s="544"/>
      <c r="BX24" s="544"/>
      <c r="BY24" s="544"/>
      <c r="BZ24" s="544"/>
      <c r="CA24" s="544"/>
      <c r="CB24" s="544"/>
      <c r="CC24" s="544"/>
      <c r="CD24" s="544"/>
      <c r="CE24" s="544"/>
      <c r="CF24" s="544"/>
      <c r="CG24" s="544"/>
      <c r="CH24" s="544"/>
      <c r="CI24" s="544"/>
      <c r="CJ24" s="544"/>
      <c r="CK24" s="544"/>
      <c r="CL24" s="544"/>
      <c r="CM24" s="544"/>
      <c r="CN24" s="544"/>
      <c r="CO24" s="544"/>
      <c r="CP24" s="544"/>
      <c r="CQ24" s="544"/>
      <c r="CR24" s="544"/>
      <c r="CS24" s="1"/>
    </row>
    <row r="25" spans="1:97">
      <c r="A25" s="91" t="s">
        <v>2613</v>
      </c>
      <c r="B25" s="91" t="s">
        <v>3642</v>
      </c>
      <c r="C25" s="91" t="s">
        <v>3643</v>
      </c>
      <c r="D25" s="91" t="s">
        <v>3644</v>
      </c>
      <c r="E25" s="91" t="s">
        <v>2207</v>
      </c>
      <c r="F25" s="91">
        <v>46218</v>
      </c>
      <c r="G25" s="566">
        <v>0</v>
      </c>
      <c r="H25" s="544"/>
      <c r="I25" s="544"/>
      <c r="J25" s="544"/>
      <c r="K25" s="544"/>
      <c r="L25" s="544"/>
      <c r="M25" s="544"/>
      <c r="N25" s="544"/>
      <c r="O25" s="544"/>
      <c r="P25" s="544"/>
      <c r="Q25" s="544"/>
      <c r="R25" s="544"/>
      <c r="S25" s="544"/>
      <c r="T25" s="544"/>
      <c r="U25" s="544"/>
      <c r="V25" s="544"/>
      <c r="W25" s="544"/>
      <c r="X25" s="544"/>
      <c r="Y25" s="544"/>
      <c r="Z25" s="544"/>
      <c r="AA25" s="544"/>
      <c r="AB25" s="544"/>
      <c r="AC25" s="544"/>
      <c r="AD25" s="544"/>
      <c r="AE25" s="544"/>
      <c r="AF25" s="544"/>
      <c r="AG25" s="544"/>
      <c r="AH25" s="544"/>
      <c r="AI25" s="544"/>
      <c r="AJ25" s="544"/>
      <c r="AK25" s="544"/>
      <c r="AL25" s="544"/>
      <c r="AM25" s="544"/>
      <c r="AN25" s="544"/>
      <c r="AO25" s="544"/>
      <c r="AP25" s="544"/>
      <c r="AQ25" s="544"/>
      <c r="AR25" s="544"/>
      <c r="AS25" s="544"/>
      <c r="AT25" s="544"/>
      <c r="AU25" s="544"/>
      <c r="AV25" s="544"/>
      <c r="AW25" s="544"/>
      <c r="AX25" s="544"/>
      <c r="AY25" s="544"/>
      <c r="AZ25" s="544"/>
      <c r="BA25" s="544"/>
      <c r="BB25" s="544"/>
      <c r="BC25" s="544"/>
      <c r="BD25" s="544"/>
      <c r="BE25" s="544"/>
      <c r="BF25" s="544"/>
      <c r="BG25" s="544"/>
      <c r="BH25" s="544"/>
      <c r="BI25" s="544"/>
      <c r="BJ25" s="544"/>
      <c r="BK25" s="544"/>
      <c r="BL25" s="544"/>
      <c r="BM25" s="544"/>
      <c r="BN25" s="544"/>
      <c r="BO25" s="544"/>
      <c r="BP25" s="544"/>
      <c r="BQ25" s="544"/>
      <c r="BR25" s="544"/>
      <c r="BS25" s="544"/>
      <c r="BT25" s="544"/>
      <c r="BU25" s="544"/>
      <c r="BV25" s="544"/>
      <c r="BW25" s="544"/>
      <c r="BX25" s="544"/>
      <c r="BY25" s="544"/>
      <c r="BZ25" s="544"/>
      <c r="CA25" s="544"/>
      <c r="CB25" s="544"/>
      <c r="CC25" s="544"/>
      <c r="CD25" s="544"/>
      <c r="CE25" s="544"/>
      <c r="CF25" s="544"/>
      <c r="CG25" s="544"/>
      <c r="CH25" s="544"/>
      <c r="CI25" s="544"/>
      <c r="CJ25" s="544"/>
      <c r="CK25" s="544"/>
      <c r="CL25" s="544"/>
      <c r="CM25" s="544"/>
      <c r="CN25" s="544"/>
      <c r="CO25" s="544"/>
      <c r="CP25" s="544"/>
      <c r="CQ25" s="544"/>
      <c r="CR25" s="544"/>
      <c r="CS25" s="1"/>
    </row>
    <row r="26" spans="1:97">
      <c r="A26" s="91" t="s">
        <v>2775</v>
      </c>
      <c r="B26" s="91" t="s">
        <v>3645</v>
      </c>
      <c r="C26" s="91" t="s">
        <v>3646</v>
      </c>
      <c r="D26" s="91" t="s">
        <v>3248</v>
      </c>
      <c r="E26" s="91" t="s">
        <v>2207</v>
      </c>
      <c r="F26" s="91">
        <v>14228</v>
      </c>
      <c r="G26" s="566">
        <v>0.03</v>
      </c>
      <c r="H26" s="544" t="s">
        <v>3647</v>
      </c>
      <c r="I26" s="544"/>
      <c r="J26" s="544"/>
      <c r="K26" s="544"/>
      <c r="L26" s="544"/>
      <c r="M26" s="544"/>
      <c r="N26" s="544"/>
      <c r="O26" s="544"/>
      <c r="P26" s="544"/>
      <c r="Q26" s="544"/>
      <c r="R26" s="544"/>
      <c r="S26" s="544"/>
      <c r="T26" s="544"/>
      <c r="U26" s="544"/>
      <c r="V26" s="544"/>
      <c r="W26" s="544"/>
      <c r="X26" s="544"/>
      <c r="Y26" s="544"/>
      <c r="Z26" s="544"/>
      <c r="AA26" s="544"/>
      <c r="AB26" s="544"/>
      <c r="AC26" s="544"/>
      <c r="AD26" s="544"/>
      <c r="AE26" s="544"/>
      <c r="AF26" s="544"/>
      <c r="AG26" s="544"/>
      <c r="AH26" s="544"/>
      <c r="AI26" s="544"/>
      <c r="AJ26" s="544"/>
      <c r="AK26" s="544"/>
      <c r="AL26" s="544"/>
      <c r="AM26" s="544"/>
      <c r="AN26" s="544"/>
      <c r="AO26" s="544"/>
      <c r="AP26" s="544"/>
      <c r="AQ26" s="544"/>
      <c r="AR26" s="544"/>
      <c r="AS26" s="544"/>
      <c r="AT26" s="544"/>
      <c r="AU26" s="544"/>
      <c r="AV26" s="544"/>
      <c r="AW26" s="544"/>
      <c r="AX26" s="544"/>
      <c r="AY26" s="544"/>
      <c r="AZ26" s="544"/>
      <c r="BA26" s="544"/>
      <c r="BB26" s="544"/>
      <c r="BC26" s="544"/>
      <c r="BD26" s="544"/>
      <c r="BE26" s="544"/>
      <c r="BF26" s="544"/>
      <c r="BG26" s="544"/>
      <c r="BH26" s="544"/>
      <c r="BI26" s="544"/>
      <c r="BJ26" s="544"/>
      <c r="BK26" s="544"/>
      <c r="BL26" s="544"/>
      <c r="BM26" s="544"/>
      <c r="BN26" s="544"/>
      <c r="BO26" s="544"/>
      <c r="BP26" s="544"/>
      <c r="BQ26" s="544"/>
      <c r="BR26" s="544"/>
      <c r="BS26" s="544"/>
      <c r="BT26" s="544"/>
      <c r="BU26" s="544"/>
      <c r="BV26" s="544"/>
      <c r="BW26" s="544"/>
      <c r="BX26" s="544"/>
      <c r="BY26" s="544"/>
      <c r="BZ26" s="544"/>
      <c r="CA26" s="544"/>
      <c r="CB26" s="544"/>
      <c r="CC26" s="544"/>
      <c r="CD26" s="544"/>
      <c r="CE26" s="544"/>
      <c r="CF26" s="544"/>
      <c r="CG26" s="544"/>
      <c r="CH26" s="544"/>
      <c r="CI26" s="544"/>
      <c r="CJ26" s="544"/>
      <c r="CK26" s="544"/>
      <c r="CL26" s="544"/>
      <c r="CM26" s="544"/>
      <c r="CN26" s="544"/>
      <c r="CO26" s="544"/>
      <c r="CP26" s="544"/>
      <c r="CQ26" s="544"/>
      <c r="CR26" s="544"/>
      <c r="CS26" s="1"/>
    </row>
    <row r="27" spans="1:97">
      <c r="A27" s="232" t="s">
        <v>2837</v>
      </c>
      <c r="B27" s="281" t="s">
        <v>3648</v>
      </c>
      <c r="C27" s="281" t="s">
        <v>3649</v>
      </c>
      <c r="D27" s="232" t="s">
        <v>3650</v>
      </c>
      <c r="E27" s="232" t="s">
        <v>2207</v>
      </c>
      <c r="F27" s="282">
        <v>64114</v>
      </c>
      <c r="G27" s="566">
        <v>0.02</v>
      </c>
      <c r="H27" s="7" t="s">
        <v>3651</v>
      </c>
      <c r="I27" s="544"/>
      <c r="J27" s="544"/>
      <c r="K27" s="544"/>
      <c r="L27" s="544"/>
      <c r="M27" s="544"/>
      <c r="N27" s="544"/>
      <c r="O27" s="544"/>
      <c r="P27" s="544"/>
      <c r="Q27" s="544"/>
      <c r="R27" s="544"/>
      <c r="S27" s="544"/>
      <c r="T27" s="544"/>
      <c r="U27" s="544"/>
      <c r="V27" s="544"/>
      <c r="W27" s="544"/>
      <c r="X27" s="544"/>
      <c r="Y27" s="544"/>
      <c r="Z27" s="544"/>
      <c r="AA27" s="544"/>
      <c r="AB27" s="544"/>
      <c r="AC27" s="544"/>
      <c r="AD27" s="544"/>
      <c r="AE27" s="544"/>
      <c r="AF27" s="544"/>
      <c r="AG27" s="544"/>
      <c r="AH27" s="544"/>
      <c r="AI27" s="544"/>
      <c r="AJ27" s="544"/>
      <c r="AK27" s="544"/>
      <c r="AL27" s="544"/>
      <c r="AM27" s="544"/>
      <c r="AN27" s="544"/>
      <c r="AO27" s="544"/>
      <c r="AP27" s="544"/>
      <c r="AQ27" s="544"/>
      <c r="AR27" s="544"/>
      <c r="AS27" s="544"/>
      <c r="AT27" s="544"/>
      <c r="AU27" s="544"/>
      <c r="AV27" s="544"/>
      <c r="AW27" s="544"/>
      <c r="AX27" s="544"/>
      <c r="AY27" s="544"/>
      <c r="AZ27" s="544"/>
      <c r="BA27" s="544"/>
      <c r="BB27" s="544"/>
      <c r="BC27" s="544"/>
      <c r="BD27" s="544"/>
      <c r="BE27" s="544"/>
      <c r="BF27" s="544"/>
      <c r="BG27" s="544"/>
      <c r="BH27" s="544"/>
      <c r="BI27" s="544"/>
      <c r="BJ27" s="544"/>
      <c r="BK27" s="544"/>
      <c r="BL27" s="544"/>
      <c r="BM27" s="544"/>
      <c r="BN27" s="544"/>
      <c r="BO27" s="544"/>
      <c r="BP27" s="544"/>
      <c r="BQ27" s="544"/>
      <c r="BR27" s="544"/>
      <c r="BS27" s="544"/>
      <c r="BT27" s="544"/>
      <c r="BU27" s="544"/>
      <c r="BV27" s="544"/>
      <c r="BW27" s="544"/>
      <c r="BX27" s="544"/>
      <c r="BY27" s="544"/>
      <c r="BZ27" s="544"/>
      <c r="CA27" s="544"/>
      <c r="CB27" s="544"/>
      <c r="CC27" s="544"/>
      <c r="CD27" s="544"/>
      <c r="CE27" s="544"/>
      <c r="CF27" s="544"/>
      <c r="CG27" s="544"/>
      <c r="CH27" s="544"/>
      <c r="CI27" s="544"/>
      <c r="CJ27" s="544"/>
      <c r="CK27" s="544"/>
      <c r="CL27" s="544"/>
      <c r="CM27" s="544"/>
      <c r="CN27" s="544"/>
      <c r="CO27" s="544"/>
      <c r="CP27" s="544"/>
      <c r="CQ27" s="544"/>
      <c r="CR27" s="544"/>
      <c r="CS27" s="1"/>
    </row>
    <row r="28" spans="1:97">
      <c r="A28" s="91" t="s">
        <v>2200</v>
      </c>
      <c r="B28" s="91" t="s">
        <v>3652</v>
      </c>
      <c r="C28" s="91" t="s">
        <v>1387</v>
      </c>
      <c r="D28" s="91" t="s">
        <v>139</v>
      </c>
      <c r="E28" s="91" t="s">
        <v>2207</v>
      </c>
      <c r="F28" s="91">
        <v>91708</v>
      </c>
      <c r="G28" s="92">
        <v>0</v>
      </c>
      <c r="H28" s="544" t="s">
        <v>3653</v>
      </c>
      <c r="I28" s="544"/>
      <c r="J28" s="544"/>
      <c r="K28" s="544"/>
      <c r="L28" s="544"/>
      <c r="M28" s="544"/>
      <c r="N28" s="544"/>
      <c r="O28" s="544"/>
      <c r="P28" s="544"/>
      <c r="Q28" s="544"/>
      <c r="R28" s="544"/>
      <c r="S28" s="544"/>
      <c r="T28" s="544"/>
      <c r="U28" s="544"/>
      <c r="V28" s="544"/>
      <c r="W28" s="544"/>
      <c r="X28" s="544"/>
      <c r="Y28" s="544"/>
      <c r="Z28" s="544"/>
      <c r="AA28" s="544"/>
      <c r="AB28" s="544"/>
      <c r="AC28" s="544"/>
      <c r="AD28" s="544"/>
      <c r="AE28" s="544"/>
      <c r="AF28" s="544"/>
      <c r="AG28" s="544"/>
      <c r="AH28" s="544"/>
      <c r="AI28" s="544"/>
      <c r="AJ28" s="544"/>
      <c r="AK28" s="544"/>
      <c r="AL28" s="544"/>
      <c r="AM28" s="544"/>
      <c r="AN28" s="544"/>
      <c r="AO28" s="544"/>
      <c r="AP28" s="544"/>
      <c r="AQ28" s="544"/>
      <c r="AR28" s="544"/>
      <c r="AS28" s="544"/>
      <c r="AT28" s="544"/>
      <c r="AU28" s="544"/>
      <c r="AV28" s="544"/>
      <c r="AW28" s="544"/>
      <c r="AX28" s="544"/>
      <c r="AY28" s="544"/>
      <c r="AZ28" s="544"/>
      <c r="BA28" s="544"/>
      <c r="BB28" s="544"/>
      <c r="BC28" s="544"/>
      <c r="BD28" s="544"/>
      <c r="BE28" s="544"/>
      <c r="BF28" s="544"/>
      <c r="BG28" s="544"/>
      <c r="BH28" s="544"/>
      <c r="BI28" s="544"/>
      <c r="BJ28" s="544"/>
      <c r="BK28" s="544"/>
      <c r="BL28" s="544"/>
      <c r="BM28" s="544"/>
      <c r="BN28" s="544"/>
      <c r="BO28" s="544"/>
      <c r="BP28" s="544"/>
      <c r="BQ28" s="544"/>
      <c r="BR28" s="544"/>
      <c r="BS28" s="544"/>
      <c r="BT28" s="544"/>
      <c r="BU28" s="544"/>
      <c r="BV28" s="544"/>
      <c r="BW28" s="544"/>
      <c r="BX28" s="544"/>
      <c r="BY28" s="544"/>
      <c r="BZ28" s="544"/>
      <c r="CA28" s="544"/>
      <c r="CB28" s="544"/>
      <c r="CC28" s="544"/>
      <c r="CD28" s="544"/>
      <c r="CE28" s="544"/>
      <c r="CF28" s="544"/>
      <c r="CG28" s="544"/>
      <c r="CH28" s="544"/>
      <c r="CI28" s="544"/>
      <c r="CJ28" s="544"/>
      <c r="CK28" s="544"/>
      <c r="CL28" s="544"/>
      <c r="CM28" s="544"/>
      <c r="CN28" s="544"/>
      <c r="CO28" s="544"/>
      <c r="CP28" s="544"/>
      <c r="CQ28" s="544"/>
      <c r="CR28" s="544"/>
      <c r="CS28" s="1"/>
    </row>
    <row r="29" spans="1:97">
      <c r="A29" s="563" t="s">
        <v>3326</v>
      </c>
      <c r="B29" s="91" t="s">
        <v>3654</v>
      </c>
      <c r="C29" s="91" t="s">
        <v>3655</v>
      </c>
      <c r="D29" s="91" t="s">
        <v>3656</v>
      </c>
      <c r="E29" s="91" t="s">
        <v>2207</v>
      </c>
      <c r="F29" s="91">
        <v>54304</v>
      </c>
      <c r="G29" s="566">
        <v>0</v>
      </c>
      <c r="H29" s="544" t="s">
        <v>3657</v>
      </c>
      <c r="I29" s="544"/>
      <c r="J29" s="544"/>
      <c r="K29" s="544"/>
      <c r="L29" s="544"/>
      <c r="M29" s="544"/>
      <c r="N29" s="544"/>
      <c r="O29" s="544"/>
      <c r="P29" s="544"/>
      <c r="Q29" s="544"/>
      <c r="R29" s="544"/>
      <c r="S29" s="544"/>
      <c r="T29" s="544"/>
      <c r="U29" s="544"/>
      <c r="V29" s="544"/>
      <c r="W29" s="544"/>
      <c r="X29" s="544"/>
      <c r="Y29" s="544"/>
      <c r="Z29" s="544"/>
      <c r="AA29" s="544"/>
      <c r="AB29" s="544"/>
      <c r="AC29" s="544"/>
      <c r="AD29" s="544"/>
      <c r="AE29" s="544"/>
      <c r="AF29" s="544"/>
      <c r="AG29" s="544"/>
      <c r="AH29" s="544"/>
      <c r="AI29" s="544"/>
      <c r="AJ29" s="544"/>
      <c r="AK29" s="544"/>
      <c r="AL29" s="544"/>
      <c r="AM29" s="544"/>
      <c r="AN29" s="544"/>
      <c r="AO29" s="544"/>
      <c r="AP29" s="544"/>
      <c r="AQ29" s="544"/>
      <c r="AR29" s="544"/>
      <c r="AS29" s="544"/>
      <c r="AT29" s="544"/>
      <c r="AU29" s="544"/>
      <c r="AV29" s="544"/>
      <c r="AW29" s="544"/>
      <c r="AX29" s="544"/>
      <c r="AY29" s="544"/>
      <c r="AZ29" s="544"/>
      <c r="BA29" s="544"/>
      <c r="BB29" s="544"/>
      <c r="BC29" s="544"/>
      <c r="BD29" s="544"/>
      <c r="BE29" s="544"/>
      <c r="BF29" s="544"/>
      <c r="BG29" s="544"/>
      <c r="BH29" s="544"/>
      <c r="BI29" s="544"/>
      <c r="BJ29" s="544"/>
      <c r="BK29" s="544"/>
      <c r="BL29" s="544"/>
      <c r="BM29" s="544"/>
      <c r="BN29" s="544"/>
      <c r="BO29" s="544"/>
      <c r="BP29" s="544"/>
      <c r="BQ29" s="544"/>
      <c r="BR29" s="544"/>
      <c r="BS29" s="544"/>
      <c r="BT29" s="544"/>
      <c r="BU29" s="544"/>
      <c r="BV29" s="544"/>
      <c r="BW29" s="544"/>
      <c r="BX29" s="544"/>
      <c r="BY29" s="544"/>
      <c r="BZ29" s="544"/>
      <c r="CA29" s="544"/>
      <c r="CB29" s="544"/>
      <c r="CC29" s="544"/>
      <c r="CD29" s="544"/>
      <c r="CE29" s="544"/>
      <c r="CF29" s="544"/>
      <c r="CG29" s="544"/>
      <c r="CH29" s="544"/>
      <c r="CI29" s="544"/>
      <c r="CJ29" s="544"/>
      <c r="CK29" s="544"/>
      <c r="CL29" s="544"/>
      <c r="CM29" s="544"/>
      <c r="CN29" s="544"/>
      <c r="CO29" s="544"/>
      <c r="CP29" s="544"/>
      <c r="CQ29" s="544"/>
      <c r="CR29" s="544"/>
      <c r="CS29" s="1"/>
    </row>
    <row r="30" spans="1:97">
      <c r="A30" s="91" t="s">
        <v>435</v>
      </c>
      <c r="B30" s="91" t="s">
        <v>3658</v>
      </c>
      <c r="C30" s="91" t="s">
        <v>689</v>
      </c>
      <c r="D30" s="91" t="s">
        <v>139</v>
      </c>
      <c r="E30" s="91" t="s">
        <v>2207</v>
      </c>
      <c r="F30" s="91">
        <v>95605</v>
      </c>
      <c r="G30" s="92">
        <v>0.03</v>
      </c>
      <c r="H30" s="544" t="s">
        <v>3659</v>
      </c>
      <c r="I30" s="544"/>
      <c r="J30" s="544"/>
      <c r="K30" s="544"/>
      <c r="L30" s="544"/>
      <c r="M30" s="544"/>
      <c r="N30" s="544"/>
      <c r="O30" s="544"/>
      <c r="P30" s="544"/>
      <c r="Q30" s="544"/>
      <c r="R30" s="544"/>
      <c r="S30" s="544"/>
      <c r="T30" s="544"/>
      <c r="U30" s="544"/>
      <c r="V30" s="544"/>
      <c r="W30" s="544"/>
      <c r="X30" s="544"/>
      <c r="Y30" s="544"/>
      <c r="Z30" s="544"/>
      <c r="AA30" s="544"/>
      <c r="AB30" s="544"/>
      <c r="AC30" s="544"/>
      <c r="AD30" s="544"/>
      <c r="AE30" s="544"/>
      <c r="AF30" s="544"/>
      <c r="AG30" s="544"/>
      <c r="AH30" s="544"/>
      <c r="AI30" s="544"/>
      <c r="AJ30" s="544"/>
      <c r="AK30" s="544"/>
      <c r="AL30" s="544"/>
      <c r="AM30" s="544"/>
      <c r="AN30" s="544"/>
      <c r="AO30" s="544"/>
      <c r="AP30" s="544"/>
      <c r="AQ30" s="544"/>
      <c r="AR30" s="544"/>
      <c r="AS30" s="544"/>
      <c r="AT30" s="544"/>
      <c r="AU30" s="544"/>
      <c r="AV30" s="544"/>
      <c r="AW30" s="544"/>
      <c r="AX30" s="544"/>
      <c r="AY30" s="544"/>
      <c r="AZ30" s="544"/>
      <c r="BA30" s="544"/>
      <c r="BB30" s="544"/>
      <c r="BC30" s="544"/>
      <c r="BD30" s="544"/>
      <c r="BE30" s="544"/>
      <c r="BF30" s="544"/>
      <c r="BG30" s="544"/>
      <c r="BH30" s="544"/>
      <c r="BI30" s="544"/>
      <c r="BJ30" s="544"/>
      <c r="BK30" s="544"/>
      <c r="BL30" s="544"/>
      <c r="BM30" s="544"/>
      <c r="BN30" s="544"/>
      <c r="BO30" s="544"/>
      <c r="BP30" s="544"/>
      <c r="BQ30" s="544"/>
      <c r="BR30" s="544"/>
      <c r="BS30" s="544"/>
      <c r="BT30" s="544"/>
      <c r="BU30" s="544"/>
      <c r="BV30" s="544"/>
      <c r="BW30" s="544"/>
      <c r="BX30" s="544"/>
      <c r="BY30" s="544"/>
      <c r="BZ30" s="544"/>
      <c r="CA30" s="544"/>
      <c r="CB30" s="544"/>
      <c r="CC30" s="544"/>
      <c r="CD30" s="544"/>
      <c r="CE30" s="544"/>
      <c r="CF30" s="544"/>
      <c r="CG30" s="544"/>
      <c r="CH30" s="544"/>
      <c r="CI30" s="544"/>
      <c r="CJ30" s="544"/>
      <c r="CK30" s="544"/>
      <c r="CL30" s="544"/>
      <c r="CM30" s="544"/>
      <c r="CN30" s="544"/>
      <c r="CO30" s="544"/>
      <c r="CP30" s="544"/>
      <c r="CQ30" s="544"/>
      <c r="CR30" s="544"/>
      <c r="CS30" s="1"/>
    </row>
    <row r="31" spans="1:97">
      <c r="A31" s="91" t="s">
        <v>2185</v>
      </c>
      <c r="B31" s="91" t="s">
        <v>3660</v>
      </c>
      <c r="C31" s="91" t="s">
        <v>3661</v>
      </c>
      <c r="D31" s="91" t="s">
        <v>1876</v>
      </c>
      <c r="E31" s="91" t="s">
        <v>2207</v>
      </c>
      <c r="F31" s="91">
        <v>85258</v>
      </c>
      <c r="G31" s="92">
        <v>0.04</v>
      </c>
      <c r="H31" s="544" t="s">
        <v>3662</v>
      </c>
      <c r="I31" s="544"/>
      <c r="J31" s="544"/>
      <c r="K31" s="544"/>
      <c r="L31" s="544"/>
      <c r="M31" s="544"/>
      <c r="N31" s="544"/>
      <c r="O31" s="544"/>
      <c r="P31" s="544"/>
      <c r="Q31" s="544"/>
      <c r="R31" s="544"/>
      <c r="S31" s="544"/>
      <c r="T31" s="544"/>
      <c r="U31" s="544"/>
      <c r="V31" s="544"/>
      <c r="W31" s="544"/>
      <c r="X31" s="544"/>
      <c r="Y31" s="544"/>
      <c r="Z31" s="544"/>
      <c r="AA31" s="544"/>
      <c r="AB31" s="544"/>
      <c r="AC31" s="544"/>
      <c r="AD31" s="544"/>
      <c r="AE31" s="544"/>
      <c r="AF31" s="544"/>
      <c r="AG31" s="544"/>
      <c r="AH31" s="544"/>
      <c r="AI31" s="544"/>
      <c r="AJ31" s="544"/>
      <c r="AK31" s="544"/>
      <c r="AL31" s="544"/>
      <c r="AM31" s="544"/>
      <c r="AN31" s="544"/>
      <c r="AO31" s="544"/>
      <c r="AP31" s="544"/>
      <c r="AQ31" s="544"/>
      <c r="AR31" s="544"/>
      <c r="AS31" s="544"/>
      <c r="AT31" s="544"/>
      <c r="AU31" s="544"/>
      <c r="AV31" s="544"/>
      <c r="AW31" s="544"/>
      <c r="AX31" s="544"/>
      <c r="AY31" s="544"/>
      <c r="AZ31" s="544"/>
      <c r="BA31" s="544"/>
      <c r="BB31" s="544"/>
      <c r="BC31" s="544"/>
      <c r="BD31" s="544"/>
      <c r="BE31" s="544"/>
      <c r="BF31" s="544"/>
      <c r="BG31" s="544"/>
      <c r="BH31" s="544"/>
      <c r="BI31" s="544"/>
      <c r="BJ31" s="544"/>
      <c r="BK31" s="544"/>
      <c r="BL31" s="544"/>
      <c r="BM31" s="544"/>
      <c r="BN31" s="544"/>
      <c r="BO31" s="544"/>
      <c r="BP31" s="544"/>
      <c r="BQ31" s="544"/>
      <c r="BR31" s="544"/>
      <c r="BS31" s="544"/>
      <c r="BT31" s="544"/>
      <c r="BU31" s="544"/>
      <c r="BV31" s="544"/>
      <c r="BW31" s="544"/>
      <c r="BX31" s="544"/>
      <c r="BY31" s="544"/>
      <c r="BZ31" s="544"/>
      <c r="CA31" s="544"/>
      <c r="CB31" s="544"/>
      <c r="CC31" s="544"/>
      <c r="CD31" s="544"/>
      <c r="CE31" s="544"/>
      <c r="CF31" s="544"/>
      <c r="CG31" s="544"/>
      <c r="CH31" s="544"/>
      <c r="CI31" s="544"/>
      <c r="CJ31" s="544"/>
      <c r="CK31" s="544"/>
      <c r="CL31" s="544"/>
      <c r="CM31" s="544"/>
      <c r="CN31" s="544"/>
      <c r="CO31" s="544"/>
      <c r="CP31" s="544"/>
      <c r="CQ31" s="544"/>
      <c r="CR31" s="544"/>
      <c r="CS31" s="1"/>
    </row>
    <row r="32" spans="1:97">
      <c r="A32" s="91" t="s">
        <v>3207</v>
      </c>
      <c r="B32" s="384" t="s">
        <v>3663</v>
      </c>
      <c r="C32" s="384" t="s">
        <v>3664</v>
      </c>
      <c r="D32" s="91" t="s">
        <v>3248</v>
      </c>
      <c r="E32" s="91" t="s">
        <v>2207</v>
      </c>
      <c r="F32" s="385">
        <v>11716</v>
      </c>
      <c r="G32" s="92">
        <v>0</v>
      </c>
      <c r="H32" s="544" t="s">
        <v>3590</v>
      </c>
      <c r="I32" s="544"/>
      <c r="J32" s="544"/>
      <c r="K32" s="544"/>
      <c r="L32" s="544"/>
      <c r="M32" s="544"/>
      <c r="N32" s="544"/>
      <c r="O32" s="544"/>
      <c r="P32" s="544"/>
      <c r="Q32" s="544"/>
      <c r="R32" s="544"/>
      <c r="S32" s="544"/>
      <c r="T32" s="544"/>
      <c r="U32" s="544"/>
      <c r="V32" s="544"/>
      <c r="W32" s="544"/>
      <c r="X32" s="544"/>
      <c r="Y32" s="544"/>
      <c r="Z32" s="544"/>
      <c r="AA32" s="544"/>
      <c r="AB32" s="544"/>
      <c r="AC32" s="544"/>
      <c r="AD32" s="544"/>
      <c r="AE32" s="544"/>
      <c r="AF32" s="544"/>
      <c r="AG32" s="544"/>
      <c r="AH32" s="544"/>
      <c r="AI32" s="544"/>
      <c r="AJ32" s="544"/>
      <c r="AK32" s="544"/>
      <c r="AL32" s="544"/>
      <c r="AM32" s="544"/>
      <c r="AN32" s="544"/>
      <c r="AO32" s="544"/>
      <c r="AP32" s="544"/>
      <c r="AQ32" s="544"/>
      <c r="AR32" s="544"/>
      <c r="AS32" s="544"/>
      <c r="AT32" s="544"/>
      <c r="AU32" s="544"/>
      <c r="AV32" s="544"/>
      <c r="AW32" s="544"/>
      <c r="AX32" s="544"/>
      <c r="AY32" s="544"/>
      <c r="AZ32" s="544"/>
      <c r="BA32" s="544"/>
      <c r="BB32" s="544"/>
      <c r="BC32" s="544"/>
      <c r="BD32" s="544"/>
      <c r="BE32" s="544"/>
      <c r="BF32" s="544"/>
      <c r="BG32" s="544"/>
      <c r="BH32" s="544"/>
      <c r="BI32" s="544"/>
      <c r="BJ32" s="544"/>
      <c r="BK32" s="544"/>
      <c r="BL32" s="544"/>
      <c r="BM32" s="544"/>
      <c r="BN32" s="544"/>
      <c r="BO32" s="544"/>
      <c r="BP32" s="544"/>
      <c r="BQ32" s="544"/>
      <c r="BR32" s="544"/>
      <c r="BS32" s="544"/>
      <c r="BT32" s="544"/>
      <c r="BU32" s="544"/>
      <c r="BV32" s="544"/>
      <c r="BW32" s="544"/>
      <c r="BX32" s="544"/>
      <c r="BY32" s="544"/>
      <c r="BZ32" s="544"/>
      <c r="CA32" s="544"/>
      <c r="CB32" s="544"/>
      <c r="CC32" s="544"/>
      <c r="CD32" s="544"/>
      <c r="CE32" s="544"/>
      <c r="CF32" s="544"/>
      <c r="CG32" s="544"/>
      <c r="CH32" s="544"/>
      <c r="CI32" s="544"/>
      <c r="CJ32" s="544"/>
      <c r="CK32" s="544"/>
      <c r="CL32" s="544"/>
      <c r="CM32" s="544"/>
      <c r="CN32" s="544"/>
      <c r="CO32" s="544"/>
      <c r="CP32" s="544"/>
      <c r="CQ32" s="544"/>
      <c r="CR32" s="544"/>
      <c r="CS32" s="1"/>
    </row>
    <row r="33" spans="1:97">
      <c r="A33" s="91" t="s">
        <v>812</v>
      </c>
      <c r="B33" s="91" t="s">
        <v>3665</v>
      </c>
      <c r="C33" s="91" t="s">
        <v>214</v>
      </c>
      <c r="D33" s="91" t="s">
        <v>139</v>
      </c>
      <c r="E33" s="91" t="s">
        <v>2207</v>
      </c>
      <c r="F33" s="91">
        <v>93747</v>
      </c>
      <c r="G33" s="92">
        <v>0</v>
      </c>
      <c r="H33" s="544" t="s">
        <v>3666</v>
      </c>
      <c r="I33" s="544"/>
      <c r="J33" s="544"/>
      <c r="K33" s="544"/>
      <c r="L33" s="544"/>
      <c r="M33" s="544"/>
      <c r="N33" s="544"/>
      <c r="O33" s="544"/>
      <c r="P33" s="544"/>
      <c r="Q33" s="544"/>
      <c r="R33" s="544"/>
      <c r="S33" s="544"/>
      <c r="T33" s="544"/>
      <c r="U33" s="544"/>
      <c r="V33" s="544"/>
      <c r="W33" s="544"/>
      <c r="X33" s="544"/>
      <c r="Y33" s="544"/>
      <c r="Z33" s="544"/>
      <c r="AA33" s="544"/>
      <c r="AB33" s="544"/>
      <c r="AC33" s="544"/>
      <c r="AD33" s="544"/>
      <c r="AE33" s="544"/>
      <c r="AF33" s="544"/>
      <c r="AG33" s="544"/>
      <c r="AH33" s="544"/>
      <c r="AI33" s="544"/>
      <c r="AJ33" s="544"/>
      <c r="AK33" s="544"/>
      <c r="AL33" s="544"/>
      <c r="AM33" s="544"/>
      <c r="AN33" s="544"/>
      <c r="AO33" s="544"/>
      <c r="AP33" s="544"/>
      <c r="AQ33" s="544"/>
      <c r="AR33" s="544"/>
      <c r="AS33" s="544"/>
      <c r="AT33" s="544"/>
      <c r="AU33" s="544"/>
      <c r="AV33" s="544"/>
      <c r="AW33" s="544"/>
      <c r="AX33" s="544"/>
      <c r="AY33" s="544"/>
      <c r="AZ33" s="544"/>
      <c r="BA33" s="544"/>
      <c r="BB33" s="544"/>
      <c r="BC33" s="544"/>
      <c r="BD33" s="544"/>
      <c r="BE33" s="544"/>
      <c r="BF33" s="544"/>
      <c r="BG33" s="544"/>
      <c r="BH33" s="544"/>
      <c r="BI33" s="544"/>
      <c r="BJ33" s="544"/>
      <c r="BK33" s="544"/>
      <c r="BL33" s="544"/>
      <c r="BM33" s="544"/>
      <c r="BN33" s="544"/>
      <c r="BO33" s="544"/>
      <c r="BP33" s="544"/>
      <c r="BQ33" s="544"/>
      <c r="BR33" s="544"/>
      <c r="BS33" s="544"/>
      <c r="BT33" s="544"/>
      <c r="BU33" s="544"/>
      <c r="BV33" s="544"/>
      <c r="BW33" s="544"/>
      <c r="BX33" s="544"/>
      <c r="BY33" s="544"/>
      <c r="BZ33" s="544"/>
      <c r="CA33" s="544"/>
      <c r="CB33" s="544"/>
      <c r="CC33" s="544"/>
      <c r="CD33" s="544"/>
      <c r="CE33" s="544"/>
      <c r="CF33" s="544"/>
      <c r="CG33" s="544"/>
      <c r="CH33" s="544"/>
      <c r="CI33" s="544"/>
      <c r="CJ33" s="544"/>
      <c r="CK33" s="544"/>
      <c r="CL33" s="544"/>
      <c r="CM33" s="544"/>
      <c r="CN33" s="544"/>
      <c r="CO33" s="544"/>
      <c r="CP33" s="544"/>
      <c r="CQ33" s="544"/>
      <c r="CR33" s="544"/>
      <c r="CS33" s="1"/>
    </row>
    <row r="34" spans="1:97">
      <c r="A34" s="232" t="s">
        <v>2502</v>
      </c>
      <c r="B34" s="232" t="s">
        <v>3667</v>
      </c>
      <c r="C34" s="232" t="s">
        <v>3668</v>
      </c>
      <c r="D34" s="232" t="s">
        <v>2647</v>
      </c>
      <c r="E34" s="91" t="s">
        <v>2207</v>
      </c>
      <c r="F34" s="232">
        <v>77061</v>
      </c>
      <c r="G34" s="233">
        <v>0.04</v>
      </c>
      <c r="H34" t="s">
        <v>3669</v>
      </c>
      <c r="I34" s="544"/>
      <c r="J34" s="544"/>
      <c r="K34" s="544"/>
      <c r="L34" s="544"/>
      <c r="M34" s="544"/>
      <c r="N34" s="544"/>
      <c r="O34" s="544"/>
      <c r="P34" s="544"/>
      <c r="Q34" s="544"/>
      <c r="R34" s="544"/>
      <c r="S34" s="544"/>
      <c r="T34" s="544"/>
      <c r="U34" s="544"/>
      <c r="V34" s="544"/>
      <c r="W34" s="544"/>
      <c r="X34" s="544"/>
      <c r="Y34" s="544"/>
      <c r="Z34" s="544"/>
      <c r="AA34" s="544"/>
      <c r="AB34" s="544"/>
      <c r="AC34" s="544"/>
      <c r="AD34" s="544"/>
      <c r="AE34" s="544"/>
      <c r="AF34" s="544"/>
      <c r="AG34" s="544"/>
      <c r="AH34" s="544"/>
      <c r="AI34" s="544"/>
      <c r="AJ34" s="544"/>
      <c r="AK34" s="544"/>
      <c r="AL34" s="544"/>
      <c r="AM34" s="544"/>
      <c r="AN34" s="544"/>
      <c r="AO34" s="544"/>
      <c r="AP34" s="544"/>
      <c r="AQ34" s="544"/>
      <c r="AR34" s="544"/>
      <c r="AS34" s="544"/>
      <c r="AT34" s="544"/>
      <c r="AU34" s="544"/>
      <c r="AV34" s="544"/>
      <c r="AW34" s="544"/>
      <c r="AX34" s="544"/>
      <c r="AY34" s="544"/>
      <c r="AZ34" s="544"/>
      <c r="BA34" s="544"/>
      <c r="BB34" s="544"/>
      <c r="BC34" s="544"/>
      <c r="BD34" s="544"/>
      <c r="BE34" s="544"/>
      <c r="BF34" s="544"/>
      <c r="BG34" s="544"/>
      <c r="BH34" s="544"/>
      <c r="BI34" s="544"/>
      <c r="BJ34" s="544"/>
      <c r="BK34" s="544"/>
      <c r="BL34" s="544"/>
      <c r="BM34" s="544"/>
      <c r="BN34" s="544"/>
      <c r="BO34" s="544"/>
      <c r="BP34" s="544"/>
      <c r="BQ34" s="544"/>
      <c r="BR34" s="544"/>
      <c r="BS34" s="544"/>
      <c r="BT34" s="544"/>
      <c r="BU34" s="544"/>
      <c r="BV34" s="544"/>
      <c r="BW34" s="544"/>
      <c r="BX34" s="544"/>
      <c r="BY34" s="544"/>
      <c r="BZ34" s="544"/>
      <c r="CA34" s="544"/>
      <c r="CB34" s="544"/>
      <c r="CC34" s="544"/>
      <c r="CD34" s="544"/>
      <c r="CE34" s="544"/>
      <c r="CF34" s="544"/>
      <c r="CG34" s="544"/>
      <c r="CH34" s="544"/>
      <c r="CI34" s="544"/>
      <c r="CJ34" s="544"/>
      <c r="CK34" s="544"/>
      <c r="CL34" s="544"/>
      <c r="CM34" s="544"/>
      <c r="CN34" s="544"/>
      <c r="CO34" s="544"/>
      <c r="CP34" s="544"/>
      <c r="CQ34" s="544"/>
      <c r="CR34" s="544"/>
      <c r="CS34" s="1"/>
    </row>
    <row r="35" spans="1:97">
      <c r="A35" s="91" t="s">
        <v>951</v>
      </c>
      <c r="B35" s="91" t="s">
        <v>3670</v>
      </c>
      <c r="C35" s="91" t="s">
        <v>3671</v>
      </c>
      <c r="D35" s="91" t="s">
        <v>3608</v>
      </c>
      <c r="E35" s="91" t="s">
        <v>2207</v>
      </c>
      <c r="F35" s="91">
        <v>60523</v>
      </c>
      <c r="G35" s="92">
        <v>0.02</v>
      </c>
      <c r="H35" s="544" t="s">
        <v>4667</v>
      </c>
      <c r="I35" s="544"/>
      <c r="J35" s="544"/>
      <c r="K35" s="544"/>
      <c r="L35" s="544"/>
      <c r="M35" s="544"/>
      <c r="N35" s="544"/>
      <c r="O35" s="544"/>
      <c r="P35" s="544"/>
      <c r="Q35" s="544"/>
      <c r="R35" s="544"/>
      <c r="S35" s="544"/>
      <c r="T35" s="544"/>
      <c r="U35" s="544"/>
      <c r="V35" s="544"/>
      <c r="W35" s="544"/>
      <c r="X35" s="544"/>
      <c r="Y35" s="544"/>
      <c r="Z35" s="544"/>
      <c r="AA35" s="544"/>
      <c r="AB35" s="544"/>
      <c r="AC35" s="544"/>
      <c r="AD35" s="544"/>
      <c r="AE35" s="544"/>
      <c r="AF35" s="544"/>
      <c r="AG35" s="544"/>
      <c r="AH35" s="544"/>
      <c r="AI35" s="544"/>
      <c r="AJ35" s="544"/>
      <c r="AK35" s="544"/>
      <c r="AL35" s="544"/>
      <c r="AM35" s="544"/>
      <c r="AN35" s="544"/>
      <c r="AO35" s="544"/>
      <c r="AP35" s="544"/>
      <c r="AQ35" s="544"/>
      <c r="AR35" s="544"/>
      <c r="AS35" s="544"/>
      <c r="AT35" s="544"/>
      <c r="AU35" s="544"/>
      <c r="AV35" s="544"/>
      <c r="AW35" s="544"/>
      <c r="AX35" s="544"/>
      <c r="AY35" s="544"/>
      <c r="AZ35" s="544"/>
      <c r="BA35" s="544"/>
      <c r="BB35" s="544"/>
      <c r="BC35" s="544"/>
      <c r="BD35" s="544"/>
      <c r="BE35" s="544"/>
      <c r="BF35" s="544"/>
      <c r="BG35" s="544"/>
      <c r="BH35" s="544"/>
      <c r="BI35" s="544"/>
      <c r="BJ35" s="544"/>
      <c r="BK35" s="544"/>
      <c r="BL35" s="544"/>
      <c r="BM35" s="544"/>
      <c r="BN35" s="544"/>
      <c r="BO35" s="544"/>
      <c r="BP35" s="544"/>
      <c r="BQ35" s="544"/>
      <c r="BR35" s="544"/>
      <c r="BS35" s="544"/>
      <c r="BT35" s="544"/>
      <c r="BU35" s="544"/>
      <c r="BV35" s="544"/>
      <c r="BW35" s="544"/>
      <c r="BX35" s="544"/>
      <c r="BY35" s="544"/>
      <c r="BZ35" s="544"/>
      <c r="CA35" s="544"/>
      <c r="CB35" s="544"/>
      <c r="CC35" s="544"/>
      <c r="CD35" s="544"/>
      <c r="CE35" s="544"/>
      <c r="CF35" s="544"/>
      <c r="CG35" s="544"/>
      <c r="CH35" s="544"/>
      <c r="CI35" s="544"/>
      <c r="CJ35" s="544"/>
      <c r="CK35" s="544"/>
      <c r="CL35" s="544"/>
      <c r="CM35" s="544"/>
      <c r="CN35" s="544"/>
      <c r="CO35" s="544"/>
      <c r="CP35" s="544"/>
      <c r="CQ35" s="544"/>
      <c r="CR35" s="544"/>
      <c r="CS35" s="1"/>
    </row>
    <row r="36" spans="1:97">
      <c r="A36" s="91" t="s">
        <v>165</v>
      </c>
      <c r="B36" s="91" t="s">
        <v>3672</v>
      </c>
      <c r="C36" s="91" t="s">
        <v>3673</v>
      </c>
      <c r="D36" s="91" t="s">
        <v>202</v>
      </c>
      <c r="E36" s="91" t="s">
        <v>2207</v>
      </c>
      <c r="F36" s="91">
        <v>97504</v>
      </c>
      <c r="G36" s="92">
        <v>2.4E-2</v>
      </c>
      <c r="H36" s="544" t="s">
        <v>3674</v>
      </c>
      <c r="I36" s="544"/>
      <c r="J36" s="544"/>
      <c r="K36" s="544"/>
      <c r="L36" s="544"/>
      <c r="M36" s="544"/>
      <c r="N36" s="544"/>
      <c r="O36" s="544"/>
      <c r="P36" s="544"/>
      <c r="Q36" s="544"/>
      <c r="R36" s="544"/>
      <c r="S36" s="544"/>
      <c r="T36" s="544"/>
      <c r="U36" s="544"/>
      <c r="V36" s="544"/>
      <c r="W36" s="544"/>
      <c r="X36" s="544"/>
      <c r="Y36" s="544"/>
      <c r="Z36" s="544"/>
      <c r="AA36" s="544"/>
      <c r="AB36" s="544"/>
      <c r="AC36" s="544"/>
      <c r="AD36" s="544"/>
      <c r="AE36" s="544"/>
      <c r="AF36" s="544"/>
      <c r="AG36" s="544"/>
      <c r="AH36" s="544"/>
      <c r="AI36" s="544"/>
      <c r="AJ36" s="544"/>
      <c r="AK36" s="544"/>
      <c r="AL36" s="544"/>
      <c r="AM36" s="544"/>
      <c r="AN36" s="544"/>
      <c r="AO36" s="544"/>
      <c r="AP36" s="544"/>
      <c r="AQ36" s="544"/>
      <c r="AR36" s="544"/>
      <c r="AS36" s="544"/>
      <c r="AT36" s="544"/>
      <c r="AU36" s="544"/>
      <c r="AV36" s="544"/>
      <c r="AW36" s="544"/>
      <c r="AX36" s="544"/>
      <c r="AY36" s="544"/>
      <c r="AZ36" s="544"/>
      <c r="BA36" s="544"/>
      <c r="BB36" s="544"/>
      <c r="BC36" s="544"/>
      <c r="BD36" s="544"/>
      <c r="BE36" s="544"/>
      <c r="BF36" s="544"/>
      <c r="BG36" s="544"/>
      <c r="BH36" s="544"/>
      <c r="BI36" s="544"/>
      <c r="BJ36" s="544"/>
      <c r="BK36" s="544"/>
      <c r="BL36" s="544"/>
      <c r="BM36" s="544"/>
      <c r="BN36" s="544"/>
      <c r="BO36" s="544"/>
      <c r="BP36" s="544"/>
      <c r="BQ36" s="544"/>
      <c r="BR36" s="544"/>
      <c r="BS36" s="544"/>
      <c r="BT36" s="544"/>
      <c r="BU36" s="544"/>
      <c r="BV36" s="544"/>
      <c r="BW36" s="544"/>
      <c r="BX36" s="544"/>
      <c r="BY36" s="544"/>
      <c r="BZ36" s="544"/>
      <c r="CA36" s="544"/>
      <c r="CB36" s="544"/>
      <c r="CC36" s="544"/>
      <c r="CD36" s="544"/>
      <c r="CE36" s="544"/>
      <c r="CF36" s="544"/>
      <c r="CG36" s="544"/>
      <c r="CH36" s="544"/>
      <c r="CI36" s="544"/>
      <c r="CJ36" s="544"/>
      <c r="CK36" s="544"/>
      <c r="CL36" s="544"/>
      <c r="CM36" s="544"/>
      <c r="CN36" s="544"/>
      <c r="CO36" s="544"/>
      <c r="CP36" s="544"/>
      <c r="CQ36" s="544"/>
      <c r="CR36" s="1"/>
      <c r="CS36" s="544"/>
    </row>
    <row r="37" spans="1:97">
      <c r="A37" s="91" t="s">
        <v>384</v>
      </c>
      <c r="B37" s="91" t="s">
        <v>3675</v>
      </c>
      <c r="C37" s="91" t="s">
        <v>175</v>
      </c>
      <c r="D37" s="91" t="s">
        <v>176</v>
      </c>
      <c r="E37" s="91" t="s">
        <v>2207</v>
      </c>
      <c r="F37" s="91">
        <v>98444</v>
      </c>
      <c r="G37" s="92">
        <v>1.4999999999999999E-2</v>
      </c>
      <c r="H37" s="544" t="s">
        <v>3676</v>
      </c>
      <c r="I37" s="544"/>
      <c r="J37" s="544"/>
      <c r="K37" s="544"/>
      <c r="L37" s="544"/>
      <c r="M37" s="544"/>
      <c r="N37" s="544"/>
      <c r="O37" s="544"/>
      <c r="P37" s="544"/>
      <c r="Q37" s="544"/>
      <c r="R37" s="544"/>
      <c r="S37" s="544"/>
      <c r="T37" s="544"/>
      <c r="U37" s="544"/>
      <c r="V37" s="544"/>
      <c r="W37" s="544"/>
      <c r="X37" s="544"/>
      <c r="Y37" s="544"/>
      <c r="Z37" s="544"/>
      <c r="AA37" s="544"/>
      <c r="AB37" s="544"/>
      <c r="AC37" s="544"/>
      <c r="AD37" s="544"/>
      <c r="AE37" s="544"/>
      <c r="AF37" s="544"/>
      <c r="AG37" s="544"/>
      <c r="AH37" s="544"/>
      <c r="AI37" s="544"/>
      <c r="AJ37" s="544"/>
      <c r="AK37" s="544"/>
      <c r="AL37" s="544"/>
      <c r="AM37" s="544"/>
      <c r="AN37" s="544"/>
      <c r="AO37" s="544"/>
      <c r="AP37" s="544"/>
      <c r="AQ37" s="544"/>
      <c r="AR37" s="544"/>
      <c r="AS37" s="544"/>
      <c r="AT37" s="544"/>
      <c r="AU37" s="544"/>
      <c r="AV37" s="544"/>
      <c r="AW37" s="544"/>
      <c r="AX37" s="544"/>
      <c r="AY37" s="544"/>
      <c r="AZ37" s="544"/>
      <c r="BA37" s="544"/>
      <c r="BB37" s="544"/>
      <c r="BC37" s="544"/>
      <c r="BD37" s="544"/>
      <c r="BE37" s="544"/>
      <c r="BF37" s="544"/>
      <c r="BG37" s="544"/>
      <c r="BH37" s="544"/>
      <c r="BI37" s="544"/>
      <c r="BJ37" s="544"/>
      <c r="BK37" s="544"/>
      <c r="BL37" s="544"/>
      <c r="BM37" s="544"/>
      <c r="BN37" s="544"/>
      <c r="BO37" s="544"/>
      <c r="BP37" s="544"/>
      <c r="BQ37" s="544"/>
      <c r="BR37" s="544"/>
      <c r="BS37" s="544"/>
      <c r="BT37" s="544"/>
      <c r="BU37" s="544"/>
      <c r="BV37" s="544"/>
      <c r="BW37" s="544"/>
      <c r="BX37" s="544"/>
      <c r="BY37" s="544"/>
      <c r="BZ37" s="544"/>
      <c r="CA37" s="544"/>
      <c r="CB37" s="544"/>
      <c r="CC37" s="544"/>
      <c r="CD37" s="544"/>
      <c r="CE37" s="544"/>
      <c r="CF37" s="544"/>
      <c r="CG37" s="544"/>
      <c r="CH37" s="544"/>
      <c r="CI37" s="544"/>
      <c r="CJ37" s="544"/>
      <c r="CK37" s="544"/>
      <c r="CL37" s="544"/>
      <c r="CM37" s="544"/>
      <c r="CN37" s="544"/>
      <c r="CO37" s="544"/>
      <c r="CP37" s="544"/>
      <c r="CQ37" s="544"/>
      <c r="CR37" s="1"/>
      <c r="CS37" s="544"/>
    </row>
    <row r="38" spans="1:97">
      <c r="A38" s="91" t="s">
        <v>2050</v>
      </c>
      <c r="B38" s="91" t="s">
        <v>3677</v>
      </c>
      <c r="C38" s="91" t="s">
        <v>263</v>
      </c>
      <c r="D38" s="91" t="s">
        <v>264</v>
      </c>
      <c r="E38" s="91" t="s">
        <v>2207</v>
      </c>
      <c r="F38" s="91">
        <v>89431</v>
      </c>
      <c r="G38" s="92">
        <v>0.03</v>
      </c>
      <c r="H38" s="544" t="s">
        <v>3678</v>
      </c>
      <c r="I38" s="544"/>
      <c r="J38" s="544"/>
      <c r="K38" s="544"/>
      <c r="L38" s="544"/>
      <c r="M38" s="544"/>
      <c r="N38" s="544"/>
      <c r="O38" s="544"/>
      <c r="P38" s="544"/>
      <c r="Q38" s="544"/>
      <c r="R38" s="544"/>
      <c r="S38" s="544"/>
      <c r="T38" s="544"/>
      <c r="U38" s="544"/>
      <c r="V38" s="544"/>
      <c r="W38" s="544"/>
      <c r="X38" s="544"/>
      <c r="Y38" s="544"/>
      <c r="Z38" s="544"/>
      <c r="AA38" s="544"/>
      <c r="AB38" s="544"/>
      <c r="AC38" s="544"/>
      <c r="AD38" s="544"/>
      <c r="AE38" s="544"/>
      <c r="AF38" s="544"/>
      <c r="AG38" s="544"/>
      <c r="AH38" s="544"/>
      <c r="AI38" s="544"/>
      <c r="AJ38" s="544"/>
      <c r="AK38" s="544"/>
      <c r="AL38" s="544"/>
      <c r="AM38" s="544"/>
      <c r="AN38" s="544"/>
      <c r="AO38" s="544"/>
      <c r="AP38" s="544"/>
      <c r="AQ38" s="544"/>
      <c r="AR38" s="544"/>
      <c r="AS38" s="544"/>
      <c r="AT38" s="544"/>
      <c r="AU38" s="544"/>
      <c r="AV38" s="544"/>
      <c r="AW38" s="544"/>
      <c r="AX38" s="544"/>
      <c r="AY38" s="544"/>
      <c r="AZ38" s="544"/>
      <c r="BA38" s="544"/>
      <c r="BB38" s="544"/>
      <c r="BC38" s="544"/>
      <c r="BD38" s="544"/>
      <c r="BE38" s="544"/>
      <c r="BF38" s="544"/>
      <c r="BG38" s="544"/>
      <c r="BH38" s="544"/>
      <c r="BI38" s="544"/>
      <c r="BJ38" s="544"/>
      <c r="BK38" s="544"/>
      <c r="BL38" s="544"/>
      <c r="BM38" s="544"/>
      <c r="BN38" s="544"/>
      <c r="BO38" s="544"/>
      <c r="BP38" s="544"/>
      <c r="BQ38" s="544"/>
      <c r="BR38" s="544"/>
      <c r="BS38" s="544"/>
      <c r="BT38" s="544"/>
      <c r="BU38" s="544"/>
      <c r="BV38" s="544"/>
      <c r="BW38" s="544"/>
      <c r="BX38" s="544"/>
      <c r="BY38" s="544"/>
      <c r="BZ38" s="544"/>
      <c r="CA38" s="544"/>
      <c r="CB38" s="544"/>
      <c r="CC38" s="544"/>
      <c r="CD38" s="544"/>
      <c r="CE38" s="544"/>
      <c r="CF38" s="544"/>
      <c r="CG38" s="544"/>
      <c r="CH38" s="544"/>
      <c r="CI38" s="544"/>
      <c r="CJ38" s="544"/>
      <c r="CK38" s="544"/>
      <c r="CL38" s="544"/>
      <c r="CM38" s="544"/>
      <c r="CN38" s="544"/>
      <c r="CO38" s="544"/>
      <c r="CP38" s="544"/>
      <c r="CQ38" s="544"/>
      <c r="CR38" s="1"/>
      <c r="CS38" s="544"/>
    </row>
    <row r="39" spans="1:97">
      <c r="A39" s="91" t="s">
        <v>2541</v>
      </c>
      <c r="B39" s="91" t="s">
        <v>3679</v>
      </c>
      <c r="C39" s="91" t="s">
        <v>3680</v>
      </c>
      <c r="D39" s="91" t="s">
        <v>3570</v>
      </c>
      <c r="E39" s="91" t="s">
        <v>2207</v>
      </c>
      <c r="F39" s="91">
        <v>60563</v>
      </c>
      <c r="G39" s="566">
        <v>0</v>
      </c>
      <c r="H39" s="544" t="s">
        <v>3681</v>
      </c>
      <c r="I39" s="544"/>
      <c r="J39" s="544"/>
      <c r="K39" s="544"/>
      <c r="L39" s="544"/>
      <c r="M39" s="544"/>
      <c r="N39" s="544"/>
      <c r="O39" s="544"/>
      <c r="P39" s="544"/>
      <c r="Q39" s="544"/>
      <c r="R39" s="544"/>
      <c r="S39" s="544"/>
      <c r="T39" s="544"/>
      <c r="U39" s="544"/>
      <c r="V39" s="544"/>
      <c r="W39" s="544"/>
      <c r="X39" s="544"/>
      <c r="Y39" s="544"/>
      <c r="Z39" s="544"/>
      <c r="AA39" s="544"/>
      <c r="AB39" s="544"/>
      <c r="AC39" s="544"/>
      <c r="AD39" s="544"/>
      <c r="AE39" s="544"/>
      <c r="AF39" s="544"/>
      <c r="AG39" s="544"/>
      <c r="AH39" s="544"/>
      <c r="AI39" s="544"/>
      <c r="AJ39" s="544"/>
      <c r="AK39" s="544"/>
      <c r="AL39" s="544"/>
      <c r="AM39" s="544"/>
      <c r="AN39" s="544"/>
      <c r="AO39" s="544"/>
      <c r="AP39" s="544"/>
      <c r="AQ39" s="544"/>
      <c r="AR39" s="544"/>
      <c r="AS39" s="544"/>
      <c r="AT39" s="544"/>
      <c r="AU39" s="544"/>
      <c r="AV39" s="544"/>
      <c r="AW39" s="544"/>
      <c r="AX39" s="544"/>
      <c r="AY39" s="544"/>
      <c r="AZ39" s="544"/>
      <c r="BA39" s="544"/>
      <c r="BB39" s="544"/>
      <c r="BC39" s="544"/>
      <c r="BD39" s="544"/>
      <c r="BE39" s="544"/>
      <c r="BF39" s="544"/>
      <c r="BG39" s="544"/>
      <c r="BH39" s="544"/>
      <c r="BI39" s="544"/>
      <c r="BJ39" s="544"/>
      <c r="BK39" s="544"/>
      <c r="BL39" s="544"/>
      <c r="BM39" s="544"/>
      <c r="BN39" s="544"/>
      <c r="BO39" s="544"/>
      <c r="BP39" s="544"/>
      <c r="BQ39" s="544"/>
      <c r="BR39" s="544"/>
      <c r="BS39" s="544"/>
      <c r="BT39" s="544"/>
      <c r="BU39" s="544"/>
      <c r="BV39" s="544"/>
      <c r="BW39" s="544"/>
      <c r="BX39" s="544"/>
      <c r="BY39" s="544"/>
      <c r="BZ39" s="544"/>
      <c r="CA39" s="544"/>
      <c r="CB39" s="544"/>
      <c r="CC39" s="544"/>
      <c r="CD39" s="544"/>
      <c r="CE39" s="544"/>
      <c r="CF39" s="544"/>
      <c r="CG39" s="544"/>
      <c r="CH39" s="544"/>
      <c r="CI39" s="544"/>
      <c r="CJ39" s="544"/>
      <c r="CK39" s="544"/>
      <c r="CL39" s="544"/>
      <c r="CM39" s="544"/>
      <c r="CN39" s="544"/>
      <c r="CO39" s="544"/>
      <c r="CP39" s="544"/>
      <c r="CQ39" s="544"/>
      <c r="CR39" s="1"/>
      <c r="CS39" s="544"/>
    </row>
    <row r="40" spans="1:97" s="7" customFormat="1">
      <c r="A40" s="232" t="s">
        <v>2484</v>
      </c>
      <c r="B40" s="232" t="s">
        <v>3682</v>
      </c>
      <c r="C40" s="232" t="s">
        <v>1323</v>
      </c>
      <c r="D40" s="232" t="s">
        <v>2206</v>
      </c>
      <c r="E40" s="91" t="s">
        <v>2207</v>
      </c>
      <c r="F40" s="232">
        <v>92503</v>
      </c>
      <c r="G40" s="233">
        <v>0</v>
      </c>
      <c r="H40" s="234" t="s">
        <v>3683</v>
      </c>
      <c r="CR40" s="17"/>
    </row>
    <row r="41" spans="1:97" s="7" customFormat="1">
      <c r="A41" s="91" t="s">
        <v>504</v>
      </c>
      <c r="B41" s="91" t="s">
        <v>3684</v>
      </c>
      <c r="C41" s="91" t="s">
        <v>3685</v>
      </c>
      <c r="D41" s="91" t="s">
        <v>176</v>
      </c>
      <c r="E41" s="91" t="s">
        <v>2207</v>
      </c>
      <c r="F41" s="91">
        <v>98230</v>
      </c>
      <c r="G41" s="92">
        <v>0.03</v>
      </c>
      <c r="H41" s="544" t="s">
        <v>3686</v>
      </c>
      <c r="CR41" s="17"/>
    </row>
    <row r="42" spans="1:97" s="7" customFormat="1">
      <c r="A42" s="91" t="s">
        <v>1917</v>
      </c>
      <c r="B42" s="91" t="s">
        <v>3687</v>
      </c>
      <c r="C42" s="91" t="s">
        <v>3688</v>
      </c>
      <c r="D42" s="91" t="s">
        <v>1876</v>
      </c>
      <c r="E42" s="91" t="s">
        <v>2207</v>
      </c>
      <c r="F42" s="91">
        <v>85027</v>
      </c>
      <c r="G42" s="92">
        <v>0.03</v>
      </c>
      <c r="H42" s="544" t="s">
        <v>3689</v>
      </c>
      <c r="CR42" s="17"/>
    </row>
    <row r="43" spans="1:97" s="7" customFormat="1">
      <c r="A43" s="91" t="s">
        <v>2800</v>
      </c>
      <c r="B43" s="91" t="s">
        <v>3690</v>
      </c>
      <c r="C43" s="279" t="s">
        <v>3691</v>
      </c>
      <c r="D43" s="91" t="s">
        <v>3692</v>
      </c>
      <c r="E43" s="91" t="s">
        <v>2207</v>
      </c>
      <c r="F43" s="91">
        <v>30184</v>
      </c>
      <c r="G43" s="566">
        <v>0.03</v>
      </c>
      <c r="H43" s="544"/>
      <c r="CR43" s="17"/>
    </row>
    <row r="44" spans="1:97">
      <c r="A44" s="91" t="s">
        <v>2582</v>
      </c>
      <c r="B44" s="91" t="s">
        <v>3693</v>
      </c>
      <c r="C44" s="91" t="s">
        <v>2523</v>
      </c>
      <c r="D44" s="91" t="s">
        <v>2206</v>
      </c>
      <c r="E44" s="91" t="s">
        <v>2207</v>
      </c>
      <c r="F44" s="91">
        <v>95691</v>
      </c>
      <c r="G44" s="566">
        <v>0</v>
      </c>
      <c r="H44" s="544" t="s">
        <v>3694</v>
      </c>
      <c r="I44" s="544"/>
      <c r="J44" s="544"/>
      <c r="K44" s="544"/>
      <c r="L44" s="544"/>
      <c r="M44" s="544"/>
      <c r="N44" s="544"/>
      <c r="O44" s="544"/>
      <c r="P44" s="544"/>
      <c r="Q44" s="544"/>
      <c r="R44" s="544"/>
      <c r="S44" s="544"/>
      <c r="T44" s="544"/>
      <c r="U44" s="544"/>
      <c r="V44" s="544"/>
      <c r="W44" s="544"/>
      <c r="X44" s="544"/>
      <c r="Y44" s="544"/>
      <c r="Z44" s="544"/>
      <c r="AA44" s="544"/>
      <c r="AB44" s="544"/>
      <c r="AC44" s="544"/>
      <c r="AD44" s="544"/>
      <c r="AE44" s="544"/>
      <c r="AF44" s="544"/>
      <c r="AG44" s="544"/>
      <c r="AH44" s="544"/>
      <c r="AI44" s="544"/>
      <c r="AJ44" s="544"/>
      <c r="AK44" s="544"/>
      <c r="AL44" s="544"/>
      <c r="AM44" s="544"/>
      <c r="AN44" s="544"/>
      <c r="AO44" s="544"/>
      <c r="AP44" s="544"/>
      <c r="AQ44" s="544"/>
      <c r="AR44" s="544"/>
      <c r="AS44" s="544"/>
      <c r="AT44" s="544"/>
      <c r="AU44" s="544"/>
      <c r="AV44" s="544"/>
      <c r="AW44" s="544"/>
      <c r="AX44" s="544"/>
      <c r="AY44" s="544"/>
      <c r="AZ44" s="544"/>
      <c r="BA44" s="544"/>
      <c r="BB44" s="544"/>
      <c r="BC44" s="544"/>
      <c r="BD44" s="544"/>
      <c r="BE44" s="544"/>
      <c r="BF44" s="544"/>
      <c r="BG44" s="544"/>
      <c r="BH44" s="544"/>
      <c r="BI44" s="544"/>
      <c r="BJ44" s="544"/>
      <c r="BK44" s="544"/>
      <c r="BL44" s="544"/>
      <c r="BM44" s="544"/>
      <c r="BN44" s="544"/>
      <c r="BO44" s="544"/>
      <c r="BP44" s="544"/>
      <c r="BQ44" s="544"/>
      <c r="BR44" s="544"/>
      <c r="BS44" s="544"/>
      <c r="BT44" s="544"/>
      <c r="BU44" s="544"/>
      <c r="BV44" s="544"/>
      <c r="BW44" s="544"/>
      <c r="BX44" s="544"/>
      <c r="BY44" s="544"/>
      <c r="BZ44" s="544"/>
      <c r="CA44" s="544"/>
      <c r="CB44" s="544"/>
      <c r="CC44" s="544"/>
      <c r="CD44" s="544"/>
      <c r="CE44" s="544"/>
      <c r="CF44" s="544"/>
      <c r="CG44" s="544"/>
      <c r="CH44" s="544"/>
      <c r="CI44" s="544"/>
      <c r="CJ44" s="544"/>
      <c r="CK44" s="544"/>
      <c r="CL44" s="544"/>
      <c r="CM44" s="544"/>
      <c r="CN44" s="544"/>
      <c r="CO44" s="544"/>
      <c r="CP44" s="544"/>
      <c r="CQ44" s="544"/>
      <c r="CR44" s="1"/>
      <c r="CS44" s="544"/>
    </row>
    <row r="45" spans="1:97">
      <c r="A45" s="91" t="s">
        <v>487</v>
      </c>
      <c r="B45" s="91" t="s">
        <v>3695</v>
      </c>
      <c r="C45" s="91" t="s">
        <v>3696</v>
      </c>
      <c r="D45" s="91" t="s">
        <v>3697</v>
      </c>
      <c r="E45" s="91" t="s">
        <v>2207</v>
      </c>
      <c r="F45" s="91">
        <v>32224</v>
      </c>
      <c r="G45" s="92">
        <v>0.02</v>
      </c>
      <c r="H45" s="544" t="s">
        <v>3698</v>
      </c>
      <c r="I45" s="544"/>
      <c r="J45" s="544"/>
      <c r="K45" s="544"/>
      <c r="L45" s="544"/>
      <c r="M45" s="544"/>
      <c r="N45" s="544"/>
      <c r="O45" s="544"/>
      <c r="P45" s="544"/>
      <c r="Q45" s="544"/>
      <c r="R45" s="544"/>
      <c r="S45" s="544"/>
      <c r="T45" s="544"/>
      <c r="U45" s="544"/>
      <c r="V45" s="544"/>
      <c r="W45" s="544"/>
      <c r="X45" s="544"/>
      <c r="Y45" s="544"/>
      <c r="Z45" s="544"/>
      <c r="AA45" s="544"/>
      <c r="AB45" s="544"/>
      <c r="AC45" s="544"/>
      <c r="AD45" s="544"/>
      <c r="AE45" s="544"/>
      <c r="AF45" s="544"/>
      <c r="AG45" s="544"/>
      <c r="AH45" s="544"/>
      <c r="AI45" s="544"/>
      <c r="AJ45" s="544"/>
      <c r="AK45" s="544"/>
      <c r="AL45" s="544"/>
      <c r="AM45" s="544"/>
      <c r="AN45" s="544"/>
      <c r="AO45" s="544"/>
      <c r="AP45" s="544"/>
      <c r="AQ45" s="544"/>
      <c r="AR45" s="544"/>
      <c r="AS45" s="544"/>
      <c r="AT45" s="544"/>
      <c r="AU45" s="544"/>
      <c r="AV45" s="544"/>
      <c r="AW45" s="544"/>
      <c r="AX45" s="544"/>
      <c r="AY45" s="544"/>
      <c r="AZ45" s="544"/>
      <c r="BA45" s="544"/>
      <c r="BB45" s="544"/>
      <c r="BC45" s="544"/>
      <c r="BD45" s="544"/>
      <c r="BE45" s="544"/>
      <c r="BF45" s="544"/>
      <c r="BG45" s="544"/>
      <c r="BH45" s="544"/>
      <c r="BI45" s="544"/>
      <c r="BJ45" s="544"/>
      <c r="BK45" s="544"/>
      <c r="BL45" s="544"/>
      <c r="BM45" s="544"/>
      <c r="BN45" s="544"/>
      <c r="BO45" s="544"/>
      <c r="BP45" s="544"/>
      <c r="BQ45" s="544"/>
      <c r="BR45" s="544"/>
      <c r="BS45" s="544"/>
      <c r="BT45" s="544"/>
      <c r="BU45" s="544"/>
      <c r="BV45" s="544"/>
      <c r="BW45" s="544"/>
      <c r="BX45" s="544"/>
      <c r="BY45" s="544"/>
      <c r="BZ45" s="544"/>
      <c r="CA45" s="544"/>
      <c r="CB45" s="544"/>
      <c r="CC45" s="544"/>
      <c r="CD45" s="544"/>
      <c r="CE45" s="544"/>
      <c r="CF45" s="544"/>
      <c r="CG45" s="544"/>
      <c r="CH45" s="544"/>
      <c r="CI45" s="544"/>
      <c r="CJ45" s="544"/>
      <c r="CK45" s="544"/>
      <c r="CL45" s="544"/>
      <c r="CM45" s="544"/>
      <c r="CN45" s="544"/>
      <c r="CO45" s="544"/>
      <c r="CP45" s="544"/>
      <c r="CQ45" s="544"/>
      <c r="CR45" s="1"/>
      <c r="CS45" s="544"/>
    </row>
    <row r="46" spans="1:97">
      <c r="A46" s="91" t="s">
        <v>2170</v>
      </c>
      <c r="B46" s="91" t="s">
        <v>3699</v>
      </c>
      <c r="C46" s="91" t="s">
        <v>3696</v>
      </c>
      <c r="D46" s="91" t="s">
        <v>3697</v>
      </c>
      <c r="E46" s="91" t="s">
        <v>2207</v>
      </c>
      <c r="F46" s="91">
        <v>32246</v>
      </c>
      <c r="G46" s="92" t="s">
        <v>3700</v>
      </c>
      <c r="H46" s="544" t="s">
        <v>3701</v>
      </c>
      <c r="I46" s="544"/>
      <c r="J46" s="544"/>
      <c r="K46" s="544"/>
      <c r="L46" s="544"/>
      <c r="M46" s="544"/>
      <c r="N46" s="544"/>
      <c r="O46" s="544"/>
      <c r="P46" s="544"/>
      <c r="Q46" s="544"/>
      <c r="R46" s="544"/>
      <c r="S46" s="544"/>
      <c r="T46" s="544"/>
      <c r="U46" s="544"/>
      <c r="V46" s="544"/>
      <c r="W46" s="544"/>
      <c r="X46" s="544"/>
      <c r="Y46" s="544"/>
      <c r="Z46" s="544"/>
      <c r="AA46" s="544"/>
      <c r="AB46" s="544"/>
      <c r="AC46" s="544"/>
      <c r="AD46" s="544"/>
      <c r="AE46" s="544"/>
      <c r="AF46" s="544"/>
      <c r="AG46" s="544"/>
      <c r="AH46" s="544"/>
      <c r="AI46" s="544"/>
      <c r="AJ46" s="544"/>
      <c r="AK46" s="544"/>
      <c r="AL46" s="544"/>
      <c r="AM46" s="544"/>
      <c r="AN46" s="544"/>
      <c r="AO46" s="544"/>
      <c r="AP46" s="544"/>
      <c r="AQ46" s="544"/>
      <c r="AR46" s="544"/>
      <c r="AS46" s="544"/>
      <c r="AT46" s="544"/>
      <c r="AU46" s="544"/>
      <c r="AV46" s="544"/>
      <c r="AW46" s="544"/>
      <c r="AX46" s="544"/>
      <c r="AY46" s="544"/>
      <c r="AZ46" s="544"/>
      <c r="BA46" s="544"/>
      <c r="BB46" s="544"/>
      <c r="BC46" s="544"/>
      <c r="BD46" s="544"/>
      <c r="BE46" s="544"/>
      <c r="BF46" s="544"/>
      <c r="BG46" s="544"/>
      <c r="BH46" s="544"/>
      <c r="BI46" s="544"/>
      <c r="BJ46" s="544"/>
      <c r="BK46" s="544"/>
      <c r="BL46" s="544"/>
      <c r="BM46" s="544"/>
      <c r="BN46" s="544"/>
      <c r="BO46" s="544"/>
      <c r="BP46" s="544"/>
      <c r="BQ46" s="544"/>
      <c r="BR46" s="544"/>
      <c r="BS46" s="544"/>
      <c r="BT46" s="544"/>
      <c r="BU46" s="544"/>
      <c r="BV46" s="544"/>
      <c r="BW46" s="544"/>
      <c r="BX46" s="544"/>
      <c r="BY46" s="544"/>
      <c r="BZ46" s="544"/>
      <c r="CA46" s="544"/>
      <c r="CB46" s="544"/>
      <c r="CC46" s="544"/>
      <c r="CD46" s="544"/>
      <c r="CE46" s="544"/>
      <c r="CF46" s="544"/>
      <c r="CG46" s="544"/>
      <c r="CH46" s="544"/>
      <c r="CI46" s="544"/>
      <c r="CJ46" s="544"/>
      <c r="CK46" s="544"/>
      <c r="CL46" s="544"/>
      <c r="CM46" s="544"/>
      <c r="CN46" s="544"/>
      <c r="CO46" s="544"/>
      <c r="CP46" s="544"/>
      <c r="CQ46" s="544"/>
      <c r="CR46" s="1"/>
      <c r="CS46" s="544"/>
    </row>
    <row r="47" spans="1:97">
      <c r="A47" s="91" t="s">
        <v>625</v>
      </c>
      <c r="B47" s="91" t="s">
        <v>3702</v>
      </c>
      <c r="C47" s="91" t="s">
        <v>3607</v>
      </c>
      <c r="D47" s="91" t="s">
        <v>3608</v>
      </c>
      <c r="E47" s="91" t="s">
        <v>2207</v>
      </c>
      <c r="F47" s="91">
        <v>60634</v>
      </c>
      <c r="G47" s="92">
        <v>0.03</v>
      </c>
      <c r="H47" s="544" t="s">
        <v>3703</v>
      </c>
      <c r="I47" s="544"/>
      <c r="J47" s="544"/>
      <c r="K47" s="544"/>
      <c r="L47" s="544"/>
      <c r="M47" s="544"/>
      <c r="N47" s="544"/>
      <c r="O47" s="544"/>
      <c r="P47" s="544"/>
      <c r="Q47" s="544"/>
      <c r="R47" s="544"/>
      <c r="S47" s="544"/>
      <c r="T47" s="544"/>
      <c r="U47" s="544"/>
      <c r="V47" s="544"/>
      <c r="W47" s="544"/>
      <c r="X47" s="544"/>
      <c r="Y47" s="544"/>
      <c r="Z47" s="544"/>
      <c r="AA47" s="544"/>
      <c r="AB47" s="544"/>
      <c r="AC47" s="544"/>
      <c r="AD47" s="544"/>
      <c r="AE47" s="544"/>
      <c r="AF47" s="544"/>
      <c r="AG47" s="544"/>
      <c r="AH47" s="544"/>
      <c r="AI47" s="544"/>
      <c r="AJ47" s="544"/>
      <c r="AK47" s="544"/>
      <c r="AL47" s="544"/>
      <c r="AM47" s="544"/>
      <c r="AN47" s="544"/>
      <c r="AO47" s="544"/>
      <c r="AP47" s="544"/>
      <c r="AQ47" s="544"/>
      <c r="AR47" s="544"/>
      <c r="AS47" s="544"/>
      <c r="AT47" s="544"/>
      <c r="AU47" s="544"/>
      <c r="AV47" s="544"/>
      <c r="AW47" s="544"/>
      <c r="AX47" s="544"/>
      <c r="AY47" s="544"/>
      <c r="AZ47" s="544"/>
      <c r="BA47" s="544"/>
      <c r="BB47" s="544"/>
      <c r="BC47" s="544"/>
      <c r="BD47" s="544"/>
      <c r="BE47" s="544"/>
      <c r="BF47" s="544"/>
      <c r="BG47" s="544"/>
      <c r="BH47" s="544"/>
      <c r="BI47" s="544"/>
      <c r="BJ47" s="544"/>
      <c r="BK47" s="544"/>
      <c r="BL47" s="544"/>
      <c r="BM47" s="544"/>
      <c r="BN47" s="544"/>
      <c r="BO47" s="544"/>
      <c r="BP47" s="544"/>
      <c r="BQ47" s="544"/>
      <c r="BR47" s="544"/>
      <c r="BS47" s="544"/>
      <c r="BT47" s="544"/>
      <c r="BU47" s="544"/>
      <c r="BV47" s="544"/>
      <c r="BW47" s="544"/>
      <c r="BX47" s="544"/>
      <c r="BY47" s="544"/>
      <c r="BZ47" s="544"/>
      <c r="CA47" s="544"/>
      <c r="CB47" s="544"/>
      <c r="CC47" s="544"/>
      <c r="CD47" s="544"/>
      <c r="CE47" s="544"/>
      <c r="CF47" s="544"/>
      <c r="CG47" s="544"/>
      <c r="CH47" s="544"/>
      <c r="CI47" s="544"/>
      <c r="CJ47" s="544"/>
      <c r="CK47" s="544"/>
      <c r="CL47" s="544"/>
      <c r="CM47" s="544"/>
      <c r="CN47" s="544"/>
      <c r="CO47" s="544"/>
      <c r="CP47" s="544"/>
      <c r="CQ47" s="544"/>
      <c r="CR47" s="1"/>
      <c r="CS47" s="544"/>
    </row>
    <row r="48" spans="1:97">
      <c r="A48" s="91" t="s">
        <v>1638</v>
      </c>
      <c r="B48" s="91" t="s">
        <v>3704</v>
      </c>
      <c r="C48" s="91" t="s">
        <v>3705</v>
      </c>
      <c r="D48" s="91" t="s">
        <v>3589</v>
      </c>
      <c r="E48" s="91" t="s">
        <v>2207</v>
      </c>
      <c r="F48" s="91">
        <v>44333</v>
      </c>
      <c r="G48" s="92">
        <v>0.02</v>
      </c>
      <c r="H48" s="544" t="s">
        <v>3706</v>
      </c>
      <c r="I48" s="544"/>
      <c r="J48" s="544"/>
      <c r="K48" s="544"/>
      <c r="L48" s="544"/>
      <c r="M48" s="544"/>
      <c r="N48" s="544"/>
      <c r="O48" s="544"/>
      <c r="P48" s="544"/>
      <c r="Q48" s="544"/>
      <c r="R48" s="544"/>
      <c r="S48" s="544"/>
      <c r="T48" s="544"/>
      <c r="U48" s="544"/>
      <c r="V48" s="544"/>
      <c r="W48" s="544"/>
      <c r="X48" s="544"/>
      <c r="Y48" s="544"/>
      <c r="Z48" s="544"/>
      <c r="AA48" s="544"/>
      <c r="AB48" s="544"/>
      <c r="AC48" s="544"/>
      <c r="AD48" s="544"/>
      <c r="AE48" s="544"/>
      <c r="AF48" s="544"/>
      <c r="AG48" s="544"/>
      <c r="AH48" s="544"/>
      <c r="AI48" s="544"/>
      <c r="AJ48" s="544"/>
      <c r="AK48" s="544"/>
      <c r="AL48" s="544"/>
      <c r="AM48" s="544"/>
      <c r="AN48" s="544"/>
      <c r="AO48" s="544"/>
      <c r="AP48" s="544"/>
      <c r="AQ48" s="544"/>
      <c r="AR48" s="544"/>
      <c r="AS48" s="544"/>
      <c r="AT48" s="544"/>
      <c r="AU48" s="544"/>
      <c r="AV48" s="544"/>
      <c r="AW48" s="544"/>
      <c r="AX48" s="544"/>
      <c r="AY48" s="544"/>
      <c r="AZ48" s="544"/>
      <c r="BA48" s="544"/>
      <c r="BB48" s="544"/>
      <c r="BC48" s="544"/>
      <c r="BD48" s="544"/>
      <c r="BE48" s="544"/>
      <c r="BF48" s="544"/>
      <c r="BG48" s="544"/>
      <c r="BH48" s="544"/>
      <c r="BI48" s="544"/>
      <c r="BJ48" s="544"/>
      <c r="BK48" s="544"/>
      <c r="BL48" s="544"/>
      <c r="BM48" s="544"/>
      <c r="BN48" s="544"/>
      <c r="BO48" s="544"/>
      <c r="BP48" s="544"/>
      <c r="BQ48" s="544"/>
      <c r="BR48" s="544"/>
      <c r="BS48" s="544"/>
      <c r="BT48" s="544"/>
      <c r="BU48" s="544"/>
      <c r="BV48" s="544"/>
      <c r="BW48" s="544"/>
      <c r="BX48" s="544"/>
      <c r="BY48" s="544"/>
      <c r="BZ48" s="544"/>
      <c r="CA48" s="544"/>
      <c r="CB48" s="544"/>
      <c r="CC48" s="544"/>
      <c r="CD48" s="544"/>
      <c r="CE48" s="544"/>
      <c r="CF48" s="544"/>
      <c r="CG48" s="544"/>
      <c r="CH48" s="544"/>
      <c r="CI48" s="544"/>
      <c r="CJ48" s="544"/>
      <c r="CK48" s="544"/>
      <c r="CL48" s="544"/>
      <c r="CM48" s="544"/>
      <c r="CN48" s="544"/>
      <c r="CO48" s="544"/>
      <c r="CP48" s="544"/>
      <c r="CQ48" s="544"/>
      <c r="CR48" s="1"/>
      <c r="CS48" s="544"/>
    </row>
    <row r="49" spans="1:96">
      <c r="A49" s="232" t="s">
        <v>2467</v>
      </c>
      <c r="B49" s="232" t="s">
        <v>3707</v>
      </c>
      <c r="C49" s="232" t="s">
        <v>1114</v>
      </c>
      <c r="D49" s="232" t="s">
        <v>2206</v>
      </c>
      <c r="E49" s="91" t="s">
        <v>2207</v>
      </c>
      <c r="F49" s="232">
        <v>91716</v>
      </c>
      <c r="G49" s="233">
        <v>0</v>
      </c>
      <c r="H49" s="234" t="s">
        <v>3708</v>
      </c>
      <c r="I49" s="544"/>
      <c r="J49" s="544"/>
      <c r="K49" s="544"/>
      <c r="L49" s="544"/>
      <c r="M49" s="544"/>
      <c r="N49" s="544"/>
      <c r="O49" s="544"/>
      <c r="P49" s="544"/>
      <c r="Q49" s="544"/>
      <c r="R49" s="544"/>
      <c r="S49" s="544"/>
      <c r="T49" s="544"/>
      <c r="U49" s="544"/>
      <c r="V49" s="544"/>
      <c r="W49" s="544"/>
      <c r="X49" s="544"/>
      <c r="Y49" s="544"/>
      <c r="Z49" s="544"/>
      <c r="AA49" s="544"/>
      <c r="AB49" s="544"/>
      <c r="AC49" s="544"/>
      <c r="AD49" s="544"/>
      <c r="AE49" s="544"/>
      <c r="AF49" s="544"/>
      <c r="AG49" s="544"/>
      <c r="AH49" s="544"/>
      <c r="AI49" s="544"/>
      <c r="AJ49" s="544"/>
      <c r="AK49" s="544"/>
      <c r="AL49" s="544"/>
      <c r="AM49" s="544"/>
      <c r="AN49" s="544"/>
      <c r="AO49" s="544"/>
      <c r="AP49" s="544"/>
      <c r="AQ49" s="544"/>
      <c r="AR49" s="544"/>
      <c r="AS49" s="544"/>
      <c r="AT49" s="544"/>
      <c r="AU49" s="544"/>
      <c r="AV49" s="544"/>
      <c r="AW49" s="544"/>
      <c r="AX49" s="544"/>
      <c r="AY49" s="544"/>
      <c r="AZ49" s="544"/>
      <c r="BA49" s="544"/>
      <c r="BB49" s="544"/>
      <c r="BC49" s="544"/>
      <c r="BD49" s="544"/>
      <c r="BE49" s="544"/>
      <c r="BF49" s="544"/>
      <c r="BG49" s="544"/>
      <c r="BH49" s="544"/>
      <c r="BI49" s="544"/>
      <c r="BJ49" s="544"/>
      <c r="BK49" s="544"/>
      <c r="BL49" s="544"/>
      <c r="BM49" s="544"/>
      <c r="BN49" s="544"/>
      <c r="BO49" s="544"/>
      <c r="BP49" s="544"/>
      <c r="BQ49" s="544"/>
      <c r="BR49" s="544"/>
      <c r="BS49" s="544"/>
      <c r="BT49" s="544"/>
      <c r="BU49" s="544"/>
      <c r="BV49" s="544"/>
      <c r="BW49" s="544"/>
      <c r="BX49" s="544"/>
      <c r="BY49" s="544"/>
      <c r="BZ49" s="544"/>
      <c r="CA49" s="544"/>
      <c r="CB49" s="544"/>
      <c r="CC49" s="544"/>
      <c r="CD49" s="544"/>
      <c r="CE49" s="544"/>
      <c r="CF49" s="544"/>
      <c r="CG49" s="544"/>
      <c r="CH49" s="544"/>
      <c r="CI49" s="544"/>
      <c r="CJ49" s="544"/>
      <c r="CK49" s="544"/>
      <c r="CL49" s="544"/>
      <c r="CM49" s="544"/>
      <c r="CN49" s="544"/>
      <c r="CO49" s="544"/>
      <c r="CP49" s="544"/>
      <c r="CQ49" s="544"/>
      <c r="CR49" s="1"/>
    </row>
    <row r="50" spans="1:96">
      <c r="A50" s="91" t="s">
        <v>2426</v>
      </c>
      <c r="B50" s="91" t="s">
        <v>3709</v>
      </c>
      <c r="C50" s="91" t="s">
        <v>3710</v>
      </c>
      <c r="D50" s="91" t="s">
        <v>3692</v>
      </c>
      <c r="E50" s="91" t="s">
        <v>2207</v>
      </c>
      <c r="F50" s="91">
        <v>30350</v>
      </c>
      <c r="G50" s="92">
        <v>0.04</v>
      </c>
      <c r="H50" s="544" t="s">
        <v>3711</v>
      </c>
      <c r="I50" s="544"/>
      <c r="J50" s="544"/>
      <c r="K50" s="544"/>
      <c r="L50" s="544"/>
      <c r="M50" s="544"/>
      <c r="N50" s="544"/>
      <c r="O50" s="544"/>
      <c r="P50" s="544"/>
      <c r="Q50" s="544"/>
      <c r="R50" s="544"/>
      <c r="S50" s="544"/>
      <c r="T50" s="544"/>
      <c r="U50" s="544"/>
      <c r="V50" s="544"/>
      <c r="W50" s="544"/>
      <c r="X50" s="544"/>
      <c r="Y50" s="544"/>
      <c r="Z50" s="544"/>
      <c r="AA50" s="544"/>
      <c r="AB50" s="544"/>
      <c r="AC50" s="544"/>
      <c r="AD50" s="544"/>
      <c r="AE50" s="544"/>
      <c r="AF50" s="544"/>
      <c r="AG50" s="544"/>
      <c r="AH50" s="544"/>
      <c r="AI50" s="544"/>
      <c r="AJ50" s="544"/>
      <c r="AK50" s="544"/>
      <c r="AL50" s="544"/>
      <c r="AM50" s="544"/>
      <c r="AN50" s="544"/>
      <c r="AO50" s="544"/>
      <c r="AP50" s="544"/>
      <c r="AQ50" s="544"/>
      <c r="AR50" s="544"/>
      <c r="AS50" s="544"/>
      <c r="AT50" s="544"/>
      <c r="AU50" s="544"/>
      <c r="AV50" s="544"/>
      <c r="AW50" s="544"/>
      <c r="AX50" s="544"/>
      <c r="AY50" s="544"/>
      <c r="AZ50" s="544"/>
      <c r="BA50" s="544"/>
      <c r="BB50" s="544"/>
      <c r="BC50" s="544"/>
      <c r="BD50" s="544"/>
      <c r="BE50" s="544"/>
      <c r="BF50" s="544"/>
      <c r="BG50" s="544"/>
      <c r="BH50" s="544"/>
      <c r="BI50" s="544"/>
      <c r="BJ50" s="544"/>
      <c r="BK50" s="544"/>
      <c r="BL50" s="544"/>
      <c r="BM50" s="544"/>
      <c r="BN50" s="544"/>
      <c r="BO50" s="544"/>
      <c r="BP50" s="544"/>
      <c r="BQ50" s="544"/>
      <c r="BR50" s="544"/>
      <c r="BS50" s="544"/>
      <c r="BT50" s="544"/>
      <c r="BU50" s="544"/>
      <c r="BV50" s="544"/>
      <c r="BW50" s="544"/>
      <c r="BX50" s="544"/>
      <c r="BY50" s="544"/>
      <c r="BZ50" s="544"/>
      <c r="CA50" s="544"/>
      <c r="CB50" s="544"/>
      <c r="CC50" s="544"/>
      <c r="CD50" s="544"/>
      <c r="CE50" s="544"/>
      <c r="CF50" s="544"/>
      <c r="CG50" s="544"/>
      <c r="CH50" s="544"/>
      <c r="CI50" s="544"/>
      <c r="CJ50" s="544"/>
      <c r="CK50" s="544"/>
      <c r="CL50" s="544"/>
      <c r="CM50" s="544"/>
      <c r="CN50" s="544"/>
      <c r="CO50" s="544"/>
      <c r="CP50" s="544"/>
      <c r="CQ50" s="544"/>
      <c r="CR50" s="1"/>
    </row>
    <row r="51" spans="1:96">
      <c r="A51" s="91" t="s">
        <v>1836</v>
      </c>
      <c r="B51" s="91" t="s">
        <v>3712</v>
      </c>
      <c r="C51" s="91" t="s">
        <v>467</v>
      </c>
      <c r="D51" s="91" t="s">
        <v>139</v>
      </c>
      <c r="E51" s="91" t="s">
        <v>2207</v>
      </c>
      <c r="F51" s="91">
        <v>95757</v>
      </c>
      <c r="G51" s="92">
        <v>0.04</v>
      </c>
      <c r="H51" s="89" t="s">
        <v>3713</v>
      </c>
      <c r="I51" s="544"/>
      <c r="J51" s="544"/>
      <c r="K51" s="544"/>
      <c r="L51" s="544"/>
      <c r="M51" s="544"/>
      <c r="N51" s="544"/>
      <c r="O51" s="544"/>
      <c r="P51" s="544"/>
      <c r="Q51" s="544"/>
      <c r="R51" s="544"/>
      <c r="S51" s="544"/>
      <c r="T51" s="544"/>
      <c r="U51" s="544"/>
      <c r="V51" s="544"/>
      <c r="W51" s="544"/>
      <c r="X51" s="544"/>
      <c r="Y51" s="544"/>
      <c r="Z51" s="544"/>
      <c r="AA51" s="544"/>
      <c r="AB51" s="544"/>
      <c r="AC51" s="544"/>
      <c r="AD51" s="544"/>
      <c r="AE51" s="544"/>
      <c r="AF51" s="544"/>
      <c r="AG51" s="544"/>
      <c r="AH51" s="544"/>
      <c r="AI51" s="544"/>
      <c r="AJ51" s="544"/>
      <c r="AK51" s="544"/>
      <c r="AL51" s="544"/>
      <c r="AM51" s="544"/>
      <c r="AN51" s="544"/>
      <c r="AO51" s="544"/>
      <c r="AP51" s="544"/>
      <c r="AQ51" s="544"/>
      <c r="AR51" s="544"/>
      <c r="AS51" s="544"/>
      <c r="AT51" s="544"/>
      <c r="AU51" s="544"/>
      <c r="AV51" s="544"/>
      <c r="AW51" s="544"/>
      <c r="AX51" s="544"/>
      <c r="AY51" s="544"/>
      <c r="AZ51" s="544"/>
      <c r="BA51" s="544"/>
      <c r="BB51" s="544"/>
      <c r="BC51" s="544"/>
      <c r="BD51" s="544"/>
      <c r="BE51" s="544"/>
      <c r="BF51" s="544"/>
      <c r="BG51" s="544"/>
      <c r="BH51" s="544"/>
      <c r="BI51" s="544"/>
      <c r="BJ51" s="544"/>
      <c r="BK51" s="544"/>
      <c r="BL51" s="544"/>
      <c r="BM51" s="544"/>
      <c r="BN51" s="544"/>
      <c r="BO51" s="544"/>
      <c r="BP51" s="544"/>
      <c r="BQ51" s="544"/>
      <c r="BR51" s="544"/>
      <c r="BS51" s="544"/>
      <c r="BT51" s="544"/>
      <c r="BU51" s="544"/>
      <c r="BV51" s="544"/>
      <c r="BW51" s="544"/>
      <c r="BX51" s="544"/>
      <c r="BY51" s="544"/>
      <c r="BZ51" s="544"/>
      <c r="CA51" s="544"/>
      <c r="CB51" s="544"/>
      <c r="CC51" s="544"/>
      <c r="CD51" s="544"/>
      <c r="CE51" s="544"/>
      <c r="CF51" s="544"/>
      <c r="CG51" s="544"/>
      <c r="CH51" s="544"/>
      <c r="CI51" s="544"/>
      <c r="CJ51" s="544"/>
      <c r="CK51" s="544"/>
      <c r="CL51" s="544"/>
      <c r="CM51" s="544"/>
      <c r="CN51" s="544"/>
      <c r="CO51" s="544"/>
      <c r="CP51" s="544"/>
      <c r="CQ51" s="544"/>
      <c r="CR51" s="1"/>
    </row>
    <row r="52" spans="1:96">
      <c r="A52" s="91" t="s">
        <v>455</v>
      </c>
      <c r="B52" s="91" t="s">
        <v>3714</v>
      </c>
      <c r="C52" s="91" t="s">
        <v>3715</v>
      </c>
      <c r="D52" s="91" t="s">
        <v>117</v>
      </c>
      <c r="E52" s="91" t="s">
        <v>2207</v>
      </c>
      <c r="F52" s="91">
        <v>75024</v>
      </c>
      <c r="G52" s="92">
        <v>2.5000000000000001E-2</v>
      </c>
      <c r="H52" s="544" t="s">
        <v>3716</v>
      </c>
      <c r="I52" s="544"/>
      <c r="J52" s="544"/>
      <c r="K52" s="544"/>
      <c r="L52" s="544"/>
      <c r="M52" s="544"/>
      <c r="N52" s="544"/>
      <c r="O52" s="544"/>
      <c r="P52" s="544"/>
      <c r="Q52" s="544"/>
      <c r="R52" s="544"/>
      <c r="S52" s="544"/>
      <c r="T52" s="544"/>
      <c r="U52" s="544"/>
      <c r="V52" s="544"/>
      <c r="W52" s="544"/>
      <c r="X52" s="544"/>
      <c r="Y52" s="544"/>
      <c r="Z52" s="544"/>
      <c r="AA52" s="544"/>
      <c r="AB52" s="544"/>
      <c r="AC52" s="544"/>
      <c r="AD52" s="544"/>
      <c r="AE52" s="544"/>
      <c r="AF52" s="544"/>
      <c r="AG52" s="544"/>
      <c r="AH52" s="544"/>
      <c r="AI52" s="544"/>
      <c r="AJ52" s="544"/>
      <c r="AK52" s="544"/>
      <c r="AL52" s="544"/>
      <c r="AM52" s="544"/>
      <c r="AN52" s="544"/>
      <c r="AO52" s="544"/>
      <c r="AP52" s="544"/>
      <c r="AQ52" s="544"/>
      <c r="AR52" s="544"/>
      <c r="AS52" s="544"/>
      <c r="AT52" s="544"/>
      <c r="AU52" s="544"/>
      <c r="AV52" s="544"/>
      <c r="AW52" s="544"/>
      <c r="AX52" s="544"/>
      <c r="AY52" s="544"/>
      <c r="AZ52" s="544"/>
      <c r="BA52" s="544"/>
      <c r="BB52" s="544"/>
      <c r="BC52" s="544"/>
      <c r="BD52" s="544"/>
      <c r="BE52" s="544"/>
      <c r="BF52" s="544"/>
      <c r="BG52" s="544"/>
      <c r="BH52" s="544"/>
      <c r="BI52" s="544"/>
      <c r="BJ52" s="544"/>
      <c r="BK52" s="544"/>
      <c r="BL52" s="544"/>
      <c r="BM52" s="544"/>
      <c r="BN52" s="544"/>
      <c r="BO52" s="544"/>
      <c r="BP52" s="544"/>
      <c r="BQ52" s="544"/>
      <c r="BR52" s="544"/>
      <c r="BS52" s="544"/>
      <c r="BT52" s="544"/>
      <c r="BU52" s="544"/>
      <c r="BV52" s="544"/>
      <c r="BW52" s="544"/>
      <c r="BX52" s="544"/>
      <c r="BY52" s="544"/>
      <c r="BZ52" s="544"/>
      <c r="CA52" s="544"/>
      <c r="CB52" s="544"/>
      <c r="CC52" s="544"/>
      <c r="CD52" s="544"/>
      <c r="CE52" s="544"/>
      <c r="CF52" s="544"/>
      <c r="CG52" s="544"/>
      <c r="CH52" s="544"/>
      <c r="CI52" s="544"/>
      <c r="CJ52" s="544"/>
      <c r="CK52" s="544"/>
      <c r="CL52" s="544"/>
      <c r="CM52" s="544"/>
      <c r="CN52" s="544"/>
      <c r="CO52" s="544"/>
      <c r="CP52" s="544"/>
      <c r="CQ52" s="544"/>
      <c r="CR52" s="1"/>
    </row>
    <row r="53" spans="1:96">
      <c r="A53" s="91" t="s">
        <v>278</v>
      </c>
      <c r="B53" s="91" t="s">
        <v>3717</v>
      </c>
      <c r="C53" s="91" t="s">
        <v>3718</v>
      </c>
      <c r="D53" s="91" t="s">
        <v>3719</v>
      </c>
      <c r="E53" s="91" t="s">
        <v>2207</v>
      </c>
      <c r="F53" s="91">
        <v>72190</v>
      </c>
      <c r="G53" s="92">
        <v>0.05</v>
      </c>
      <c r="H53" s="544" t="s">
        <v>3720</v>
      </c>
      <c r="I53" s="544"/>
      <c r="J53" s="544"/>
      <c r="K53" s="544"/>
      <c r="L53" s="544"/>
      <c r="M53" s="544"/>
      <c r="N53" s="544"/>
      <c r="O53" s="544"/>
      <c r="P53" s="544"/>
      <c r="Q53" s="544"/>
      <c r="R53" s="544"/>
      <c r="S53" s="544"/>
      <c r="T53" s="544"/>
      <c r="U53" s="544"/>
      <c r="V53" s="544"/>
      <c r="W53" s="544"/>
      <c r="X53" s="544"/>
      <c r="Y53" s="544"/>
      <c r="Z53" s="544"/>
      <c r="AA53" s="544"/>
      <c r="AB53" s="544"/>
      <c r="AC53" s="544"/>
      <c r="AD53" s="544"/>
      <c r="AE53" s="544"/>
      <c r="AF53" s="544"/>
      <c r="AG53" s="544"/>
      <c r="AH53" s="544"/>
      <c r="AI53" s="544"/>
      <c r="AJ53" s="544"/>
      <c r="AK53" s="544"/>
      <c r="AL53" s="544"/>
      <c r="AM53" s="544"/>
      <c r="AN53" s="544"/>
      <c r="AO53" s="544"/>
      <c r="AP53" s="544"/>
      <c r="AQ53" s="544"/>
      <c r="AR53" s="544"/>
      <c r="AS53" s="544"/>
      <c r="AT53" s="544"/>
      <c r="AU53" s="544"/>
      <c r="AV53" s="544"/>
      <c r="AW53" s="544"/>
      <c r="AX53" s="544"/>
      <c r="AY53" s="544"/>
      <c r="AZ53" s="544"/>
      <c r="BA53" s="544"/>
      <c r="BB53" s="544"/>
      <c r="BC53" s="544"/>
      <c r="BD53" s="544"/>
      <c r="BE53" s="544"/>
      <c r="BF53" s="544"/>
      <c r="BG53" s="544"/>
      <c r="BH53" s="544"/>
      <c r="BI53" s="544"/>
      <c r="BJ53" s="544"/>
      <c r="BK53" s="544"/>
      <c r="BL53" s="544"/>
      <c r="BM53" s="544"/>
      <c r="BN53" s="544"/>
      <c r="BO53" s="544"/>
      <c r="BP53" s="544"/>
      <c r="BQ53" s="544"/>
      <c r="BR53" s="544"/>
      <c r="BS53" s="544"/>
      <c r="BT53" s="544"/>
      <c r="BU53" s="544"/>
      <c r="BV53" s="544"/>
      <c r="BW53" s="544"/>
      <c r="BX53" s="544"/>
      <c r="BY53" s="544"/>
      <c r="BZ53" s="544"/>
      <c r="CA53" s="544"/>
      <c r="CB53" s="544"/>
      <c r="CC53" s="544"/>
      <c r="CD53" s="544"/>
      <c r="CE53" s="544"/>
      <c r="CF53" s="544"/>
      <c r="CG53" s="544"/>
      <c r="CH53" s="544"/>
      <c r="CI53" s="544"/>
      <c r="CJ53" s="544"/>
      <c r="CK53" s="544"/>
      <c r="CL53" s="544"/>
      <c r="CM53" s="544"/>
      <c r="CN53" s="544"/>
      <c r="CO53" s="544"/>
      <c r="CP53" s="544"/>
      <c r="CQ53" s="544"/>
      <c r="CR53" s="1"/>
    </row>
    <row r="54" spans="1:96">
      <c r="A54" s="91" t="s">
        <v>2686</v>
      </c>
      <c r="B54" s="91" t="s">
        <v>3721</v>
      </c>
      <c r="C54" s="91" t="s">
        <v>3696</v>
      </c>
      <c r="D54" s="91" t="s">
        <v>3722</v>
      </c>
      <c r="E54" s="91" t="s">
        <v>2207</v>
      </c>
      <c r="F54" s="91">
        <v>32256</v>
      </c>
      <c r="G54" s="566">
        <v>0.04</v>
      </c>
      <c r="H54" s="544" t="s">
        <v>3723</v>
      </c>
      <c r="I54" s="544"/>
      <c r="J54" s="544"/>
      <c r="K54" s="544"/>
      <c r="L54" s="544"/>
      <c r="M54" s="544"/>
      <c r="N54" s="544"/>
      <c r="O54" s="544"/>
      <c r="P54" s="544"/>
      <c r="Q54" s="544"/>
      <c r="R54" s="544"/>
      <c r="S54" s="544"/>
      <c r="T54" s="544"/>
      <c r="U54" s="544"/>
      <c r="V54" s="544"/>
      <c r="W54" s="544"/>
      <c r="X54" s="544"/>
      <c r="Y54" s="544"/>
      <c r="Z54" s="544"/>
      <c r="AA54" s="544"/>
      <c r="AB54" s="544"/>
      <c r="AC54" s="544"/>
      <c r="AD54" s="544"/>
      <c r="AE54" s="544"/>
      <c r="AF54" s="544"/>
      <c r="AG54" s="544"/>
      <c r="AH54" s="544"/>
      <c r="AI54" s="544"/>
      <c r="AJ54" s="544"/>
      <c r="AK54" s="544"/>
      <c r="AL54" s="544"/>
      <c r="AM54" s="544"/>
      <c r="AN54" s="544"/>
      <c r="AO54" s="544"/>
      <c r="AP54" s="544"/>
      <c r="AQ54" s="544"/>
      <c r="AR54" s="544"/>
      <c r="AS54" s="544"/>
      <c r="AT54" s="544"/>
      <c r="AU54" s="544"/>
      <c r="AV54" s="544"/>
      <c r="AW54" s="544"/>
      <c r="AX54" s="544"/>
      <c r="AY54" s="544"/>
      <c r="AZ54" s="544"/>
      <c r="BA54" s="544"/>
      <c r="BB54" s="544"/>
      <c r="BC54" s="544"/>
      <c r="BD54" s="544"/>
      <c r="BE54" s="544"/>
      <c r="BF54" s="544"/>
      <c r="BG54" s="544"/>
      <c r="BH54" s="544"/>
      <c r="BI54" s="544"/>
      <c r="BJ54" s="544"/>
      <c r="BK54" s="544"/>
      <c r="BL54" s="544"/>
      <c r="BM54" s="544"/>
      <c r="BN54" s="544"/>
      <c r="BO54" s="544"/>
      <c r="BP54" s="544"/>
      <c r="BQ54" s="544"/>
      <c r="BR54" s="544"/>
      <c r="BS54" s="544"/>
      <c r="BT54" s="544"/>
      <c r="BU54" s="544"/>
      <c r="BV54" s="544"/>
      <c r="BW54" s="544"/>
      <c r="BX54" s="544"/>
      <c r="BY54" s="544"/>
      <c r="BZ54" s="544"/>
      <c r="CA54" s="544"/>
      <c r="CB54" s="544"/>
      <c r="CC54" s="544"/>
      <c r="CD54" s="544"/>
      <c r="CE54" s="544"/>
      <c r="CF54" s="544"/>
      <c r="CG54" s="544"/>
      <c r="CH54" s="544"/>
      <c r="CI54" s="544"/>
      <c r="CJ54" s="544"/>
      <c r="CK54" s="544"/>
      <c r="CL54" s="544"/>
      <c r="CM54" s="544"/>
      <c r="CN54" s="544"/>
      <c r="CO54" s="544"/>
      <c r="CP54" s="544"/>
      <c r="CQ54" s="544"/>
      <c r="CR54" s="1"/>
    </row>
    <row r="55" spans="1:96">
      <c r="A55" s="91" t="s">
        <v>3043</v>
      </c>
      <c r="B55" s="91" t="s">
        <v>3724</v>
      </c>
      <c r="C55" s="91" t="s">
        <v>214</v>
      </c>
      <c r="D55" s="91" t="s">
        <v>2206</v>
      </c>
      <c r="E55" s="91" t="s">
        <v>2207</v>
      </c>
      <c r="F55" s="91">
        <v>93705</v>
      </c>
      <c r="G55" s="566">
        <v>0</v>
      </c>
      <c r="H55" s="544" t="s">
        <v>3725</v>
      </c>
      <c r="I55" s="544"/>
      <c r="J55" s="544"/>
      <c r="K55" s="544"/>
      <c r="L55" s="544"/>
      <c r="M55" s="544"/>
      <c r="N55" s="544"/>
      <c r="O55" s="544"/>
      <c r="P55" s="544"/>
      <c r="Q55" s="544"/>
      <c r="R55" s="544"/>
      <c r="S55" s="544"/>
      <c r="T55" s="544"/>
      <c r="U55" s="544"/>
      <c r="V55" s="544"/>
      <c r="W55" s="544"/>
      <c r="X55" s="544"/>
      <c r="Y55" s="544"/>
      <c r="Z55" s="544"/>
      <c r="AA55" s="544"/>
      <c r="AB55" s="544"/>
      <c r="AC55" s="544"/>
      <c r="AD55" s="544"/>
      <c r="AE55" s="544"/>
      <c r="AF55" s="544"/>
      <c r="AG55" s="544"/>
      <c r="AH55" s="544"/>
      <c r="AI55" s="544"/>
      <c r="AJ55" s="544"/>
      <c r="AK55" s="544"/>
      <c r="AL55" s="544"/>
      <c r="AM55" s="544"/>
      <c r="AN55" s="544"/>
      <c r="AO55" s="544"/>
      <c r="AP55" s="544"/>
      <c r="AQ55" s="544"/>
      <c r="AR55" s="544"/>
      <c r="AS55" s="544"/>
      <c r="AT55" s="544"/>
      <c r="AU55" s="544"/>
      <c r="AV55" s="544"/>
      <c r="AW55" s="544"/>
      <c r="AX55" s="544"/>
      <c r="AY55" s="544"/>
      <c r="AZ55" s="544"/>
      <c r="BA55" s="544"/>
      <c r="BB55" s="544"/>
      <c r="BC55" s="544"/>
      <c r="BD55" s="544"/>
      <c r="BE55" s="544"/>
      <c r="BF55" s="544"/>
      <c r="BG55" s="544"/>
      <c r="BH55" s="544"/>
      <c r="BI55" s="544"/>
      <c r="BJ55" s="544"/>
      <c r="BK55" s="544"/>
      <c r="BL55" s="544"/>
      <c r="BM55" s="544"/>
      <c r="BN55" s="544"/>
      <c r="BO55" s="544"/>
      <c r="BP55" s="544"/>
      <c r="BQ55" s="544"/>
      <c r="BR55" s="544"/>
      <c r="BS55" s="544"/>
      <c r="BT55" s="544"/>
      <c r="BU55" s="544"/>
      <c r="BV55" s="544"/>
      <c r="BW55" s="544"/>
      <c r="BX55" s="544"/>
      <c r="BY55" s="544"/>
      <c r="BZ55" s="544"/>
      <c r="CA55" s="544"/>
      <c r="CB55" s="544"/>
      <c r="CC55" s="544"/>
      <c r="CD55" s="544"/>
      <c r="CE55" s="544"/>
      <c r="CF55" s="544"/>
      <c r="CG55" s="544"/>
      <c r="CH55" s="544"/>
      <c r="CI55" s="544"/>
      <c r="CJ55" s="544"/>
      <c r="CK55" s="544"/>
      <c r="CL55" s="544"/>
      <c r="CM55" s="544"/>
      <c r="CN55" s="544"/>
      <c r="CO55" s="544"/>
      <c r="CP55" s="544"/>
      <c r="CQ55" s="544"/>
      <c r="CR55" s="1"/>
    </row>
    <row r="56" spans="1:96">
      <c r="A56" s="91" t="s">
        <v>3170</v>
      </c>
      <c r="B56" s="91" t="s">
        <v>3726</v>
      </c>
      <c r="C56" s="91" t="s">
        <v>3727</v>
      </c>
      <c r="D56" s="91" t="s">
        <v>3728</v>
      </c>
      <c r="E56" s="91" t="s">
        <v>2207</v>
      </c>
      <c r="F56" s="91">
        <v>38120</v>
      </c>
      <c r="G56" s="566">
        <v>0</v>
      </c>
      <c r="H56" s="544" t="s">
        <v>3729</v>
      </c>
      <c r="I56" s="544"/>
      <c r="J56" s="544"/>
      <c r="K56" s="544"/>
      <c r="L56" s="544"/>
      <c r="M56" s="544"/>
      <c r="N56" s="544"/>
      <c r="O56" s="544"/>
      <c r="P56" s="544"/>
      <c r="Q56" s="544"/>
      <c r="R56" s="544"/>
      <c r="S56" s="544"/>
      <c r="T56" s="544"/>
      <c r="U56" s="544"/>
      <c r="V56" s="544"/>
      <c r="W56" s="544"/>
      <c r="X56" s="544"/>
      <c r="Y56" s="544"/>
      <c r="Z56" s="544"/>
      <c r="AA56" s="544"/>
      <c r="AB56" s="544"/>
      <c r="AC56" s="544"/>
      <c r="AD56" s="544"/>
      <c r="AE56" s="544"/>
      <c r="AF56" s="544"/>
      <c r="AG56" s="544"/>
      <c r="AH56" s="544"/>
      <c r="AI56" s="544"/>
      <c r="AJ56" s="544"/>
      <c r="AK56" s="544"/>
      <c r="AL56" s="544"/>
      <c r="AM56" s="544"/>
      <c r="AN56" s="544"/>
      <c r="AO56" s="544"/>
      <c r="AP56" s="544"/>
      <c r="AQ56" s="544"/>
      <c r="AR56" s="544"/>
      <c r="AS56" s="544"/>
      <c r="AT56" s="544"/>
      <c r="AU56" s="544"/>
      <c r="AV56" s="544"/>
      <c r="AW56" s="544"/>
      <c r="AX56" s="544"/>
      <c r="AY56" s="544"/>
      <c r="AZ56" s="544"/>
      <c r="BA56" s="544"/>
      <c r="BB56" s="544"/>
      <c r="BC56" s="544"/>
      <c r="BD56" s="544"/>
      <c r="BE56" s="544"/>
      <c r="BF56" s="544"/>
      <c r="BG56" s="544"/>
      <c r="BH56" s="544"/>
      <c r="BI56" s="544"/>
      <c r="BJ56" s="544"/>
      <c r="BK56" s="544"/>
      <c r="BL56" s="544"/>
      <c r="BM56" s="544"/>
      <c r="BN56" s="544"/>
      <c r="BO56" s="544"/>
      <c r="BP56" s="544"/>
      <c r="BQ56" s="544"/>
      <c r="BR56" s="544"/>
      <c r="BS56" s="544"/>
      <c r="BT56" s="544"/>
      <c r="BU56" s="544"/>
      <c r="BV56" s="544"/>
      <c r="BW56" s="544"/>
      <c r="BX56" s="544"/>
      <c r="BY56" s="544"/>
      <c r="BZ56" s="544"/>
      <c r="CA56" s="544"/>
      <c r="CB56" s="544"/>
      <c r="CC56" s="544"/>
      <c r="CD56" s="544"/>
      <c r="CE56" s="544"/>
      <c r="CF56" s="544"/>
      <c r="CG56" s="544"/>
      <c r="CH56" s="544"/>
      <c r="CI56" s="544"/>
      <c r="CJ56" s="544"/>
      <c r="CK56" s="544"/>
      <c r="CL56" s="544"/>
      <c r="CM56" s="544"/>
      <c r="CN56" s="544"/>
      <c r="CO56" s="544"/>
      <c r="CP56" s="544"/>
      <c r="CQ56" s="544"/>
      <c r="CR56" s="1"/>
    </row>
    <row r="57" spans="1:96">
      <c r="A57" s="91" t="s">
        <v>3378</v>
      </c>
      <c r="B57" s="91" t="s">
        <v>3730</v>
      </c>
      <c r="C57" s="91" t="s">
        <v>3731</v>
      </c>
      <c r="D57" s="91" t="s">
        <v>3570</v>
      </c>
      <c r="E57" s="91" t="s">
        <v>2207</v>
      </c>
      <c r="F57" s="91">
        <v>60490</v>
      </c>
      <c r="G57" s="566">
        <v>0</v>
      </c>
      <c r="H57" s="544" t="s">
        <v>3732</v>
      </c>
      <c r="I57" s="544"/>
      <c r="J57" s="544"/>
      <c r="K57" s="544"/>
      <c r="L57" s="544"/>
      <c r="M57" s="544"/>
      <c r="N57" s="544"/>
      <c r="O57" s="544"/>
      <c r="P57" s="544"/>
      <c r="Q57" s="544"/>
      <c r="R57" s="544"/>
      <c r="S57" s="544"/>
      <c r="T57" s="544"/>
      <c r="U57" s="544"/>
      <c r="V57" s="544"/>
      <c r="W57" s="544"/>
      <c r="X57" s="544"/>
      <c r="Y57" s="544"/>
      <c r="Z57" s="544"/>
      <c r="AA57" s="544"/>
      <c r="AB57" s="544"/>
      <c r="AC57" s="544"/>
      <c r="AD57" s="544"/>
      <c r="AE57" s="544"/>
      <c r="AF57" s="544"/>
      <c r="AG57" s="544"/>
      <c r="AH57" s="544"/>
      <c r="AI57" s="544"/>
      <c r="AJ57" s="544"/>
      <c r="AK57" s="544"/>
      <c r="AL57" s="544"/>
      <c r="AM57" s="544"/>
      <c r="AN57" s="544"/>
      <c r="AO57" s="544"/>
      <c r="AP57" s="544"/>
      <c r="AQ57" s="544"/>
      <c r="AR57" s="544"/>
      <c r="AS57" s="544"/>
      <c r="AT57" s="544"/>
      <c r="AU57" s="544"/>
      <c r="AV57" s="544"/>
      <c r="AW57" s="544"/>
      <c r="AX57" s="544"/>
      <c r="AY57" s="544"/>
      <c r="AZ57" s="544"/>
      <c r="BA57" s="544"/>
      <c r="BB57" s="544"/>
      <c r="BC57" s="544"/>
      <c r="BD57" s="544"/>
      <c r="BE57" s="544"/>
      <c r="BF57" s="544"/>
      <c r="BG57" s="544"/>
      <c r="BH57" s="544"/>
      <c r="BI57" s="544"/>
      <c r="BJ57" s="544"/>
      <c r="BK57" s="544"/>
      <c r="BL57" s="544"/>
      <c r="BM57" s="544"/>
      <c r="BN57" s="544"/>
      <c r="BO57" s="544"/>
      <c r="BP57" s="544"/>
      <c r="BQ57" s="544"/>
      <c r="BR57" s="544"/>
      <c r="BS57" s="544"/>
      <c r="BT57" s="544"/>
      <c r="BU57" s="544"/>
      <c r="BV57" s="544"/>
      <c r="BW57" s="544"/>
      <c r="BX57" s="544"/>
      <c r="BY57" s="544"/>
      <c r="BZ57" s="544"/>
      <c r="CA57" s="544"/>
      <c r="CB57" s="544"/>
      <c r="CC57" s="544"/>
      <c r="CD57" s="544"/>
      <c r="CE57" s="544"/>
      <c r="CF57" s="544"/>
      <c r="CG57" s="544"/>
      <c r="CH57" s="544"/>
      <c r="CI57" s="544"/>
      <c r="CJ57" s="544"/>
      <c r="CK57" s="544"/>
      <c r="CL57" s="544"/>
      <c r="CM57" s="544"/>
      <c r="CN57" s="544"/>
      <c r="CO57" s="544"/>
      <c r="CP57" s="544"/>
      <c r="CQ57" s="544"/>
      <c r="CR57" s="1"/>
    </row>
    <row r="58" spans="1:96">
      <c r="A58" s="91" t="s">
        <v>3733</v>
      </c>
      <c r="B58" s="91" t="s">
        <v>2645</v>
      </c>
      <c r="C58" s="91" t="s">
        <v>2646</v>
      </c>
      <c r="D58" s="91" t="s">
        <v>2647</v>
      </c>
      <c r="E58" s="91" t="s">
        <v>2207</v>
      </c>
      <c r="F58" s="91">
        <v>76177</v>
      </c>
      <c r="G58" s="566">
        <v>0</v>
      </c>
      <c r="H58" s="544" t="s">
        <v>3734</v>
      </c>
      <c r="I58" s="544"/>
      <c r="J58" s="544"/>
      <c r="K58" s="544"/>
      <c r="L58" s="544"/>
      <c r="M58" s="544"/>
      <c r="N58" s="544"/>
      <c r="O58" s="544"/>
      <c r="P58" s="544"/>
      <c r="Q58" s="544"/>
      <c r="R58" s="544"/>
      <c r="S58" s="544"/>
      <c r="T58" s="544"/>
      <c r="U58" s="544"/>
      <c r="V58" s="544"/>
      <c r="W58" s="544"/>
      <c r="X58" s="544"/>
      <c r="Y58" s="544"/>
      <c r="Z58" s="544"/>
      <c r="AA58" s="544"/>
      <c r="AB58" s="544"/>
      <c r="AC58" s="544"/>
      <c r="AD58" s="544"/>
      <c r="AE58" s="544"/>
      <c r="AF58" s="544"/>
      <c r="AG58" s="544"/>
      <c r="AH58" s="544"/>
      <c r="AI58" s="544"/>
      <c r="AJ58" s="544"/>
      <c r="AK58" s="544"/>
      <c r="AL58" s="544"/>
      <c r="AM58" s="544"/>
      <c r="AN58" s="544"/>
      <c r="AO58" s="544"/>
      <c r="AP58" s="544"/>
      <c r="AQ58" s="544"/>
      <c r="AR58" s="544"/>
      <c r="AS58" s="544"/>
      <c r="AT58" s="544"/>
      <c r="AU58" s="544"/>
      <c r="AV58" s="544"/>
      <c r="AW58" s="544"/>
      <c r="AX58" s="544"/>
      <c r="AY58" s="544"/>
      <c r="AZ58" s="544"/>
      <c r="BA58" s="544"/>
      <c r="BB58" s="544"/>
      <c r="BC58" s="544"/>
      <c r="BD58" s="544"/>
      <c r="BE58" s="544"/>
      <c r="BF58" s="544"/>
      <c r="BG58" s="544"/>
      <c r="BH58" s="544"/>
      <c r="BI58" s="544"/>
      <c r="BJ58" s="544"/>
      <c r="BK58" s="544"/>
      <c r="BL58" s="544"/>
      <c r="BM58" s="544"/>
      <c r="BN58" s="544"/>
      <c r="BO58" s="544"/>
      <c r="BP58" s="544"/>
      <c r="BQ58" s="544"/>
      <c r="BR58" s="544"/>
      <c r="BS58" s="544"/>
      <c r="BT58" s="544"/>
      <c r="BU58" s="544"/>
      <c r="BV58" s="544"/>
      <c r="BW58" s="544"/>
      <c r="BX58" s="544"/>
      <c r="BY58" s="544"/>
      <c r="BZ58" s="544"/>
      <c r="CA58" s="544"/>
      <c r="CB58" s="544"/>
      <c r="CC58" s="544"/>
      <c r="CD58" s="544"/>
      <c r="CE58" s="544"/>
      <c r="CF58" s="544"/>
      <c r="CG58" s="544"/>
      <c r="CH58" s="544"/>
      <c r="CI58" s="544"/>
      <c r="CJ58" s="544"/>
      <c r="CK58" s="544"/>
      <c r="CL58" s="544"/>
      <c r="CM58" s="544"/>
      <c r="CN58" s="544"/>
      <c r="CO58" s="544"/>
      <c r="CP58" s="544"/>
      <c r="CQ58" s="544"/>
      <c r="CR58" s="1"/>
    </row>
    <row r="59" spans="1:96">
      <c r="A59" s="563" t="s">
        <v>2825</v>
      </c>
      <c r="B59" s="91" t="s">
        <v>3735</v>
      </c>
      <c r="C59" s="91" t="s">
        <v>3736</v>
      </c>
      <c r="D59" s="91" t="s">
        <v>3656</v>
      </c>
      <c r="E59" s="91" t="s">
        <v>2207</v>
      </c>
      <c r="F59" s="91" t="s">
        <v>3737</v>
      </c>
      <c r="G59" s="566">
        <v>0.02</v>
      </c>
      <c r="H59" s="544" t="s">
        <v>3738</v>
      </c>
      <c r="I59" s="544"/>
      <c r="J59" s="544"/>
      <c r="K59" s="544"/>
      <c r="L59" s="544"/>
      <c r="M59" s="544"/>
      <c r="N59" s="544"/>
      <c r="O59" s="544"/>
      <c r="P59" s="544"/>
      <c r="Q59" s="544"/>
      <c r="R59" s="544"/>
      <c r="S59" s="544"/>
      <c r="T59" s="544"/>
      <c r="U59" s="544"/>
      <c r="V59" s="544"/>
      <c r="W59" s="544"/>
      <c r="X59" s="544"/>
      <c r="Y59" s="544"/>
      <c r="Z59" s="544"/>
      <c r="AA59" s="544"/>
      <c r="AB59" s="544"/>
      <c r="AC59" s="544"/>
      <c r="AD59" s="544"/>
      <c r="AE59" s="544"/>
      <c r="AF59" s="544"/>
      <c r="AG59" s="544"/>
      <c r="AH59" s="544"/>
      <c r="AI59" s="544"/>
      <c r="AJ59" s="544"/>
      <c r="AK59" s="544"/>
      <c r="AL59" s="544"/>
      <c r="AM59" s="544"/>
      <c r="AN59" s="544"/>
      <c r="AO59" s="544"/>
      <c r="AP59" s="544"/>
      <c r="AQ59" s="544"/>
      <c r="AR59" s="544"/>
      <c r="AS59" s="544"/>
      <c r="AT59" s="544"/>
      <c r="AU59" s="544"/>
      <c r="AV59" s="544"/>
      <c r="AW59" s="544"/>
      <c r="AX59" s="544"/>
      <c r="AY59" s="544"/>
      <c r="AZ59" s="544"/>
      <c r="BA59" s="544"/>
      <c r="BB59" s="544"/>
      <c r="BC59" s="544"/>
      <c r="BD59" s="544"/>
      <c r="BE59" s="544"/>
      <c r="BF59" s="544"/>
      <c r="BG59" s="544"/>
      <c r="BH59" s="544"/>
      <c r="BI59" s="544"/>
      <c r="BJ59" s="544"/>
      <c r="BK59" s="544"/>
      <c r="BL59" s="544"/>
      <c r="BM59" s="544"/>
      <c r="BN59" s="544"/>
      <c r="BO59" s="544"/>
      <c r="BP59" s="544"/>
      <c r="BQ59" s="544"/>
      <c r="BR59" s="544"/>
      <c r="BS59" s="544"/>
      <c r="BT59" s="544"/>
      <c r="BU59" s="544"/>
      <c r="BV59" s="544"/>
      <c r="BW59" s="544"/>
      <c r="BX59" s="544"/>
      <c r="BY59" s="544"/>
      <c r="BZ59" s="544"/>
      <c r="CA59" s="544"/>
      <c r="CB59" s="544"/>
      <c r="CC59" s="544"/>
      <c r="CD59" s="544"/>
      <c r="CE59" s="544"/>
      <c r="CF59" s="544"/>
      <c r="CG59" s="544"/>
      <c r="CH59" s="544"/>
      <c r="CI59" s="544"/>
      <c r="CJ59" s="544"/>
      <c r="CK59" s="544"/>
      <c r="CL59" s="544"/>
      <c r="CM59" s="544"/>
      <c r="CN59" s="544"/>
      <c r="CO59" s="544"/>
      <c r="CP59" s="544"/>
      <c r="CQ59" s="544"/>
      <c r="CR59" s="1"/>
    </row>
    <row r="60" spans="1:96">
      <c r="A60" s="91" t="s">
        <v>936</v>
      </c>
      <c r="B60" s="91" t="s">
        <v>3739</v>
      </c>
      <c r="C60" s="91" t="s">
        <v>3740</v>
      </c>
      <c r="D60" s="91" t="s">
        <v>3624</v>
      </c>
      <c r="E60" s="91" t="s">
        <v>2207</v>
      </c>
      <c r="F60" s="91">
        <v>30162</v>
      </c>
      <c r="G60" s="92">
        <v>0.02</v>
      </c>
      <c r="H60" s="544" t="s">
        <v>3741</v>
      </c>
      <c r="I60" s="544"/>
      <c r="J60" s="544"/>
      <c r="K60" s="544"/>
      <c r="L60" s="544"/>
      <c r="M60" s="544"/>
      <c r="N60" s="544"/>
      <c r="O60" s="544"/>
      <c r="P60" s="544"/>
      <c r="Q60" s="544"/>
      <c r="R60" s="544"/>
      <c r="S60" s="544"/>
      <c r="T60" s="544"/>
      <c r="U60" s="544"/>
      <c r="V60" s="544"/>
      <c r="W60" s="544"/>
      <c r="X60" s="544"/>
      <c r="Y60" s="544"/>
      <c r="Z60" s="544"/>
      <c r="AA60" s="544"/>
      <c r="AB60" s="544"/>
      <c r="AC60" s="544"/>
      <c r="AD60" s="544"/>
      <c r="AE60" s="544"/>
      <c r="AF60" s="544"/>
      <c r="AG60" s="544"/>
      <c r="AH60" s="544"/>
      <c r="AI60" s="544"/>
      <c r="AJ60" s="544"/>
      <c r="AK60" s="544"/>
      <c r="AL60" s="544"/>
      <c r="AM60" s="544"/>
      <c r="AN60" s="544"/>
      <c r="AO60" s="544"/>
      <c r="AP60" s="544"/>
      <c r="AQ60" s="544"/>
      <c r="AR60" s="544"/>
      <c r="AS60" s="544"/>
      <c r="AT60" s="544"/>
      <c r="AU60" s="544"/>
      <c r="AV60" s="544"/>
      <c r="AW60" s="544"/>
      <c r="AX60" s="544"/>
      <c r="AY60" s="544"/>
      <c r="AZ60" s="544"/>
      <c r="BA60" s="544"/>
      <c r="BB60" s="544"/>
      <c r="BC60" s="544"/>
      <c r="BD60" s="544"/>
      <c r="BE60" s="544"/>
      <c r="BF60" s="544"/>
      <c r="BG60" s="544"/>
      <c r="BH60" s="544"/>
      <c r="BI60" s="544"/>
      <c r="BJ60" s="544"/>
      <c r="BK60" s="544"/>
      <c r="BL60" s="544"/>
      <c r="BM60" s="544"/>
      <c r="BN60" s="544"/>
      <c r="BO60" s="544"/>
      <c r="BP60" s="544"/>
      <c r="BQ60" s="544"/>
      <c r="BR60" s="544"/>
      <c r="BS60" s="544"/>
      <c r="BT60" s="544"/>
      <c r="BU60" s="544"/>
      <c r="BV60" s="544"/>
      <c r="BW60" s="544"/>
      <c r="BX60" s="544"/>
      <c r="BY60" s="544"/>
      <c r="BZ60" s="544"/>
      <c r="CA60" s="544"/>
      <c r="CB60" s="544"/>
      <c r="CC60" s="544"/>
      <c r="CD60" s="544"/>
      <c r="CE60" s="544"/>
      <c r="CF60" s="544"/>
      <c r="CG60" s="544"/>
      <c r="CH60" s="544"/>
      <c r="CI60" s="544"/>
      <c r="CJ60" s="544"/>
      <c r="CK60" s="544"/>
      <c r="CL60" s="544"/>
      <c r="CM60" s="544"/>
      <c r="CN60" s="544"/>
      <c r="CO60" s="544"/>
      <c r="CP60" s="544"/>
      <c r="CQ60" s="544"/>
      <c r="CR60" s="1"/>
    </row>
    <row r="61" spans="1:96">
      <c r="A61" s="91" t="s">
        <v>2104</v>
      </c>
      <c r="B61" s="91" t="s">
        <v>3742</v>
      </c>
      <c r="C61" s="91" t="s">
        <v>3743</v>
      </c>
      <c r="D61" s="91" t="s">
        <v>3619</v>
      </c>
      <c r="E61" s="91" t="s">
        <v>2207</v>
      </c>
      <c r="F61" s="91">
        <v>37129</v>
      </c>
      <c r="G61" s="92">
        <v>0.05</v>
      </c>
      <c r="H61" s="544" t="s">
        <v>3744</v>
      </c>
      <c r="I61" s="544"/>
      <c r="J61" s="544"/>
      <c r="K61" s="544"/>
      <c r="L61" s="544"/>
      <c r="M61" s="544"/>
      <c r="N61" s="544"/>
      <c r="O61" s="544"/>
      <c r="P61" s="544"/>
      <c r="Q61" s="544"/>
      <c r="R61" s="544"/>
      <c r="S61" s="544"/>
      <c r="T61" s="544"/>
      <c r="U61" s="544"/>
      <c r="V61" s="544"/>
      <c r="W61" s="544"/>
      <c r="X61" s="544"/>
      <c r="Y61" s="544"/>
      <c r="Z61" s="544"/>
      <c r="AA61" s="544"/>
      <c r="AB61" s="544"/>
      <c r="AC61" s="544"/>
      <c r="AD61" s="544"/>
      <c r="AE61" s="544"/>
      <c r="AF61" s="544"/>
      <c r="AG61" s="544"/>
      <c r="AH61" s="544"/>
      <c r="AI61" s="544"/>
      <c r="AJ61" s="544"/>
      <c r="AK61" s="544"/>
      <c r="AL61" s="544"/>
      <c r="AM61" s="544"/>
      <c r="AN61" s="544"/>
      <c r="AO61" s="544"/>
      <c r="AP61" s="544"/>
      <c r="AQ61" s="544"/>
      <c r="AR61" s="544"/>
      <c r="AS61" s="544"/>
      <c r="AT61" s="544"/>
      <c r="AU61" s="544"/>
      <c r="AV61" s="544"/>
      <c r="AW61" s="544"/>
      <c r="AX61" s="544"/>
      <c r="AY61" s="544"/>
      <c r="AZ61" s="544"/>
      <c r="BA61" s="544"/>
      <c r="BB61" s="544"/>
      <c r="BC61" s="544"/>
      <c r="BD61" s="544"/>
      <c r="BE61" s="544"/>
      <c r="BF61" s="544"/>
      <c r="BG61" s="544"/>
      <c r="BH61" s="544"/>
      <c r="BI61" s="544"/>
      <c r="BJ61" s="544"/>
      <c r="BK61" s="544"/>
      <c r="BL61" s="544"/>
      <c r="BM61" s="544"/>
      <c r="BN61" s="544"/>
      <c r="BO61" s="544"/>
      <c r="BP61" s="544"/>
      <c r="BQ61" s="544"/>
      <c r="BR61" s="544"/>
      <c r="BS61" s="544"/>
      <c r="BT61" s="544"/>
      <c r="BU61" s="544"/>
      <c r="BV61" s="544"/>
      <c r="BW61" s="544"/>
      <c r="BX61" s="544"/>
      <c r="BY61" s="544"/>
      <c r="BZ61" s="544"/>
      <c r="CA61" s="544"/>
      <c r="CB61" s="544"/>
      <c r="CC61" s="544"/>
      <c r="CD61" s="544"/>
      <c r="CE61" s="544"/>
      <c r="CF61" s="544"/>
      <c r="CG61" s="544"/>
      <c r="CH61" s="544"/>
      <c r="CI61" s="544"/>
      <c r="CJ61" s="544"/>
      <c r="CK61" s="544"/>
      <c r="CL61" s="544"/>
      <c r="CM61" s="544"/>
      <c r="CN61" s="544"/>
      <c r="CO61" s="544"/>
      <c r="CP61" s="544"/>
      <c r="CQ61" s="544"/>
      <c r="CR61" s="1"/>
    </row>
    <row r="62" spans="1:96">
      <c r="A62" s="91" t="s">
        <v>295</v>
      </c>
      <c r="B62" s="91" t="s">
        <v>3745</v>
      </c>
      <c r="C62" s="91" t="s">
        <v>3607</v>
      </c>
      <c r="D62" s="91" t="s">
        <v>3608</v>
      </c>
      <c r="E62" s="91" t="s">
        <v>2207</v>
      </c>
      <c r="F62" s="91">
        <v>60666</v>
      </c>
      <c r="G62" s="92">
        <v>0.03</v>
      </c>
      <c r="H62" s="544" t="s">
        <v>3746</v>
      </c>
      <c r="I62" s="544"/>
      <c r="J62" s="544"/>
      <c r="K62" s="544"/>
      <c r="L62" s="544"/>
      <c r="M62" s="544"/>
      <c r="N62" s="544"/>
      <c r="O62" s="544"/>
      <c r="P62" s="544"/>
      <c r="Q62" s="544"/>
      <c r="R62" s="544"/>
      <c r="S62" s="544"/>
      <c r="T62" s="544"/>
      <c r="U62" s="544"/>
      <c r="V62" s="544"/>
      <c r="W62" s="544"/>
      <c r="X62" s="544"/>
      <c r="Y62" s="544"/>
      <c r="Z62" s="544"/>
      <c r="AA62" s="544"/>
      <c r="AB62" s="544"/>
      <c r="AC62" s="544"/>
      <c r="AD62" s="544"/>
      <c r="AE62" s="544"/>
      <c r="AF62" s="544"/>
      <c r="AG62" s="544"/>
      <c r="AH62" s="544"/>
      <c r="AI62" s="544"/>
      <c r="AJ62" s="544"/>
      <c r="AK62" s="544"/>
      <c r="AL62" s="544"/>
      <c r="AM62" s="544"/>
      <c r="AN62" s="544"/>
      <c r="AO62" s="544"/>
      <c r="AP62" s="544"/>
      <c r="AQ62" s="544"/>
      <c r="AR62" s="544"/>
      <c r="AS62" s="544"/>
      <c r="AT62" s="544"/>
      <c r="AU62" s="544"/>
      <c r="AV62" s="544"/>
      <c r="AW62" s="544"/>
      <c r="AX62" s="544"/>
      <c r="AY62" s="544"/>
      <c r="AZ62" s="544"/>
      <c r="BA62" s="544"/>
      <c r="BB62" s="544"/>
      <c r="BC62" s="544"/>
      <c r="BD62" s="544"/>
      <c r="BE62" s="544"/>
      <c r="BF62" s="544"/>
      <c r="BG62" s="544"/>
      <c r="BH62" s="544"/>
      <c r="BI62" s="544"/>
      <c r="BJ62" s="544"/>
      <c r="BK62" s="544"/>
      <c r="BL62" s="544"/>
      <c r="BM62" s="544"/>
      <c r="BN62" s="544"/>
      <c r="BO62" s="544"/>
      <c r="BP62" s="544"/>
      <c r="BQ62" s="544"/>
      <c r="BR62" s="544"/>
      <c r="BS62" s="544"/>
      <c r="BT62" s="544"/>
      <c r="BU62" s="544"/>
      <c r="BV62" s="544"/>
      <c r="BW62" s="544"/>
      <c r="BX62" s="544"/>
      <c r="BY62" s="544"/>
      <c r="BZ62" s="544"/>
      <c r="CA62" s="544"/>
      <c r="CB62" s="544"/>
      <c r="CC62" s="544"/>
      <c r="CD62" s="544"/>
      <c r="CE62" s="544"/>
      <c r="CF62" s="544"/>
      <c r="CG62" s="544"/>
      <c r="CH62" s="544"/>
      <c r="CI62" s="544"/>
      <c r="CJ62" s="544"/>
      <c r="CK62" s="544"/>
      <c r="CL62" s="544"/>
      <c r="CM62" s="544"/>
      <c r="CN62" s="544"/>
      <c r="CO62" s="544"/>
      <c r="CP62" s="544"/>
      <c r="CQ62" s="544"/>
      <c r="CR62" s="1"/>
    </row>
    <row r="63" spans="1:96">
      <c r="A63" s="91" t="s">
        <v>2107</v>
      </c>
      <c r="B63" s="91" t="s">
        <v>3747</v>
      </c>
      <c r="C63" s="91" t="s">
        <v>3748</v>
      </c>
      <c r="D63" s="91" t="s">
        <v>3697</v>
      </c>
      <c r="E63" s="91" t="s">
        <v>2207</v>
      </c>
      <c r="F63" s="91">
        <v>33487</v>
      </c>
      <c r="G63" s="92">
        <v>2.5000000000000001E-2</v>
      </c>
      <c r="H63" s="544" t="s">
        <v>3749</v>
      </c>
      <c r="I63" s="544"/>
      <c r="J63" s="544"/>
      <c r="K63" s="544"/>
      <c r="L63" s="544"/>
      <c r="M63" s="544"/>
      <c r="N63" s="544"/>
      <c r="O63" s="544"/>
      <c r="P63" s="544"/>
      <c r="Q63" s="544"/>
      <c r="R63" s="544"/>
      <c r="S63" s="544"/>
      <c r="T63" s="544"/>
      <c r="U63" s="544"/>
      <c r="V63" s="544"/>
      <c r="W63" s="544"/>
      <c r="X63" s="544"/>
      <c r="Y63" s="544"/>
      <c r="Z63" s="544"/>
      <c r="AA63" s="544"/>
      <c r="AB63" s="544"/>
      <c r="AC63" s="544"/>
      <c r="AD63" s="544"/>
      <c r="AE63" s="544"/>
      <c r="AF63" s="544"/>
      <c r="AG63" s="544"/>
      <c r="AH63" s="544"/>
      <c r="AI63" s="544"/>
      <c r="AJ63" s="544"/>
      <c r="AK63" s="544"/>
      <c r="AL63" s="544"/>
      <c r="AM63" s="544"/>
      <c r="AN63" s="544"/>
      <c r="AO63" s="544"/>
      <c r="AP63" s="544"/>
      <c r="AQ63" s="544"/>
      <c r="AR63" s="544"/>
      <c r="AS63" s="544"/>
      <c r="AT63" s="544"/>
      <c r="AU63" s="544"/>
      <c r="AV63" s="544"/>
      <c r="AW63" s="544"/>
      <c r="AX63" s="544"/>
      <c r="AY63" s="544"/>
      <c r="AZ63" s="544"/>
      <c r="BA63" s="544"/>
      <c r="BB63" s="544"/>
      <c r="BC63" s="544"/>
      <c r="BD63" s="544"/>
      <c r="BE63" s="544"/>
      <c r="BF63" s="544"/>
      <c r="BG63" s="544"/>
      <c r="BH63" s="544"/>
      <c r="BI63" s="544"/>
      <c r="BJ63" s="544"/>
      <c r="BK63" s="544"/>
      <c r="BL63" s="544"/>
      <c r="BM63" s="544"/>
      <c r="BN63" s="544"/>
      <c r="BO63" s="544"/>
      <c r="BP63" s="544"/>
      <c r="BQ63" s="544"/>
      <c r="BR63" s="544"/>
      <c r="BS63" s="544"/>
      <c r="BT63" s="544"/>
      <c r="BU63" s="544"/>
      <c r="BV63" s="544"/>
      <c r="BW63" s="544"/>
      <c r="BX63" s="544"/>
      <c r="BY63" s="544"/>
      <c r="BZ63" s="544"/>
      <c r="CA63" s="544"/>
      <c r="CB63" s="544"/>
      <c r="CC63" s="544"/>
      <c r="CD63" s="544"/>
      <c r="CE63" s="544"/>
      <c r="CF63" s="544"/>
      <c r="CG63" s="544"/>
      <c r="CH63" s="544"/>
      <c r="CI63" s="544"/>
      <c r="CJ63" s="544"/>
      <c r="CK63" s="544"/>
      <c r="CL63" s="544"/>
      <c r="CM63" s="544"/>
      <c r="CN63" s="544"/>
      <c r="CO63" s="544"/>
      <c r="CP63" s="544"/>
      <c r="CQ63" s="544"/>
      <c r="CR63" s="1"/>
    </row>
    <row r="64" spans="1:96">
      <c r="A64" s="91" t="s">
        <v>2153</v>
      </c>
      <c r="B64" s="91" t="s">
        <v>3750</v>
      </c>
      <c r="C64" s="91" t="s">
        <v>3751</v>
      </c>
      <c r="D64" s="91" t="s">
        <v>117</v>
      </c>
      <c r="E64" s="91" t="s">
        <v>2207</v>
      </c>
      <c r="F64" s="91">
        <v>76063</v>
      </c>
      <c r="G64" s="92">
        <v>0.04</v>
      </c>
      <c r="H64" s="544" t="s">
        <v>3752</v>
      </c>
      <c r="I64" s="544"/>
      <c r="J64" s="544"/>
      <c r="K64" s="544"/>
      <c r="L64" s="544"/>
      <c r="M64" s="544"/>
      <c r="N64" s="544"/>
      <c r="O64" s="544"/>
      <c r="P64" s="544"/>
      <c r="Q64" s="544"/>
      <c r="R64" s="544"/>
      <c r="S64" s="544"/>
      <c r="T64" s="544"/>
      <c r="U64" s="544"/>
      <c r="V64" s="544"/>
      <c r="W64" s="544"/>
      <c r="X64" s="544"/>
      <c r="Y64" s="544"/>
      <c r="Z64" s="544"/>
      <c r="AA64" s="544"/>
      <c r="AB64" s="544"/>
      <c r="AC64" s="544"/>
      <c r="AD64" s="544"/>
      <c r="AE64" s="544"/>
      <c r="AF64" s="544"/>
      <c r="AG64" s="544"/>
      <c r="AH64" s="544"/>
      <c r="AI64" s="544"/>
      <c r="AJ64" s="544"/>
      <c r="AK64" s="544"/>
      <c r="AL64" s="544"/>
      <c r="AM64" s="544"/>
      <c r="AN64" s="544"/>
      <c r="AO64" s="544"/>
      <c r="AP64" s="544"/>
      <c r="AQ64" s="544"/>
      <c r="AR64" s="544"/>
      <c r="AS64" s="544"/>
      <c r="AT64" s="544"/>
      <c r="AU64" s="544"/>
      <c r="AV64" s="544"/>
      <c r="AW64" s="544"/>
      <c r="AX64" s="544"/>
      <c r="AY64" s="544"/>
      <c r="AZ64" s="544"/>
      <c r="BA64" s="544"/>
      <c r="BB64" s="544"/>
      <c r="BC64" s="544"/>
      <c r="BD64" s="544"/>
      <c r="BE64" s="544"/>
      <c r="BF64" s="544"/>
      <c r="BG64" s="544"/>
      <c r="BH64" s="544"/>
      <c r="BI64" s="544"/>
      <c r="BJ64" s="544"/>
      <c r="BK64" s="544"/>
      <c r="BL64" s="544"/>
      <c r="BM64" s="544"/>
      <c r="BN64" s="544"/>
      <c r="BO64" s="544"/>
      <c r="BP64" s="544"/>
      <c r="BQ64" s="544"/>
      <c r="BR64" s="544"/>
      <c r="BS64" s="544"/>
      <c r="BT64" s="544"/>
      <c r="BU64" s="544"/>
      <c r="BV64" s="544"/>
      <c r="BW64" s="544"/>
      <c r="BX64" s="544"/>
      <c r="BY64" s="544"/>
      <c r="BZ64" s="544"/>
      <c r="CA64" s="544"/>
      <c r="CB64" s="544"/>
      <c r="CC64" s="544"/>
      <c r="CD64" s="544"/>
      <c r="CE64" s="544"/>
      <c r="CF64" s="544"/>
      <c r="CG64" s="544"/>
      <c r="CH64" s="544"/>
      <c r="CI64" s="544"/>
      <c r="CJ64" s="544"/>
      <c r="CK64" s="544"/>
      <c r="CL64" s="544"/>
      <c r="CM64" s="544"/>
      <c r="CN64" s="544"/>
      <c r="CO64" s="544"/>
      <c r="CP64" s="544"/>
      <c r="CQ64" s="544"/>
      <c r="CR64" s="1"/>
    </row>
    <row r="65" spans="1:96">
      <c r="A65" s="563" t="s">
        <v>3314</v>
      </c>
      <c r="B65" s="91" t="s">
        <v>3753</v>
      </c>
      <c r="C65" s="91" t="s">
        <v>3754</v>
      </c>
      <c r="D65" s="91" t="s">
        <v>2647</v>
      </c>
      <c r="E65" s="91" t="s">
        <v>2207</v>
      </c>
      <c r="F65" s="91">
        <v>75154</v>
      </c>
      <c r="G65" s="566">
        <v>0</v>
      </c>
      <c r="H65" s="544" t="s">
        <v>3755</v>
      </c>
      <c r="I65" s="544"/>
      <c r="J65" s="544"/>
      <c r="K65" s="544"/>
      <c r="L65" s="544"/>
      <c r="M65" s="544"/>
      <c r="N65" s="544"/>
      <c r="O65" s="544"/>
      <c r="P65" s="544"/>
      <c r="Q65" s="544"/>
      <c r="R65" s="544"/>
      <c r="S65" s="544"/>
      <c r="T65" s="544"/>
      <c r="U65" s="544"/>
      <c r="V65" s="544"/>
      <c r="W65" s="544"/>
      <c r="X65" s="544"/>
      <c r="Y65" s="544"/>
      <c r="Z65" s="544"/>
      <c r="AA65" s="544"/>
      <c r="AB65" s="544"/>
      <c r="AC65" s="544"/>
      <c r="AD65" s="544"/>
      <c r="AE65" s="544"/>
      <c r="AF65" s="544"/>
      <c r="AG65" s="544"/>
      <c r="AH65" s="544"/>
      <c r="AI65" s="544"/>
      <c r="AJ65" s="544"/>
      <c r="AK65" s="544"/>
      <c r="AL65" s="544"/>
      <c r="AM65" s="544"/>
      <c r="AN65" s="544"/>
      <c r="AO65" s="544"/>
      <c r="AP65" s="544"/>
      <c r="AQ65" s="544"/>
      <c r="AR65" s="544"/>
      <c r="AS65" s="544"/>
      <c r="AT65" s="544"/>
      <c r="AU65" s="544"/>
      <c r="AV65" s="544"/>
      <c r="AW65" s="544"/>
      <c r="AX65" s="544"/>
      <c r="AY65" s="544"/>
      <c r="AZ65" s="544"/>
      <c r="BA65" s="544"/>
      <c r="BB65" s="544"/>
      <c r="BC65" s="544"/>
      <c r="BD65" s="544"/>
      <c r="BE65" s="544"/>
      <c r="BF65" s="544"/>
      <c r="BG65" s="544"/>
      <c r="BH65" s="544"/>
      <c r="BI65" s="544"/>
      <c r="BJ65" s="544"/>
      <c r="BK65" s="544"/>
      <c r="BL65" s="544"/>
      <c r="BM65" s="544"/>
      <c r="BN65" s="544"/>
      <c r="BO65" s="544"/>
      <c r="BP65" s="544"/>
      <c r="BQ65" s="544"/>
      <c r="BR65" s="544"/>
      <c r="BS65" s="544"/>
      <c r="BT65" s="544"/>
      <c r="BU65" s="544"/>
      <c r="BV65" s="544"/>
      <c r="BW65" s="544"/>
      <c r="BX65" s="544"/>
      <c r="BY65" s="544"/>
      <c r="BZ65" s="544"/>
      <c r="CA65" s="544"/>
      <c r="CB65" s="544"/>
      <c r="CC65" s="544"/>
      <c r="CD65" s="544"/>
      <c r="CE65" s="544"/>
      <c r="CF65" s="544"/>
      <c r="CG65" s="544"/>
      <c r="CH65" s="544"/>
      <c r="CI65" s="544"/>
      <c r="CJ65" s="544"/>
      <c r="CK65" s="544"/>
      <c r="CL65" s="544"/>
      <c r="CM65" s="544"/>
      <c r="CN65" s="544"/>
      <c r="CO65" s="544"/>
      <c r="CP65" s="544"/>
      <c r="CQ65" s="544"/>
      <c r="CR65" s="1"/>
    </row>
    <row r="66" spans="1:96">
      <c r="A66" s="91" t="s">
        <v>555</v>
      </c>
      <c r="B66" s="91" t="s">
        <v>3756</v>
      </c>
      <c r="C66" s="91" t="s">
        <v>3757</v>
      </c>
      <c r="D66" s="91" t="s">
        <v>3589</v>
      </c>
      <c r="E66" s="91" t="s">
        <v>2207</v>
      </c>
      <c r="F66" s="91">
        <v>45150</v>
      </c>
      <c r="G66" s="92">
        <v>0.03</v>
      </c>
      <c r="H66" s="544" t="s">
        <v>3758</v>
      </c>
      <c r="I66" s="544"/>
      <c r="J66" s="544"/>
      <c r="K66" s="544"/>
      <c r="L66" s="544"/>
      <c r="M66" s="544"/>
      <c r="N66" s="544"/>
      <c r="O66" s="544"/>
      <c r="P66" s="544"/>
      <c r="Q66" s="544"/>
      <c r="R66" s="544"/>
      <c r="S66" s="544"/>
      <c r="T66" s="544"/>
      <c r="U66" s="544"/>
      <c r="V66" s="544"/>
      <c r="W66" s="544"/>
      <c r="X66" s="544"/>
      <c r="Y66" s="544"/>
      <c r="Z66" s="544"/>
      <c r="AA66" s="544"/>
      <c r="AB66" s="544"/>
      <c r="AC66" s="544"/>
      <c r="AD66" s="544"/>
      <c r="AE66" s="544"/>
      <c r="AF66" s="544"/>
      <c r="AG66" s="544"/>
      <c r="AH66" s="544"/>
      <c r="AI66" s="544"/>
      <c r="AJ66" s="544"/>
      <c r="AK66" s="544"/>
      <c r="AL66" s="544"/>
      <c r="AM66" s="544"/>
      <c r="AN66" s="544"/>
      <c r="AO66" s="544"/>
      <c r="AP66" s="544"/>
      <c r="AQ66" s="544"/>
      <c r="AR66" s="544"/>
      <c r="AS66" s="544"/>
      <c r="AT66" s="544"/>
      <c r="AU66" s="544"/>
      <c r="AV66" s="544"/>
      <c r="AW66" s="544"/>
      <c r="AX66" s="544"/>
      <c r="AY66" s="544"/>
      <c r="AZ66" s="544"/>
      <c r="BA66" s="544"/>
      <c r="BB66" s="544"/>
      <c r="BC66" s="544"/>
      <c r="BD66" s="544"/>
      <c r="BE66" s="544"/>
      <c r="BF66" s="544"/>
      <c r="BG66" s="544"/>
      <c r="BH66" s="544"/>
      <c r="BI66" s="544"/>
      <c r="BJ66" s="544"/>
      <c r="BK66" s="544"/>
      <c r="BL66" s="544"/>
      <c r="BM66" s="544"/>
      <c r="BN66" s="544"/>
      <c r="BO66" s="544"/>
      <c r="BP66" s="544"/>
      <c r="BQ66" s="544"/>
      <c r="BR66" s="544"/>
      <c r="BS66" s="544"/>
      <c r="BT66" s="544"/>
      <c r="BU66" s="544"/>
      <c r="BV66" s="544"/>
      <c r="BW66" s="544"/>
      <c r="BX66" s="544"/>
      <c r="BY66" s="544"/>
      <c r="BZ66" s="544"/>
      <c r="CA66" s="544"/>
      <c r="CB66" s="544"/>
      <c r="CC66" s="544"/>
      <c r="CD66" s="544"/>
      <c r="CE66" s="544"/>
      <c r="CF66" s="544"/>
      <c r="CG66" s="544"/>
      <c r="CH66" s="544"/>
      <c r="CI66" s="544"/>
      <c r="CJ66" s="544"/>
      <c r="CK66" s="544"/>
      <c r="CL66" s="544"/>
      <c r="CM66" s="544"/>
      <c r="CN66" s="544"/>
      <c r="CO66" s="544"/>
      <c r="CP66" s="544"/>
      <c r="CQ66" s="544"/>
      <c r="CR66" s="1"/>
    </row>
    <row r="67" spans="1:96">
      <c r="A67" s="91" t="s">
        <v>2394</v>
      </c>
      <c r="B67" s="91" t="s">
        <v>3759</v>
      </c>
      <c r="C67" s="91" t="s">
        <v>3760</v>
      </c>
      <c r="D67" s="91" t="s">
        <v>3761</v>
      </c>
      <c r="E67" s="91" t="s">
        <v>3762</v>
      </c>
      <c r="F67" s="91" t="s">
        <v>3763</v>
      </c>
      <c r="G67" s="92">
        <v>0</v>
      </c>
      <c r="H67" s="544" t="s">
        <v>3764</v>
      </c>
      <c r="I67" s="544"/>
      <c r="J67" s="544"/>
      <c r="K67" s="544"/>
      <c r="L67" s="544"/>
      <c r="M67" s="544"/>
      <c r="N67" s="544"/>
      <c r="O67" s="544"/>
      <c r="P67" s="544"/>
      <c r="Q67" s="544"/>
      <c r="R67" s="544"/>
      <c r="S67" s="544"/>
      <c r="T67" s="544"/>
      <c r="U67" s="544"/>
      <c r="V67" s="544"/>
      <c r="W67" s="544"/>
      <c r="X67" s="544"/>
      <c r="Y67" s="544"/>
      <c r="Z67" s="544"/>
      <c r="AA67" s="544"/>
      <c r="AB67" s="544"/>
      <c r="AC67" s="544"/>
      <c r="AD67" s="544"/>
      <c r="AE67" s="544"/>
      <c r="AF67" s="544"/>
      <c r="AG67" s="544"/>
      <c r="AH67" s="544"/>
      <c r="AI67" s="544"/>
      <c r="AJ67" s="544"/>
      <c r="AK67" s="544"/>
      <c r="AL67" s="544"/>
      <c r="AM67" s="544"/>
      <c r="AN67" s="544"/>
      <c r="AO67" s="544"/>
      <c r="AP67" s="544"/>
      <c r="AQ67" s="544"/>
      <c r="AR67" s="544"/>
      <c r="AS67" s="544"/>
      <c r="AT67" s="544"/>
      <c r="AU67" s="544"/>
      <c r="AV67" s="544"/>
      <c r="AW67" s="544"/>
      <c r="AX67" s="544"/>
      <c r="AY67" s="544"/>
      <c r="AZ67" s="544"/>
      <c r="BA67" s="544"/>
      <c r="BB67" s="544"/>
      <c r="BC67" s="544"/>
      <c r="BD67" s="544"/>
      <c r="BE67" s="544"/>
      <c r="BF67" s="544"/>
      <c r="BG67" s="544"/>
      <c r="BH67" s="544"/>
      <c r="BI67" s="544"/>
      <c r="BJ67" s="544"/>
      <c r="BK67" s="544"/>
      <c r="BL67" s="544"/>
      <c r="BM67" s="544"/>
      <c r="BN67" s="544"/>
      <c r="BO67" s="544"/>
      <c r="BP67" s="544"/>
      <c r="BQ67" s="544"/>
      <c r="BR67" s="544"/>
      <c r="BS67" s="544"/>
      <c r="BT67" s="544"/>
      <c r="BU67" s="544"/>
      <c r="BV67" s="544"/>
      <c r="BW67" s="544"/>
      <c r="BX67" s="544"/>
      <c r="BY67" s="544"/>
      <c r="BZ67" s="544"/>
      <c r="CA67" s="544"/>
      <c r="CB67" s="544"/>
      <c r="CC67" s="544"/>
      <c r="CD67" s="544"/>
      <c r="CE67" s="544"/>
      <c r="CF67" s="544"/>
      <c r="CG67" s="544"/>
      <c r="CH67" s="544"/>
      <c r="CI67" s="544"/>
      <c r="CJ67" s="544"/>
      <c r="CK67" s="544"/>
      <c r="CL67" s="544"/>
      <c r="CM67" s="544"/>
      <c r="CN67" s="544"/>
      <c r="CO67" s="544"/>
      <c r="CP67" s="544"/>
      <c r="CQ67" s="544"/>
      <c r="CR67" s="1"/>
    </row>
    <row r="68" spans="1:96">
      <c r="A68" s="91" t="s">
        <v>3401</v>
      </c>
      <c r="B68" s="284" t="s">
        <v>3765</v>
      </c>
      <c r="C68" s="91" t="s">
        <v>3766</v>
      </c>
      <c r="D68" s="91" t="s">
        <v>3692</v>
      </c>
      <c r="E68" s="91" t="s">
        <v>2207</v>
      </c>
      <c r="F68" s="91">
        <v>30095</v>
      </c>
      <c r="G68" s="566">
        <v>0</v>
      </c>
      <c r="H68" s="544" t="s">
        <v>3767</v>
      </c>
      <c r="I68" s="544"/>
      <c r="J68" s="544"/>
      <c r="K68" s="544"/>
      <c r="L68" s="544"/>
      <c r="M68" s="544"/>
      <c r="N68" s="544"/>
      <c r="O68" s="544"/>
      <c r="P68" s="544"/>
      <c r="Q68" s="544"/>
      <c r="R68" s="544"/>
      <c r="S68" s="544"/>
      <c r="T68" s="544"/>
      <c r="U68" s="544"/>
      <c r="V68" s="544"/>
      <c r="W68" s="544"/>
      <c r="X68" s="544"/>
      <c r="Y68" s="544"/>
      <c r="Z68" s="544"/>
      <c r="AA68" s="544"/>
      <c r="AB68" s="544"/>
      <c r="AC68" s="544"/>
      <c r="AD68" s="544"/>
      <c r="AE68" s="544"/>
      <c r="AF68" s="544"/>
      <c r="AG68" s="544"/>
      <c r="AH68" s="544"/>
      <c r="AI68" s="544"/>
      <c r="AJ68" s="544"/>
      <c r="AK68" s="544"/>
      <c r="AL68" s="544"/>
      <c r="AM68" s="544"/>
      <c r="AN68" s="544"/>
      <c r="AO68" s="544"/>
      <c r="AP68" s="544"/>
      <c r="AQ68" s="544"/>
      <c r="AR68" s="544"/>
      <c r="AS68" s="544"/>
      <c r="AT68" s="544"/>
      <c r="AU68" s="544"/>
      <c r="AV68" s="544"/>
      <c r="AW68" s="544"/>
      <c r="AX68" s="544"/>
      <c r="AY68" s="544"/>
      <c r="AZ68" s="544"/>
      <c r="BA68" s="544"/>
      <c r="BB68" s="544"/>
      <c r="BC68" s="544"/>
      <c r="BD68" s="544"/>
      <c r="BE68" s="544"/>
      <c r="BF68" s="544"/>
      <c r="BG68" s="544"/>
      <c r="BH68" s="544"/>
      <c r="BI68" s="544"/>
      <c r="BJ68" s="544"/>
      <c r="BK68" s="544"/>
      <c r="BL68" s="544"/>
      <c r="BM68" s="544"/>
      <c r="BN68" s="544"/>
      <c r="BO68" s="544"/>
      <c r="BP68" s="544"/>
      <c r="BQ68" s="544"/>
      <c r="BR68" s="544"/>
      <c r="BS68" s="544"/>
      <c r="BT68" s="544"/>
      <c r="BU68" s="544"/>
      <c r="BV68" s="544"/>
      <c r="BW68" s="544"/>
      <c r="BX68" s="544"/>
      <c r="BY68" s="544"/>
      <c r="BZ68" s="544"/>
      <c r="CA68" s="544"/>
      <c r="CB68" s="544"/>
      <c r="CC68" s="544"/>
      <c r="CD68" s="544"/>
      <c r="CE68" s="544"/>
      <c r="CF68" s="544"/>
      <c r="CG68" s="544"/>
      <c r="CH68" s="544"/>
      <c r="CI68" s="544"/>
      <c r="CJ68" s="544"/>
      <c r="CK68" s="544"/>
      <c r="CL68" s="544"/>
      <c r="CM68" s="544"/>
      <c r="CN68" s="544"/>
      <c r="CO68" s="544"/>
      <c r="CP68" s="544"/>
      <c r="CQ68" s="544"/>
      <c r="CR68" s="1"/>
    </row>
    <row r="69" spans="1:96">
      <c r="A69" s="91" t="s">
        <v>548</v>
      </c>
      <c r="B69" s="91" t="s">
        <v>3768</v>
      </c>
      <c r="C69" s="91" t="s">
        <v>3643</v>
      </c>
      <c r="D69" s="91" t="s">
        <v>3769</v>
      </c>
      <c r="E69" s="91" t="s">
        <v>2207</v>
      </c>
      <c r="F69" s="91">
        <v>46268</v>
      </c>
      <c r="G69" s="92">
        <v>1.4999999999999999E-2</v>
      </c>
      <c r="H69" s="544" t="s">
        <v>3770</v>
      </c>
      <c r="I69" s="544"/>
      <c r="J69" s="544"/>
      <c r="K69" s="544"/>
      <c r="L69" s="544"/>
      <c r="M69" s="544"/>
      <c r="N69" s="544"/>
      <c r="O69" s="544"/>
      <c r="P69" s="544"/>
      <c r="Q69" s="544"/>
      <c r="R69" s="544"/>
      <c r="S69" s="544"/>
      <c r="T69" s="544"/>
      <c r="U69" s="544"/>
      <c r="V69" s="544"/>
      <c r="W69" s="544"/>
      <c r="X69" s="544"/>
      <c r="Y69" s="544"/>
      <c r="Z69" s="544"/>
      <c r="AA69" s="544"/>
      <c r="AB69" s="544"/>
      <c r="AC69" s="544"/>
      <c r="AD69" s="544"/>
      <c r="AE69" s="544"/>
      <c r="AF69" s="544"/>
      <c r="AG69" s="544"/>
      <c r="AH69" s="544"/>
      <c r="AI69" s="544"/>
      <c r="AJ69" s="544"/>
      <c r="AK69" s="544"/>
      <c r="AL69" s="544"/>
      <c r="AM69" s="544"/>
      <c r="AN69" s="544"/>
      <c r="AO69" s="544"/>
      <c r="AP69" s="544"/>
      <c r="AQ69" s="544"/>
      <c r="AR69" s="544"/>
      <c r="AS69" s="544"/>
      <c r="AT69" s="544"/>
      <c r="AU69" s="544"/>
      <c r="AV69" s="544"/>
      <c r="AW69" s="544"/>
      <c r="AX69" s="544"/>
      <c r="AY69" s="544"/>
      <c r="AZ69" s="544"/>
      <c r="BA69" s="544"/>
      <c r="BB69" s="544"/>
      <c r="BC69" s="544"/>
      <c r="BD69" s="544"/>
      <c r="BE69" s="544"/>
      <c r="BF69" s="544"/>
      <c r="BG69" s="544"/>
      <c r="BH69" s="544"/>
      <c r="BI69" s="544"/>
      <c r="BJ69" s="544"/>
      <c r="BK69" s="544"/>
      <c r="BL69" s="544"/>
      <c r="BM69" s="544"/>
      <c r="BN69" s="544"/>
      <c r="BO69" s="544"/>
      <c r="BP69" s="544"/>
      <c r="BQ69" s="544"/>
      <c r="BR69" s="544"/>
      <c r="BS69" s="544"/>
      <c r="BT69" s="544"/>
      <c r="BU69" s="544"/>
      <c r="BV69" s="544"/>
      <c r="BW69" s="544"/>
      <c r="BX69" s="544"/>
      <c r="BY69" s="544"/>
      <c r="BZ69" s="544"/>
      <c r="CA69" s="544"/>
      <c r="CB69" s="544"/>
      <c r="CC69" s="544"/>
      <c r="CD69" s="544"/>
      <c r="CE69" s="544"/>
      <c r="CF69" s="544"/>
      <c r="CG69" s="544"/>
      <c r="CH69" s="544"/>
      <c r="CI69" s="544"/>
      <c r="CJ69" s="544"/>
      <c r="CK69" s="544"/>
      <c r="CL69" s="544"/>
      <c r="CM69" s="544"/>
      <c r="CN69" s="544"/>
      <c r="CO69" s="544"/>
      <c r="CP69" s="544"/>
      <c r="CQ69" s="544"/>
      <c r="CR69" s="1"/>
    </row>
    <row r="70" spans="1:96">
      <c r="A70" s="91" t="s">
        <v>2534</v>
      </c>
      <c r="B70" s="91" t="s">
        <v>3771</v>
      </c>
      <c r="C70" s="91" t="s">
        <v>3772</v>
      </c>
      <c r="D70" s="91" t="s">
        <v>3248</v>
      </c>
      <c r="E70" s="91" t="s">
        <v>2207</v>
      </c>
      <c r="F70" s="91">
        <v>10016</v>
      </c>
      <c r="G70" s="566">
        <v>0</v>
      </c>
      <c r="H70" s="544" t="s">
        <v>3773</v>
      </c>
      <c r="I70" s="544"/>
      <c r="J70" s="544"/>
      <c r="K70" s="544"/>
      <c r="L70" s="544"/>
      <c r="M70" s="544"/>
      <c r="N70" s="544"/>
      <c r="O70" s="544"/>
      <c r="P70" s="544"/>
      <c r="Q70" s="544"/>
      <c r="R70" s="544"/>
      <c r="S70" s="544"/>
      <c r="T70" s="544"/>
      <c r="U70" s="544"/>
      <c r="V70" s="544"/>
      <c r="W70" s="544"/>
      <c r="X70" s="544"/>
      <c r="Y70" s="544"/>
      <c r="Z70" s="544"/>
      <c r="AA70" s="544"/>
      <c r="AB70" s="544"/>
      <c r="AC70" s="544"/>
      <c r="AD70" s="544"/>
      <c r="AE70" s="544"/>
      <c r="AF70" s="544"/>
      <c r="AG70" s="544"/>
      <c r="AH70" s="544"/>
      <c r="AI70" s="544"/>
      <c r="AJ70" s="544"/>
      <c r="AK70" s="544"/>
      <c r="AL70" s="544"/>
      <c r="AM70" s="544"/>
      <c r="AN70" s="544"/>
      <c r="AO70" s="544"/>
      <c r="AP70" s="544"/>
      <c r="AQ70" s="544"/>
      <c r="AR70" s="544"/>
      <c r="AS70" s="544"/>
      <c r="AT70" s="544"/>
      <c r="AU70" s="544"/>
      <c r="AV70" s="544"/>
      <c r="AW70" s="544"/>
      <c r="AX70" s="544"/>
      <c r="AY70" s="544"/>
      <c r="AZ70" s="544"/>
      <c r="BA70" s="544"/>
      <c r="BB70" s="544"/>
      <c r="BC70" s="544"/>
      <c r="BD70" s="544"/>
      <c r="BE70" s="544"/>
      <c r="BF70" s="544"/>
      <c r="BG70" s="544"/>
      <c r="BH70" s="544"/>
      <c r="BI70" s="544"/>
      <c r="BJ70" s="544"/>
      <c r="BK70" s="544"/>
      <c r="BL70" s="544"/>
      <c r="BM70" s="544"/>
      <c r="BN70" s="544"/>
      <c r="BO70" s="544"/>
      <c r="BP70" s="544"/>
      <c r="BQ70" s="544"/>
      <c r="BR70" s="544"/>
      <c r="BS70" s="544"/>
      <c r="BT70" s="544"/>
      <c r="BU70" s="544"/>
      <c r="BV70" s="544"/>
      <c r="BW70" s="544"/>
      <c r="BX70" s="544"/>
      <c r="BY70" s="544"/>
      <c r="BZ70" s="544"/>
      <c r="CA70" s="544"/>
      <c r="CB70" s="544"/>
      <c r="CC70" s="544"/>
      <c r="CD70" s="544"/>
      <c r="CE70" s="544"/>
      <c r="CF70" s="544"/>
      <c r="CG70" s="544"/>
      <c r="CH70" s="544"/>
      <c r="CI70" s="544"/>
      <c r="CJ70" s="544"/>
      <c r="CK70" s="544"/>
      <c r="CL70" s="544"/>
      <c r="CM70" s="544"/>
      <c r="CN70" s="544"/>
      <c r="CO70" s="544"/>
      <c r="CP70" s="544"/>
      <c r="CQ70" s="544"/>
      <c r="CR70" s="1"/>
    </row>
    <row r="71" spans="1:96">
      <c r="A71" s="91" t="s">
        <v>2955</v>
      </c>
      <c r="B71" s="91" t="s">
        <v>3774</v>
      </c>
      <c r="C71" s="91" t="s">
        <v>3775</v>
      </c>
      <c r="D71" s="91" t="s">
        <v>3776</v>
      </c>
      <c r="E71" s="91" t="s">
        <v>2207</v>
      </c>
      <c r="F71" s="91">
        <v>19973</v>
      </c>
      <c r="G71" s="566">
        <v>0</v>
      </c>
      <c r="H71" s="544" t="s">
        <v>3777</v>
      </c>
      <c r="I71" s="544"/>
      <c r="J71" s="544"/>
      <c r="K71" s="544"/>
      <c r="L71" s="544"/>
      <c r="M71" s="544"/>
      <c r="N71" s="544"/>
      <c r="O71" s="544"/>
      <c r="P71" s="544"/>
      <c r="Q71" s="544"/>
      <c r="R71" s="544"/>
      <c r="S71" s="544"/>
      <c r="T71" s="544"/>
      <c r="U71" s="544"/>
      <c r="V71" s="544"/>
      <c r="W71" s="544"/>
      <c r="X71" s="544"/>
      <c r="Y71" s="544"/>
      <c r="Z71" s="544"/>
      <c r="AA71" s="544"/>
      <c r="AB71" s="544"/>
      <c r="AC71" s="544"/>
      <c r="AD71" s="544"/>
      <c r="AE71" s="544"/>
      <c r="AF71" s="544"/>
      <c r="AG71" s="544"/>
      <c r="AH71" s="544"/>
      <c r="AI71" s="544"/>
      <c r="AJ71" s="544"/>
      <c r="AK71" s="544"/>
      <c r="AL71" s="544"/>
      <c r="AM71" s="544"/>
      <c r="AN71" s="544"/>
      <c r="AO71" s="544"/>
      <c r="AP71" s="544"/>
      <c r="AQ71" s="544"/>
      <c r="AR71" s="544"/>
      <c r="AS71" s="544"/>
      <c r="AT71" s="544"/>
      <c r="AU71" s="544"/>
      <c r="AV71" s="544"/>
      <c r="AW71" s="544"/>
      <c r="AX71" s="544"/>
      <c r="AY71" s="544"/>
      <c r="AZ71" s="544"/>
      <c r="BA71" s="544"/>
      <c r="BB71" s="544"/>
      <c r="BC71" s="544"/>
      <c r="BD71" s="544"/>
      <c r="BE71" s="544"/>
      <c r="BF71" s="544"/>
      <c r="BG71" s="544"/>
      <c r="BH71" s="544"/>
      <c r="BI71" s="544"/>
      <c r="BJ71" s="544"/>
      <c r="BK71" s="544"/>
      <c r="BL71" s="544"/>
      <c r="BM71" s="544"/>
      <c r="BN71" s="544"/>
      <c r="BO71" s="544"/>
      <c r="BP71" s="544"/>
      <c r="BQ71" s="544"/>
      <c r="BR71" s="544"/>
      <c r="BS71" s="544"/>
      <c r="BT71" s="544"/>
      <c r="BU71" s="544"/>
      <c r="BV71" s="544"/>
      <c r="BW71" s="544"/>
      <c r="BX71" s="544"/>
      <c r="BY71" s="544"/>
      <c r="BZ71" s="544"/>
      <c r="CA71" s="544"/>
      <c r="CB71" s="544"/>
      <c r="CC71" s="544"/>
      <c r="CD71" s="544"/>
      <c r="CE71" s="544"/>
      <c r="CF71" s="544"/>
      <c r="CG71" s="544"/>
      <c r="CH71" s="544"/>
      <c r="CI71" s="544"/>
      <c r="CJ71" s="544"/>
      <c r="CK71" s="544"/>
      <c r="CL71" s="544"/>
      <c r="CM71" s="544"/>
      <c r="CN71" s="544"/>
      <c r="CO71" s="544"/>
      <c r="CP71" s="544"/>
      <c r="CQ71" s="544"/>
      <c r="CR71" s="1"/>
    </row>
    <row r="72" spans="1:96">
      <c r="A72" s="91" t="s">
        <v>3778</v>
      </c>
      <c r="B72" s="91" t="s">
        <v>3779</v>
      </c>
      <c r="C72" s="91" t="s">
        <v>3627</v>
      </c>
      <c r="D72" s="91" t="s">
        <v>3589</v>
      </c>
      <c r="E72" s="91" t="s">
        <v>2207</v>
      </c>
      <c r="F72" s="91">
        <v>45250</v>
      </c>
      <c r="G72" s="566">
        <v>0</v>
      </c>
      <c r="H72" s="544" t="s">
        <v>3780</v>
      </c>
      <c r="I72" s="544"/>
      <c r="J72" s="544"/>
      <c r="K72" s="544"/>
      <c r="L72" s="544"/>
      <c r="M72" s="544"/>
      <c r="N72" s="544"/>
      <c r="O72" s="544"/>
      <c r="P72" s="544"/>
      <c r="Q72" s="544"/>
      <c r="R72" s="544"/>
      <c r="S72" s="544"/>
      <c r="T72" s="544"/>
      <c r="U72" s="544"/>
      <c r="V72" s="544"/>
      <c r="W72" s="544"/>
      <c r="X72" s="544"/>
      <c r="Y72" s="544"/>
      <c r="Z72" s="544"/>
      <c r="AA72" s="544"/>
      <c r="AB72" s="544"/>
      <c r="AC72" s="544"/>
      <c r="AD72" s="544"/>
      <c r="AE72" s="544"/>
      <c r="AF72" s="544"/>
      <c r="AG72" s="544"/>
      <c r="AH72" s="544"/>
      <c r="AI72" s="544"/>
      <c r="AJ72" s="544"/>
      <c r="AK72" s="544"/>
      <c r="AL72" s="544"/>
      <c r="AM72" s="544"/>
      <c r="AN72" s="544"/>
      <c r="AO72" s="544"/>
      <c r="AP72" s="544"/>
      <c r="AQ72" s="544"/>
      <c r="AR72" s="544"/>
      <c r="AS72" s="544"/>
      <c r="AT72" s="544"/>
      <c r="AU72" s="544"/>
      <c r="AV72" s="544"/>
      <c r="AW72" s="544"/>
      <c r="AX72" s="544"/>
      <c r="AY72" s="544"/>
      <c r="AZ72" s="544"/>
      <c r="BA72" s="544"/>
      <c r="BB72" s="544"/>
      <c r="BC72" s="544"/>
      <c r="BD72" s="544"/>
      <c r="BE72" s="544"/>
      <c r="BF72" s="544"/>
      <c r="BG72" s="544"/>
      <c r="BH72" s="544"/>
      <c r="BI72" s="544"/>
      <c r="BJ72" s="544"/>
      <c r="BK72" s="544"/>
      <c r="BL72" s="544"/>
      <c r="BM72" s="544"/>
      <c r="BN72" s="544"/>
      <c r="BO72" s="544"/>
      <c r="BP72" s="544"/>
      <c r="BQ72" s="544"/>
      <c r="BR72" s="544"/>
      <c r="BS72" s="544"/>
      <c r="BT72" s="544"/>
      <c r="BU72" s="544"/>
      <c r="BV72" s="544"/>
      <c r="BW72" s="544"/>
      <c r="BX72" s="544"/>
      <c r="BY72" s="544"/>
      <c r="BZ72" s="544"/>
      <c r="CA72" s="544"/>
      <c r="CB72" s="544"/>
      <c r="CC72" s="544"/>
      <c r="CD72" s="544"/>
      <c r="CE72" s="544"/>
      <c r="CF72" s="544"/>
      <c r="CG72" s="544"/>
      <c r="CH72" s="544"/>
      <c r="CI72" s="544"/>
      <c r="CJ72" s="544"/>
      <c r="CK72" s="544"/>
      <c r="CL72" s="544"/>
      <c r="CM72" s="544"/>
      <c r="CN72" s="544"/>
      <c r="CO72" s="544"/>
      <c r="CP72" s="544"/>
      <c r="CQ72" s="544"/>
      <c r="CR72" s="1"/>
    </row>
    <row r="73" spans="1:96">
      <c r="A73" s="91" t="s">
        <v>1964</v>
      </c>
      <c r="B73" s="91" t="s">
        <v>3781</v>
      </c>
      <c r="C73" s="91" t="s">
        <v>3782</v>
      </c>
      <c r="D73" s="91" t="s">
        <v>3783</v>
      </c>
      <c r="E73" s="91" t="s">
        <v>2207</v>
      </c>
      <c r="F73" s="91">
        <v>40209</v>
      </c>
      <c r="G73" s="92">
        <v>1.4999999999999999E-2</v>
      </c>
      <c r="H73" s="544" t="s">
        <v>3784</v>
      </c>
      <c r="I73" s="544"/>
      <c r="J73" s="544"/>
      <c r="K73" s="544"/>
      <c r="L73" s="544"/>
      <c r="M73" s="544"/>
      <c r="N73" s="544"/>
      <c r="O73" s="544"/>
      <c r="P73" s="544"/>
      <c r="Q73" s="544"/>
      <c r="R73" s="544"/>
      <c r="S73" s="544"/>
      <c r="T73" s="544"/>
      <c r="U73" s="544"/>
      <c r="V73" s="544"/>
      <c r="W73" s="544"/>
      <c r="X73" s="544"/>
      <c r="Y73" s="544"/>
      <c r="Z73" s="544"/>
      <c r="AA73" s="544"/>
      <c r="AB73" s="544"/>
      <c r="AC73" s="544"/>
      <c r="AD73" s="544"/>
      <c r="AE73" s="544"/>
      <c r="AF73" s="544"/>
      <c r="AG73" s="544"/>
      <c r="AH73" s="544"/>
      <c r="AI73" s="544"/>
      <c r="AJ73" s="544"/>
      <c r="AK73" s="544"/>
      <c r="AL73" s="544"/>
      <c r="AM73" s="544"/>
      <c r="AN73" s="544"/>
      <c r="AO73" s="544"/>
      <c r="AP73" s="544"/>
      <c r="AQ73" s="544"/>
      <c r="AR73" s="544"/>
      <c r="AS73" s="544"/>
      <c r="AT73" s="544"/>
      <c r="AU73" s="544"/>
      <c r="AV73" s="544"/>
      <c r="AW73" s="544"/>
      <c r="AX73" s="544"/>
      <c r="AY73" s="544"/>
      <c r="AZ73" s="544"/>
      <c r="BA73" s="544"/>
      <c r="BB73" s="544"/>
      <c r="BC73" s="544"/>
      <c r="BD73" s="544"/>
      <c r="BE73" s="544"/>
      <c r="BF73" s="544"/>
      <c r="BG73" s="544"/>
      <c r="BH73" s="544"/>
      <c r="BI73" s="544"/>
      <c r="BJ73" s="544"/>
      <c r="BK73" s="544"/>
      <c r="BL73" s="544"/>
      <c r="BM73" s="544"/>
      <c r="BN73" s="544"/>
      <c r="BO73" s="544"/>
      <c r="BP73" s="544"/>
      <c r="BQ73" s="544"/>
      <c r="BR73" s="544"/>
      <c r="BS73" s="544"/>
      <c r="BT73" s="544"/>
      <c r="BU73" s="544"/>
      <c r="BV73" s="544"/>
      <c r="BW73" s="544"/>
      <c r="BX73" s="544"/>
      <c r="BY73" s="544"/>
      <c r="BZ73" s="544"/>
      <c r="CA73" s="544"/>
      <c r="CB73" s="544"/>
      <c r="CC73" s="544"/>
      <c r="CD73" s="544"/>
      <c r="CE73" s="544"/>
      <c r="CF73" s="544"/>
      <c r="CG73" s="544"/>
      <c r="CH73" s="544"/>
      <c r="CI73" s="544"/>
      <c r="CJ73" s="544"/>
      <c r="CK73" s="544"/>
      <c r="CL73" s="544"/>
      <c r="CM73" s="544"/>
      <c r="CN73" s="544"/>
      <c r="CO73" s="544"/>
      <c r="CP73" s="544"/>
      <c r="CQ73" s="544"/>
      <c r="CR73" s="1"/>
    </row>
    <row r="74" spans="1:96">
      <c r="A74" s="91" t="s">
        <v>3108</v>
      </c>
      <c r="B74" s="91" t="s">
        <v>3785</v>
      </c>
      <c r="C74" s="91" t="s">
        <v>3786</v>
      </c>
      <c r="D74" s="91" t="s">
        <v>3787</v>
      </c>
      <c r="E74" s="91" t="s">
        <v>2207</v>
      </c>
      <c r="F74" s="91">
        <v>72957</v>
      </c>
      <c r="G74" s="566">
        <v>0.03</v>
      </c>
      <c r="H74" s="544" t="s">
        <v>3788</v>
      </c>
      <c r="I74" s="544"/>
      <c r="J74" s="544"/>
      <c r="K74" s="544"/>
      <c r="L74" s="544"/>
      <c r="M74" s="544"/>
      <c r="N74" s="544"/>
      <c r="O74" s="544"/>
      <c r="P74" s="544"/>
      <c r="Q74" s="544"/>
      <c r="R74" s="544"/>
      <c r="S74" s="544"/>
      <c r="T74" s="544"/>
      <c r="U74" s="544"/>
      <c r="V74" s="544"/>
      <c r="W74" s="544"/>
      <c r="X74" s="544"/>
      <c r="Y74" s="544"/>
      <c r="Z74" s="544"/>
      <c r="AA74" s="544"/>
      <c r="AB74" s="544"/>
      <c r="AC74" s="544"/>
      <c r="AD74" s="544"/>
      <c r="AE74" s="544"/>
      <c r="AF74" s="544"/>
      <c r="AG74" s="544"/>
      <c r="AH74" s="544"/>
      <c r="AI74" s="544"/>
      <c r="AJ74" s="544"/>
      <c r="AK74" s="544"/>
      <c r="AL74" s="544"/>
      <c r="AM74" s="544"/>
      <c r="AN74" s="544"/>
      <c r="AO74" s="544"/>
      <c r="AP74" s="544"/>
      <c r="AQ74" s="544"/>
      <c r="AR74" s="544"/>
      <c r="AS74" s="544"/>
      <c r="AT74" s="544"/>
      <c r="AU74" s="544"/>
      <c r="AV74" s="544"/>
      <c r="AW74" s="544"/>
      <c r="AX74" s="544"/>
      <c r="AY74" s="544"/>
      <c r="AZ74" s="544"/>
      <c r="BA74" s="544"/>
      <c r="BB74" s="544"/>
      <c r="BC74" s="544"/>
      <c r="BD74" s="544"/>
      <c r="BE74" s="544"/>
      <c r="BF74" s="544"/>
      <c r="BG74" s="544"/>
      <c r="BH74" s="544"/>
      <c r="BI74" s="544"/>
      <c r="BJ74" s="544"/>
      <c r="BK74" s="544"/>
      <c r="BL74" s="544"/>
      <c r="BM74" s="544"/>
      <c r="BN74" s="544"/>
      <c r="BO74" s="544"/>
      <c r="BP74" s="544"/>
      <c r="BQ74" s="544"/>
      <c r="BR74" s="544"/>
      <c r="BS74" s="544"/>
      <c r="BT74" s="544"/>
      <c r="BU74" s="544"/>
      <c r="BV74" s="544"/>
      <c r="BW74" s="544"/>
      <c r="BX74" s="544"/>
      <c r="BY74" s="544"/>
      <c r="BZ74" s="544"/>
      <c r="CA74" s="544"/>
      <c r="CB74" s="544"/>
      <c r="CC74" s="544"/>
      <c r="CD74" s="544"/>
      <c r="CE74" s="544"/>
      <c r="CF74" s="544"/>
      <c r="CG74" s="544"/>
      <c r="CH74" s="544"/>
      <c r="CI74" s="544"/>
      <c r="CJ74" s="544"/>
      <c r="CK74" s="544"/>
      <c r="CL74" s="544"/>
      <c r="CM74" s="544"/>
      <c r="CN74" s="544"/>
      <c r="CO74" s="544"/>
      <c r="CP74" s="544"/>
      <c r="CQ74" s="544"/>
      <c r="CR74" s="1"/>
    </row>
    <row r="75" spans="1:96">
      <c r="A75" s="91" t="s">
        <v>196</v>
      </c>
      <c r="B75" s="91" t="s">
        <v>3789</v>
      </c>
      <c r="C75" s="91" t="s">
        <v>3673</v>
      </c>
      <c r="D75" s="91" t="s">
        <v>202</v>
      </c>
      <c r="E75" s="91" t="s">
        <v>2207</v>
      </c>
      <c r="F75" s="91">
        <v>97501</v>
      </c>
      <c r="G75" s="92">
        <v>0.02</v>
      </c>
      <c r="H75" s="544" t="s">
        <v>3790</v>
      </c>
      <c r="I75" s="544"/>
      <c r="J75" s="544"/>
      <c r="K75" s="544"/>
      <c r="L75" s="544"/>
      <c r="M75" s="544"/>
      <c r="N75" s="544"/>
      <c r="O75" s="544"/>
      <c r="P75" s="544"/>
      <c r="Q75" s="544"/>
      <c r="R75" s="544"/>
      <c r="S75" s="544"/>
      <c r="T75" s="544"/>
      <c r="U75" s="544"/>
      <c r="V75" s="544"/>
      <c r="W75" s="544"/>
      <c r="X75" s="544"/>
      <c r="Y75" s="544"/>
      <c r="Z75" s="544"/>
      <c r="AA75" s="544"/>
      <c r="AB75" s="544"/>
      <c r="AC75" s="544"/>
      <c r="AD75" s="544"/>
      <c r="AE75" s="544"/>
      <c r="AF75" s="544"/>
      <c r="AG75" s="544"/>
      <c r="AH75" s="544"/>
      <c r="AI75" s="544"/>
      <c r="AJ75" s="544"/>
      <c r="AK75" s="544"/>
      <c r="AL75" s="544"/>
      <c r="AM75" s="544"/>
      <c r="AN75" s="544"/>
      <c r="AO75" s="544"/>
      <c r="AP75" s="544"/>
      <c r="AQ75" s="544"/>
      <c r="AR75" s="544"/>
      <c r="AS75" s="544"/>
      <c r="AT75" s="544"/>
      <c r="AU75" s="544"/>
      <c r="AV75" s="544"/>
      <c r="AW75" s="544"/>
      <c r="AX75" s="544"/>
      <c r="AY75" s="544"/>
      <c r="AZ75" s="544"/>
      <c r="BA75" s="544"/>
      <c r="BB75" s="544"/>
      <c r="BC75" s="544"/>
      <c r="BD75" s="544"/>
      <c r="BE75" s="544"/>
      <c r="BF75" s="544"/>
      <c r="BG75" s="544"/>
      <c r="BH75" s="544"/>
      <c r="BI75" s="544"/>
      <c r="BJ75" s="544"/>
      <c r="BK75" s="544"/>
      <c r="BL75" s="544"/>
      <c r="BM75" s="544"/>
      <c r="BN75" s="544"/>
      <c r="BO75" s="544"/>
      <c r="BP75" s="544"/>
      <c r="BQ75" s="544"/>
      <c r="BR75" s="544"/>
      <c r="BS75" s="544"/>
      <c r="BT75" s="544"/>
      <c r="BU75" s="544"/>
      <c r="BV75" s="544"/>
      <c r="BW75" s="544"/>
      <c r="BX75" s="544"/>
      <c r="BY75" s="544"/>
      <c r="BZ75" s="544"/>
      <c r="CA75" s="544"/>
      <c r="CB75" s="544"/>
      <c r="CC75" s="544"/>
      <c r="CD75" s="544"/>
      <c r="CE75" s="544"/>
      <c r="CF75" s="544"/>
      <c r="CG75" s="544"/>
      <c r="CH75" s="544"/>
      <c r="CI75" s="544"/>
      <c r="CJ75" s="544"/>
      <c r="CK75" s="544"/>
      <c r="CL75" s="544"/>
      <c r="CM75" s="544"/>
      <c r="CN75" s="544"/>
      <c r="CO75" s="544"/>
      <c r="CP75" s="544"/>
      <c r="CQ75" s="544"/>
      <c r="CR75" s="1"/>
    </row>
    <row r="76" spans="1:96">
      <c r="A76" s="91" t="s">
        <v>2795</v>
      </c>
      <c r="B76" s="91" t="s">
        <v>3791</v>
      </c>
      <c r="C76" s="279" t="s">
        <v>3792</v>
      </c>
      <c r="D76" s="91" t="s">
        <v>3692</v>
      </c>
      <c r="E76" s="91" t="s">
        <v>2207</v>
      </c>
      <c r="F76" s="91">
        <v>30071</v>
      </c>
      <c r="G76" s="566">
        <v>0</v>
      </c>
      <c r="H76" s="544" t="s">
        <v>3793</v>
      </c>
      <c r="I76" s="544"/>
      <c r="J76" s="544"/>
      <c r="K76" s="544"/>
      <c r="L76" s="544"/>
      <c r="M76" s="544"/>
      <c r="N76" s="544"/>
      <c r="O76" s="544"/>
      <c r="P76" s="544"/>
      <c r="Q76" s="544"/>
      <c r="R76" s="544"/>
      <c r="S76" s="544"/>
      <c r="T76" s="544"/>
      <c r="U76" s="544"/>
      <c r="V76" s="544"/>
      <c r="W76" s="544"/>
      <c r="X76" s="544"/>
      <c r="Y76" s="544"/>
      <c r="Z76" s="544"/>
      <c r="AA76" s="544"/>
      <c r="AB76" s="544"/>
      <c r="AC76" s="544"/>
      <c r="AD76" s="544"/>
      <c r="AE76" s="544"/>
      <c r="AF76" s="544"/>
      <c r="AG76" s="544"/>
      <c r="AH76" s="544"/>
      <c r="AI76" s="544"/>
      <c r="AJ76" s="544"/>
      <c r="AK76" s="544"/>
      <c r="AL76" s="544"/>
      <c r="AM76" s="544"/>
      <c r="AN76" s="544"/>
      <c r="AO76" s="544"/>
      <c r="AP76" s="544"/>
      <c r="AQ76" s="544"/>
      <c r="AR76" s="544"/>
      <c r="AS76" s="544"/>
      <c r="AT76" s="544"/>
      <c r="AU76" s="544"/>
      <c r="AV76" s="544"/>
      <c r="AW76" s="544"/>
      <c r="AX76" s="544"/>
      <c r="AY76" s="544"/>
      <c r="AZ76" s="544"/>
      <c r="BA76" s="544"/>
      <c r="BB76" s="544"/>
      <c r="BC76" s="544"/>
      <c r="BD76" s="544"/>
      <c r="BE76" s="544"/>
      <c r="BF76" s="544"/>
      <c r="BG76" s="544"/>
      <c r="BH76" s="544"/>
      <c r="BI76" s="544"/>
      <c r="BJ76" s="544"/>
      <c r="BK76" s="544"/>
      <c r="BL76" s="544"/>
      <c r="BM76" s="544"/>
      <c r="BN76" s="544"/>
      <c r="BO76" s="544"/>
      <c r="BP76" s="544"/>
      <c r="BQ76" s="544"/>
      <c r="BR76" s="544"/>
      <c r="BS76" s="544"/>
      <c r="BT76" s="544"/>
      <c r="BU76" s="544"/>
      <c r="BV76" s="544"/>
      <c r="BW76" s="544"/>
      <c r="BX76" s="544"/>
      <c r="BY76" s="544"/>
      <c r="BZ76" s="544"/>
      <c r="CA76" s="544"/>
      <c r="CB76" s="544"/>
      <c r="CC76" s="544"/>
      <c r="CD76" s="544"/>
      <c r="CE76" s="544"/>
      <c r="CF76" s="544"/>
      <c r="CG76" s="544"/>
      <c r="CH76" s="544"/>
      <c r="CI76" s="544"/>
      <c r="CJ76" s="544"/>
      <c r="CK76" s="544"/>
      <c r="CL76" s="544"/>
      <c r="CM76" s="544"/>
      <c r="CN76" s="544"/>
      <c r="CO76" s="544"/>
      <c r="CP76" s="544"/>
      <c r="CQ76" s="544"/>
      <c r="CR76" s="1"/>
    </row>
    <row r="77" spans="1:96">
      <c r="A77" s="91" t="s">
        <v>3261</v>
      </c>
      <c r="B77" s="91" t="s">
        <v>3794</v>
      </c>
      <c r="C77" s="91" t="s">
        <v>3795</v>
      </c>
      <c r="D77" s="91" t="s">
        <v>3570</v>
      </c>
      <c r="E77" s="91" t="s">
        <v>2207</v>
      </c>
      <c r="F77" s="91">
        <v>60085</v>
      </c>
      <c r="G77" s="566">
        <v>0</v>
      </c>
      <c r="H77" s="544"/>
      <c r="I77" s="544"/>
      <c r="J77" s="544"/>
      <c r="K77" s="544"/>
      <c r="L77" s="544"/>
      <c r="M77" s="544"/>
      <c r="N77" s="544"/>
      <c r="O77" s="544"/>
      <c r="P77" s="544"/>
      <c r="Q77" s="544"/>
      <c r="R77" s="544"/>
      <c r="S77" s="544"/>
      <c r="T77" s="544"/>
      <c r="U77" s="544"/>
      <c r="V77" s="544"/>
      <c r="W77" s="544"/>
      <c r="X77" s="544"/>
      <c r="Y77" s="544"/>
      <c r="Z77" s="544"/>
      <c r="AA77" s="544"/>
      <c r="AB77" s="544"/>
      <c r="AC77" s="544"/>
      <c r="AD77" s="544"/>
      <c r="AE77" s="544"/>
      <c r="AF77" s="544"/>
      <c r="AG77" s="544"/>
      <c r="AH77" s="544"/>
      <c r="AI77" s="544"/>
      <c r="AJ77" s="544"/>
      <c r="AK77" s="544"/>
      <c r="AL77" s="544"/>
      <c r="AM77" s="544"/>
      <c r="AN77" s="544"/>
      <c r="AO77" s="544"/>
      <c r="AP77" s="544"/>
      <c r="AQ77" s="544"/>
      <c r="AR77" s="544"/>
      <c r="AS77" s="544"/>
      <c r="AT77" s="544"/>
      <c r="AU77" s="544"/>
      <c r="AV77" s="544"/>
      <c r="AW77" s="544"/>
      <c r="AX77" s="544"/>
      <c r="AY77" s="544"/>
      <c r="AZ77" s="544"/>
      <c r="BA77" s="544"/>
      <c r="BB77" s="544"/>
      <c r="BC77" s="544"/>
      <c r="BD77" s="544"/>
      <c r="BE77" s="544"/>
      <c r="BF77" s="544"/>
      <c r="BG77" s="544"/>
      <c r="BH77" s="544"/>
      <c r="BI77" s="544"/>
      <c r="BJ77" s="544"/>
      <c r="BK77" s="544"/>
      <c r="BL77" s="544"/>
      <c r="BM77" s="544"/>
      <c r="BN77" s="544"/>
      <c r="BO77" s="544"/>
      <c r="BP77" s="544"/>
      <c r="BQ77" s="544"/>
      <c r="BR77" s="544"/>
      <c r="BS77" s="544"/>
      <c r="BT77" s="544"/>
      <c r="BU77" s="544"/>
      <c r="BV77" s="544"/>
      <c r="BW77" s="544"/>
      <c r="BX77" s="544"/>
      <c r="BY77" s="544"/>
      <c r="BZ77" s="544"/>
      <c r="CA77" s="544"/>
      <c r="CB77" s="544"/>
      <c r="CC77" s="544"/>
      <c r="CD77" s="544"/>
      <c r="CE77" s="544"/>
      <c r="CF77" s="544"/>
      <c r="CG77" s="544"/>
      <c r="CH77" s="544"/>
      <c r="CI77" s="544"/>
      <c r="CJ77" s="544"/>
      <c r="CK77" s="544"/>
      <c r="CL77" s="544"/>
      <c r="CM77" s="544"/>
      <c r="CN77" s="544"/>
      <c r="CO77" s="544"/>
      <c r="CP77" s="544"/>
      <c r="CQ77" s="544"/>
      <c r="CR77" s="1"/>
    </row>
    <row r="78" spans="1:96">
      <c r="A78" s="450" t="s">
        <v>3453</v>
      </c>
      <c r="B78" s="91" t="s">
        <v>3796</v>
      </c>
      <c r="C78" s="91" t="s">
        <v>2368</v>
      </c>
      <c r="D78" s="91" t="s">
        <v>2206</v>
      </c>
      <c r="E78" s="91" t="s">
        <v>2207</v>
      </c>
      <c r="F78" s="91">
        <v>95206</v>
      </c>
      <c r="G78" s="92">
        <v>0</v>
      </c>
      <c r="H78" s="544" t="s">
        <v>3797</v>
      </c>
      <c r="I78" s="544"/>
      <c r="J78" s="544"/>
      <c r="K78" s="544"/>
      <c r="L78" s="544"/>
      <c r="M78" s="544"/>
      <c r="N78" s="544"/>
      <c r="O78" s="544"/>
      <c r="P78" s="544"/>
      <c r="Q78" s="544"/>
      <c r="R78" s="544"/>
      <c r="S78" s="544"/>
      <c r="T78" s="544"/>
      <c r="U78" s="544"/>
      <c r="V78" s="544"/>
      <c r="W78" s="544"/>
      <c r="X78" s="544"/>
      <c r="Y78" s="544"/>
      <c r="Z78" s="544"/>
      <c r="AA78" s="544"/>
      <c r="AB78" s="544"/>
      <c r="AC78" s="544"/>
      <c r="AD78" s="544"/>
      <c r="AE78" s="544"/>
      <c r="AF78" s="544"/>
      <c r="AG78" s="544"/>
      <c r="AH78" s="544"/>
      <c r="AI78" s="544"/>
      <c r="AJ78" s="544"/>
      <c r="AK78" s="544"/>
      <c r="AL78" s="544"/>
      <c r="AM78" s="544"/>
      <c r="AN78" s="544"/>
      <c r="AO78" s="544"/>
      <c r="AP78" s="544"/>
      <c r="AQ78" s="544"/>
      <c r="AR78" s="544"/>
      <c r="AS78" s="544"/>
      <c r="AT78" s="544"/>
      <c r="AU78" s="544"/>
      <c r="AV78" s="544"/>
      <c r="AW78" s="544"/>
      <c r="AX78" s="544"/>
      <c r="AY78" s="544"/>
      <c r="AZ78" s="544"/>
      <c r="BA78" s="544"/>
      <c r="BB78" s="544"/>
      <c r="BC78" s="544"/>
      <c r="BD78" s="544"/>
      <c r="BE78" s="544"/>
      <c r="BF78" s="544"/>
      <c r="BG78" s="544"/>
      <c r="BH78" s="544"/>
      <c r="BI78" s="544"/>
      <c r="BJ78" s="544"/>
      <c r="BK78" s="544"/>
      <c r="BL78" s="544"/>
      <c r="BM78" s="544"/>
      <c r="BN78" s="544"/>
      <c r="BO78" s="544"/>
      <c r="BP78" s="544"/>
      <c r="BQ78" s="544"/>
      <c r="BR78" s="544"/>
      <c r="BS78" s="544"/>
      <c r="BT78" s="544"/>
      <c r="BU78" s="544"/>
      <c r="BV78" s="544"/>
      <c r="BW78" s="544"/>
      <c r="BX78" s="544"/>
      <c r="BY78" s="544"/>
      <c r="BZ78" s="544"/>
      <c r="CA78" s="544"/>
      <c r="CB78" s="544"/>
      <c r="CC78" s="544"/>
      <c r="CD78" s="544"/>
      <c r="CE78" s="544"/>
      <c r="CF78" s="544"/>
      <c r="CG78" s="544"/>
      <c r="CH78" s="544"/>
      <c r="CI78" s="544"/>
      <c r="CJ78" s="544"/>
      <c r="CK78" s="544"/>
      <c r="CL78" s="544"/>
      <c r="CM78" s="544"/>
      <c r="CN78" s="544"/>
      <c r="CO78" s="544"/>
      <c r="CP78" s="544"/>
      <c r="CQ78" s="544"/>
      <c r="CR78" s="1"/>
    </row>
    <row r="79" spans="1:96">
      <c r="A79" s="232" t="s">
        <v>2405</v>
      </c>
      <c r="B79" s="232" t="s">
        <v>3798</v>
      </c>
      <c r="C79" s="232" t="s">
        <v>3607</v>
      </c>
      <c r="D79" s="232" t="s">
        <v>3570</v>
      </c>
      <c r="E79" s="91" t="s">
        <v>2207</v>
      </c>
      <c r="F79" s="232">
        <v>60601</v>
      </c>
      <c r="G79" s="92">
        <v>0.03</v>
      </c>
      <c r="H79" s="7" t="s">
        <v>3799</v>
      </c>
      <c r="I79" s="544"/>
      <c r="J79" s="544"/>
      <c r="K79" s="544"/>
      <c r="L79" s="544"/>
      <c r="M79" s="544"/>
      <c r="N79" s="544"/>
      <c r="O79" s="544"/>
      <c r="P79" s="544"/>
      <c r="Q79" s="544"/>
      <c r="R79" s="544"/>
      <c r="S79" s="544"/>
      <c r="T79" s="544"/>
      <c r="U79" s="544"/>
      <c r="V79" s="544"/>
      <c r="W79" s="544"/>
      <c r="X79" s="544"/>
      <c r="Y79" s="544"/>
      <c r="Z79" s="544"/>
      <c r="AA79" s="544"/>
      <c r="AB79" s="544"/>
      <c r="AC79" s="544"/>
      <c r="AD79" s="544"/>
      <c r="AE79" s="544"/>
      <c r="AF79" s="544"/>
      <c r="AG79" s="544"/>
      <c r="AH79" s="544"/>
      <c r="AI79" s="544"/>
      <c r="AJ79" s="544"/>
      <c r="AK79" s="544"/>
      <c r="AL79" s="544"/>
      <c r="AM79" s="544"/>
      <c r="AN79" s="544"/>
      <c r="AO79" s="544"/>
      <c r="AP79" s="544"/>
      <c r="AQ79" s="544"/>
      <c r="AR79" s="544"/>
      <c r="AS79" s="544"/>
      <c r="AT79" s="544"/>
      <c r="AU79" s="544"/>
      <c r="AV79" s="544"/>
      <c r="AW79" s="544"/>
      <c r="AX79" s="544"/>
      <c r="AY79" s="544"/>
      <c r="AZ79" s="544"/>
      <c r="BA79" s="544"/>
      <c r="BB79" s="544"/>
      <c r="BC79" s="544"/>
      <c r="BD79" s="544"/>
      <c r="BE79" s="544"/>
      <c r="BF79" s="544"/>
      <c r="BG79" s="544"/>
      <c r="BH79" s="544"/>
      <c r="BI79" s="544"/>
      <c r="BJ79" s="544"/>
      <c r="BK79" s="544"/>
      <c r="BL79" s="544"/>
      <c r="BM79" s="544"/>
      <c r="BN79" s="544"/>
      <c r="BO79" s="544"/>
      <c r="BP79" s="544"/>
      <c r="BQ79" s="544"/>
      <c r="BR79" s="544"/>
      <c r="BS79" s="544"/>
      <c r="BT79" s="544"/>
      <c r="BU79" s="544"/>
      <c r="BV79" s="544"/>
      <c r="BW79" s="544"/>
      <c r="BX79" s="544"/>
      <c r="BY79" s="544"/>
      <c r="BZ79" s="544"/>
      <c r="CA79" s="544"/>
      <c r="CB79" s="544"/>
      <c r="CC79" s="544"/>
      <c r="CD79" s="544"/>
      <c r="CE79" s="544"/>
      <c r="CF79" s="544"/>
      <c r="CG79" s="544"/>
      <c r="CH79" s="544"/>
      <c r="CI79" s="544"/>
      <c r="CJ79" s="544"/>
      <c r="CK79" s="544"/>
      <c r="CL79" s="544"/>
      <c r="CM79" s="544"/>
      <c r="CN79" s="544"/>
      <c r="CO79" s="544"/>
      <c r="CP79" s="544"/>
      <c r="CQ79" s="544"/>
      <c r="CR79" s="1"/>
    </row>
    <row r="80" spans="1:96">
      <c r="A80" s="91" t="s">
        <v>3535</v>
      </c>
      <c r="B80" s="91" t="s">
        <v>3800</v>
      </c>
      <c r="C80" s="91" t="s">
        <v>3801</v>
      </c>
      <c r="D80" s="91" t="s">
        <v>2206</v>
      </c>
      <c r="E80" s="91" t="s">
        <v>2207</v>
      </c>
      <c r="F80" s="91">
        <v>90232</v>
      </c>
      <c r="G80" s="566">
        <v>0</v>
      </c>
      <c r="H80" s="544"/>
      <c r="I80" s="544"/>
      <c r="J80" s="544"/>
      <c r="K80" s="544"/>
      <c r="L80" s="544"/>
      <c r="M80" s="544"/>
      <c r="N80" s="544"/>
      <c r="O80" s="544"/>
      <c r="P80" s="544"/>
      <c r="Q80" s="544"/>
      <c r="R80" s="544"/>
      <c r="S80" s="544"/>
      <c r="T80" s="544"/>
      <c r="U80" s="544"/>
      <c r="V80" s="544"/>
      <c r="W80" s="544"/>
      <c r="X80" s="544"/>
      <c r="Y80" s="544"/>
      <c r="Z80" s="544"/>
      <c r="AA80" s="544"/>
      <c r="AB80" s="544"/>
      <c r="AC80" s="544"/>
      <c r="AD80" s="544"/>
      <c r="AE80" s="544"/>
      <c r="AF80" s="544"/>
      <c r="AG80" s="544"/>
      <c r="AH80" s="544"/>
      <c r="AI80" s="544"/>
      <c r="AJ80" s="544"/>
      <c r="AK80" s="544"/>
      <c r="AL80" s="544"/>
      <c r="AM80" s="544"/>
      <c r="AN80" s="544"/>
      <c r="AO80" s="544"/>
      <c r="AP80" s="544"/>
      <c r="AQ80" s="544"/>
      <c r="AR80" s="544"/>
      <c r="AS80" s="544"/>
      <c r="AT80" s="544"/>
      <c r="AU80" s="544"/>
      <c r="AV80" s="544"/>
      <c r="AW80" s="544"/>
      <c r="AX80" s="544"/>
      <c r="AY80" s="544"/>
      <c r="AZ80" s="544"/>
      <c r="BA80" s="544"/>
      <c r="BB80" s="544"/>
      <c r="BC80" s="544"/>
      <c r="BD80" s="544"/>
      <c r="BE80" s="544"/>
      <c r="BF80" s="544"/>
      <c r="BG80" s="544"/>
      <c r="BH80" s="544"/>
      <c r="BI80" s="544"/>
      <c r="BJ80" s="544"/>
      <c r="BK80" s="544"/>
      <c r="BL80" s="544"/>
      <c r="BM80" s="544"/>
      <c r="BN80" s="544"/>
      <c r="BO80" s="544"/>
      <c r="BP80" s="544"/>
      <c r="BQ80" s="544"/>
      <c r="BR80" s="544"/>
      <c r="BS80" s="544"/>
      <c r="BT80" s="544"/>
      <c r="BU80" s="544"/>
      <c r="BV80" s="544"/>
      <c r="BW80" s="544"/>
      <c r="BX80" s="544"/>
      <c r="BY80" s="544"/>
      <c r="BZ80" s="544"/>
      <c r="CA80" s="544"/>
      <c r="CB80" s="544"/>
      <c r="CC80" s="544"/>
      <c r="CD80" s="544"/>
      <c r="CE80" s="544"/>
      <c r="CF80" s="544"/>
      <c r="CG80" s="544"/>
      <c r="CH80" s="544"/>
      <c r="CI80" s="544"/>
      <c r="CJ80" s="544"/>
      <c r="CK80" s="544"/>
      <c r="CL80" s="544"/>
      <c r="CM80" s="544"/>
      <c r="CN80" s="544"/>
      <c r="CO80" s="544"/>
      <c r="CP80" s="544"/>
      <c r="CQ80" s="544"/>
      <c r="CR80" s="1"/>
    </row>
    <row r="81" spans="1:96">
      <c r="A81" s="91" t="s">
        <v>3543</v>
      </c>
      <c r="B81" s="91" t="s">
        <v>3802</v>
      </c>
      <c r="C81" s="91" t="s">
        <v>3803</v>
      </c>
      <c r="D81" s="91" t="s">
        <v>3804</v>
      </c>
      <c r="E81" s="91" t="s">
        <v>2207</v>
      </c>
      <c r="F81" s="91">
        <v>84011</v>
      </c>
      <c r="G81" s="566">
        <v>0</v>
      </c>
      <c r="H81" s="544" t="s">
        <v>3805</v>
      </c>
      <c r="I81" s="544"/>
      <c r="J81" s="544"/>
      <c r="K81" s="544"/>
      <c r="L81" s="544"/>
      <c r="M81" s="544"/>
      <c r="N81" s="544"/>
      <c r="O81" s="544"/>
      <c r="P81" s="544"/>
      <c r="Q81" s="544"/>
      <c r="R81" s="544"/>
      <c r="S81" s="544"/>
      <c r="T81" s="544"/>
      <c r="U81" s="544"/>
      <c r="V81" s="544"/>
      <c r="W81" s="544"/>
      <c r="X81" s="544"/>
      <c r="Y81" s="544"/>
      <c r="Z81" s="544"/>
      <c r="AA81" s="544"/>
      <c r="AB81" s="544"/>
      <c r="AC81" s="544"/>
      <c r="AD81" s="544"/>
      <c r="AE81" s="544"/>
      <c r="AF81" s="544"/>
      <c r="AG81" s="544"/>
      <c r="AH81" s="544"/>
      <c r="AI81" s="544"/>
      <c r="AJ81" s="544"/>
      <c r="AK81" s="544"/>
      <c r="AL81" s="544"/>
      <c r="AM81" s="544"/>
      <c r="AN81" s="544"/>
      <c r="AO81" s="544"/>
      <c r="AP81" s="544"/>
      <c r="AQ81" s="544"/>
      <c r="AR81" s="544"/>
      <c r="AS81" s="544"/>
      <c r="AT81" s="544"/>
      <c r="AU81" s="544"/>
      <c r="AV81" s="544"/>
      <c r="AW81" s="544"/>
      <c r="AX81" s="544"/>
      <c r="AY81" s="544"/>
      <c r="AZ81" s="544"/>
      <c r="BA81" s="544"/>
      <c r="BB81" s="544"/>
      <c r="BC81" s="544"/>
      <c r="BD81" s="544"/>
      <c r="BE81" s="544"/>
      <c r="BF81" s="544"/>
      <c r="BG81" s="544"/>
      <c r="BH81" s="544"/>
      <c r="BI81" s="544"/>
      <c r="BJ81" s="544"/>
      <c r="BK81" s="544"/>
      <c r="BL81" s="544"/>
      <c r="BM81" s="544"/>
      <c r="BN81" s="544"/>
      <c r="BO81" s="544"/>
      <c r="BP81" s="544"/>
      <c r="BQ81" s="544"/>
      <c r="BR81" s="544"/>
      <c r="BS81" s="544"/>
      <c r="BT81" s="544"/>
      <c r="BU81" s="544"/>
      <c r="BV81" s="544"/>
      <c r="BW81" s="544"/>
      <c r="BX81" s="544"/>
      <c r="BY81" s="544"/>
      <c r="BZ81" s="544"/>
      <c r="CA81" s="544"/>
      <c r="CB81" s="544"/>
      <c r="CC81" s="544"/>
      <c r="CD81" s="544"/>
      <c r="CE81" s="544"/>
      <c r="CF81" s="544"/>
      <c r="CG81" s="544"/>
      <c r="CH81" s="544"/>
      <c r="CI81" s="544"/>
      <c r="CJ81" s="544"/>
      <c r="CK81" s="544"/>
      <c r="CL81" s="544"/>
      <c r="CM81" s="544"/>
      <c r="CN81" s="544"/>
      <c r="CO81" s="544"/>
      <c r="CP81" s="544"/>
      <c r="CQ81" s="544"/>
      <c r="CR81" s="1"/>
    </row>
    <row r="82" spans="1:96">
      <c r="H82" s="544"/>
      <c r="I82" s="544"/>
      <c r="J82" s="544"/>
      <c r="K82" s="544"/>
      <c r="L82" s="544"/>
      <c r="M82" s="544"/>
      <c r="N82" s="544"/>
      <c r="O82" s="544"/>
      <c r="P82" s="544"/>
      <c r="Q82" s="544"/>
      <c r="R82" s="544"/>
      <c r="S82" s="544"/>
      <c r="T82" s="544"/>
      <c r="U82" s="544"/>
      <c r="V82" s="544"/>
      <c r="W82" s="544"/>
      <c r="X82" s="544"/>
      <c r="Y82" s="544"/>
      <c r="Z82" s="544"/>
      <c r="AA82" s="544"/>
      <c r="AB82" s="544"/>
      <c r="AC82" s="544"/>
      <c r="AD82" s="544"/>
      <c r="AE82" s="544"/>
      <c r="AF82" s="544"/>
      <c r="AG82" s="544"/>
      <c r="AH82" s="544"/>
      <c r="AI82" s="544"/>
      <c r="AJ82" s="544"/>
      <c r="AK82" s="544"/>
      <c r="AL82" s="544"/>
      <c r="AM82" s="544"/>
      <c r="AN82" s="544"/>
      <c r="AO82" s="544"/>
      <c r="AP82" s="544"/>
      <c r="AQ82" s="544"/>
      <c r="AR82" s="544"/>
      <c r="AS82" s="544"/>
      <c r="AT82" s="544"/>
      <c r="AU82" s="544"/>
      <c r="AV82" s="544"/>
      <c r="AW82" s="544"/>
      <c r="AX82" s="544"/>
      <c r="AY82" s="544"/>
      <c r="AZ82" s="544"/>
      <c r="BA82" s="544"/>
      <c r="BB82" s="544"/>
      <c r="BC82" s="544"/>
      <c r="BD82" s="544"/>
      <c r="BE82" s="544"/>
      <c r="BF82" s="544"/>
      <c r="BG82" s="544"/>
      <c r="BH82" s="544"/>
      <c r="BI82" s="544"/>
      <c r="BJ82" s="544"/>
      <c r="BK82" s="544"/>
      <c r="BL82" s="544"/>
      <c r="BM82" s="544"/>
      <c r="BN82" s="544"/>
      <c r="BO82" s="544"/>
      <c r="BP82" s="544"/>
      <c r="BQ82" s="544"/>
      <c r="BR82" s="544"/>
      <c r="BS82" s="544"/>
      <c r="BT82" s="544"/>
      <c r="BU82" s="544"/>
      <c r="BV82" s="544"/>
      <c r="BW82" s="544"/>
      <c r="BX82" s="544"/>
      <c r="BY82" s="544"/>
      <c r="BZ82" s="544"/>
      <c r="CA82" s="544"/>
      <c r="CB82" s="544"/>
      <c r="CC82" s="544"/>
      <c r="CD82" s="544"/>
      <c r="CE82" s="544"/>
      <c r="CF82" s="544"/>
      <c r="CG82" s="544"/>
      <c r="CH82" s="544"/>
      <c r="CI82" s="544"/>
      <c r="CJ82" s="544"/>
      <c r="CK82" s="544"/>
      <c r="CL82" s="544"/>
      <c r="CM82" s="544"/>
      <c r="CN82" s="544"/>
      <c r="CO82" s="544"/>
      <c r="CP82" s="544"/>
      <c r="CQ82" s="544"/>
      <c r="CR82" s="1"/>
    </row>
    <row r="83" spans="1:96">
      <c r="H83" s="544"/>
      <c r="I83" s="544"/>
      <c r="J83" s="544"/>
      <c r="K83" s="544"/>
      <c r="L83" s="544"/>
      <c r="M83" s="544"/>
      <c r="N83" s="544"/>
      <c r="O83" s="544"/>
      <c r="P83" s="544"/>
      <c r="Q83" s="544"/>
      <c r="R83" s="544"/>
      <c r="S83" s="544"/>
      <c r="T83" s="544"/>
      <c r="U83" s="544"/>
      <c r="V83" s="544"/>
      <c r="W83" s="544"/>
      <c r="X83" s="544"/>
      <c r="Y83" s="544"/>
      <c r="Z83" s="544"/>
      <c r="AA83" s="544"/>
      <c r="AB83" s="544"/>
      <c r="AC83" s="544"/>
      <c r="AD83" s="544"/>
      <c r="AE83" s="544"/>
      <c r="AF83" s="544"/>
      <c r="AG83" s="544"/>
      <c r="AH83" s="544"/>
      <c r="AI83" s="544"/>
      <c r="AJ83" s="544"/>
      <c r="AK83" s="544"/>
      <c r="AL83" s="544"/>
      <c r="AM83" s="544"/>
      <c r="AN83" s="544"/>
      <c r="AO83" s="544"/>
      <c r="AP83" s="544"/>
      <c r="AQ83" s="544"/>
      <c r="AR83" s="544"/>
      <c r="AS83" s="544"/>
      <c r="AT83" s="544"/>
      <c r="AU83" s="544"/>
      <c r="AV83" s="544"/>
      <c r="AW83" s="544"/>
      <c r="AX83" s="544"/>
      <c r="AY83" s="544"/>
      <c r="AZ83" s="544"/>
      <c r="BA83" s="544"/>
      <c r="BB83" s="544"/>
      <c r="BC83" s="544"/>
      <c r="BD83" s="544"/>
      <c r="BE83" s="544"/>
      <c r="BF83" s="544"/>
      <c r="BG83" s="544"/>
      <c r="BH83" s="544"/>
      <c r="BI83" s="544"/>
      <c r="BJ83" s="544"/>
      <c r="BK83" s="544"/>
      <c r="BL83" s="544"/>
      <c r="BM83" s="544"/>
      <c r="BN83" s="544"/>
      <c r="BO83" s="544"/>
      <c r="BP83" s="544"/>
      <c r="BQ83" s="544"/>
      <c r="BR83" s="544"/>
      <c r="BS83" s="544"/>
      <c r="BT83" s="544"/>
      <c r="BU83" s="544"/>
      <c r="BV83" s="544"/>
      <c r="BW83" s="544"/>
      <c r="BX83" s="544"/>
      <c r="BY83" s="544"/>
      <c r="BZ83" s="544"/>
      <c r="CA83" s="544"/>
      <c r="CB83" s="544"/>
      <c r="CC83" s="544"/>
      <c r="CD83" s="544"/>
      <c r="CE83" s="544"/>
      <c r="CF83" s="544"/>
      <c r="CG83" s="544"/>
      <c r="CH83" s="544"/>
      <c r="CI83" s="544"/>
      <c r="CJ83" s="544"/>
      <c r="CK83" s="544"/>
      <c r="CL83" s="544"/>
      <c r="CM83" s="544"/>
      <c r="CN83" s="544"/>
      <c r="CO83" s="544"/>
      <c r="CP83" s="544"/>
      <c r="CQ83" s="544"/>
      <c r="CR83" s="1"/>
    </row>
    <row r="84" spans="1:96">
      <c r="H84" s="544"/>
      <c r="I84" s="544"/>
      <c r="J84" s="544"/>
      <c r="K84" s="544"/>
      <c r="L84" s="544"/>
      <c r="M84" s="544"/>
      <c r="N84" s="544"/>
      <c r="O84" s="544"/>
      <c r="P84" s="544"/>
      <c r="Q84" s="544"/>
      <c r="R84" s="544"/>
      <c r="S84" s="544"/>
      <c r="T84" s="544"/>
      <c r="U84" s="544"/>
      <c r="V84" s="544"/>
      <c r="W84" s="544"/>
      <c r="X84" s="544"/>
      <c r="Y84" s="544"/>
      <c r="Z84" s="544"/>
      <c r="AA84" s="544"/>
      <c r="AB84" s="544"/>
      <c r="AC84" s="544"/>
      <c r="AD84" s="544"/>
      <c r="AE84" s="544"/>
      <c r="AF84" s="544"/>
      <c r="AG84" s="544"/>
      <c r="AH84" s="544"/>
      <c r="AI84" s="544"/>
      <c r="AJ84" s="544"/>
      <c r="AK84" s="544"/>
      <c r="AL84" s="544"/>
      <c r="AM84" s="544"/>
      <c r="AN84" s="544"/>
      <c r="AO84" s="544"/>
      <c r="AP84" s="544"/>
      <c r="AQ84" s="544"/>
      <c r="AR84" s="544"/>
      <c r="AS84" s="544"/>
      <c r="AT84" s="544"/>
      <c r="AU84" s="544"/>
      <c r="AV84" s="544"/>
      <c r="AW84" s="544"/>
      <c r="AX84" s="544"/>
      <c r="AY84" s="544"/>
      <c r="AZ84" s="544"/>
      <c r="BA84" s="544"/>
      <c r="BB84" s="544"/>
      <c r="BC84" s="544"/>
      <c r="BD84" s="544"/>
      <c r="BE84" s="544"/>
      <c r="BF84" s="544"/>
      <c r="BG84" s="544"/>
      <c r="BH84" s="544"/>
      <c r="BI84" s="544"/>
      <c r="BJ84" s="544"/>
      <c r="BK84" s="544"/>
      <c r="BL84" s="544"/>
      <c r="BM84" s="544"/>
      <c r="BN84" s="544"/>
      <c r="BO84" s="544"/>
      <c r="BP84" s="544"/>
      <c r="BQ84" s="544"/>
      <c r="BR84" s="544"/>
      <c r="BS84" s="544"/>
      <c r="BT84" s="544"/>
      <c r="BU84" s="544"/>
      <c r="BV84" s="544"/>
      <c r="BW84" s="544"/>
      <c r="BX84" s="544"/>
      <c r="BY84" s="544"/>
      <c r="BZ84" s="544"/>
      <c r="CA84" s="544"/>
      <c r="CB84" s="544"/>
      <c r="CC84" s="544"/>
      <c r="CD84" s="544"/>
      <c r="CE84" s="544"/>
      <c r="CF84" s="544"/>
      <c r="CG84" s="544"/>
      <c r="CH84" s="544"/>
      <c r="CI84" s="544"/>
      <c r="CJ84" s="544"/>
      <c r="CK84" s="544"/>
      <c r="CL84" s="544"/>
      <c r="CM84" s="544"/>
      <c r="CN84" s="544"/>
      <c r="CO84" s="544"/>
      <c r="CP84" s="544"/>
      <c r="CQ84" s="544"/>
      <c r="CR84" s="1"/>
    </row>
    <row r="85" spans="1:96">
      <c r="H85" s="544"/>
      <c r="I85" s="544"/>
      <c r="J85" s="544"/>
      <c r="K85" s="544"/>
      <c r="L85" s="544"/>
      <c r="M85" s="544"/>
      <c r="N85" s="544"/>
      <c r="O85" s="544"/>
      <c r="P85" s="544"/>
      <c r="Q85" s="544"/>
      <c r="R85" s="544"/>
      <c r="S85" s="544"/>
      <c r="T85" s="544"/>
      <c r="U85" s="544"/>
      <c r="V85" s="544"/>
      <c r="W85" s="544"/>
      <c r="X85" s="544"/>
      <c r="Y85" s="544"/>
      <c r="Z85" s="544"/>
      <c r="AA85" s="544"/>
      <c r="AB85" s="544"/>
      <c r="AC85" s="544"/>
      <c r="AD85" s="544"/>
      <c r="AE85" s="544"/>
      <c r="AF85" s="544"/>
      <c r="AG85" s="544"/>
      <c r="AH85" s="544"/>
      <c r="AI85" s="544"/>
      <c r="AJ85" s="544"/>
      <c r="AK85" s="544"/>
      <c r="AL85" s="544"/>
      <c r="AM85" s="544"/>
      <c r="AN85" s="544"/>
      <c r="AO85" s="544"/>
      <c r="AP85" s="544"/>
      <c r="AQ85" s="544"/>
      <c r="AR85" s="544"/>
      <c r="AS85" s="544"/>
      <c r="AT85" s="544"/>
      <c r="AU85" s="544"/>
      <c r="AV85" s="544"/>
      <c r="AW85" s="544"/>
      <c r="AX85" s="544"/>
      <c r="AY85" s="544"/>
      <c r="AZ85" s="544"/>
      <c r="BA85" s="544"/>
      <c r="BB85" s="544"/>
      <c r="BC85" s="544"/>
      <c r="BD85" s="544"/>
      <c r="BE85" s="544"/>
      <c r="BF85" s="544"/>
      <c r="BG85" s="544"/>
      <c r="BH85" s="544"/>
      <c r="BI85" s="544"/>
      <c r="BJ85" s="544"/>
      <c r="BK85" s="544"/>
      <c r="BL85" s="544"/>
      <c r="BM85" s="544"/>
      <c r="BN85" s="544"/>
      <c r="BO85" s="544"/>
      <c r="BP85" s="544"/>
      <c r="BQ85" s="544"/>
      <c r="BR85" s="544"/>
      <c r="BS85" s="544"/>
      <c r="BT85" s="544"/>
      <c r="BU85" s="544"/>
      <c r="BV85" s="544"/>
      <c r="BW85" s="544"/>
      <c r="BX85" s="544"/>
      <c r="BY85" s="544"/>
      <c r="BZ85" s="544"/>
      <c r="CA85" s="544"/>
      <c r="CB85" s="544"/>
      <c r="CC85" s="544"/>
      <c r="CD85" s="544"/>
      <c r="CE85" s="544"/>
      <c r="CF85" s="544"/>
      <c r="CG85" s="544"/>
      <c r="CH85" s="544"/>
      <c r="CI85" s="544"/>
      <c r="CJ85" s="544"/>
      <c r="CK85" s="544"/>
      <c r="CL85" s="544"/>
      <c r="CM85" s="544"/>
      <c r="CN85" s="544"/>
      <c r="CO85" s="544"/>
      <c r="CP85" s="544"/>
      <c r="CQ85" s="544"/>
      <c r="CR85" s="1"/>
    </row>
    <row r="86" spans="1:96">
      <c r="H86" s="544"/>
      <c r="I86" s="544"/>
      <c r="J86" s="544"/>
      <c r="K86" s="544"/>
      <c r="L86" s="544"/>
      <c r="M86" s="544"/>
      <c r="N86" s="544"/>
      <c r="O86" s="544"/>
      <c r="P86" s="544"/>
      <c r="Q86" s="544"/>
      <c r="R86" s="544"/>
      <c r="S86" s="544"/>
      <c r="T86" s="544"/>
      <c r="U86" s="544"/>
      <c r="V86" s="544"/>
      <c r="W86" s="544"/>
      <c r="X86" s="544"/>
      <c r="Y86" s="544"/>
      <c r="Z86" s="544"/>
      <c r="AA86" s="544"/>
      <c r="AB86" s="544"/>
      <c r="AC86" s="544"/>
      <c r="AD86" s="544"/>
      <c r="AE86" s="544"/>
      <c r="AF86" s="544"/>
      <c r="AG86" s="544"/>
      <c r="AH86" s="544"/>
      <c r="AI86" s="544"/>
      <c r="AJ86" s="544"/>
      <c r="AK86" s="544"/>
      <c r="AL86" s="544"/>
      <c r="AM86" s="544"/>
      <c r="AN86" s="544"/>
      <c r="AO86" s="544"/>
      <c r="AP86" s="544"/>
      <c r="AQ86" s="544"/>
      <c r="AR86" s="544"/>
      <c r="AS86" s="544"/>
      <c r="AT86" s="544"/>
      <c r="AU86" s="544"/>
      <c r="AV86" s="544"/>
      <c r="AW86" s="544"/>
      <c r="AX86" s="544"/>
      <c r="AY86" s="544"/>
      <c r="AZ86" s="544"/>
      <c r="BA86" s="544"/>
      <c r="BB86" s="544"/>
      <c r="BC86" s="544"/>
      <c r="BD86" s="544"/>
      <c r="BE86" s="544"/>
      <c r="BF86" s="544"/>
      <c r="BG86" s="544"/>
      <c r="BH86" s="544"/>
      <c r="BI86" s="544"/>
      <c r="BJ86" s="544"/>
      <c r="BK86" s="544"/>
      <c r="BL86" s="544"/>
      <c r="BM86" s="544"/>
      <c r="BN86" s="544"/>
      <c r="BO86" s="544"/>
      <c r="BP86" s="544"/>
      <c r="BQ86" s="544"/>
      <c r="BR86" s="544"/>
      <c r="BS86" s="544"/>
      <c r="BT86" s="544"/>
      <c r="BU86" s="544"/>
      <c r="BV86" s="544"/>
      <c r="BW86" s="544"/>
      <c r="BX86" s="544"/>
      <c r="BY86" s="544"/>
      <c r="BZ86" s="544"/>
      <c r="CA86" s="544"/>
      <c r="CB86" s="544"/>
      <c r="CC86" s="544"/>
      <c r="CD86" s="544"/>
      <c r="CE86" s="544"/>
      <c r="CF86" s="544"/>
      <c r="CG86" s="544"/>
      <c r="CH86" s="544"/>
      <c r="CI86" s="544"/>
      <c r="CJ86" s="544"/>
      <c r="CK86" s="544"/>
      <c r="CL86" s="544"/>
      <c r="CM86" s="544"/>
      <c r="CN86" s="544"/>
      <c r="CO86" s="544"/>
      <c r="CP86" s="544"/>
      <c r="CQ86" s="544"/>
      <c r="CR86" s="1"/>
    </row>
    <row r="87" spans="1:96">
      <c r="H87" s="544"/>
      <c r="I87" s="544"/>
      <c r="J87" s="544"/>
      <c r="K87" s="544"/>
      <c r="L87" s="544"/>
      <c r="M87" s="544"/>
      <c r="N87" s="544"/>
      <c r="O87" s="544"/>
      <c r="P87" s="544"/>
      <c r="Q87" s="544"/>
      <c r="R87" s="544"/>
      <c r="S87" s="544"/>
      <c r="T87" s="544"/>
      <c r="U87" s="544"/>
      <c r="V87" s="544"/>
      <c r="W87" s="544"/>
      <c r="X87" s="544"/>
      <c r="Y87" s="544"/>
      <c r="Z87" s="544"/>
      <c r="AA87" s="544"/>
      <c r="AB87" s="544"/>
      <c r="AC87" s="544"/>
      <c r="AD87" s="544"/>
      <c r="AE87" s="544"/>
      <c r="AF87" s="544"/>
      <c r="AG87" s="544"/>
      <c r="AH87" s="544"/>
      <c r="AI87" s="544"/>
      <c r="AJ87" s="544"/>
      <c r="AK87" s="544"/>
      <c r="AL87" s="544"/>
      <c r="AM87" s="544"/>
      <c r="AN87" s="544"/>
      <c r="AO87" s="544"/>
      <c r="AP87" s="544"/>
      <c r="AQ87" s="544"/>
      <c r="AR87" s="544"/>
      <c r="AS87" s="544"/>
      <c r="AT87" s="544"/>
      <c r="AU87" s="544"/>
      <c r="AV87" s="544"/>
      <c r="AW87" s="544"/>
      <c r="AX87" s="544"/>
      <c r="AY87" s="544"/>
      <c r="AZ87" s="544"/>
      <c r="BA87" s="544"/>
      <c r="BB87" s="544"/>
      <c r="BC87" s="544"/>
      <c r="BD87" s="544"/>
      <c r="BE87" s="544"/>
      <c r="BF87" s="544"/>
      <c r="BG87" s="544"/>
      <c r="BH87" s="544"/>
      <c r="BI87" s="544"/>
      <c r="BJ87" s="544"/>
      <c r="BK87" s="544"/>
      <c r="BL87" s="544"/>
      <c r="BM87" s="544"/>
      <c r="BN87" s="544"/>
      <c r="BO87" s="544"/>
      <c r="BP87" s="544"/>
      <c r="BQ87" s="544"/>
      <c r="BR87" s="544"/>
      <c r="BS87" s="544"/>
      <c r="BT87" s="544"/>
      <c r="BU87" s="544"/>
      <c r="BV87" s="544"/>
      <c r="BW87" s="544"/>
      <c r="BX87" s="544"/>
      <c r="BY87" s="544"/>
      <c r="BZ87" s="544"/>
      <c r="CA87" s="544"/>
      <c r="CB87" s="544"/>
      <c r="CC87" s="544"/>
      <c r="CD87" s="544"/>
      <c r="CE87" s="544"/>
      <c r="CF87" s="544"/>
      <c r="CG87" s="544"/>
      <c r="CH87" s="544"/>
      <c r="CI87" s="544"/>
      <c r="CJ87" s="544"/>
      <c r="CK87" s="544"/>
      <c r="CL87" s="544"/>
      <c r="CM87" s="544"/>
      <c r="CN87" s="544"/>
      <c r="CO87" s="544"/>
      <c r="CP87" s="544"/>
      <c r="CQ87" s="544"/>
      <c r="CR87" s="1"/>
    </row>
    <row r="88" spans="1:96">
      <c r="H88" s="544"/>
      <c r="I88" s="544"/>
      <c r="J88" s="544"/>
      <c r="K88" s="544"/>
      <c r="L88" s="544"/>
      <c r="M88" s="544"/>
      <c r="N88" s="544"/>
      <c r="O88" s="544"/>
      <c r="P88" s="544"/>
      <c r="Q88" s="544"/>
      <c r="R88" s="544"/>
      <c r="S88" s="544"/>
      <c r="T88" s="544"/>
      <c r="U88" s="544"/>
      <c r="V88" s="544"/>
      <c r="W88" s="544"/>
      <c r="X88" s="544"/>
      <c r="Y88" s="544"/>
      <c r="Z88" s="544"/>
      <c r="AA88" s="544"/>
      <c r="AB88" s="544"/>
      <c r="AC88" s="544"/>
      <c r="AD88" s="544"/>
      <c r="AE88" s="544"/>
      <c r="AF88" s="544"/>
      <c r="AG88" s="544"/>
      <c r="AH88" s="544"/>
      <c r="AI88" s="544"/>
      <c r="AJ88" s="544"/>
      <c r="AK88" s="544"/>
      <c r="AL88" s="544"/>
      <c r="AM88" s="544"/>
      <c r="AN88" s="544"/>
      <c r="AO88" s="544"/>
      <c r="AP88" s="544"/>
      <c r="AQ88" s="544"/>
      <c r="AR88" s="544"/>
      <c r="AS88" s="544"/>
      <c r="AT88" s="544"/>
      <c r="AU88" s="544"/>
      <c r="AV88" s="544"/>
      <c r="AW88" s="544"/>
      <c r="AX88" s="544"/>
      <c r="AY88" s="544"/>
      <c r="AZ88" s="544"/>
      <c r="BA88" s="544"/>
      <c r="BB88" s="544"/>
      <c r="BC88" s="544"/>
      <c r="BD88" s="544"/>
      <c r="BE88" s="544"/>
      <c r="BF88" s="544"/>
      <c r="BG88" s="544"/>
      <c r="BH88" s="544"/>
      <c r="BI88" s="544"/>
      <c r="BJ88" s="544"/>
      <c r="BK88" s="544"/>
      <c r="BL88" s="544"/>
      <c r="BM88" s="544"/>
      <c r="BN88" s="544"/>
      <c r="BO88" s="544"/>
      <c r="BP88" s="544"/>
      <c r="BQ88" s="544"/>
      <c r="BR88" s="544"/>
      <c r="BS88" s="544"/>
      <c r="BT88" s="544"/>
      <c r="BU88" s="544"/>
      <c r="BV88" s="544"/>
      <c r="BW88" s="544"/>
      <c r="BX88" s="544"/>
      <c r="BY88" s="544"/>
      <c r="BZ88" s="544"/>
      <c r="CA88" s="544"/>
      <c r="CB88" s="544"/>
      <c r="CC88" s="544"/>
      <c r="CD88" s="544"/>
      <c r="CE88" s="544"/>
      <c r="CF88" s="544"/>
      <c r="CG88" s="544"/>
      <c r="CH88" s="544"/>
      <c r="CI88" s="544"/>
      <c r="CJ88" s="544"/>
      <c r="CK88" s="544"/>
      <c r="CL88" s="544"/>
      <c r="CM88" s="544"/>
      <c r="CN88" s="544"/>
      <c r="CO88" s="544"/>
      <c r="CP88" s="544"/>
      <c r="CQ88" s="544"/>
      <c r="CR88" s="1"/>
    </row>
    <row r="89" spans="1:96">
      <c r="H89" s="544"/>
      <c r="I89" s="544"/>
      <c r="J89" s="544"/>
      <c r="K89" s="544"/>
      <c r="L89" s="544"/>
      <c r="M89" s="544"/>
      <c r="N89" s="544"/>
      <c r="O89" s="544"/>
      <c r="P89" s="544"/>
      <c r="Q89" s="544"/>
      <c r="R89" s="544"/>
      <c r="S89" s="544"/>
      <c r="T89" s="544"/>
      <c r="U89" s="544"/>
      <c r="V89" s="544"/>
      <c r="W89" s="544"/>
      <c r="X89" s="544"/>
      <c r="Y89" s="544"/>
      <c r="Z89" s="544"/>
      <c r="AA89" s="544"/>
      <c r="AB89" s="544"/>
      <c r="AC89" s="544"/>
      <c r="AD89" s="544"/>
      <c r="AE89" s="544"/>
      <c r="AF89" s="544"/>
      <c r="AG89" s="544"/>
      <c r="AH89" s="544"/>
      <c r="AI89" s="544"/>
      <c r="AJ89" s="544"/>
      <c r="AK89" s="544"/>
      <c r="AL89" s="544"/>
      <c r="AM89" s="544"/>
      <c r="AN89" s="544"/>
      <c r="AO89" s="544"/>
      <c r="AP89" s="544"/>
      <c r="AQ89" s="544"/>
      <c r="AR89" s="544"/>
      <c r="AS89" s="544"/>
      <c r="AT89" s="544"/>
      <c r="AU89" s="544"/>
      <c r="AV89" s="544"/>
      <c r="AW89" s="544"/>
      <c r="AX89" s="544"/>
      <c r="AY89" s="544"/>
      <c r="AZ89" s="544"/>
      <c r="BA89" s="544"/>
      <c r="BB89" s="544"/>
      <c r="BC89" s="544"/>
      <c r="BD89" s="544"/>
      <c r="BE89" s="544"/>
      <c r="BF89" s="544"/>
      <c r="BG89" s="544"/>
      <c r="BH89" s="544"/>
      <c r="BI89" s="544"/>
      <c r="BJ89" s="544"/>
      <c r="BK89" s="544"/>
      <c r="BL89" s="544"/>
      <c r="BM89" s="544"/>
      <c r="BN89" s="544"/>
      <c r="BO89" s="544"/>
      <c r="BP89" s="544"/>
      <c r="BQ89" s="544"/>
      <c r="BR89" s="544"/>
      <c r="BS89" s="544"/>
      <c r="BT89" s="544"/>
      <c r="BU89" s="544"/>
      <c r="BV89" s="544"/>
      <c r="BW89" s="544"/>
      <c r="BX89" s="544"/>
      <c r="BY89" s="544"/>
      <c r="BZ89" s="544"/>
      <c r="CA89" s="544"/>
      <c r="CB89" s="544"/>
      <c r="CC89" s="544"/>
      <c r="CD89" s="544"/>
      <c r="CE89" s="544"/>
      <c r="CF89" s="544"/>
      <c r="CG89" s="544"/>
      <c r="CH89" s="544"/>
      <c r="CI89" s="544"/>
      <c r="CJ89" s="544"/>
      <c r="CK89" s="544"/>
      <c r="CL89" s="544"/>
      <c r="CM89" s="544"/>
      <c r="CN89" s="544"/>
      <c r="CO89" s="544"/>
      <c r="CP89" s="544"/>
      <c r="CQ89" s="544"/>
      <c r="CR89" s="1"/>
    </row>
    <row r="90" spans="1:96">
      <c r="H90" s="544"/>
      <c r="I90" s="544"/>
      <c r="J90" s="544"/>
      <c r="K90" s="544"/>
      <c r="L90" s="544"/>
      <c r="M90" s="544"/>
      <c r="N90" s="544"/>
      <c r="O90" s="544"/>
      <c r="P90" s="544"/>
      <c r="Q90" s="544"/>
      <c r="R90" s="544"/>
      <c r="S90" s="544"/>
      <c r="T90" s="544"/>
      <c r="U90" s="544"/>
      <c r="V90" s="544"/>
      <c r="W90" s="544"/>
      <c r="X90" s="544"/>
      <c r="Y90" s="544"/>
      <c r="Z90" s="544"/>
      <c r="AA90" s="544"/>
      <c r="AB90" s="544"/>
      <c r="AC90" s="544"/>
      <c r="AD90" s="544"/>
      <c r="AE90" s="544"/>
      <c r="AF90" s="544"/>
      <c r="AG90" s="544"/>
      <c r="AH90" s="544"/>
      <c r="AI90" s="544"/>
      <c r="AJ90" s="544"/>
      <c r="AK90" s="544"/>
      <c r="AL90" s="544"/>
      <c r="AM90" s="544"/>
      <c r="AN90" s="544"/>
      <c r="AO90" s="544"/>
      <c r="AP90" s="544"/>
      <c r="AQ90" s="544"/>
      <c r="AR90" s="544"/>
      <c r="AS90" s="544"/>
      <c r="AT90" s="544"/>
      <c r="AU90" s="544"/>
      <c r="AV90" s="544"/>
      <c r="AW90" s="544"/>
      <c r="AX90" s="544"/>
      <c r="AY90" s="544"/>
      <c r="AZ90" s="544"/>
      <c r="BA90" s="544"/>
      <c r="BB90" s="544"/>
      <c r="BC90" s="544"/>
      <c r="BD90" s="544"/>
      <c r="BE90" s="544"/>
      <c r="BF90" s="544"/>
      <c r="BG90" s="544"/>
      <c r="BH90" s="544"/>
      <c r="BI90" s="544"/>
      <c r="BJ90" s="544"/>
      <c r="BK90" s="544"/>
      <c r="BL90" s="544"/>
      <c r="BM90" s="544"/>
      <c r="BN90" s="544"/>
      <c r="BO90" s="544"/>
      <c r="BP90" s="544"/>
      <c r="BQ90" s="544"/>
      <c r="BR90" s="544"/>
      <c r="BS90" s="544"/>
      <c r="BT90" s="544"/>
      <c r="BU90" s="544"/>
      <c r="BV90" s="544"/>
      <c r="BW90" s="544"/>
      <c r="BX90" s="544"/>
      <c r="BY90" s="544"/>
      <c r="BZ90" s="544"/>
      <c r="CA90" s="544"/>
      <c r="CB90" s="544"/>
      <c r="CC90" s="544"/>
      <c r="CD90" s="544"/>
      <c r="CE90" s="544"/>
      <c r="CF90" s="544"/>
      <c r="CG90" s="544"/>
      <c r="CH90" s="544"/>
      <c r="CI90" s="544"/>
      <c r="CJ90" s="544"/>
      <c r="CK90" s="544"/>
      <c r="CL90" s="544"/>
      <c r="CM90" s="544"/>
      <c r="CN90" s="544"/>
      <c r="CO90" s="544"/>
      <c r="CP90" s="544"/>
      <c r="CQ90" s="544"/>
      <c r="CR90" s="1"/>
    </row>
    <row r="91" spans="1:96">
      <c r="H91" s="544"/>
      <c r="I91" s="544"/>
      <c r="J91" s="544"/>
      <c r="K91" s="544"/>
      <c r="L91" s="544"/>
      <c r="M91" s="544"/>
      <c r="N91" s="544"/>
      <c r="O91" s="544"/>
      <c r="P91" s="544"/>
      <c r="Q91" s="544"/>
      <c r="R91" s="544"/>
      <c r="S91" s="544"/>
      <c r="T91" s="544"/>
      <c r="U91" s="544"/>
      <c r="V91" s="544"/>
      <c r="W91" s="544"/>
      <c r="X91" s="544"/>
      <c r="Y91" s="544"/>
      <c r="Z91" s="544"/>
      <c r="AA91" s="544"/>
      <c r="AB91" s="544"/>
      <c r="AC91" s="544"/>
      <c r="AD91" s="544"/>
      <c r="AE91" s="544"/>
      <c r="AF91" s="544"/>
      <c r="AG91" s="544"/>
      <c r="AH91" s="544"/>
      <c r="AI91" s="544"/>
      <c r="AJ91" s="544"/>
      <c r="AK91" s="544"/>
      <c r="AL91" s="544"/>
      <c r="AM91" s="544"/>
      <c r="AN91" s="544"/>
      <c r="AO91" s="544"/>
      <c r="AP91" s="544"/>
      <c r="AQ91" s="544"/>
      <c r="AR91" s="544"/>
      <c r="AS91" s="544"/>
      <c r="AT91" s="544"/>
      <c r="AU91" s="544"/>
      <c r="AV91" s="544"/>
      <c r="AW91" s="544"/>
      <c r="AX91" s="544"/>
      <c r="AY91" s="544"/>
      <c r="AZ91" s="544"/>
      <c r="BA91" s="544"/>
      <c r="BB91" s="544"/>
      <c r="BC91" s="544"/>
      <c r="BD91" s="544"/>
      <c r="BE91" s="544"/>
      <c r="BF91" s="544"/>
      <c r="BG91" s="544"/>
      <c r="BH91" s="544"/>
      <c r="BI91" s="544"/>
      <c r="BJ91" s="544"/>
      <c r="BK91" s="544"/>
      <c r="BL91" s="544"/>
      <c r="BM91" s="544"/>
      <c r="BN91" s="544"/>
      <c r="BO91" s="544"/>
      <c r="BP91" s="544"/>
      <c r="BQ91" s="544"/>
      <c r="BR91" s="544"/>
      <c r="BS91" s="544"/>
      <c r="BT91" s="544"/>
      <c r="BU91" s="544"/>
      <c r="BV91" s="544"/>
      <c r="BW91" s="544"/>
      <c r="BX91" s="544"/>
      <c r="BY91" s="544"/>
      <c r="BZ91" s="544"/>
      <c r="CA91" s="544"/>
      <c r="CB91" s="544"/>
      <c r="CC91" s="544"/>
      <c r="CD91" s="544"/>
      <c r="CE91" s="544"/>
      <c r="CF91" s="544"/>
      <c r="CG91" s="544"/>
      <c r="CH91" s="544"/>
      <c r="CI91" s="544"/>
      <c r="CJ91" s="544"/>
      <c r="CK91" s="544"/>
      <c r="CL91" s="544"/>
      <c r="CM91" s="544"/>
      <c r="CN91" s="544"/>
      <c r="CO91" s="544"/>
      <c r="CP91" s="544"/>
      <c r="CQ91" s="544"/>
      <c r="CR91" s="1"/>
    </row>
    <row r="92" spans="1:96">
      <c r="H92" s="544"/>
      <c r="I92" s="544"/>
      <c r="J92" s="544"/>
      <c r="K92" s="544"/>
      <c r="L92" s="544"/>
      <c r="M92" s="544"/>
      <c r="N92" s="544"/>
      <c r="O92" s="544"/>
      <c r="P92" s="544"/>
      <c r="Q92" s="544"/>
      <c r="R92" s="544"/>
      <c r="S92" s="544"/>
      <c r="T92" s="544"/>
      <c r="U92" s="544"/>
      <c r="V92" s="544"/>
      <c r="W92" s="544"/>
      <c r="X92" s="544"/>
      <c r="Y92" s="544"/>
      <c r="Z92" s="544"/>
      <c r="AA92" s="544"/>
      <c r="AB92" s="544"/>
      <c r="AC92" s="544"/>
      <c r="AD92" s="544"/>
      <c r="AE92" s="544"/>
      <c r="AF92" s="544"/>
      <c r="AG92" s="544"/>
      <c r="AH92" s="544"/>
      <c r="AI92" s="544"/>
      <c r="AJ92" s="544"/>
      <c r="AK92" s="544"/>
      <c r="AL92" s="544"/>
      <c r="AM92" s="544"/>
      <c r="AN92" s="544"/>
      <c r="AO92" s="544"/>
      <c r="AP92" s="544"/>
      <c r="AQ92" s="544"/>
      <c r="AR92" s="544"/>
      <c r="AS92" s="544"/>
      <c r="AT92" s="544"/>
      <c r="AU92" s="544"/>
      <c r="AV92" s="544"/>
      <c r="AW92" s="544"/>
      <c r="AX92" s="544"/>
      <c r="AY92" s="544"/>
      <c r="AZ92" s="544"/>
      <c r="BA92" s="544"/>
      <c r="BB92" s="544"/>
      <c r="BC92" s="544"/>
      <c r="BD92" s="544"/>
      <c r="BE92" s="544"/>
      <c r="BF92" s="544"/>
      <c r="BG92" s="544"/>
      <c r="BH92" s="544"/>
      <c r="BI92" s="544"/>
      <c r="BJ92" s="544"/>
      <c r="BK92" s="544"/>
      <c r="BL92" s="544"/>
      <c r="BM92" s="544"/>
      <c r="BN92" s="544"/>
      <c r="BO92" s="544"/>
      <c r="BP92" s="544"/>
      <c r="BQ92" s="544"/>
      <c r="BR92" s="544"/>
      <c r="BS92" s="544"/>
      <c r="BT92" s="544"/>
      <c r="BU92" s="544"/>
      <c r="BV92" s="544"/>
      <c r="BW92" s="544"/>
      <c r="BX92" s="544"/>
      <c r="BY92" s="544"/>
      <c r="BZ92" s="544"/>
      <c r="CA92" s="544"/>
      <c r="CB92" s="544"/>
      <c r="CC92" s="544"/>
      <c r="CD92" s="544"/>
      <c r="CE92" s="544"/>
      <c r="CF92" s="544"/>
      <c r="CG92" s="544"/>
      <c r="CH92" s="544"/>
      <c r="CI92" s="544"/>
      <c r="CJ92" s="544"/>
      <c r="CK92" s="544"/>
      <c r="CL92" s="544"/>
      <c r="CM92" s="544"/>
      <c r="CN92" s="544"/>
      <c r="CO92" s="544"/>
      <c r="CP92" s="544"/>
      <c r="CQ92" s="544"/>
      <c r="CR92" s="1"/>
    </row>
    <row r="93" spans="1:96">
      <c r="H93" s="544"/>
      <c r="I93" s="544"/>
      <c r="J93" s="544"/>
      <c r="K93" s="544"/>
      <c r="L93" s="544"/>
      <c r="M93" s="544"/>
      <c r="N93" s="544"/>
      <c r="O93" s="544"/>
      <c r="P93" s="544"/>
      <c r="Q93" s="544"/>
      <c r="R93" s="544"/>
      <c r="S93" s="544"/>
      <c r="T93" s="544"/>
      <c r="U93" s="544"/>
      <c r="V93" s="544"/>
      <c r="W93" s="544"/>
      <c r="X93" s="544"/>
      <c r="Y93" s="544"/>
      <c r="Z93" s="544"/>
      <c r="AA93" s="544"/>
      <c r="AB93" s="544"/>
      <c r="AC93" s="544"/>
      <c r="AD93" s="544"/>
      <c r="AE93" s="544"/>
      <c r="AF93" s="544"/>
      <c r="AG93" s="544"/>
      <c r="AH93" s="544"/>
      <c r="AI93" s="544"/>
      <c r="AJ93" s="544"/>
      <c r="AK93" s="544"/>
      <c r="AL93" s="544"/>
      <c r="AM93" s="544"/>
      <c r="AN93" s="544"/>
      <c r="AO93" s="544"/>
      <c r="AP93" s="544"/>
      <c r="AQ93" s="544"/>
      <c r="AR93" s="544"/>
      <c r="AS93" s="544"/>
      <c r="AT93" s="544"/>
      <c r="AU93" s="544"/>
      <c r="AV93" s="544"/>
      <c r="AW93" s="544"/>
      <c r="AX93" s="544"/>
      <c r="AY93" s="544"/>
      <c r="AZ93" s="544"/>
      <c r="BA93" s="544"/>
      <c r="BB93" s="544"/>
      <c r="BC93" s="544"/>
      <c r="BD93" s="544"/>
      <c r="BE93" s="544"/>
      <c r="BF93" s="544"/>
      <c r="BG93" s="544"/>
      <c r="BH93" s="544"/>
      <c r="BI93" s="544"/>
      <c r="BJ93" s="544"/>
      <c r="BK93" s="544"/>
      <c r="BL93" s="544"/>
      <c r="BM93" s="544"/>
      <c r="BN93" s="544"/>
      <c r="BO93" s="544"/>
      <c r="BP93" s="544"/>
      <c r="BQ93" s="544"/>
      <c r="BR93" s="544"/>
      <c r="BS93" s="544"/>
      <c r="BT93" s="544"/>
      <c r="BU93" s="544"/>
      <c r="BV93" s="544"/>
      <c r="BW93" s="544"/>
      <c r="BX93" s="544"/>
      <c r="BY93" s="544"/>
      <c r="BZ93" s="544"/>
      <c r="CA93" s="544"/>
      <c r="CB93" s="544"/>
      <c r="CC93" s="544"/>
      <c r="CD93" s="544"/>
      <c r="CE93" s="544"/>
      <c r="CF93" s="544"/>
      <c r="CG93" s="544"/>
      <c r="CH93" s="544"/>
      <c r="CI93" s="544"/>
      <c r="CJ93" s="544"/>
      <c r="CK93" s="544"/>
      <c r="CL93" s="544"/>
      <c r="CM93" s="544"/>
      <c r="CN93" s="544"/>
      <c r="CO93" s="544"/>
      <c r="CP93" s="544"/>
      <c r="CQ93" s="544"/>
      <c r="CR93" s="1"/>
    </row>
    <row r="94" spans="1:96">
      <c r="H94" s="544"/>
      <c r="I94" s="544"/>
      <c r="J94" s="544"/>
      <c r="K94" s="544"/>
      <c r="L94" s="544"/>
      <c r="M94" s="544"/>
      <c r="N94" s="544"/>
      <c r="O94" s="544"/>
      <c r="P94" s="544"/>
      <c r="Q94" s="544"/>
      <c r="R94" s="544"/>
      <c r="S94" s="544"/>
      <c r="T94" s="544"/>
      <c r="U94" s="544"/>
      <c r="V94" s="544"/>
      <c r="W94" s="544"/>
      <c r="X94" s="544"/>
      <c r="Y94" s="544"/>
      <c r="Z94" s="544"/>
      <c r="AA94" s="544"/>
      <c r="AB94" s="544"/>
      <c r="AC94" s="544"/>
      <c r="AD94" s="544"/>
      <c r="AE94" s="544"/>
      <c r="AF94" s="544"/>
      <c r="AG94" s="544"/>
      <c r="AH94" s="544"/>
      <c r="AI94" s="544"/>
      <c r="AJ94" s="544"/>
      <c r="AK94" s="544"/>
      <c r="AL94" s="544"/>
      <c r="AM94" s="544"/>
      <c r="AN94" s="544"/>
      <c r="AO94" s="544"/>
      <c r="AP94" s="544"/>
      <c r="AQ94" s="544"/>
      <c r="AR94" s="544"/>
      <c r="AS94" s="544"/>
      <c r="AT94" s="544"/>
      <c r="AU94" s="544"/>
      <c r="AV94" s="544"/>
      <c r="AW94" s="544"/>
      <c r="AX94" s="544"/>
      <c r="AY94" s="544"/>
      <c r="AZ94" s="544"/>
      <c r="BA94" s="544"/>
      <c r="BB94" s="544"/>
      <c r="BC94" s="544"/>
      <c r="BD94" s="544"/>
      <c r="BE94" s="544"/>
      <c r="BF94" s="544"/>
      <c r="BG94" s="544"/>
      <c r="BH94" s="544"/>
      <c r="BI94" s="544"/>
      <c r="BJ94" s="544"/>
      <c r="BK94" s="544"/>
      <c r="BL94" s="544"/>
      <c r="BM94" s="544"/>
      <c r="BN94" s="544"/>
      <c r="BO94" s="544"/>
      <c r="BP94" s="544"/>
      <c r="BQ94" s="544"/>
      <c r="BR94" s="544"/>
      <c r="BS94" s="544"/>
      <c r="BT94" s="544"/>
      <c r="BU94" s="544"/>
      <c r="BV94" s="544"/>
      <c r="BW94" s="544"/>
      <c r="BX94" s="544"/>
      <c r="BY94" s="544"/>
      <c r="BZ94" s="544"/>
      <c r="CA94" s="544"/>
      <c r="CB94" s="544"/>
      <c r="CC94" s="544"/>
      <c r="CD94" s="544"/>
      <c r="CE94" s="544"/>
      <c r="CF94" s="544"/>
      <c r="CG94" s="544"/>
      <c r="CH94" s="544"/>
      <c r="CI94" s="544"/>
      <c r="CJ94" s="544"/>
      <c r="CK94" s="544"/>
      <c r="CL94" s="544"/>
      <c r="CM94" s="544"/>
      <c r="CN94" s="544"/>
      <c r="CO94" s="544"/>
      <c r="CP94" s="544"/>
      <c r="CQ94" s="544"/>
      <c r="CR94" s="1"/>
    </row>
    <row r="95" spans="1:96">
      <c r="H95" s="544"/>
      <c r="I95" s="544"/>
      <c r="J95" s="544"/>
      <c r="K95" s="544"/>
      <c r="L95" s="544"/>
      <c r="M95" s="544"/>
      <c r="N95" s="544"/>
      <c r="O95" s="544"/>
      <c r="P95" s="544"/>
      <c r="Q95" s="544"/>
      <c r="R95" s="544"/>
      <c r="S95" s="544"/>
      <c r="T95" s="544"/>
      <c r="U95" s="544"/>
      <c r="V95" s="544"/>
      <c r="W95" s="544"/>
      <c r="X95" s="544"/>
      <c r="Y95" s="544"/>
      <c r="Z95" s="544"/>
      <c r="AA95" s="544"/>
      <c r="AB95" s="544"/>
      <c r="AC95" s="544"/>
      <c r="AD95" s="544"/>
      <c r="AE95" s="544"/>
      <c r="AF95" s="544"/>
      <c r="AG95" s="544"/>
      <c r="AH95" s="544"/>
      <c r="AI95" s="544"/>
      <c r="AJ95" s="544"/>
      <c r="AK95" s="544"/>
      <c r="AL95" s="544"/>
      <c r="AM95" s="544"/>
      <c r="AN95" s="544"/>
      <c r="AO95" s="544"/>
      <c r="AP95" s="544"/>
      <c r="AQ95" s="544"/>
      <c r="AR95" s="544"/>
      <c r="AS95" s="544"/>
      <c r="AT95" s="544"/>
      <c r="AU95" s="544"/>
      <c r="AV95" s="544"/>
      <c r="AW95" s="544"/>
      <c r="AX95" s="544"/>
      <c r="AY95" s="544"/>
      <c r="AZ95" s="544"/>
      <c r="BA95" s="544"/>
      <c r="BB95" s="544"/>
      <c r="BC95" s="544"/>
      <c r="BD95" s="544"/>
      <c r="BE95" s="544"/>
      <c r="BF95" s="544"/>
      <c r="BG95" s="544"/>
      <c r="BH95" s="544"/>
      <c r="BI95" s="544"/>
      <c r="BJ95" s="544"/>
      <c r="BK95" s="544"/>
      <c r="BL95" s="544"/>
      <c r="BM95" s="544"/>
      <c r="BN95" s="544"/>
      <c r="BO95" s="544"/>
      <c r="BP95" s="544"/>
      <c r="BQ95" s="544"/>
      <c r="BR95" s="544"/>
      <c r="BS95" s="544"/>
      <c r="BT95" s="544"/>
      <c r="BU95" s="544"/>
      <c r="BV95" s="544"/>
      <c r="BW95" s="544"/>
      <c r="BX95" s="544"/>
      <c r="BY95" s="544"/>
      <c r="BZ95" s="544"/>
      <c r="CA95" s="544"/>
      <c r="CB95" s="544"/>
      <c r="CC95" s="544"/>
      <c r="CD95" s="544"/>
      <c r="CE95" s="544"/>
      <c r="CF95" s="544"/>
      <c r="CG95" s="544"/>
      <c r="CH95" s="544"/>
      <c r="CI95" s="544"/>
      <c r="CJ95" s="544"/>
      <c r="CK95" s="544"/>
      <c r="CL95" s="544"/>
      <c r="CM95" s="544"/>
      <c r="CN95" s="544"/>
      <c r="CO95" s="544"/>
      <c r="CP95" s="544"/>
      <c r="CQ95" s="544"/>
      <c r="CR95" s="1"/>
    </row>
    <row r="96" spans="1:96">
      <c r="H96" s="544"/>
      <c r="I96" s="544"/>
      <c r="J96" s="544"/>
      <c r="K96" s="544"/>
      <c r="L96" s="544"/>
      <c r="M96" s="544"/>
      <c r="N96" s="544"/>
      <c r="O96" s="544"/>
      <c r="P96" s="544"/>
      <c r="Q96" s="544"/>
      <c r="R96" s="544"/>
      <c r="S96" s="544"/>
      <c r="T96" s="544"/>
      <c r="U96" s="544"/>
      <c r="V96" s="544"/>
      <c r="W96" s="544"/>
      <c r="X96" s="544"/>
      <c r="Y96" s="544"/>
      <c r="Z96" s="544"/>
      <c r="AA96" s="544"/>
      <c r="AB96" s="544"/>
      <c r="AC96" s="544"/>
      <c r="AD96" s="544"/>
      <c r="AE96" s="544"/>
      <c r="AF96" s="544"/>
      <c r="AG96" s="544"/>
      <c r="AH96" s="544"/>
      <c r="AI96" s="544"/>
      <c r="AJ96" s="544"/>
      <c r="AK96" s="544"/>
      <c r="AL96" s="544"/>
      <c r="AM96" s="544"/>
      <c r="AN96" s="544"/>
      <c r="AO96" s="544"/>
      <c r="AP96" s="544"/>
      <c r="AQ96" s="544"/>
      <c r="AR96" s="544"/>
      <c r="AS96" s="544"/>
      <c r="AT96" s="544"/>
      <c r="AU96" s="544"/>
      <c r="AV96" s="544"/>
      <c r="AW96" s="544"/>
      <c r="AX96" s="544"/>
      <c r="AY96" s="544"/>
      <c r="AZ96" s="544"/>
      <c r="BA96" s="544"/>
      <c r="BB96" s="544"/>
      <c r="BC96" s="544"/>
      <c r="BD96" s="544"/>
      <c r="BE96" s="544"/>
      <c r="BF96" s="544"/>
      <c r="BG96" s="544"/>
      <c r="BH96" s="544"/>
      <c r="BI96" s="544"/>
      <c r="BJ96" s="544"/>
      <c r="BK96" s="544"/>
      <c r="BL96" s="544"/>
      <c r="BM96" s="544"/>
      <c r="BN96" s="544"/>
      <c r="BO96" s="544"/>
      <c r="BP96" s="544"/>
      <c r="BQ96" s="544"/>
      <c r="BR96" s="544"/>
      <c r="BS96" s="544"/>
      <c r="BT96" s="544"/>
      <c r="BU96" s="544"/>
      <c r="BV96" s="544"/>
      <c r="BW96" s="544"/>
      <c r="BX96" s="544"/>
      <c r="BY96" s="544"/>
      <c r="BZ96" s="544"/>
      <c r="CA96" s="544"/>
      <c r="CB96" s="544"/>
      <c r="CC96" s="544"/>
      <c r="CD96" s="544"/>
      <c r="CE96" s="544"/>
      <c r="CF96" s="544"/>
      <c r="CG96" s="544"/>
      <c r="CH96" s="544"/>
      <c r="CI96" s="544"/>
      <c r="CJ96" s="544"/>
      <c r="CK96" s="544"/>
      <c r="CL96" s="544"/>
      <c r="CM96" s="544"/>
      <c r="CN96" s="544"/>
      <c r="CO96" s="544"/>
      <c r="CP96" s="544"/>
      <c r="CQ96" s="544"/>
      <c r="CR96" s="1"/>
    </row>
    <row r="97" spans="96:96">
      <c r="CR97" s="1"/>
    </row>
    <row r="98" spans="96:96">
      <c r="CR98" s="1"/>
    </row>
    <row r="99" spans="96:96">
      <c r="CR99" s="1"/>
    </row>
    <row r="100" spans="96:96">
      <c r="CR100" s="1"/>
    </row>
    <row r="101" spans="96:96">
      <c r="CR101" s="1"/>
    </row>
    <row r="102" spans="96:96">
      <c r="CR102" s="1"/>
    </row>
    <row r="103" spans="96:96">
      <c r="CR103" s="1"/>
    </row>
    <row r="104" spans="96:96">
      <c r="CR104" s="1"/>
    </row>
    <row r="105" spans="96:96">
      <c r="CR105" s="1"/>
    </row>
    <row r="106" spans="96:96">
      <c r="CR106" s="1"/>
    </row>
    <row r="107" spans="96:96">
      <c r="CR107" s="1"/>
    </row>
    <row r="108" spans="96:96">
      <c r="CR108" s="1"/>
    </row>
    <row r="109" spans="96:96">
      <c r="CR109" s="1"/>
    </row>
    <row r="110" spans="96:96">
      <c r="CR110" s="1"/>
    </row>
    <row r="111" spans="96:96">
      <c r="CR111" s="1"/>
    </row>
    <row r="112" spans="96:96">
      <c r="CR112" s="1"/>
    </row>
    <row r="113" spans="96:96">
      <c r="CR113" s="1"/>
    </row>
    <row r="114" spans="96:96">
      <c r="CR114" s="1"/>
    </row>
    <row r="115" spans="96:96">
      <c r="CR115" s="1"/>
    </row>
    <row r="116" spans="96:96">
      <c r="CR116" s="1"/>
    </row>
    <row r="117" spans="96:96">
      <c r="CR117" s="1"/>
    </row>
    <row r="118" spans="96:96">
      <c r="CR118" s="1"/>
    </row>
    <row r="119" spans="96:96">
      <c r="CR119" s="1"/>
    </row>
    <row r="120" spans="96:96">
      <c r="CR120" s="1"/>
    </row>
    <row r="121" spans="96:96">
      <c r="CR121" s="1"/>
    </row>
    <row r="122" spans="96:96">
      <c r="CR122" s="1"/>
    </row>
    <row r="123" spans="96:96">
      <c r="CR123" s="1"/>
    </row>
    <row r="124" spans="96:96">
      <c r="CR124" s="1"/>
    </row>
    <row r="125" spans="96:96">
      <c r="CR125" s="1"/>
    </row>
    <row r="126" spans="96:96">
      <c r="CR126" s="1"/>
    </row>
    <row r="127" spans="96:96">
      <c r="CR127" s="1"/>
    </row>
    <row r="128" spans="96:96">
      <c r="CR128" s="1"/>
    </row>
    <row r="129" spans="96:96">
      <c r="CR129" s="1"/>
    </row>
    <row r="130" spans="96:96">
      <c r="CR130" s="1"/>
    </row>
    <row r="131" spans="96:96">
      <c r="CR131" s="1"/>
    </row>
    <row r="132" spans="96:96">
      <c r="CR132" s="1"/>
    </row>
    <row r="133" spans="96:96">
      <c r="CR133" s="1"/>
    </row>
    <row r="134" spans="96:96">
      <c r="CR134" s="1"/>
    </row>
    <row r="135" spans="96:96">
      <c r="CR135" s="1"/>
    </row>
    <row r="136" spans="96:96">
      <c r="CR136" s="1"/>
    </row>
    <row r="137" spans="96:96">
      <c r="CR137" s="1"/>
    </row>
    <row r="138" spans="96:96">
      <c r="CR138" s="1"/>
    </row>
    <row r="139" spans="96:96">
      <c r="CR139" s="1"/>
    </row>
    <row r="140" spans="96:96">
      <c r="CR140" s="1"/>
    </row>
    <row r="141" spans="96:96">
      <c r="CR141" s="1"/>
    </row>
    <row r="142" spans="96:96">
      <c r="CR142" s="1"/>
    </row>
    <row r="143" spans="96:96">
      <c r="CR143" s="1"/>
    </row>
    <row r="144" spans="96:96">
      <c r="CR144" s="1"/>
    </row>
    <row r="145" spans="96:96">
      <c r="CR145" s="1"/>
    </row>
    <row r="146" spans="96:96">
      <c r="CR146" s="1"/>
    </row>
    <row r="147" spans="96:96">
      <c r="CR147" s="1"/>
    </row>
    <row r="148" spans="96:96">
      <c r="CR148" s="1"/>
    </row>
    <row r="149" spans="96:96">
      <c r="CR149" s="1"/>
    </row>
    <row r="150" spans="96:96">
      <c r="CR150" s="1"/>
    </row>
    <row r="151" spans="96:96">
      <c r="CR151" s="1"/>
    </row>
    <row r="152" spans="96:96">
      <c r="CR152" s="1"/>
    </row>
    <row r="153" spans="96:96">
      <c r="CR153" s="1"/>
    </row>
    <row r="154" spans="96:96">
      <c r="CR154" s="1"/>
    </row>
    <row r="155" spans="96:96">
      <c r="CR155" s="1"/>
    </row>
    <row r="156" spans="96:96">
      <c r="CR156" s="1"/>
    </row>
    <row r="157" spans="96:96">
      <c r="CR157" s="1"/>
    </row>
    <row r="158" spans="96:96">
      <c r="CR158" s="1"/>
    </row>
    <row r="159" spans="96:96">
      <c r="CR159" s="1"/>
    </row>
    <row r="160" spans="96:96">
      <c r="CR160" s="1"/>
    </row>
    <row r="161" spans="96:96">
      <c r="CR161" s="1"/>
    </row>
    <row r="162" spans="96:96">
      <c r="CR162" s="1"/>
    </row>
    <row r="163" spans="96:96">
      <c r="CR163" s="1"/>
    </row>
    <row r="164" spans="96:96">
      <c r="CR164" s="1"/>
    </row>
    <row r="165" spans="96:96">
      <c r="CR165" s="1"/>
    </row>
    <row r="166" spans="96:96">
      <c r="CR166" s="1"/>
    </row>
    <row r="167" spans="96:96">
      <c r="CR167" s="1"/>
    </row>
    <row r="168" spans="96:96">
      <c r="CR168" s="1"/>
    </row>
    <row r="169" spans="96:96">
      <c r="CR169" s="1"/>
    </row>
    <row r="170" spans="96:96">
      <c r="CR170" s="1"/>
    </row>
    <row r="171" spans="96:96">
      <c r="CR171" s="1"/>
    </row>
    <row r="172" spans="96:96">
      <c r="CR172" s="1"/>
    </row>
    <row r="173" spans="96:96">
      <c r="CR173" s="1"/>
    </row>
    <row r="174" spans="96:96">
      <c r="CR174" s="1"/>
    </row>
    <row r="175" spans="96:96">
      <c r="CR175" s="1"/>
    </row>
    <row r="176" spans="96:96">
      <c r="CR176" s="1"/>
    </row>
    <row r="177" spans="96:96">
      <c r="CR177" s="1"/>
    </row>
    <row r="178" spans="96:96">
      <c r="CR178" s="1"/>
    </row>
    <row r="179" spans="96:96">
      <c r="CR179" s="1"/>
    </row>
    <row r="180" spans="96:96">
      <c r="CR180" s="1"/>
    </row>
    <row r="181" spans="96:96">
      <c r="CR181" s="1"/>
    </row>
    <row r="182" spans="96:96">
      <c r="CR182" s="1"/>
    </row>
    <row r="183" spans="96:96">
      <c r="CR183" s="1"/>
    </row>
    <row r="184" spans="96:96">
      <c r="CR184" s="1"/>
    </row>
    <row r="185" spans="96:96">
      <c r="CR185" s="1"/>
    </row>
    <row r="186" spans="96:96">
      <c r="CR186" s="1"/>
    </row>
    <row r="187" spans="96:96">
      <c r="CR187" s="1"/>
    </row>
    <row r="188" spans="96:96">
      <c r="CR188" s="1"/>
    </row>
    <row r="189" spans="96:96">
      <c r="CR189" s="1"/>
    </row>
    <row r="190" spans="96:96">
      <c r="CR190" s="1"/>
    </row>
    <row r="191" spans="96:96">
      <c r="CR191" s="1"/>
    </row>
    <row r="192" spans="96:96">
      <c r="CR192" s="1"/>
    </row>
    <row r="193" spans="96:96">
      <c r="CR193" s="1"/>
    </row>
    <row r="194" spans="96:96">
      <c r="CR194" s="1"/>
    </row>
    <row r="195" spans="96:96">
      <c r="CR195" s="1"/>
    </row>
    <row r="196" spans="96:96">
      <c r="CR196" s="1"/>
    </row>
    <row r="197" spans="96:96">
      <c r="CR197" s="1"/>
    </row>
    <row r="198" spans="96:96">
      <c r="CR198" s="1"/>
    </row>
    <row r="199" spans="96:96">
      <c r="CR199" s="1"/>
    </row>
    <row r="200" spans="96:96">
      <c r="CR200" s="1"/>
    </row>
    <row r="201" spans="96:96">
      <c r="CR201" s="1"/>
    </row>
    <row r="202" spans="96:96">
      <c r="CR202" s="1"/>
    </row>
    <row r="203" spans="96:96">
      <c r="CR203" s="1"/>
    </row>
    <row r="204" spans="96:96">
      <c r="CR204" s="1"/>
    </row>
    <row r="205" spans="96:96">
      <c r="CR205" s="1"/>
    </row>
    <row r="206" spans="96:96">
      <c r="CR206" s="1"/>
    </row>
    <row r="207" spans="96:96">
      <c r="CR207" s="1"/>
    </row>
    <row r="208" spans="96:96">
      <c r="CR208" s="1"/>
    </row>
    <row r="209" spans="96:96">
      <c r="CR209" s="1"/>
    </row>
    <row r="210" spans="96:96">
      <c r="CR210" s="1"/>
    </row>
    <row r="211" spans="96:96">
      <c r="CR211" s="1"/>
    </row>
    <row r="212" spans="96:96">
      <c r="CR212" s="1"/>
    </row>
    <row r="213" spans="96:96">
      <c r="CR213" s="1"/>
    </row>
    <row r="214" spans="96:96">
      <c r="CR214" s="1"/>
    </row>
    <row r="215" spans="96:96">
      <c r="CR215" s="1"/>
    </row>
    <row r="216" spans="96:96">
      <c r="CR216" s="1"/>
    </row>
    <row r="217" spans="96:96">
      <c r="CR217" s="1"/>
    </row>
    <row r="218" spans="96:96">
      <c r="CR218" s="1"/>
    </row>
    <row r="219" spans="96:96">
      <c r="CR219" s="1"/>
    </row>
    <row r="220" spans="96:96">
      <c r="CR220" s="1"/>
    </row>
    <row r="221" spans="96:96">
      <c r="CR221" s="1"/>
    </row>
    <row r="222" spans="96:96">
      <c r="CR222" s="1"/>
    </row>
    <row r="223" spans="96:96">
      <c r="CR223" s="1"/>
    </row>
    <row r="224" spans="96:96">
      <c r="CR224" s="1"/>
    </row>
    <row r="225" spans="96:101">
      <c r="CR225" s="1"/>
      <c r="CS225" s="544"/>
      <c r="CT225" s="544"/>
      <c r="CU225" s="544"/>
      <c r="CV225" s="544"/>
      <c r="CW225" s="544"/>
    </row>
    <row r="226" spans="96:101">
      <c r="CR226" s="1"/>
      <c r="CS226" s="544"/>
      <c r="CT226" s="544"/>
      <c r="CU226" s="544"/>
      <c r="CV226" s="544"/>
      <c r="CW226" s="544"/>
    </row>
    <row r="227" spans="96:101">
      <c r="CR227" s="1"/>
      <c r="CS227" s="544"/>
      <c r="CT227" s="544"/>
      <c r="CU227" s="544"/>
      <c r="CV227" s="544"/>
      <c r="CW227" s="544"/>
    </row>
    <row r="228" spans="96:101">
      <c r="CR228" s="1"/>
      <c r="CS228" s="544"/>
      <c r="CT228" s="544"/>
      <c r="CU228" s="544"/>
      <c r="CV228" s="544"/>
      <c r="CW228" s="544"/>
    </row>
    <row r="229" spans="96:101">
      <c r="CR229" s="1"/>
      <c r="CS229" s="544"/>
      <c r="CT229" s="544"/>
      <c r="CU229" s="544"/>
      <c r="CV229" s="544"/>
      <c r="CW229" s="544"/>
    </row>
    <row r="230" spans="96:101">
      <c r="CR230" s="1"/>
      <c r="CS230" s="544"/>
      <c r="CT230" s="544"/>
      <c r="CU230" s="544"/>
      <c r="CV230" s="544"/>
      <c r="CW230" s="544"/>
    </row>
    <row r="231" spans="96:101">
      <c r="CR231" s="1"/>
      <c r="CS231" s="544"/>
      <c r="CT231" s="544"/>
      <c r="CU231" s="544"/>
      <c r="CV231" s="544"/>
      <c r="CW231" s="544"/>
    </row>
    <row r="232" spans="96:101">
      <c r="CR232" s="1"/>
      <c r="CS232" s="544"/>
      <c r="CT232" s="544"/>
      <c r="CU232" s="544"/>
      <c r="CV232" s="544"/>
      <c r="CW232" s="544"/>
    </row>
    <row r="233" spans="96:101">
      <c r="CR233" s="1"/>
      <c r="CS233" s="544"/>
      <c r="CT233" s="88" t="s">
        <v>149</v>
      </c>
      <c r="CU233" s="88">
        <v>50</v>
      </c>
      <c r="CV233" s="88">
        <v>1</v>
      </c>
      <c r="CW233" s="88"/>
    </row>
    <row r="234" spans="96:101">
      <c r="CR234" s="1"/>
      <c r="CS234" s="544"/>
      <c r="CT234" s="544"/>
      <c r="CU234" s="544"/>
      <c r="CV234" s="544"/>
      <c r="CW234" s="544"/>
    </row>
    <row r="235" spans="96:101">
      <c r="CR235" s="1"/>
      <c r="CS235" s="544"/>
      <c r="CT235" s="544"/>
      <c r="CU235" s="544"/>
      <c r="CV235" s="544"/>
      <c r="CW235" s="544"/>
    </row>
    <row r="236" spans="96:101">
      <c r="CR236" s="1"/>
      <c r="CS236" s="544"/>
      <c r="CT236" s="544"/>
      <c r="CU236" s="544"/>
      <c r="CV236" s="544"/>
      <c r="CW236" s="544"/>
    </row>
    <row r="237" spans="96:101">
      <c r="CR237" s="1"/>
      <c r="CS237" s="544"/>
      <c r="CT237" s="544"/>
      <c r="CU237" s="544"/>
      <c r="CV237" s="544"/>
      <c r="CW237" s="544"/>
    </row>
    <row r="238" spans="96:101">
      <c r="CR238" s="1"/>
      <c r="CS238" s="544"/>
      <c r="CT238" s="544"/>
      <c r="CU238" s="544"/>
      <c r="CV238" s="544"/>
      <c r="CW238" s="544"/>
    </row>
    <row r="239" spans="96:101">
      <c r="CR239" s="1"/>
      <c r="CS239" s="544"/>
      <c r="CT239" s="544"/>
      <c r="CU239" s="544"/>
      <c r="CV239" s="544"/>
      <c r="CW239" s="544"/>
    </row>
    <row r="240" spans="96:101">
      <c r="CR240" s="1"/>
      <c r="CS240" s="544"/>
      <c r="CT240" s="544"/>
      <c r="CU240" s="544"/>
      <c r="CV240" s="544"/>
      <c r="CW240" s="544"/>
    </row>
    <row r="241" spans="96:96">
      <c r="CR241" s="1"/>
    </row>
    <row r="242" spans="96:96">
      <c r="CR242" s="1"/>
    </row>
    <row r="243" spans="96:96">
      <c r="CR243" s="1"/>
    </row>
    <row r="244" spans="96:96">
      <c r="CR244" s="1"/>
    </row>
    <row r="245" spans="96:96">
      <c r="CR245" s="1"/>
    </row>
    <row r="246" spans="96:96">
      <c r="CR246" s="1"/>
    </row>
    <row r="247" spans="96:96">
      <c r="CR247" s="1"/>
    </row>
    <row r="248" spans="96:96">
      <c r="CR248" s="1"/>
    </row>
    <row r="249" spans="96:96">
      <c r="CR249" s="1"/>
    </row>
    <row r="250" spans="96:96">
      <c r="CR250" s="1"/>
    </row>
    <row r="251" spans="96:96">
      <c r="CR251" s="1"/>
    </row>
    <row r="252" spans="96:96">
      <c r="CR252" s="1"/>
    </row>
    <row r="253" spans="96:96">
      <c r="CR253" s="1"/>
    </row>
    <row r="254" spans="96:96">
      <c r="CR254" s="1"/>
    </row>
    <row r="255" spans="96:96">
      <c r="CR255" s="1"/>
    </row>
    <row r="256" spans="96:96">
      <c r="CR256" s="1"/>
    </row>
    <row r="257" spans="96:96">
      <c r="CR257" s="1"/>
    </row>
    <row r="258" spans="96:96">
      <c r="CR258" s="1"/>
    </row>
    <row r="259" spans="96:96">
      <c r="CR259" s="1"/>
    </row>
    <row r="260" spans="96:96">
      <c r="CR260" s="1"/>
    </row>
    <row r="261" spans="96:96">
      <c r="CR261" s="1"/>
    </row>
    <row r="262" spans="96:96">
      <c r="CR262" s="1"/>
    </row>
    <row r="263" spans="96:96">
      <c r="CR263" s="1"/>
    </row>
    <row r="264" spans="96:96">
      <c r="CR264" s="1"/>
    </row>
    <row r="265" spans="96:96">
      <c r="CR265" s="1"/>
    </row>
    <row r="266" spans="96:96">
      <c r="CR266" s="1"/>
    </row>
    <row r="267" spans="96:96">
      <c r="CR267" s="1"/>
    </row>
    <row r="268" spans="96:96">
      <c r="CR268" s="1"/>
    </row>
    <row r="269" spans="96:96">
      <c r="CR269" s="1"/>
    </row>
    <row r="270" spans="96:96">
      <c r="CR270" s="1"/>
    </row>
    <row r="271" spans="96:96">
      <c r="CR271" s="1"/>
    </row>
    <row r="272" spans="96:96">
      <c r="CR272" s="1"/>
    </row>
    <row r="273" spans="96:96">
      <c r="CR273" s="1"/>
    </row>
    <row r="274" spans="96:96">
      <c r="CR274" s="1"/>
    </row>
    <row r="275" spans="96:96">
      <c r="CR275" s="1"/>
    </row>
    <row r="276" spans="96:96">
      <c r="CR276" s="1"/>
    </row>
    <row r="277" spans="96:96">
      <c r="CR277" s="1"/>
    </row>
    <row r="278" spans="96:96">
      <c r="CR278" s="1"/>
    </row>
    <row r="279" spans="96:96">
      <c r="CR279" s="1"/>
    </row>
    <row r="280" spans="96:96">
      <c r="CR280" s="1"/>
    </row>
    <row r="281" spans="96:96">
      <c r="CR281" s="1"/>
    </row>
    <row r="282" spans="96:96">
      <c r="CR282" s="1"/>
    </row>
    <row r="283" spans="96:96">
      <c r="CR283" s="1"/>
    </row>
    <row r="284" spans="96:96">
      <c r="CR284" s="1"/>
    </row>
    <row r="285" spans="96:96">
      <c r="CR285" s="1"/>
    </row>
    <row r="286" spans="96:96">
      <c r="CR286" s="1"/>
    </row>
    <row r="287" spans="96:96">
      <c r="CR287" s="1"/>
    </row>
    <row r="288" spans="96:96">
      <c r="CR288" s="1"/>
    </row>
    <row r="289" spans="96:96">
      <c r="CR289" s="1"/>
    </row>
    <row r="290" spans="96:96">
      <c r="CR290" s="1"/>
    </row>
    <row r="291" spans="96:96">
      <c r="CR291" s="1"/>
    </row>
    <row r="292" spans="96:96">
      <c r="CR292" s="1"/>
    </row>
    <row r="293" spans="96:96">
      <c r="CR293" s="1"/>
    </row>
    <row r="294" spans="96:96">
      <c r="CR294" s="1"/>
    </row>
    <row r="295" spans="96:96">
      <c r="CR295" s="1"/>
    </row>
    <row r="296" spans="96:96">
      <c r="CR296" s="1"/>
    </row>
    <row r="297" spans="96:96">
      <c r="CR297" s="1"/>
    </row>
    <row r="298" spans="96:96">
      <c r="CR298" s="1"/>
    </row>
    <row r="299" spans="96:96">
      <c r="CR299" s="1"/>
    </row>
    <row r="300" spans="96:96">
      <c r="CR300" s="1"/>
    </row>
    <row r="301" spans="96:96">
      <c r="CR301" s="1"/>
    </row>
    <row r="302" spans="96:96">
      <c r="CR302" s="1"/>
    </row>
    <row r="303" spans="96:96">
      <c r="CR303" s="1"/>
    </row>
    <row r="304" spans="96:96">
      <c r="CR304" s="1"/>
    </row>
    <row r="305" spans="96:96">
      <c r="CR305" s="1"/>
    </row>
    <row r="306" spans="96:96">
      <c r="CR306" s="1"/>
    </row>
    <row r="307" spans="96:96">
      <c r="CR307" s="1"/>
    </row>
    <row r="308" spans="96:96">
      <c r="CR308" s="1"/>
    </row>
    <row r="309" spans="96:96">
      <c r="CR309" s="1"/>
    </row>
    <row r="310" spans="96:96">
      <c r="CR310" s="1"/>
    </row>
    <row r="311" spans="96:96">
      <c r="CR311" s="1"/>
    </row>
    <row r="312" spans="96:96">
      <c r="CR312" s="1"/>
    </row>
    <row r="313" spans="96:96">
      <c r="CR313" s="1"/>
    </row>
    <row r="314" spans="96:96">
      <c r="CR314" s="1"/>
    </row>
    <row r="315" spans="96:96">
      <c r="CR315" s="1"/>
    </row>
    <row r="316" spans="96:96">
      <c r="CR316" s="1"/>
    </row>
    <row r="317" spans="96:96">
      <c r="CR317" s="1"/>
    </row>
    <row r="318" spans="96:96">
      <c r="CR318" s="1"/>
    </row>
    <row r="319" spans="96:96">
      <c r="CR319" s="1"/>
    </row>
    <row r="320" spans="96:96">
      <c r="CR320" s="1"/>
    </row>
    <row r="321" spans="96:96">
      <c r="CR321" s="1"/>
    </row>
    <row r="322" spans="96:96">
      <c r="CR322" s="1"/>
    </row>
    <row r="323" spans="96:96">
      <c r="CR323" s="1"/>
    </row>
    <row r="324" spans="96:96">
      <c r="CR324" s="1"/>
    </row>
    <row r="325" spans="96:96">
      <c r="CR325" s="1"/>
    </row>
    <row r="326" spans="96:96">
      <c r="CR326" s="1"/>
    </row>
    <row r="327" spans="96:96">
      <c r="CR327" s="1"/>
    </row>
    <row r="328" spans="96:96">
      <c r="CR328" s="1"/>
    </row>
    <row r="329" spans="96:96">
      <c r="CR329" s="1"/>
    </row>
    <row r="330" spans="96:96">
      <c r="CR330" s="1"/>
    </row>
    <row r="331" spans="96:96">
      <c r="CR331" s="1"/>
    </row>
    <row r="332" spans="96:96">
      <c r="CR332" s="1"/>
    </row>
    <row r="333" spans="96:96">
      <c r="CR333" s="1"/>
    </row>
    <row r="334" spans="96:96">
      <c r="CR334" s="1"/>
    </row>
    <row r="335" spans="96:96">
      <c r="CR335" s="1"/>
    </row>
    <row r="336" spans="96:96">
      <c r="CR336" s="1"/>
    </row>
    <row r="337" spans="96:96">
      <c r="CR337" s="1"/>
    </row>
    <row r="338" spans="96:96">
      <c r="CR338" s="1"/>
    </row>
    <row r="339" spans="96:96">
      <c r="CR339" s="1"/>
    </row>
    <row r="340" spans="96:96">
      <c r="CR340" s="1"/>
    </row>
    <row r="341" spans="96:96">
      <c r="CR341" s="1"/>
    </row>
    <row r="342" spans="96:96">
      <c r="CR342" s="1"/>
    </row>
    <row r="343" spans="96:96">
      <c r="CR343" s="1"/>
    </row>
    <row r="344" spans="96:96">
      <c r="CR344" s="1"/>
    </row>
    <row r="345" spans="96:96">
      <c r="CR345" s="1"/>
    </row>
    <row r="346" spans="96:96">
      <c r="CR346" s="1"/>
    </row>
    <row r="347" spans="96:96">
      <c r="CR347" s="1"/>
    </row>
    <row r="348" spans="96:96">
      <c r="CR348" s="1"/>
    </row>
    <row r="349" spans="96:96">
      <c r="CR349" s="1"/>
    </row>
    <row r="350" spans="96:96">
      <c r="CR350" s="1"/>
    </row>
    <row r="351" spans="96:96">
      <c r="CR351" s="1"/>
    </row>
    <row r="352" spans="96:96">
      <c r="CR352" s="1"/>
    </row>
    <row r="353" spans="96:96">
      <c r="CR353" s="1"/>
    </row>
    <row r="354" spans="96:96">
      <c r="CR354" s="1"/>
    </row>
    <row r="355" spans="96:96">
      <c r="CR355" s="1"/>
    </row>
    <row r="356" spans="96:96">
      <c r="CR356" s="1"/>
    </row>
    <row r="357" spans="96:96">
      <c r="CR357" s="1"/>
    </row>
    <row r="358" spans="96:96">
      <c r="CR358" s="1"/>
    </row>
    <row r="359" spans="96:96">
      <c r="CR359" s="1"/>
    </row>
    <row r="360" spans="96:96">
      <c r="CR360" s="1"/>
    </row>
    <row r="361" spans="96:96">
      <c r="CR361" s="1"/>
    </row>
    <row r="362" spans="96:96">
      <c r="CR362" s="1"/>
    </row>
    <row r="363" spans="96:96">
      <c r="CR363" s="1"/>
    </row>
    <row r="364" spans="96:96">
      <c r="CR364" s="1"/>
    </row>
    <row r="365" spans="96:96">
      <c r="CR365" s="1"/>
    </row>
    <row r="366" spans="96:96">
      <c r="CR366" s="1"/>
    </row>
    <row r="367" spans="96:96">
      <c r="CR367" s="1"/>
    </row>
    <row r="368" spans="96:96">
      <c r="CR368" s="1"/>
    </row>
    <row r="369" spans="96:96">
      <c r="CR369" s="1"/>
    </row>
    <row r="370" spans="96:96">
      <c r="CR370" s="1"/>
    </row>
    <row r="371" spans="96:96">
      <c r="CR371" s="1"/>
    </row>
    <row r="372" spans="96:96">
      <c r="CR372" s="1"/>
    </row>
    <row r="373" spans="96:96">
      <c r="CR373" s="1"/>
    </row>
    <row r="374" spans="96:96">
      <c r="CR374" s="1"/>
    </row>
    <row r="375" spans="96:96">
      <c r="CR375" s="1"/>
    </row>
    <row r="376" spans="96:96">
      <c r="CR376" s="1"/>
    </row>
    <row r="377" spans="96:96">
      <c r="CR377" s="1"/>
    </row>
    <row r="378" spans="96:96">
      <c r="CR378" s="1"/>
    </row>
    <row r="379" spans="96:96">
      <c r="CR379" s="1"/>
    </row>
    <row r="380" spans="96:96">
      <c r="CR380" s="1"/>
    </row>
    <row r="381" spans="96:96">
      <c r="CR381" s="1"/>
    </row>
    <row r="382" spans="96:96">
      <c r="CR382" s="1"/>
    </row>
    <row r="383" spans="96:96">
      <c r="CR383" s="1"/>
    </row>
    <row r="384" spans="96:96">
      <c r="CR384" s="1"/>
    </row>
    <row r="385" spans="96:96">
      <c r="CR385" s="1"/>
    </row>
    <row r="386" spans="96:96">
      <c r="CR386" s="1"/>
    </row>
    <row r="387" spans="96:96">
      <c r="CR387" s="1"/>
    </row>
    <row r="388" spans="96:96">
      <c r="CR388" s="1"/>
    </row>
    <row r="389" spans="96:96">
      <c r="CR389" s="1"/>
    </row>
    <row r="390" spans="96:96">
      <c r="CR390" s="1"/>
    </row>
    <row r="391" spans="96:96">
      <c r="CR391" s="1"/>
    </row>
    <row r="392" spans="96:96">
      <c r="CR392" s="1"/>
    </row>
    <row r="393" spans="96:96">
      <c r="CR393" s="1"/>
    </row>
    <row r="394" spans="96:96">
      <c r="CR394" s="1"/>
    </row>
    <row r="395" spans="96:96">
      <c r="CR395" s="1"/>
    </row>
    <row r="396" spans="96:96">
      <c r="CR396" s="1"/>
    </row>
    <row r="397" spans="96:96">
      <c r="CR397" s="1"/>
    </row>
    <row r="398" spans="96:96">
      <c r="CR398" s="1"/>
    </row>
    <row r="399" spans="96:96">
      <c r="CR399" s="1"/>
    </row>
    <row r="400" spans="96:96">
      <c r="CR400" s="1"/>
    </row>
    <row r="401" spans="96:96">
      <c r="CR401" s="1"/>
    </row>
    <row r="402" spans="96:96">
      <c r="CR402" s="1"/>
    </row>
    <row r="403" spans="96:96">
      <c r="CR403" s="1"/>
    </row>
    <row r="404" spans="96:96">
      <c r="CR404" s="1"/>
    </row>
    <row r="405" spans="96:96">
      <c r="CR405" s="1"/>
    </row>
    <row r="406" spans="96:96">
      <c r="CR406" s="1"/>
    </row>
    <row r="407" spans="96:96">
      <c r="CR407" s="1"/>
    </row>
    <row r="408" spans="96:96">
      <c r="CR408" s="1"/>
    </row>
    <row r="409" spans="96:96">
      <c r="CR409" s="1"/>
    </row>
    <row r="410" spans="96:96">
      <c r="CR410" s="1"/>
    </row>
    <row r="411" spans="96:96">
      <c r="CR411" s="1"/>
    </row>
    <row r="412" spans="96:96">
      <c r="CR412" s="1"/>
    </row>
    <row r="413" spans="96:96">
      <c r="CR413" s="1"/>
    </row>
    <row r="414" spans="96:96">
      <c r="CR414" s="1"/>
    </row>
    <row r="415" spans="96:96">
      <c r="CR415" s="1"/>
    </row>
    <row r="416" spans="96:96">
      <c r="CR416" s="1"/>
    </row>
    <row r="417" spans="96:96">
      <c r="CR417" s="1"/>
    </row>
    <row r="418" spans="96:96">
      <c r="CR418" s="1"/>
    </row>
    <row r="419" spans="96:96">
      <c r="CR419" s="1"/>
    </row>
    <row r="420" spans="96:96">
      <c r="CR420" s="1"/>
    </row>
    <row r="421" spans="96:96">
      <c r="CR421" s="1"/>
    </row>
    <row r="422" spans="96:96">
      <c r="CR422" s="1"/>
    </row>
    <row r="423" spans="96:96">
      <c r="CR423" s="1"/>
    </row>
    <row r="424" spans="96:96">
      <c r="CR424" s="1"/>
    </row>
    <row r="425" spans="96:96">
      <c r="CR425" s="1"/>
    </row>
    <row r="426" spans="96:96">
      <c r="CR426" s="1"/>
    </row>
    <row r="427" spans="96:96">
      <c r="CR427" s="1"/>
    </row>
    <row r="428" spans="96:96">
      <c r="CR428" s="1"/>
    </row>
    <row r="429" spans="96:96">
      <c r="CR429" s="1"/>
    </row>
    <row r="430" spans="96:96">
      <c r="CR430" s="1"/>
    </row>
    <row r="431" spans="96:96">
      <c r="CR431" s="1"/>
    </row>
    <row r="432" spans="96:96">
      <c r="CR432" s="1"/>
    </row>
    <row r="433" spans="96:96">
      <c r="CR433" s="1"/>
    </row>
    <row r="434" spans="96:96">
      <c r="CR434" s="1"/>
    </row>
    <row r="435" spans="96:96">
      <c r="CR435" s="1"/>
    </row>
    <row r="436" spans="96:96">
      <c r="CR436" s="1"/>
    </row>
    <row r="437" spans="96:96">
      <c r="CR437" s="1"/>
    </row>
    <row r="438" spans="96:96">
      <c r="CR438" s="1"/>
    </row>
    <row r="439" spans="96:96">
      <c r="CR439" s="1"/>
    </row>
    <row r="440" spans="96:96">
      <c r="CR440" s="1"/>
    </row>
    <row r="441" spans="96:96">
      <c r="CR441" s="1"/>
    </row>
    <row r="442" spans="96:96">
      <c r="CR442" s="1"/>
    </row>
    <row r="443" spans="96:96">
      <c r="CR443" s="1"/>
    </row>
    <row r="444" spans="96:96">
      <c r="CR444" s="1"/>
    </row>
    <row r="445" spans="96:96">
      <c r="CR445" s="1"/>
    </row>
    <row r="446" spans="96:96">
      <c r="CR446" s="1"/>
    </row>
    <row r="447" spans="96:96">
      <c r="CR447" s="1"/>
    </row>
    <row r="448" spans="96:96">
      <c r="CR448" s="1"/>
    </row>
    <row r="449" spans="96:96">
      <c r="CR449" s="1"/>
    </row>
    <row r="450" spans="96:96">
      <c r="CR450" s="1"/>
    </row>
    <row r="451" spans="96:96">
      <c r="CR451" s="1"/>
    </row>
    <row r="452" spans="96:96">
      <c r="CR452" s="1"/>
    </row>
    <row r="453" spans="96:96">
      <c r="CR453" s="1"/>
    </row>
    <row r="454" spans="96:96">
      <c r="CR454" s="1"/>
    </row>
    <row r="455" spans="96:96">
      <c r="CR455" s="1"/>
    </row>
    <row r="456" spans="96:96">
      <c r="CR456" s="1"/>
    </row>
    <row r="457" spans="96:96">
      <c r="CR457" s="1"/>
    </row>
    <row r="458" spans="96:96">
      <c r="CR458" s="1"/>
    </row>
    <row r="459" spans="96:96">
      <c r="CR459" s="1"/>
    </row>
    <row r="460" spans="96:96">
      <c r="CR460" s="1"/>
    </row>
    <row r="461" spans="96:96">
      <c r="CR461" s="1"/>
    </row>
    <row r="462" spans="96:96">
      <c r="CR462" s="1"/>
    </row>
    <row r="463" spans="96:96">
      <c r="CR463" s="1"/>
    </row>
    <row r="464" spans="96:96">
      <c r="CR464" s="1"/>
    </row>
    <row r="465" spans="96:96">
      <c r="CR465" s="1"/>
    </row>
    <row r="466" spans="96:96">
      <c r="CR466" s="1"/>
    </row>
    <row r="467" spans="96:96">
      <c r="CR467" s="1"/>
    </row>
    <row r="468" spans="96:96">
      <c r="CR468" s="1"/>
    </row>
    <row r="469" spans="96:96">
      <c r="CR469" s="1"/>
    </row>
    <row r="470" spans="96:96">
      <c r="CR470" s="1"/>
    </row>
    <row r="471" spans="96:96">
      <c r="CR471" s="1"/>
    </row>
    <row r="472" spans="96:96">
      <c r="CR472" s="1"/>
    </row>
    <row r="473" spans="96:96">
      <c r="CR473" s="1"/>
    </row>
    <row r="474" spans="96:96">
      <c r="CR474" s="1"/>
    </row>
    <row r="475" spans="96:96">
      <c r="CR475" s="1"/>
    </row>
    <row r="476" spans="96:96">
      <c r="CR476" s="1"/>
    </row>
    <row r="477" spans="96:96">
      <c r="CR477" s="1"/>
    </row>
    <row r="478" spans="96:96">
      <c r="CR478" s="1"/>
    </row>
    <row r="479" spans="96:96">
      <c r="CR479" s="1"/>
    </row>
    <row r="480" spans="96:96">
      <c r="CR480" s="1"/>
    </row>
    <row r="481" spans="96:96">
      <c r="CR481" s="1"/>
    </row>
    <row r="482" spans="96:96">
      <c r="CR482" s="1"/>
    </row>
    <row r="483" spans="96:96">
      <c r="CR483" s="1"/>
    </row>
    <row r="484" spans="96:96">
      <c r="CR484" s="1"/>
    </row>
    <row r="485" spans="96:96">
      <c r="CR485" s="1"/>
    </row>
    <row r="486" spans="96:96">
      <c r="CR486" s="1"/>
    </row>
    <row r="487" spans="96:96">
      <c r="CR487" s="1"/>
    </row>
    <row r="488" spans="96:96">
      <c r="CR488" s="1"/>
    </row>
    <row r="489" spans="96:96">
      <c r="CR489" s="1"/>
    </row>
    <row r="490" spans="96:96">
      <c r="CR490" s="1"/>
    </row>
    <row r="491" spans="96:96">
      <c r="CR491" s="1"/>
    </row>
    <row r="492" spans="96:96">
      <c r="CR492" s="1"/>
    </row>
    <row r="493" spans="96:96">
      <c r="CR493" s="1"/>
    </row>
  </sheetData>
  <hyperlinks>
    <hyperlink ref="H14" r:id="rId1" display="cvgtfb@utsiimaging.com"/>
    <hyperlink ref="H49" r:id="rId2" display="kongl@nationwidetransinc.com"/>
    <hyperlink ref="H40" r:id="rId3"/>
  </hyperlinks>
  <pageMargins left="0.7" right="0.7" top="0.75" bottom="0.75" header="0.3" footer="0.3"/>
  <pageSetup orientation="portrait" horizontalDpi="4294967293"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59999389629810485"/>
  </sheetPr>
  <dimension ref="A1:W574"/>
  <sheetViews>
    <sheetView zoomScaleNormal="100" workbookViewId="0">
      <pane ySplit="1" topLeftCell="A549" activePane="bottomLeft" state="frozen"/>
      <selection activeCell="C51" sqref="C51"/>
      <selection pane="bottomLeft" activeCell="C583" sqref="C583"/>
    </sheetView>
  </sheetViews>
  <sheetFormatPr defaultColWidth="12.140625" defaultRowHeight="15"/>
  <cols>
    <col min="1" max="1" width="13.5703125" style="329" bestFit="1" customWidth="1"/>
    <col min="2" max="2" width="16.140625" style="81" bestFit="1" customWidth="1"/>
    <col min="3" max="3" width="39.140625" style="329" bestFit="1" customWidth="1"/>
    <col min="4" max="4" width="19.5703125" style="104" bestFit="1" customWidth="1"/>
    <col min="5" max="5" width="22.7109375" style="329" bestFit="1" customWidth="1"/>
    <col min="6" max="6" width="23" style="132" bestFit="1" customWidth="1"/>
    <col min="7" max="7" width="15.7109375" style="132" bestFit="1" customWidth="1"/>
    <col min="8" max="8" width="12.42578125" style="132" bestFit="1" customWidth="1"/>
    <col min="9" max="9" width="19.85546875" style="350" bestFit="1" customWidth="1"/>
    <col min="10" max="10" width="11.85546875" style="350" bestFit="1" customWidth="1"/>
    <col min="11" max="11" width="11.42578125" style="134" bestFit="1" customWidth="1"/>
    <col min="12" max="12" width="16.85546875" style="134" bestFit="1" customWidth="1"/>
    <col min="13" max="13" width="14.140625" style="329" bestFit="1" customWidth="1"/>
    <col min="14" max="14" width="18.85546875" style="104" bestFit="1" customWidth="1"/>
    <col min="15" max="15" width="10.7109375" style="135" bestFit="1" customWidth="1"/>
    <col min="16" max="16" width="15.140625" style="104" bestFit="1" customWidth="1"/>
    <col min="17" max="17" width="44.85546875" style="329" bestFit="1" customWidth="1"/>
    <col min="18" max="18" width="39.42578125" style="329" bestFit="1" customWidth="1"/>
    <col min="19" max="19" width="16.28515625" style="329" bestFit="1" customWidth="1"/>
    <col min="20" max="20" width="14" style="136" bestFit="1" customWidth="1"/>
    <col min="21" max="21" width="18.42578125" style="137" bestFit="1" customWidth="1"/>
    <col min="22" max="22" width="9.28515625" style="15" bestFit="1" customWidth="1"/>
    <col min="23" max="23" width="13" style="329" bestFit="1" customWidth="1"/>
    <col min="24" max="16384" width="12.140625" style="329"/>
  </cols>
  <sheetData>
    <row r="1" spans="1:23" s="4" customFormat="1">
      <c r="A1" s="108" t="s">
        <v>0</v>
      </c>
      <c r="B1" s="373" t="s">
        <v>3806</v>
      </c>
      <c r="C1" s="108" t="s">
        <v>3</v>
      </c>
      <c r="D1" s="373" t="s">
        <v>3807</v>
      </c>
      <c r="E1" s="108" t="s">
        <v>3808</v>
      </c>
      <c r="F1" s="108" t="s">
        <v>98</v>
      </c>
      <c r="G1" s="108" t="s">
        <v>101</v>
      </c>
      <c r="H1" s="108" t="s">
        <v>3809</v>
      </c>
      <c r="I1" s="374" t="s">
        <v>3810</v>
      </c>
      <c r="J1" s="374" t="s">
        <v>3811</v>
      </c>
      <c r="K1" s="108" t="s">
        <v>3812</v>
      </c>
      <c r="L1" s="108" t="s">
        <v>3813</v>
      </c>
      <c r="M1" s="108" t="s">
        <v>3814</v>
      </c>
      <c r="N1" s="108" t="s">
        <v>3815</v>
      </c>
      <c r="O1" s="375" t="s">
        <v>3816</v>
      </c>
      <c r="P1" s="108" t="s">
        <v>3817</v>
      </c>
      <c r="Q1" s="108" t="s">
        <v>3818</v>
      </c>
      <c r="R1" s="108" t="s">
        <v>3819</v>
      </c>
      <c r="S1" s="108" t="s">
        <v>3820</v>
      </c>
      <c r="T1" s="85" t="s">
        <v>3821</v>
      </c>
      <c r="U1" s="376" t="s">
        <v>3822</v>
      </c>
      <c r="V1" s="108" t="s">
        <v>108</v>
      </c>
      <c r="W1" s="108" t="s">
        <v>3823</v>
      </c>
    </row>
    <row r="2" spans="1:23" s="68" customFormat="1">
      <c r="A2" s="15" t="str">
        <f>INDEX(LoadMaster!$A:$A,MATCH(B2,LoadMaster!$C:$C,0))</f>
        <v>89857596</v>
      </c>
      <c r="B2" s="81">
        <v>175225689</v>
      </c>
      <c r="C2" s="416" t="str">
        <f>VLOOKUP(Table2[[#This Row],[BrokerConfNo]],LoadMaster!C:D,2,FALSE)</f>
        <v>Ch Robinson</v>
      </c>
      <c r="D2" s="104">
        <v>42181</v>
      </c>
      <c r="E2" s="416" t="str">
        <f>IF(Table2[[#This Row],[UBActualReceived]]&gt;1,"Received","Pending")</f>
        <v>Received</v>
      </c>
      <c r="F2" s="132">
        <f>INDEX(LoadMaster!$CU:$CU,MATCH(B2,LoadMaster!$C:$C,0))</f>
        <v>600</v>
      </c>
      <c r="G2" s="132">
        <f>INDEX(LoadMaster!$CX:$CX,MATCH(B2,LoadMaster!$C:$C,0))</f>
        <v>588</v>
      </c>
      <c r="H2" s="132">
        <f>INDEX(LoadMaster!$CW:$CW,MATCH(B2,LoadMaster!$C:$C,0))</f>
        <v>558</v>
      </c>
      <c r="I2" s="330">
        <v>588</v>
      </c>
      <c r="J2" s="525">
        <v>558</v>
      </c>
      <c r="K2" s="134" t="str">
        <f t="shared" ref="K2:K65" si="0">IF(I2&lt;G2, "Less", "Full")</f>
        <v>Full</v>
      </c>
      <c r="L2" s="134">
        <f>INDEX(LoadMaster!$CT:$CT,MATCH(Table2[[#This Row],[BrokerConfNo]],LoadMaster!$C:$C,0))</f>
        <v>0</v>
      </c>
      <c r="M2" s="416" t="str">
        <f>INDEX(LoadMaster!$AO:$AO,MATCH(Table2[[#This Row],[BrokerConfNo]],LoadMaster!$C:$C,0))</f>
        <v>Marco A Ponse</v>
      </c>
      <c r="N2" s="104">
        <f t="shared" ref="N2:N65" si="1">(5-WEEKDAY(P2,2))+P2</f>
        <v>42174</v>
      </c>
      <c r="O2" s="135">
        <f t="shared" ref="O2:O65" si="2">IF(M2="Albel",((5-WEEKDAY(P2,2))+P2)+14,(((5-WEEKDAY(P2,2))+P2)+7))</f>
        <v>42181</v>
      </c>
      <c r="P2" s="104">
        <f>INDEX(LoadMaster!$M:$M,MATCH(B2,LoadMaster!$C:$C,0))</f>
        <v>42172</v>
      </c>
      <c r="Q2" s="416" t="str">
        <f>INDEX(LoadMaster!$P:$P,MATCH(B2,LoadMaster!$C:$C,0))</f>
        <v>Hallettsville</v>
      </c>
      <c r="R2" s="416" t="str">
        <f>INDEX(LoadMaster!$AH:$AH,MATCH(B2,LoadMaster!$C:$C,0))</f>
        <v>Conroe</v>
      </c>
      <c r="S2" s="416" t="str">
        <f>INDEX(LoadMaster!$DC:$DC,MATCH(B2,LoadMaster!$C:$C,0))</f>
        <v>Sunny</v>
      </c>
      <c r="T2" s="136">
        <f>INDEX(LoadMaster!$DA:$DA,MATCH(B2,LoadMaster!$C:$C,0))</f>
        <v>30</v>
      </c>
      <c r="U2" s="137">
        <f>Table2[[#This Row],[WeekEndingDate]]+7</f>
        <v>42181</v>
      </c>
      <c r="V2" s="15">
        <f t="shared" ref="V2:V65" si="3">MONTH(P2)</f>
        <v>6</v>
      </c>
      <c r="W2" s="416">
        <f t="shared" ref="W2:W65" si="4">YEAR(P2)</f>
        <v>2015</v>
      </c>
    </row>
    <row r="3" spans="1:23" s="68" customFormat="1">
      <c r="A3" s="15" t="str">
        <f>INDEX(LoadMaster!$A:$A,MATCH(B3,LoadMaster!$C:$C,0))</f>
        <v>87606515</v>
      </c>
      <c r="B3" s="81">
        <v>175605287</v>
      </c>
      <c r="C3" s="416" t="str">
        <f>VLOOKUP(Table2[[#This Row],[BrokerConfNo]],LoadMaster!C:D,2,FALSE)</f>
        <v>Ch Robinson</v>
      </c>
      <c r="D3" s="104">
        <v>42187</v>
      </c>
      <c r="E3" s="416" t="str">
        <f>IF(Table2[[#This Row],[UBActualReceived]]&gt;1,"Received","Pending")</f>
        <v>Received</v>
      </c>
      <c r="F3" s="132">
        <f>INDEX(LoadMaster!$CU:$CU,MATCH(B3,LoadMaster!$C:$C,0))</f>
        <v>662.5</v>
      </c>
      <c r="G3" s="132">
        <f>INDEX(LoadMaster!$CX:$CX,MATCH(B3,LoadMaster!$C:$C,0))</f>
        <v>649.25</v>
      </c>
      <c r="H3" s="132">
        <f>INDEX(LoadMaster!$CW:$CW,MATCH(B3,LoadMaster!$C:$C,0))</f>
        <v>570</v>
      </c>
      <c r="I3" s="330">
        <v>649.25</v>
      </c>
      <c r="J3" s="525">
        <v>570</v>
      </c>
      <c r="K3" s="134" t="str">
        <f t="shared" si="0"/>
        <v>Full</v>
      </c>
      <c r="L3" s="134">
        <f>INDEX(LoadMaster!$CT:$CT,MATCH(Table2[[#This Row],[BrokerConfNo]],LoadMaster!$C:$C,0))</f>
        <v>12.5</v>
      </c>
      <c r="M3" s="416" t="str">
        <f>INDEX(LoadMaster!$AO:$AO,MATCH(Table2[[#This Row],[BrokerConfNo]],LoadMaster!$C:$C,0))</f>
        <v>Karamjeet</v>
      </c>
      <c r="N3" s="104">
        <f t="shared" si="1"/>
        <v>42181</v>
      </c>
      <c r="O3" s="135">
        <f t="shared" si="2"/>
        <v>42188</v>
      </c>
      <c r="P3" s="104">
        <f>INDEX(LoadMaster!$M:$M,MATCH(B3,LoadMaster!$C:$C,0))</f>
        <v>42177</v>
      </c>
      <c r="Q3" s="416" t="str">
        <f>INDEX(LoadMaster!$P:$P,MATCH(B3,LoadMaster!$C:$C,0))</f>
        <v>Hanford</v>
      </c>
      <c r="R3" s="416" t="str">
        <f>INDEX(LoadMaster!$AH:$AH,MATCH(B3,LoadMaster!$C:$C,0))</f>
        <v>Yuba City  / Red Bluff</v>
      </c>
      <c r="S3" s="416" t="str">
        <f>INDEX(LoadMaster!$DC:$DC,MATCH(B3,LoadMaster!$C:$C,0))</f>
        <v>Sunny</v>
      </c>
      <c r="T3" s="136">
        <f>INDEX(LoadMaster!$DA:$DA,MATCH(B3,LoadMaster!$C:$C,0))</f>
        <v>79.25</v>
      </c>
      <c r="U3" s="137">
        <f>Table2[[#This Row],[WeekEndingDate]]+7</f>
        <v>42188</v>
      </c>
      <c r="V3" s="15">
        <f t="shared" si="3"/>
        <v>6</v>
      </c>
      <c r="W3" s="416">
        <f t="shared" si="4"/>
        <v>2015</v>
      </c>
    </row>
    <row r="4" spans="1:23" s="68" customFormat="1">
      <c r="A4" s="15" t="str">
        <f>INDEX(LoadMaster!$A:$A,MATCH(B4,LoadMaster!$C:$C,0))</f>
        <v>178825</v>
      </c>
      <c r="B4" s="81">
        <v>175669817</v>
      </c>
      <c r="C4" s="416" t="str">
        <f>VLOOKUP(Table2[[#This Row],[BrokerConfNo]],LoadMaster!C:D,2,FALSE)</f>
        <v>Ch Robinson</v>
      </c>
      <c r="D4" s="104">
        <v>42184</v>
      </c>
      <c r="E4" s="416" t="str">
        <f>IF(Table2[[#This Row],[UBActualReceived]]&gt;1,"Received","Pending")</f>
        <v>Received</v>
      </c>
      <c r="F4" s="132">
        <f>INDEX(LoadMaster!$CU:$CU,MATCH(B4,LoadMaster!$C:$C,0))</f>
        <v>750</v>
      </c>
      <c r="G4" s="132">
        <f>INDEX(LoadMaster!$CX:$CX,MATCH(B4,LoadMaster!$C:$C,0))</f>
        <v>735</v>
      </c>
      <c r="H4" s="132">
        <f>INDEX(LoadMaster!$CW:$CW,MATCH(B4,LoadMaster!$C:$C,0))</f>
        <v>700</v>
      </c>
      <c r="I4" s="330">
        <v>735</v>
      </c>
      <c r="J4" s="525">
        <v>700</v>
      </c>
      <c r="K4" s="134" t="str">
        <f t="shared" si="0"/>
        <v>Full</v>
      </c>
      <c r="L4" s="134">
        <f>INDEX(LoadMaster!$CT:$CT,MATCH(Table2[[#This Row],[BrokerConfNo]],LoadMaster!$C:$C,0))</f>
        <v>25</v>
      </c>
      <c r="M4" s="416" t="str">
        <f>INDEX(LoadMaster!$AO:$AO,MATCH(Table2[[#This Row],[BrokerConfNo]],LoadMaster!$C:$C,0))</f>
        <v>Satnam</v>
      </c>
      <c r="N4" s="104">
        <f t="shared" si="1"/>
        <v>42181</v>
      </c>
      <c r="O4" s="135">
        <f t="shared" si="2"/>
        <v>42188</v>
      </c>
      <c r="P4" s="104">
        <f>INDEX(LoadMaster!$M:$M,MATCH(B4,LoadMaster!$C:$C,0))</f>
        <v>42177</v>
      </c>
      <c r="Q4" s="416" t="str">
        <f>INDEX(LoadMaster!$P:$P,MATCH(B4,LoadMaster!$C:$C,0))</f>
        <v>Bakersfield</v>
      </c>
      <c r="R4" s="416" t="str">
        <f>INDEX(LoadMaster!$AH:$AH,MATCH(B4,LoadMaster!$C:$C,0))</f>
        <v>Fairfield</v>
      </c>
      <c r="S4" s="416" t="str">
        <f>INDEX(LoadMaster!$DC:$DC,MATCH(B4,LoadMaster!$C:$C,0))</f>
        <v>Sunny</v>
      </c>
      <c r="T4" s="136">
        <f>INDEX(LoadMaster!$DA:$DA,MATCH(B4,LoadMaster!$C:$C,0))</f>
        <v>35</v>
      </c>
      <c r="U4" s="137">
        <f>Table2[[#This Row],[WeekEndingDate]]+7</f>
        <v>42188</v>
      </c>
      <c r="V4" s="15">
        <f t="shared" si="3"/>
        <v>6</v>
      </c>
      <c r="W4" s="416">
        <f t="shared" si="4"/>
        <v>2015</v>
      </c>
    </row>
    <row r="5" spans="1:23" s="18" customFormat="1">
      <c r="A5" s="15" t="str">
        <f>INDEX(LoadMaster!$A:$A,MATCH(B5,LoadMaster!$C:$C,0))</f>
        <v>-0494915</v>
      </c>
      <c r="B5" s="55" t="s">
        <v>164</v>
      </c>
      <c r="C5" s="18" t="str">
        <f>VLOOKUP(Table2[[#This Row],[BrokerConfNo]],LoadMaster!C:D,2,FALSE)</f>
        <v>Icci</v>
      </c>
      <c r="D5" s="26">
        <v>42192</v>
      </c>
      <c r="E5" s="18" t="str">
        <f>IF(Table2[[#This Row],[UBActualReceived]]&gt;1,"Received","Pending")</f>
        <v>Received</v>
      </c>
      <c r="F5" s="21">
        <f>INDEX(LoadMaster!$CU:$CU,MATCH(B5,LoadMaster!$C:$C,0))</f>
        <v>1250</v>
      </c>
      <c r="G5" s="132">
        <f>INDEX(LoadMaster!$CX:$CX,MATCH(B5,LoadMaster!$C:$C,0))</f>
        <v>1220</v>
      </c>
      <c r="H5" s="132">
        <f>INDEX(LoadMaster!$CW:$CW,MATCH(B5,LoadMaster!$C:$C,0))</f>
        <v>1166</v>
      </c>
      <c r="I5" s="331">
        <v>1220</v>
      </c>
      <c r="J5" s="526">
        <v>1166</v>
      </c>
      <c r="K5" s="27" t="str">
        <f t="shared" si="0"/>
        <v>Full</v>
      </c>
      <c r="L5" s="27">
        <f>INDEX(LoadMaster!$CT:$CT,MATCH(Table2[[#This Row],[BrokerConfNo]],LoadMaster!$C:$C,0))</f>
        <v>50</v>
      </c>
      <c r="M5" s="18" t="str">
        <f>INDEX(LoadMaster!$AO:$AO,MATCH(Table2[[#This Row],[BrokerConfNo]],LoadMaster!$C:$C,0))</f>
        <v>Karamjeet</v>
      </c>
      <c r="N5" s="26">
        <f t="shared" si="1"/>
        <v>42181</v>
      </c>
      <c r="O5" s="109">
        <f t="shared" si="2"/>
        <v>42188</v>
      </c>
      <c r="P5" s="26">
        <f>INDEX(LoadMaster!$M:$M,MATCH(B5,LoadMaster!$C:$C,0))</f>
        <v>42178</v>
      </c>
      <c r="Q5" s="18" t="str">
        <f>INDEX(LoadMaster!$P:$P,MATCH(B5,LoadMaster!$C:$C,0))</f>
        <v>Weed</v>
      </c>
      <c r="R5" s="18" t="str">
        <f>INDEX(LoadMaster!$AH:$AH,MATCH(B5,LoadMaster!$C:$C,0))</f>
        <v>Tacoma</v>
      </c>
      <c r="S5" s="416" t="str">
        <f>INDEX(LoadMaster!$DC:$DC,MATCH(B5,LoadMaster!$C:$C,0))</f>
        <v>Sunny</v>
      </c>
      <c r="T5" s="48">
        <f>INDEX(LoadMaster!$DA:$DA,MATCH(B5,LoadMaster!$C:$C,0))</f>
        <v>54</v>
      </c>
      <c r="U5" s="110">
        <f>Table2[[#This Row],[WeekEndingDate]]+7</f>
        <v>42188</v>
      </c>
      <c r="V5" s="14">
        <f t="shared" si="3"/>
        <v>6</v>
      </c>
      <c r="W5" s="18">
        <f t="shared" si="4"/>
        <v>2015</v>
      </c>
    </row>
    <row r="6" spans="1:23" s="68" customFormat="1">
      <c r="A6" s="15" t="str">
        <f>INDEX(LoadMaster!$A:$A,MATCH(B6,LoadMaster!$C:$C,0))</f>
        <v>24494949</v>
      </c>
      <c r="B6" s="81">
        <v>175695124</v>
      </c>
      <c r="C6" s="416" t="str">
        <f>VLOOKUP(Table2[[#This Row],[BrokerConfNo]],LoadMaster!C:D,2,FALSE)</f>
        <v>Ch Robinson</v>
      </c>
      <c r="D6" s="104">
        <v>42184</v>
      </c>
      <c r="E6" s="416" t="str">
        <f>IF(Table2[[#This Row],[UBActualReceived]]&gt;1,"Received","Pending")</f>
        <v>Received</v>
      </c>
      <c r="F6" s="132">
        <f>INDEX(LoadMaster!$CU:$CU,MATCH(B6,LoadMaster!$C:$C,0))</f>
        <v>525</v>
      </c>
      <c r="G6" s="132">
        <f>INDEX(LoadMaster!$CX:$CX,MATCH(B6,LoadMaster!$C:$C,0))</f>
        <v>514.5</v>
      </c>
      <c r="H6" s="132">
        <f>INDEX(LoadMaster!$CW:$CW,MATCH(B6,LoadMaster!$C:$C,0))</f>
        <v>500</v>
      </c>
      <c r="I6" s="330">
        <v>514</v>
      </c>
      <c r="J6" s="525">
        <v>500</v>
      </c>
      <c r="K6" s="134" t="str">
        <f t="shared" si="0"/>
        <v>Less</v>
      </c>
      <c r="L6" s="134">
        <f>INDEX(LoadMaster!$CT:$CT,MATCH(Table2[[#This Row],[BrokerConfNo]],LoadMaster!$C:$C,0))</f>
        <v>50</v>
      </c>
      <c r="M6" s="416" t="str">
        <f>INDEX(LoadMaster!$AO:$AO,MATCH(Table2[[#This Row],[BrokerConfNo]],LoadMaster!$C:$C,0))</f>
        <v>Albel</v>
      </c>
      <c r="N6" s="104">
        <f t="shared" si="1"/>
        <v>42181</v>
      </c>
      <c r="O6" s="135">
        <f t="shared" si="2"/>
        <v>42195</v>
      </c>
      <c r="P6" s="104">
        <f>INDEX(LoadMaster!$M:$M,MATCH(B6,LoadMaster!$C:$C,0))</f>
        <v>42179</v>
      </c>
      <c r="Q6" s="416" t="str">
        <f>INDEX(LoadMaster!$P:$P,MATCH(B6,LoadMaster!$C:$C,0))</f>
        <v>Fresno</v>
      </c>
      <c r="R6" s="416" t="str">
        <f>INDEX(LoadMaster!$AH:$AH,MATCH(B6,LoadMaster!$C:$C,0))</f>
        <v>Lodi</v>
      </c>
      <c r="S6" s="416" t="str">
        <f>INDEX(LoadMaster!$DC:$DC,MATCH(B6,LoadMaster!$C:$C,0))</f>
        <v>Sunny</v>
      </c>
      <c r="T6" s="136">
        <f>INDEX(LoadMaster!$DA:$DA,MATCH(B6,LoadMaster!$C:$C,0))</f>
        <v>14.5</v>
      </c>
      <c r="U6" s="137">
        <f>Table2[[#This Row],[WeekEndingDate]]+7</f>
        <v>42188</v>
      </c>
      <c r="V6" s="15">
        <f t="shared" si="3"/>
        <v>6</v>
      </c>
      <c r="W6" s="416">
        <f t="shared" si="4"/>
        <v>2015</v>
      </c>
    </row>
    <row r="7" spans="1:23" s="68" customFormat="1">
      <c r="A7" s="15" t="str">
        <f>INDEX(LoadMaster!$A:$A,MATCH(B7,LoadMaster!$C:$C,0))</f>
        <v>35678349</v>
      </c>
      <c r="B7" s="81">
        <v>175907635</v>
      </c>
      <c r="C7" s="416" t="str">
        <f>VLOOKUP(Table2[[#This Row],[BrokerConfNo]],LoadMaster!C:D,2,FALSE)</f>
        <v>Ch Robinson</v>
      </c>
      <c r="D7" s="104">
        <v>42184</v>
      </c>
      <c r="E7" s="416" t="str">
        <f>IF(Table2[[#This Row],[UBActualReceived]]&gt;1,"Received","Pending")</f>
        <v>Received</v>
      </c>
      <c r="F7" s="132">
        <f>INDEX(LoadMaster!$CU:$CU,MATCH(B7,LoadMaster!$C:$C,0))</f>
        <v>700</v>
      </c>
      <c r="G7" s="132">
        <f>INDEX(LoadMaster!$CX:$CX,MATCH(B7,LoadMaster!$C:$C,0))</f>
        <v>686</v>
      </c>
      <c r="H7" s="132">
        <f>INDEX(LoadMaster!$CW:$CW,MATCH(B7,LoadMaster!$C:$C,0))</f>
        <v>650</v>
      </c>
      <c r="I7" s="330">
        <v>686</v>
      </c>
      <c r="J7" s="525">
        <v>650</v>
      </c>
      <c r="K7" s="134" t="str">
        <f t="shared" si="0"/>
        <v>Full</v>
      </c>
      <c r="L7" s="134">
        <f>INDEX(LoadMaster!$CT:$CT,MATCH(Table2[[#This Row],[BrokerConfNo]],LoadMaster!$C:$C,0))</f>
        <v>100</v>
      </c>
      <c r="M7" s="416" t="str">
        <f>INDEX(LoadMaster!$AO:$AO,MATCH(Table2[[#This Row],[BrokerConfNo]],LoadMaster!$C:$C,0))</f>
        <v>Albel</v>
      </c>
      <c r="N7" s="104">
        <f t="shared" si="1"/>
        <v>42181</v>
      </c>
      <c r="O7" s="135">
        <f t="shared" si="2"/>
        <v>42195</v>
      </c>
      <c r="P7" s="104">
        <f>INDEX(LoadMaster!$M:$M,MATCH(B7,LoadMaster!$C:$C,0))</f>
        <v>42179</v>
      </c>
      <c r="Q7" s="416" t="str">
        <f>INDEX(LoadMaster!$P:$P,MATCH(B7,LoadMaster!$C:$C,0))</f>
        <v>Stockton</v>
      </c>
      <c r="R7" s="416" t="str">
        <f>INDEX(LoadMaster!$AH:$AH,MATCH(B7,LoadMaster!$C:$C,0))</f>
        <v>Berkely</v>
      </c>
      <c r="S7" s="416" t="str">
        <f>INDEX(LoadMaster!$DC:$DC,MATCH(B7,LoadMaster!$C:$C,0))</f>
        <v>Sunny</v>
      </c>
      <c r="T7" s="136">
        <f>INDEX(LoadMaster!$DA:$DA,MATCH(B7,LoadMaster!$C:$C,0))</f>
        <v>36</v>
      </c>
      <c r="U7" s="137">
        <f>Table2[[#This Row],[WeekEndingDate]]+7</f>
        <v>42188</v>
      </c>
      <c r="V7" s="15">
        <f t="shared" si="3"/>
        <v>6</v>
      </c>
      <c r="W7" s="416">
        <f t="shared" si="4"/>
        <v>2015</v>
      </c>
    </row>
    <row r="8" spans="1:23" s="18" customFormat="1">
      <c r="A8" s="15" t="str">
        <f>INDEX(LoadMaster!$A:$A,MATCH(B8,LoadMaster!$C:$C,0))</f>
        <v>14565315</v>
      </c>
      <c r="B8" s="55">
        <v>10904214</v>
      </c>
      <c r="C8" s="18" t="str">
        <f>VLOOKUP(Table2[[#This Row],[BrokerConfNo]],LoadMaster!C:D,2,FALSE)</f>
        <v>Uti</v>
      </c>
      <c r="D8" s="26">
        <v>42192</v>
      </c>
      <c r="E8" s="18" t="str">
        <f>IF(Table2[[#This Row],[UBActualReceived]]&gt;1,"Received","Pending")</f>
        <v>Received</v>
      </c>
      <c r="F8" s="21">
        <f>INDEX(LoadMaster!$CU:$CU,MATCH(B8,LoadMaster!$C:$C,0))</f>
        <v>725</v>
      </c>
      <c r="G8" s="132">
        <f>INDEX(LoadMaster!$CX:$CX,MATCH(B8,LoadMaster!$C:$C,0))</f>
        <v>710.5</v>
      </c>
      <c r="H8" s="132">
        <f>INDEX(LoadMaster!$CW:$CW,MATCH(B8,LoadMaster!$C:$C,0))</f>
        <v>925</v>
      </c>
      <c r="I8" s="331">
        <v>710.5</v>
      </c>
      <c r="J8" s="526">
        <v>925</v>
      </c>
      <c r="K8" s="27" t="str">
        <f t="shared" si="0"/>
        <v>Full</v>
      </c>
      <c r="L8" s="27">
        <f>INDEX(LoadMaster!$CT:$CT,MATCH(Table2[[#This Row],[BrokerConfNo]],LoadMaster!$C:$C,0))</f>
        <v>0</v>
      </c>
      <c r="M8" s="18" t="str">
        <f>INDEX(LoadMaster!$AO:$AO,MATCH(Table2[[#This Row],[BrokerConfNo]],LoadMaster!$C:$C,0))</f>
        <v>Karamjeet</v>
      </c>
      <c r="N8" s="26">
        <f t="shared" si="1"/>
        <v>42181</v>
      </c>
      <c r="O8" s="109">
        <f t="shared" si="2"/>
        <v>42188</v>
      </c>
      <c r="P8" s="26">
        <f>INDEX(LoadMaster!$M:$M,MATCH(B8,LoadMaster!$C:$C,0))</f>
        <v>42179</v>
      </c>
      <c r="Q8" s="18" t="str">
        <f>INDEX(LoadMaster!$P:$P,MATCH(B8,LoadMaster!$C:$C,0))</f>
        <v>Hillsboro</v>
      </c>
      <c r="R8" s="18" t="str">
        <f>INDEX(LoadMaster!$AH:$AH,MATCH(B8,LoadMaster!$C:$C,0))</f>
        <v>Sacramento</v>
      </c>
      <c r="S8" s="416" t="str">
        <f>INDEX(LoadMaster!$DC:$DC,MATCH(B8,LoadMaster!$C:$C,0))</f>
        <v>Sunny</v>
      </c>
      <c r="T8" s="48">
        <f>INDEX(LoadMaster!$DA:$DA,MATCH(B8,LoadMaster!$C:$C,0))</f>
        <v>-214.5</v>
      </c>
      <c r="U8" s="110">
        <f>Table2[[#This Row],[WeekEndingDate]]+7</f>
        <v>42188</v>
      </c>
      <c r="V8" s="14">
        <f t="shared" si="3"/>
        <v>6</v>
      </c>
      <c r="W8" s="18">
        <f t="shared" si="4"/>
        <v>2015</v>
      </c>
    </row>
    <row r="9" spans="1:23" s="68" customFormat="1">
      <c r="A9" s="15" t="str">
        <f>INDEX(LoadMaster!$A:$A,MATCH(B9,LoadMaster!$C:$C,0))</f>
        <v>237A7049</v>
      </c>
      <c r="B9" s="81">
        <v>175920523</v>
      </c>
      <c r="C9" s="416" t="str">
        <f>VLOOKUP(Table2[[#This Row],[BrokerConfNo]],LoadMaster!C:D,2,FALSE)</f>
        <v>Ch Robinson</v>
      </c>
      <c r="D9" s="104">
        <v>42187</v>
      </c>
      <c r="E9" s="416" t="str">
        <f>IF(Table2[[#This Row],[UBActualReceived]]&gt;1,"Received","Pending")</f>
        <v>Received</v>
      </c>
      <c r="F9" s="132">
        <f>INDEX(LoadMaster!$CU:$CU,MATCH(B9,LoadMaster!$C:$C,0))</f>
        <v>450</v>
      </c>
      <c r="G9" s="132">
        <f>INDEX(LoadMaster!$CX:$CX,MATCH(B9,LoadMaster!$C:$C,0))</f>
        <v>441</v>
      </c>
      <c r="H9" s="132">
        <f>INDEX(LoadMaster!$CW:$CW,MATCH(B9,LoadMaster!$C:$C,0))</f>
        <v>400</v>
      </c>
      <c r="I9" s="330">
        <v>441</v>
      </c>
      <c r="J9" s="525">
        <v>400</v>
      </c>
      <c r="K9" s="134" t="str">
        <f t="shared" si="0"/>
        <v>Full</v>
      </c>
      <c r="L9" s="134">
        <f>INDEX(LoadMaster!$CT:$CT,MATCH(Table2[[#This Row],[BrokerConfNo]],LoadMaster!$C:$C,0))</f>
        <v>50</v>
      </c>
      <c r="M9" s="416" t="str">
        <f>INDEX(LoadMaster!$AO:$AO,MATCH(Table2[[#This Row],[BrokerConfNo]],LoadMaster!$C:$C,0))</f>
        <v>Albel</v>
      </c>
      <c r="N9" s="104">
        <f t="shared" si="1"/>
        <v>42181</v>
      </c>
      <c r="O9" s="135">
        <f t="shared" si="2"/>
        <v>42195</v>
      </c>
      <c r="P9" s="104">
        <f>INDEX(LoadMaster!$M:$M,MATCH(B9,LoadMaster!$C:$C,0))</f>
        <v>42180</v>
      </c>
      <c r="Q9" s="416" t="str">
        <f>INDEX(LoadMaster!$P:$P,MATCH(B9,LoadMaster!$C:$C,0))</f>
        <v>Hayward</v>
      </c>
      <c r="R9" s="416" t="str">
        <f>INDEX(LoadMaster!$AH:$AH,MATCH(B9,LoadMaster!$C:$C,0))</f>
        <v>Lodi</v>
      </c>
      <c r="S9" s="416" t="str">
        <f>INDEX(LoadMaster!$DC:$DC,MATCH(B9,LoadMaster!$C:$C,0))</f>
        <v>Sunny</v>
      </c>
      <c r="T9" s="136">
        <f>INDEX(LoadMaster!$DA:$DA,MATCH(B9,LoadMaster!$C:$C,0))</f>
        <v>41</v>
      </c>
      <c r="U9" s="137">
        <f>Table2[[#This Row],[WeekEndingDate]]+7</f>
        <v>42188</v>
      </c>
      <c r="V9" s="15">
        <f t="shared" si="3"/>
        <v>6</v>
      </c>
      <c r="W9" s="416">
        <f t="shared" si="4"/>
        <v>2015</v>
      </c>
    </row>
    <row r="10" spans="1:23" s="68" customFormat="1">
      <c r="A10" s="15" t="str">
        <f>INDEX(LoadMaster!$A:$A,MATCH(B10,LoadMaster!$C:$C,0))</f>
        <v>99898949</v>
      </c>
      <c r="B10" s="81">
        <v>175712699</v>
      </c>
      <c r="C10" s="416" t="str">
        <f>VLOOKUP(Table2[[#This Row],[BrokerConfNo]],LoadMaster!C:D,2,FALSE)</f>
        <v>Ch Robinson</v>
      </c>
      <c r="D10" s="104">
        <v>42191</v>
      </c>
      <c r="E10" s="416" t="str">
        <f>IF(Table2[[#This Row],[UBActualReceived]]&gt;1,"Received","Pending")</f>
        <v>Received</v>
      </c>
      <c r="F10" s="132">
        <f>INDEX(LoadMaster!$CU:$CU,MATCH(B10,LoadMaster!$C:$C,0))</f>
        <v>675</v>
      </c>
      <c r="G10" s="132">
        <f>INDEX(LoadMaster!$CX:$CX,MATCH(B10,LoadMaster!$C:$C,0))</f>
        <v>661.5</v>
      </c>
      <c r="H10" s="132">
        <f>INDEX(LoadMaster!$CW:$CW,MATCH(B10,LoadMaster!$C:$C,0))</f>
        <v>650</v>
      </c>
      <c r="I10" s="330">
        <v>661.5</v>
      </c>
      <c r="J10" s="525">
        <v>650</v>
      </c>
      <c r="K10" s="134" t="str">
        <f t="shared" si="0"/>
        <v>Full</v>
      </c>
      <c r="L10" s="134">
        <f>INDEX(LoadMaster!$CT:$CT,MATCH(Table2[[#This Row],[BrokerConfNo]],LoadMaster!$C:$C,0))</f>
        <v>0</v>
      </c>
      <c r="M10" s="416" t="str">
        <f>INDEX(LoadMaster!$AO:$AO,MATCH(Table2[[#This Row],[BrokerConfNo]],LoadMaster!$C:$C,0))</f>
        <v>Albel</v>
      </c>
      <c r="N10" s="104">
        <f t="shared" si="1"/>
        <v>42181</v>
      </c>
      <c r="O10" s="135">
        <f t="shared" si="2"/>
        <v>42195</v>
      </c>
      <c r="P10" s="104">
        <f>INDEX(LoadMaster!$M:$M,MATCH(B10,LoadMaster!$C:$C,0))</f>
        <v>42181</v>
      </c>
      <c r="Q10" s="416" t="str">
        <f>INDEX(LoadMaster!$P:$P,MATCH(B10,LoadMaster!$C:$C,0))</f>
        <v>Hanford</v>
      </c>
      <c r="R10" s="416" t="str">
        <f>INDEX(LoadMaster!$AH:$AH,MATCH(B10,LoadMaster!$C:$C,0))</f>
        <v>Auburn</v>
      </c>
      <c r="S10" s="416" t="str">
        <f>INDEX(LoadMaster!$DC:$DC,MATCH(B10,LoadMaster!$C:$C,0))</f>
        <v>Sunny</v>
      </c>
      <c r="T10" s="136">
        <f>INDEX(LoadMaster!$DA:$DA,MATCH(B10,LoadMaster!$C:$C,0))</f>
        <v>11.5</v>
      </c>
      <c r="U10" s="137">
        <f>Table2[[#This Row],[WeekEndingDate]]+7</f>
        <v>42188</v>
      </c>
      <c r="V10" s="15">
        <f t="shared" si="3"/>
        <v>6</v>
      </c>
      <c r="W10" s="416">
        <f t="shared" si="4"/>
        <v>2015</v>
      </c>
    </row>
    <row r="11" spans="1:23" s="68" customFormat="1">
      <c r="A11" s="15" t="str">
        <f>INDEX(LoadMaster!$A:$A,MATCH(B11,LoadMaster!$C:$C,0))</f>
        <v>586425</v>
      </c>
      <c r="B11" s="81">
        <v>176007458</v>
      </c>
      <c r="C11" s="416" t="str">
        <f>VLOOKUP(Table2[[#This Row],[BrokerConfNo]],LoadMaster!C:D,2,FALSE)</f>
        <v>Ch Robinson</v>
      </c>
      <c r="D11" s="104">
        <v>42194</v>
      </c>
      <c r="E11" s="416" t="str">
        <f>IF(Table2[[#This Row],[UBActualReceived]]&gt;1,"Received","Pending")</f>
        <v>Received</v>
      </c>
      <c r="F11" s="132">
        <f>INDEX(LoadMaster!$CU:$CU,MATCH(B11,LoadMaster!$C:$C,0))</f>
        <v>1150</v>
      </c>
      <c r="G11" s="132">
        <f>INDEX(LoadMaster!$CX:$CX,MATCH(B11,LoadMaster!$C:$C,0))</f>
        <v>1127</v>
      </c>
      <c r="H11" s="132">
        <f>INDEX(LoadMaster!$CW:$CW,MATCH(B11,LoadMaster!$C:$C,0))</f>
        <v>1050</v>
      </c>
      <c r="I11" s="330">
        <v>1127</v>
      </c>
      <c r="J11" s="525">
        <v>1050</v>
      </c>
      <c r="K11" s="134" t="str">
        <f t="shared" si="0"/>
        <v>Full</v>
      </c>
      <c r="L11" s="134">
        <f>INDEX(LoadMaster!$CT:$CT,MATCH(Table2[[#This Row],[BrokerConfNo]],LoadMaster!$C:$C,0))</f>
        <v>100</v>
      </c>
      <c r="M11" s="416" t="str">
        <f>INDEX(LoadMaster!$AO:$AO,MATCH(Table2[[#This Row],[BrokerConfNo]],LoadMaster!$C:$C,0))</f>
        <v>Satnam</v>
      </c>
      <c r="N11" s="104">
        <f t="shared" si="1"/>
        <v>42188</v>
      </c>
      <c r="O11" s="135">
        <f t="shared" si="2"/>
        <v>42195</v>
      </c>
      <c r="P11" s="104">
        <f>INDEX(LoadMaster!$M:$M,MATCH(B11,LoadMaster!$C:$C,0))</f>
        <v>42184</v>
      </c>
      <c r="Q11" s="416" t="str">
        <f>INDEX(LoadMaster!$P:$P,MATCH(B11,LoadMaster!$C:$C,0))</f>
        <v>Sparks</v>
      </c>
      <c r="R11" s="416" t="str">
        <f>INDEX(LoadMaster!$AH:$AH,MATCH(B11,LoadMaster!$C:$C,0))</f>
        <v>Sacramento / Framington / Kikngsburg</v>
      </c>
      <c r="S11" s="416" t="str">
        <f>INDEX(LoadMaster!$DC:$DC,MATCH(B11,LoadMaster!$C:$C,0))</f>
        <v>Sunny</v>
      </c>
      <c r="T11" s="136">
        <f>INDEX(LoadMaster!$DA:$DA,MATCH(B11,LoadMaster!$C:$C,0))</f>
        <v>77</v>
      </c>
      <c r="U11" s="137">
        <f>Table2[[#This Row],[WeekEndingDate]]+7</f>
        <v>42195</v>
      </c>
      <c r="V11" s="15">
        <f t="shared" si="3"/>
        <v>6</v>
      </c>
      <c r="W11" s="416">
        <f t="shared" si="4"/>
        <v>2015</v>
      </c>
    </row>
    <row r="12" spans="1:23" s="68" customFormat="1">
      <c r="A12" s="15" t="str">
        <f>INDEX(LoadMaster!$A:$A,MATCH(B12,LoadMaster!$C:$C,0))</f>
        <v>42090949</v>
      </c>
      <c r="B12" s="81">
        <v>176104342</v>
      </c>
      <c r="C12" s="416" t="str">
        <f>VLOOKUP(Table2[[#This Row],[BrokerConfNo]],LoadMaster!C:D,2,FALSE)</f>
        <v>Ch Robinson</v>
      </c>
      <c r="D12" s="104">
        <v>42192</v>
      </c>
      <c r="E12" s="416" t="str">
        <f>IF(Table2[[#This Row],[UBActualReceived]]&gt;1,"Received","Pending")</f>
        <v>Received</v>
      </c>
      <c r="F12" s="132">
        <f>INDEX(LoadMaster!$CU:$CU,MATCH(B12,LoadMaster!$C:$C,0))</f>
        <v>525</v>
      </c>
      <c r="G12" s="132">
        <f>INDEX(LoadMaster!$CX:$CX,MATCH(B12,LoadMaster!$C:$C,0))</f>
        <v>514.5</v>
      </c>
      <c r="H12" s="132">
        <f>INDEX(LoadMaster!$CW:$CW,MATCH(B12,LoadMaster!$C:$C,0))</f>
        <v>475</v>
      </c>
      <c r="I12" s="330">
        <v>514.5</v>
      </c>
      <c r="J12" s="525">
        <v>475</v>
      </c>
      <c r="K12" s="134" t="str">
        <f t="shared" si="0"/>
        <v>Full</v>
      </c>
      <c r="L12" s="134">
        <f>INDEX(LoadMaster!$CT:$CT,MATCH(Table2[[#This Row],[BrokerConfNo]],LoadMaster!$C:$C,0))</f>
        <v>0</v>
      </c>
      <c r="M12" s="416" t="str">
        <f>INDEX(LoadMaster!$AO:$AO,MATCH(Table2[[#This Row],[BrokerConfNo]],LoadMaster!$C:$C,0))</f>
        <v>Albel</v>
      </c>
      <c r="N12" s="104">
        <f t="shared" si="1"/>
        <v>42188</v>
      </c>
      <c r="O12" s="135">
        <f t="shared" si="2"/>
        <v>42202</v>
      </c>
      <c r="P12" s="104">
        <f>INDEX(LoadMaster!$M:$M,MATCH(B12,LoadMaster!$C:$C,0))</f>
        <v>42184</v>
      </c>
      <c r="Q12" s="416" t="str">
        <f>INDEX(LoadMaster!$P:$P,MATCH(B12,LoadMaster!$C:$C,0))</f>
        <v>Madera</v>
      </c>
      <c r="R12" s="416" t="str">
        <f>INDEX(LoadMaster!$AH:$AH,MATCH(B12,LoadMaster!$C:$C,0))</f>
        <v>Fairfield</v>
      </c>
      <c r="S12" s="416" t="str">
        <f>INDEX(LoadMaster!$DC:$DC,MATCH(B12,LoadMaster!$C:$C,0))</f>
        <v>Sunny</v>
      </c>
      <c r="T12" s="136">
        <f>INDEX(LoadMaster!$DA:$DA,MATCH(B12,LoadMaster!$C:$C,0))</f>
        <v>39.5</v>
      </c>
      <c r="U12" s="137">
        <f>Table2[[#This Row],[WeekEndingDate]]+7</f>
        <v>42195</v>
      </c>
      <c r="V12" s="15">
        <f t="shared" si="3"/>
        <v>6</v>
      </c>
      <c r="W12" s="416">
        <f t="shared" si="4"/>
        <v>2015</v>
      </c>
    </row>
    <row r="13" spans="1:23" s="68" customFormat="1">
      <c r="A13" s="15" t="str">
        <f>INDEX(LoadMaster!$A:$A,MATCH(B13,LoadMaster!$C:$C,0))</f>
        <v>59Rh49</v>
      </c>
      <c r="B13" s="81">
        <v>175520859</v>
      </c>
      <c r="C13" s="416" t="str">
        <f>VLOOKUP(Table2[[#This Row],[BrokerConfNo]],LoadMaster!C:D,2,FALSE)</f>
        <v>Ch Robinson</v>
      </c>
      <c r="D13" s="104">
        <v>42191</v>
      </c>
      <c r="E13" s="416" t="str">
        <f>IF(Table2[[#This Row],[UBActualReceived]]&gt;1,"Received","Pending")</f>
        <v>Received</v>
      </c>
      <c r="F13" s="132">
        <f>INDEX(LoadMaster!$CU:$CU,MATCH(B13,LoadMaster!$C:$C,0))</f>
        <v>475</v>
      </c>
      <c r="G13" s="132">
        <f>INDEX(LoadMaster!$CX:$CX,MATCH(B13,LoadMaster!$C:$C,0))</f>
        <v>465.5</v>
      </c>
      <c r="H13" s="132">
        <f>INDEX(LoadMaster!$CW:$CW,MATCH(B13,LoadMaster!$C:$C,0))</f>
        <v>450</v>
      </c>
      <c r="I13" s="330">
        <v>465.5</v>
      </c>
      <c r="J13" s="525">
        <v>450</v>
      </c>
      <c r="K13" s="134" t="str">
        <f t="shared" si="0"/>
        <v>Full</v>
      </c>
      <c r="L13" s="134">
        <f>INDEX(LoadMaster!$CT:$CT,MATCH(Table2[[#This Row],[BrokerConfNo]],LoadMaster!$C:$C,0))</f>
        <v>0</v>
      </c>
      <c r="M13" s="416" t="str">
        <f>INDEX(LoadMaster!$AO:$AO,MATCH(Table2[[#This Row],[BrokerConfNo]],LoadMaster!$C:$C,0))</f>
        <v>Albel</v>
      </c>
      <c r="N13" s="104">
        <f t="shared" si="1"/>
        <v>42188</v>
      </c>
      <c r="O13" s="135">
        <f t="shared" si="2"/>
        <v>42202</v>
      </c>
      <c r="P13" s="104">
        <f>INDEX(LoadMaster!$M:$M,MATCH(B13,LoadMaster!$C:$C,0))</f>
        <v>42184</v>
      </c>
      <c r="Q13" s="416" t="str">
        <f>INDEX(LoadMaster!$P:$P,MATCH(B13,LoadMaster!$C:$C,0))</f>
        <v>Meridian</v>
      </c>
      <c r="R13" s="416" t="str">
        <f>INDEX(LoadMaster!$AH:$AH,MATCH(B13,LoadMaster!$C:$C,0))</f>
        <v>Visalia</v>
      </c>
      <c r="S13" s="416" t="str">
        <f>INDEX(LoadMaster!$DC:$DC,MATCH(B13,LoadMaster!$C:$C,0))</f>
        <v>Sunny</v>
      </c>
      <c r="T13" s="136">
        <f>INDEX(LoadMaster!$DA:$DA,MATCH(B13,LoadMaster!$C:$C,0))</f>
        <v>15.5</v>
      </c>
      <c r="U13" s="137">
        <f>Table2[[#This Row],[WeekEndingDate]]+7</f>
        <v>42195</v>
      </c>
      <c r="V13" s="15">
        <f t="shared" si="3"/>
        <v>6</v>
      </c>
      <c r="W13" s="416">
        <f t="shared" si="4"/>
        <v>2015</v>
      </c>
    </row>
    <row r="14" spans="1:23" s="18" customFormat="1">
      <c r="A14" s="15" t="str">
        <f>INDEX(LoadMaster!$A:$A,MATCH(B14,LoadMaster!$C:$C,0))</f>
        <v>93049</v>
      </c>
      <c r="B14" s="55">
        <v>154093</v>
      </c>
      <c r="C14" s="18" t="str">
        <f>VLOOKUP(Table2[[#This Row],[BrokerConfNo]],LoadMaster!C:D,2,FALSE)</f>
        <v>Pinnacle Transportation Logistics</v>
      </c>
      <c r="D14" s="26">
        <v>42192</v>
      </c>
      <c r="E14" s="18" t="str">
        <f>IF(Table2[[#This Row],[UBActualReceived]]&gt;1,"Received","Pending")</f>
        <v>Received</v>
      </c>
      <c r="F14" s="21">
        <f>INDEX(LoadMaster!$CU:$CU,MATCH(B14,LoadMaster!$C:$C,0))</f>
        <v>325</v>
      </c>
      <c r="G14" s="132">
        <f>INDEX(LoadMaster!$CX:$CX,MATCH(B14,LoadMaster!$C:$C,0))</f>
        <v>308.75</v>
      </c>
      <c r="H14" s="132">
        <f>INDEX(LoadMaster!$CW:$CW,MATCH(B14,LoadMaster!$C:$C,0))</f>
        <v>308.75</v>
      </c>
      <c r="I14" s="331">
        <v>308.75</v>
      </c>
      <c r="J14" s="526">
        <v>308.75</v>
      </c>
      <c r="K14" s="27" t="str">
        <f t="shared" si="0"/>
        <v>Full</v>
      </c>
      <c r="L14" s="27">
        <f>INDEX(LoadMaster!$CT:$CT,MATCH(Table2[[#This Row],[BrokerConfNo]],LoadMaster!$C:$C,0))</f>
        <v>0</v>
      </c>
      <c r="M14" s="18" t="str">
        <f>INDEX(LoadMaster!$AO:$AO,MATCH(Table2[[#This Row],[BrokerConfNo]],LoadMaster!$C:$C,0))</f>
        <v>Albel</v>
      </c>
      <c r="N14" s="26">
        <f t="shared" si="1"/>
        <v>42188</v>
      </c>
      <c r="O14" s="109">
        <f t="shared" si="2"/>
        <v>42202</v>
      </c>
      <c r="P14" s="26">
        <f>INDEX(LoadMaster!$M:$M,MATCH(B14,LoadMaster!$C:$C,0))</f>
        <v>42184</v>
      </c>
      <c r="Q14" s="18" t="str">
        <f>INDEX(LoadMaster!$P:$P,MATCH(B14,LoadMaster!$C:$C,0))</f>
        <v>Bay Point</v>
      </c>
      <c r="R14" s="18" t="str">
        <f>INDEX(LoadMaster!$AH:$AH,MATCH(B14,LoadMaster!$C:$C,0))</f>
        <v>Fairfield</v>
      </c>
      <c r="S14" s="416" t="str">
        <f>INDEX(LoadMaster!$DC:$DC,MATCH(B14,LoadMaster!$C:$C,0))</f>
        <v>Sunny</v>
      </c>
      <c r="T14" s="48">
        <f>INDEX(LoadMaster!$DA:$DA,MATCH(B14,LoadMaster!$C:$C,0))</f>
        <v>0</v>
      </c>
      <c r="U14" s="110">
        <f>Table2[[#This Row],[WeekEndingDate]]+7</f>
        <v>42195</v>
      </c>
      <c r="V14" s="14">
        <f t="shared" si="3"/>
        <v>6</v>
      </c>
      <c r="W14" s="18">
        <f t="shared" si="4"/>
        <v>2015</v>
      </c>
    </row>
    <row r="15" spans="1:23" s="68" customFormat="1">
      <c r="A15" s="15" t="str">
        <f>INDEX(LoadMaster!$A:$A,MATCH(B15,LoadMaster!$C:$C,0))</f>
        <v>65878725</v>
      </c>
      <c r="B15" s="81">
        <v>176272465</v>
      </c>
      <c r="C15" s="416" t="str">
        <f>VLOOKUP(Table2[[#This Row],[BrokerConfNo]],LoadMaster!C:D,2,FALSE)</f>
        <v>Ch Robinson</v>
      </c>
      <c r="D15" s="104">
        <v>42193</v>
      </c>
      <c r="E15" s="416" t="str">
        <f>IF(Table2[[#This Row],[UBActualReceived]]&gt;1,"Received","Pending")</f>
        <v>Received</v>
      </c>
      <c r="F15" s="132">
        <f>INDEX(LoadMaster!$CU:$CU,MATCH(B15,LoadMaster!$C:$C,0))</f>
        <v>600</v>
      </c>
      <c r="G15" s="132">
        <f>INDEX(LoadMaster!$CX:$CX,MATCH(B15,LoadMaster!$C:$C,0))</f>
        <v>588</v>
      </c>
      <c r="H15" s="132">
        <f>INDEX(LoadMaster!$CW:$CW,MATCH(B15,LoadMaster!$C:$C,0))</f>
        <v>550</v>
      </c>
      <c r="I15" s="330">
        <v>588</v>
      </c>
      <c r="J15" s="525">
        <v>550</v>
      </c>
      <c r="K15" s="134" t="str">
        <f t="shared" si="0"/>
        <v>Full</v>
      </c>
      <c r="L15" s="134">
        <f>INDEX(LoadMaster!$CT:$CT,MATCH(Table2[[#This Row],[BrokerConfNo]],LoadMaster!$C:$C,0))</f>
        <v>0</v>
      </c>
      <c r="M15" s="416" t="str">
        <f>INDEX(LoadMaster!$AO:$AO,MATCH(Table2[[#This Row],[BrokerConfNo]],LoadMaster!$C:$C,0))</f>
        <v>Satnam</v>
      </c>
      <c r="N15" s="104">
        <f t="shared" si="1"/>
        <v>42188</v>
      </c>
      <c r="O15" s="135">
        <f t="shared" si="2"/>
        <v>42195</v>
      </c>
      <c r="P15" s="104">
        <f>INDEX(LoadMaster!$M:$M,MATCH(B15,LoadMaster!$C:$C,0))</f>
        <v>42185</v>
      </c>
      <c r="Q15" s="416" t="str">
        <f>INDEX(LoadMaster!$P:$P,MATCH(B15,LoadMaster!$C:$C,0))</f>
        <v>Madera</v>
      </c>
      <c r="R15" s="416" t="str">
        <f>INDEX(LoadMaster!$AH:$AH,MATCH(B15,LoadMaster!$C:$C,0))</f>
        <v>Sonoma</v>
      </c>
      <c r="S15" s="416" t="str">
        <f>INDEX(LoadMaster!$DC:$DC,MATCH(B15,LoadMaster!$C:$C,0))</f>
        <v>Sunny</v>
      </c>
      <c r="T15" s="136">
        <f>INDEX(LoadMaster!$DA:$DA,MATCH(B15,LoadMaster!$C:$C,0))</f>
        <v>38</v>
      </c>
      <c r="U15" s="137">
        <f>Table2[[#This Row],[WeekEndingDate]]+7</f>
        <v>42195</v>
      </c>
      <c r="V15" s="15">
        <f t="shared" si="3"/>
        <v>6</v>
      </c>
      <c r="W15" s="416">
        <f t="shared" si="4"/>
        <v>2015</v>
      </c>
    </row>
    <row r="16" spans="1:23" s="18" customFormat="1">
      <c r="A16" s="15" t="str">
        <f>INDEX(LoadMaster!$A:$A,MATCH(B16,LoadMaster!$C:$C,0))</f>
        <v>8083e349</v>
      </c>
      <c r="B16" s="80">
        <v>90580</v>
      </c>
      <c r="C16" s="28" t="str">
        <f>VLOOKUP(Table2[[#This Row],[BrokerConfNo]],LoadMaster!C:D,2,FALSE)</f>
        <v xml:space="preserve">Summit Expedited Logistics </v>
      </c>
      <c r="D16" s="26">
        <v>42198</v>
      </c>
      <c r="E16" s="18" t="str">
        <f>IF(Table2[[#This Row],[UBActualReceived]]&gt;1,"Received","Pending")</f>
        <v>Received</v>
      </c>
      <c r="F16" s="21">
        <f>INDEX(LoadMaster!$CU:$CU,MATCH(B16,LoadMaster!$C:$C,0))</f>
        <v>625</v>
      </c>
      <c r="G16" s="132">
        <f>INDEX(LoadMaster!$CX:$CX,MATCH(B16,LoadMaster!$C:$C,0))</f>
        <v>606.25</v>
      </c>
      <c r="H16" s="132">
        <f>INDEX(LoadMaster!$CW:$CW,MATCH(B16,LoadMaster!$C:$C,0))</f>
        <v>575</v>
      </c>
      <c r="I16" s="332">
        <v>606.25</v>
      </c>
      <c r="J16" s="527">
        <v>575</v>
      </c>
      <c r="K16" s="27" t="str">
        <f t="shared" si="0"/>
        <v>Full</v>
      </c>
      <c r="L16" s="27">
        <f>INDEX(LoadMaster!$CT:$CT,MATCH(Table2[[#This Row],[BrokerConfNo]],LoadMaster!$C:$C,0))</f>
        <v>0</v>
      </c>
      <c r="M16" s="18" t="str">
        <f>INDEX(LoadMaster!$AO:$AO,MATCH(Table2[[#This Row],[BrokerConfNo]],LoadMaster!$C:$C,0))</f>
        <v>Albel</v>
      </c>
      <c r="N16" s="26">
        <f t="shared" si="1"/>
        <v>42188</v>
      </c>
      <c r="O16" s="109">
        <f t="shared" si="2"/>
        <v>42202</v>
      </c>
      <c r="P16" s="268">
        <f>INDEX(LoadMaster!$M:$M,MATCH(B16,LoadMaster!$C:$C,0))</f>
        <v>42185</v>
      </c>
      <c r="Q16" s="28" t="str">
        <f>INDEX(LoadMaster!$P:$P,MATCH(B16,LoadMaster!$C:$C,0))</f>
        <v>Oakland</v>
      </c>
      <c r="R16" s="18" t="str">
        <f>INDEX(LoadMaster!$AH:$AH,MATCH(B16,LoadMaster!$C:$C,0))</f>
        <v>Fresno</v>
      </c>
      <c r="S16" s="416" t="str">
        <f>INDEX(LoadMaster!$DC:$DC,MATCH(B16,LoadMaster!$C:$C,0))</f>
        <v>Sunny</v>
      </c>
      <c r="T16" s="48">
        <f>INDEX(LoadMaster!$DA:$DA,MATCH(B16,LoadMaster!$C:$C,0))</f>
        <v>31.25</v>
      </c>
      <c r="U16" s="110">
        <f>Table2[[#This Row],[WeekEndingDate]]+7</f>
        <v>42195</v>
      </c>
      <c r="V16" s="14">
        <f t="shared" si="3"/>
        <v>6</v>
      </c>
      <c r="W16" s="18">
        <f t="shared" si="4"/>
        <v>2015</v>
      </c>
    </row>
    <row r="17" spans="1:23" s="68" customFormat="1">
      <c r="A17" s="15" t="str">
        <f>INDEX(LoadMaster!$A:$A,MATCH(B17,LoadMaster!$C:$C,0))</f>
        <v>08556825</v>
      </c>
      <c r="B17" s="81">
        <v>176211108</v>
      </c>
      <c r="C17" s="416" t="str">
        <f>VLOOKUP(Table2[[#This Row],[BrokerConfNo]],LoadMaster!C:D,2,FALSE)</f>
        <v>Ch Robinson</v>
      </c>
      <c r="D17" s="104">
        <v>42193</v>
      </c>
      <c r="E17" s="416" t="str">
        <f>IF(Table2[[#This Row],[UBActualReceived]]&gt;1,"Received","Pending")</f>
        <v>Received</v>
      </c>
      <c r="F17" s="132">
        <f>INDEX(LoadMaster!$CU:$CU,MATCH(B17,LoadMaster!$C:$C,0))</f>
        <v>450</v>
      </c>
      <c r="G17" s="132">
        <f>INDEX(LoadMaster!$CX:$CX,MATCH(B17,LoadMaster!$C:$C,0))</f>
        <v>441</v>
      </c>
      <c r="H17" s="132">
        <f>INDEX(LoadMaster!$CW:$CW,MATCH(B17,LoadMaster!$C:$C,0))</f>
        <v>400</v>
      </c>
      <c r="I17" s="330">
        <v>441</v>
      </c>
      <c r="J17" s="525">
        <v>400</v>
      </c>
      <c r="K17" s="134" t="str">
        <f t="shared" si="0"/>
        <v>Full</v>
      </c>
      <c r="L17" s="134">
        <f>INDEX(LoadMaster!$CT:$CT,MATCH(Table2[[#This Row],[BrokerConfNo]],LoadMaster!$C:$C,0))</f>
        <v>0</v>
      </c>
      <c r="M17" s="416" t="str">
        <f>INDEX(LoadMaster!$AO:$AO,MATCH(Table2[[#This Row],[BrokerConfNo]],LoadMaster!$C:$C,0))</f>
        <v>Satnam</v>
      </c>
      <c r="N17" s="104">
        <f t="shared" si="1"/>
        <v>42188</v>
      </c>
      <c r="O17" s="135">
        <f t="shared" si="2"/>
        <v>42195</v>
      </c>
      <c r="P17" s="104">
        <f>INDEX(LoadMaster!$M:$M,MATCH(B17,LoadMaster!$C:$C,0))</f>
        <v>42186</v>
      </c>
      <c r="Q17" s="416" t="str">
        <f>INDEX(LoadMaster!$P:$P,MATCH(B17,LoadMaster!$C:$C,0))</f>
        <v>Benicia</v>
      </c>
      <c r="R17" s="416" t="str">
        <f>INDEX(LoadMaster!$AH:$AH,MATCH(B17,LoadMaster!$C:$C,0))</f>
        <v>Stockton</v>
      </c>
      <c r="S17" s="416" t="str">
        <f>INDEX(LoadMaster!$DC:$DC,MATCH(B17,LoadMaster!$C:$C,0))</f>
        <v>Sunny</v>
      </c>
      <c r="T17" s="136">
        <f>INDEX(LoadMaster!$DA:$DA,MATCH(B17,LoadMaster!$C:$C,0))</f>
        <v>41</v>
      </c>
      <c r="U17" s="137">
        <f>Table2[[#This Row],[WeekEndingDate]]+7</f>
        <v>42195</v>
      </c>
      <c r="V17" s="15">
        <f t="shared" si="3"/>
        <v>7</v>
      </c>
      <c r="W17" s="416">
        <f t="shared" si="4"/>
        <v>2015</v>
      </c>
    </row>
    <row r="18" spans="1:23" s="68" customFormat="1">
      <c r="A18" s="15" t="str">
        <f>INDEX(LoadMaster!$A:$A,MATCH(B18,LoadMaster!$C:$C,0))</f>
        <v>19049</v>
      </c>
      <c r="B18" s="81">
        <v>176229619</v>
      </c>
      <c r="C18" s="416" t="str">
        <f>VLOOKUP(Table2[[#This Row],[BrokerConfNo]],LoadMaster!C:D,2,FALSE)</f>
        <v>Ch Robinson</v>
      </c>
      <c r="D18" s="104">
        <v>42195</v>
      </c>
      <c r="E18" s="416" t="str">
        <f>IF(Table2[[#This Row],[UBActualReceived]]&gt;1,"Received","Pending")</f>
        <v>Received</v>
      </c>
      <c r="F18" s="132">
        <f>INDEX(LoadMaster!$CU:$CU,MATCH(B18,LoadMaster!$C:$C,0))</f>
        <v>150</v>
      </c>
      <c r="G18" s="132">
        <f>INDEX(LoadMaster!$CX:$CX,MATCH(B18,LoadMaster!$C:$C,0))</f>
        <v>147</v>
      </c>
      <c r="H18" s="132">
        <f>INDEX(LoadMaster!$CW:$CW,MATCH(B18,LoadMaster!$C:$C,0))</f>
        <v>125</v>
      </c>
      <c r="I18" s="330">
        <v>147</v>
      </c>
      <c r="J18" s="525">
        <v>125</v>
      </c>
      <c r="K18" s="134" t="str">
        <f t="shared" si="0"/>
        <v>Full</v>
      </c>
      <c r="L18" s="134">
        <f>INDEX(LoadMaster!$CT:$CT,MATCH(Table2[[#This Row],[BrokerConfNo]],LoadMaster!$C:$C,0))</f>
        <v>0</v>
      </c>
      <c r="M18" s="416" t="str">
        <f>INDEX(LoadMaster!$AO:$AO,MATCH(Table2[[#This Row],[BrokerConfNo]],LoadMaster!$C:$C,0))</f>
        <v>Albel</v>
      </c>
      <c r="N18" s="104">
        <f t="shared" si="1"/>
        <v>42188</v>
      </c>
      <c r="O18" s="135">
        <f t="shared" si="2"/>
        <v>42202</v>
      </c>
      <c r="P18" s="104">
        <f>INDEX(LoadMaster!$M:$M,MATCH(B18,LoadMaster!$C:$C,0))</f>
        <v>42186</v>
      </c>
      <c r="Q18" s="416" t="str">
        <f>INDEX(LoadMaster!$P:$P,MATCH(B18,LoadMaster!$C:$C,0))</f>
        <v>Madera</v>
      </c>
      <c r="R18" s="416" t="str">
        <f>INDEX(LoadMaster!$AH:$AH,MATCH(B18,LoadMaster!$C:$C,0))</f>
        <v>Union City</v>
      </c>
      <c r="S18" s="416" t="str">
        <f>INDEX(LoadMaster!$DC:$DC,MATCH(B18,LoadMaster!$C:$C,0))</f>
        <v>Sunny</v>
      </c>
      <c r="T18" s="136">
        <f>INDEX(LoadMaster!$DA:$DA,MATCH(B18,LoadMaster!$C:$C,0))</f>
        <v>22</v>
      </c>
      <c r="U18" s="137">
        <f>Table2[[#This Row],[WeekEndingDate]]+7</f>
        <v>42195</v>
      </c>
      <c r="V18" s="15">
        <f t="shared" si="3"/>
        <v>7</v>
      </c>
      <c r="W18" s="416">
        <f t="shared" si="4"/>
        <v>2015</v>
      </c>
    </row>
    <row r="19" spans="1:23" s="68" customFormat="1">
      <c r="A19" s="15" t="str">
        <f>INDEX(LoadMaster!$A:$A,MATCH(B19,LoadMaster!$C:$C,0))</f>
        <v>19030349</v>
      </c>
      <c r="B19" s="81">
        <v>176272519</v>
      </c>
      <c r="C19" s="416" t="str">
        <f>VLOOKUP(Table2[[#This Row],[BrokerConfNo]],LoadMaster!C:D,2,FALSE)</f>
        <v>Ch Robinson</v>
      </c>
      <c r="D19" s="104">
        <v>42193</v>
      </c>
      <c r="E19" s="416" t="str">
        <f>IF(Table2[[#This Row],[UBActualReceived]]&gt;1,"Received","Pending")</f>
        <v>Received</v>
      </c>
      <c r="F19" s="132">
        <f>INDEX(LoadMaster!$CU:$CU,MATCH(B19,LoadMaster!$C:$C,0))</f>
        <v>600</v>
      </c>
      <c r="G19" s="132">
        <f>INDEX(LoadMaster!$CX:$CX,MATCH(B19,LoadMaster!$C:$C,0))</f>
        <v>588</v>
      </c>
      <c r="H19" s="132">
        <f>INDEX(LoadMaster!$CW:$CW,MATCH(B19,LoadMaster!$C:$C,0))</f>
        <v>550</v>
      </c>
      <c r="I19" s="330">
        <v>588</v>
      </c>
      <c r="J19" s="525">
        <v>550</v>
      </c>
      <c r="K19" s="134" t="str">
        <f t="shared" si="0"/>
        <v>Full</v>
      </c>
      <c r="L19" s="134">
        <f>INDEX(LoadMaster!$CT:$CT,MATCH(Table2[[#This Row],[BrokerConfNo]],LoadMaster!$C:$C,0))</f>
        <v>0</v>
      </c>
      <c r="M19" s="416" t="str">
        <f>INDEX(LoadMaster!$AO:$AO,MATCH(Table2[[#This Row],[BrokerConfNo]],LoadMaster!$C:$C,0))</f>
        <v>Albel</v>
      </c>
      <c r="N19" s="104">
        <f t="shared" si="1"/>
        <v>42188</v>
      </c>
      <c r="O19" s="135">
        <f t="shared" si="2"/>
        <v>42202</v>
      </c>
      <c r="P19" s="104">
        <f>INDEX(LoadMaster!$M:$M,MATCH(B19,LoadMaster!$C:$C,0))</f>
        <v>42186</v>
      </c>
      <c r="Q19" s="416" t="str">
        <f>INDEX(LoadMaster!$P:$P,MATCH(B19,LoadMaster!$C:$C,0))</f>
        <v>Madera</v>
      </c>
      <c r="R19" s="416" t="str">
        <f>INDEX(LoadMaster!$AH:$AH,MATCH(B19,LoadMaster!$C:$C,0))</f>
        <v>Sonoma</v>
      </c>
      <c r="S19" s="416" t="str">
        <f>INDEX(LoadMaster!$DC:$DC,MATCH(B19,LoadMaster!$C:$C,0))</f>
        <v>Sunny</v>
      </c>
      <c r="T19" s="136">
        <f>INDEX(LoadMaster!$DA:$DA,MATCH(B19,LoadMaster!$C:$C,0))</f>
        <v>38</v>
      </c>
      <c r="U19" s="137">
        <f>Table2[[#This Row],[WeekEndingDate]]+7</f>
        <v>42195</v>
      </c>
      <c r="V19" s="15">
        <f t="shared" si="3"/>
        <v>7</v>
      </c>
      <c r="W19" s="416">
        <f t="shared" si="4"/>
        <v>2015</v>
      </c>
    </row>
    <row r="20" spans="1:23" s="138" customFormat="1">
      <c r="A20" s="15" t="str">
        <f>INDEX(LoadMaster!$A:$A,MATCH(B20,LoadMaster!$C:$C,0))</f>
        <v>92339149</v>
      </c>
      <c r="B20" s="81">
        <v>176232692</v>
      </c>
      <c r="C20" s="416" t="str">
        <f>VLOOKUP(Table2[[#This Row],[BrokerConfNo]],LoadMaster!C:D,2,FALSE)</f>
        <v>Ch Robinson</v>
      </c>
      <c r="D20" s="104">
        <v>42198</v>
      </c>
      <c r="E20" s="416" t="str">
        <f>IF(Table2[[#This Row],[UBActualReceived]]&gt;1,"Received","Pending")</f>
        <v>Received</v>
      </c>
      <c r="F20" s="132">
        <f>INDEX(LoadMaster!$CU:$CU,MATCH(B20,LoadMaster!$C:$C,0))</f>
        <v>365</v>
      </c>
      <c r="G20" s="132">
        <f>INDEX(LoadMaster!$CX:$CX,MATCH(B20,LoadMaster!$C:$C,0))</f>
        <v>357.7</v>
      </c>
      <c r="H20" s="132">
        <f>INDEX(LoadMaster!$CW:$CW,MATCH(B20,LoadMaster!$C:$C,0))</f>
        <v>325</v>
      </c>
      <c r="I20" s="330">
        <v>357.7</v>
      </c>
      <c r="J20" s="525">
        <v>325</v>
      </c>
      <c r="K20" s="134" t="str">
        <f t="shared" si="0"/>
        <v>Full</v>
      </c>
      <c r="L20" s="134">
        <f>INDEX(LoadMaster!$CT:$CT,MATCH(Table2[[#This Row],[BrokerConfNo]],LoadMaster!$C:$C,0))</f>
        <v>0</v>
      </c>
      <c r="M20" s="416" t="str">
        <f>INDEX(LoadMaster!$AO:$AO,MATCH(Table2[[#This Row],[BrokerConfNo]],LoadMaster!$C:$C,0))</f>
        <v>Albel</v>
      </c>
      <c r="N20" s="104">
        <f t="shared" si="1"/>
        <v>42188</v>
      </c>
      <c r="O20" s="135">
        <f t="shared" si="2"/>
        <v>42202</v>
      </c>
      <c r="P20" s="104">
        <f>INDEX(LoadMaster!$M:$M,MATCH(B20,LoadMaster!$C:$C,0))</f>
        <v>42187</v>
      </c>
      <c r="Q20" s="416" t="str">
        <f>INDEX(LoadMaster!$P:$P,MATCH(B20,LoadMaster!$C:$C,0))</f>
        <v>Napa</v>
      </c>
      <c r="R20" s="416" t="str">
        <f>INDEX(LoadMaster!$AH:$AH,MATCH(B20,LoadMaster!$C:$C,0))</f>
        <v>Union City</v>
      </c>
      <c r="S20" s="416" t="str">
        <f>INDEX(LoadMaster!$DC:$DC,MATCH(B20,LoadMaster!$C:$C,0))</f>
        <v>Sunny</v>
      </c>
      <c r="T20" s="136">
        <f>INDEX(LoadMaster!$DA:$DA,MATCH(B20,LoadMaster!$C:$C,0))</f>
        <v>32.700000000000003</v>
      </c>
      <c r="U20" s="137">
        <f>Table2[[#This Row],[WeekEndingDate]]+7</f>
        <v>42195</v>
      </c>
      <c r="V20" s="15">
        <f t="shared" si="3"/>
        <v>7</v>
      </c>
      <c r="W20" s="416">
        <f t="shared" si="4"/>
        <v>2015</v>
      </c>
    </row>
    <row r="21" spans="1:23" s="68" customFormat="1">
      <c r="A21" s="15" t="str">
        <f>INDEX(LoadMaster!$A:$A,MATCH(B21,LoadMaster!$C:$C,0))</f>
        <v>31622725</v>
      </c>
      <c r="B21" s="81">
        <v>176505431</v>
      </c>
      <c r="C21" s="416" t="str">
        <f>VLOOKUP(Table2[[#This Row],[BrokerConfNo]],LoadMaster!C:D,2,FALSE)</f>
        <v>Ch Robinson</v>
      </c>
      <c r="D21" s="104">
        <v>42199</v>
      </c>
      <c r="E21" s="416" t="str">
        <f>IF(Table2[[#This Row],[UBActualReceived]]&gt;1,"Received","Pending")</f>
        <v>Received</v>
      </c>
      <c r="F21" s="132">
        <f>INDEX(LoadMaster!$CU:$CU,MATCH(B21,LoadMaster!$C:$C,0))</f>
        <v>550</v>
      </c>
      <c r="G21" s="132">
        <f>INDEX(LoadMaster!$CX:$CX,MATCH(B21,LoadMaster!$C:$C,0))</f>
        <v>539</v>
      </c>
      <c r="H21" s="132">
        <f>INDEX(LoadMaster!$CW:$CW,MATCH(B21,LoadMaster!$C:$C,0))</f>
        <v>500</v>
      </c>
      <c r="I21" s="330">
        <v>539</v>
      </c>
      <c r="J21" s="525">
        <v>500</v>
      </c>
      <c r="K21" s="134" t="str">
        <f t="shared" si="0"/>
        <v>Full</v>
      </c>
      <c r="L21" s="134">
        <f>INDEX(LoadMaster!$CT:$CT,MATCH(Table2[[#This Row],[BrokerConfNo]],LoadMaster!$C:$C,0))</f>
        <v>0</v>
      </c>
      <c r="M21" s="416" t="str">
        <f>INDEX(LoadMaster!$AO:$AO,MATCH(Table2[[#This Row],[BrokerConfNo]],LoadMaster!$C:$C,0))</f>
        <v>Satnam</v>
      </c>
      <c r="N21" s="104">
        <f t="shared" si="1"/>
        <v>42195</v>
      </c>
      <c r="O21" s="135">
        <f t="shared" si="2"/>
        <v>42202</v>
      </c>
      <c r="P21" s="104">
        <f>INDEX(LoadMaster!$M:$M,MATCH(B21,LoadMaster!$C:$C,0))</f>
        <v>42191</v>
      </c>
      <c r="Q21" s="416" t="str">
        <f>INDEX(LoadMaster!$P:$P,MATCH(B21,LoadMaster!$C:$C,0))</f>
        <v>Los Banos</v>
      </c>
      <c r="R21" s="416" t="str">
        <f>INDEX(LoadMaster!$AH:$AH,MATCH(B21,LoadMaster!$C:$C,0))</f>
        <v>Napa</v>
      </c>
      <c r="S21" s="416" t="str">
        <f>INDEX(LoadMaster!$DC:$DC,MATCH(B21,LoadMaster!$C:$C,0))</f>
        <v>Sunny</v>
      </c>
      <c r="T21" s="136">
        <f>INDEX(LoadMaster!$DA:$DA,MATCH(B21,LoadMaster!$C:$C,0))</f>
        <v>39</v>
      </c>
      <c r="U21" s="137">
        <f>Table2[[#This Row],[WeekEndingDate]]+7</f>
        <v>42202</v>
      </c>
      <c r="V21" s="15">
        <f t="shared" si="3"/>
        <v>7</v>
      </c>
      <c r="W21" s="416">
        <f t="shared" si="4"/>
        <v>2015</v>
      </c>
    </row>
    <row r="22" spans="1:23" s="68" customFormat="1">
      <c r="A22" s="15" t="str">
        <f>INDEX(LoadMaster!$A:$A,MATCH(B22,LoadMaster!$C:$C,0))</f>
        <v>29726549</v>
      </c>
      <c r="B22" s="81">
        <v>176336329</v>
      </c>
      <c r="C22" s="416" t="str">
        <f>VLOOKUP(Table2[[#This Row],[BrokerConfNo]],LoadMaster!C:D,2,FALSE)</f>
        <v>Ch Robinson</v>
      </c>
      <c r="D22" s="104">
        <v>42198</v>
      </c>
      <c r="E22" s="416" t="str">
        <f>IF(Table2[[#This Row],[UBActualReceived]]&gt;1,"Received","Pending")</f>
        <v>Received</v>
      </c>
      <c r="F22" s="132">
        <f>INDEX(LoadMaster!$CU:$CU,MATCH(B22,LoadMaster!$C:$C,0))</f>
        <v>750</v>
      </c>
      <c r="G22" s="132">
        <f>INDEX(LoadMaster!$CX:$CX,MATCH(B22,LoadMaster!$C:$C,0))</f>
        <v>735</v>
      </c>
      <c r="H22" s="132">
        <f>INDEX(LoadMaster!$CW:$CW,MATCH(B22,LoadMaster!$C:$C,0))</f>
        <v>700</v>
      </c>
      <c r="I22" s="330">
        <v>735</v>
      </c>
      <c r="J22" s="525">
        <v>700</v>
      </c>
      <c r="K22" s="134" t="str">
        <f t="shared" si="0"/>
        <v>Full</v>
      </c>
      <c r="L22" s="134">
        <f>INDEX(LoadMaster!$CT:$CT,MATCH(Table2[[#This Row],[BrokerConfNo]],LoadMaster!$C:$C,0))</f>
        <v>0</v>
      </c>
      <c r="M22" s="416" t="str">
        <f>INDEX(LoadMaster!$AO:$AO,MATCH(Table2[[#This Row],[BrokerConfNo]],LoadMaster!$C:$C,0))</f>
        <v>Albel</v>
      </c>
      <c r="N22" s="104">
        <f t="shared" si="1"/>
        <v>42195</v>
      </c>
      <c r="O22" s="135">
        <f t="shared" si="2"/>
        <v>42209</v>
      </c>
      <c r="P22" s="104">
        <f>INDEX(LoadMaster!$M:$M,MATCH(B22,LoadMaster!$C:$C,0))</f>
        <v>42191</v>
      </c>
      <c r="Q22" s="416" t="str">
        <f>INDEX(LoadMaster!$P:$P,MATCH(B22,LoadMaster!$C:$C,0))</f>
        <v>Fairfield</v>
      </c>
      <c r="R22" s="416" t="str">
        <f>INDEX(LoadMaster!$AH:$AH,MATCH(B22,LoadMaster!$C:$C,0))</f>
        <v>Bakersfield</v>
      </c>
      <c r="S22" s="416" t="str">
        <f>INDEX(LoadMaster!$DC:$DC,MATCH(B22,LoadMaster!$C:$C,0))</f>
        <v>Sunny</v>
      </c>
      <c r="T22" s="136">
        <f>INDEX(LoadMaster!$DA:$DA,MATCH(B22,LoadMaster!$C:$C,0))</f>
        <v>35</v>
      </c>
      <c r="U22" s="137">
        <f>Table2[[#This Row],[WeekEndingDate]]+7</f>
        <v>42202</v>
      </c>
      <c r="V22" s="15">
        <f t="shared" si="3"/>
        <v>7</v>
      </c>
      <c r="W22" s="416">
        <f t="shared" si="4"/>
        <v>2015</v>
      </c>
    </row>
    <row r="23" spans="1:23" s="68" customFormat="1">
      <c r="A23" s="15" t="str">
        <f>INDEX(LoadMaster!$A:$A,MATCH(B23,LoadMaster!$C:$C,0))</f>
        <v>72070149</v>
      </c>
      <c r="B23" s="81">
        <v>176520172</v>
      </c>
      <c r="C23" s="416" t="str">
        <f>VLOOKUP(Table2[[#This Row],[BrokerConfNo]],LoadMaster!C:D,2,FALSE)</f>
        <v>Ch Robinson</v>
      </c>
      <c r="D23" s="104">
        <v>42200</v>
      </c>
      <c r="E23" s="416" t="str">
        <f>IF(Table2[[#This Row],[UBActualReceived]]&gt;1,"Received","Pending")</f>
        <v>Received</v>
      </c>
      <c r="F23" s="132">
        <f>INDEX(LoadMaster!$CU:$CU,MATCH(B23,LoadMaster!$C:$C,0))</f>
        <v>525</v>
      </c>
      <c r="G23" s="132">
        <f>INDEX(LoadMaster!$CX:$CX,MATCH(B23,LoadMaster!$C:$C,0))</f>
        <v>514.5</v>
      </c>
      <c r="H23" s="132">
        <f>INDEX(LoadMaster!$CW:$CW,MATCH(B23,LoadMaster!$C:$C,0))</f>
        <v>500</v>
      </c>
      <c r="I23" s="330">
        <v>514.5</v>
      </c>
      <c r="J23" s="525">
        <v>500</v>
      </c>
      <c r="K23" s="134" t="str">
        <f t="shared" si="0"/>
        <v>Full</v>
      </c>
      <c r="L23" s="134">
        <f>INDEX(LoadMaster!$CT:$CT,MATCH(Table2[[#This Row],[BrokerConfNo]],LoadMaster!$C:$C,0))</f>
        <v>0</v>
      </c>
      <c r="M23" s="416" t="str">
        <f>INDEX(LoadMaster!$AO:$AO,MATCH(Table2[[#This Row],[BrokerConfNo]],LoadMaster!$C:$C,0))</f>
        <v>Albel</v>
      </c>
      <c r="N23" s="104">
        <f t="shared" si="1"/>
        <v>42195</v>
      </c>
      <c r="O23" s="135">
        <f t="shared" si="2"/>
        <v>42209</v>
      </c>
      <c r="P23" s="104">
        <f>INDEX(LoadMaster!$M:$M,MATCH(B23,LoadMaster!$C:$C,0))</f>
        <v>42191</v>
      </c>
      <c r="Q23" s="416" t="str">
        <f>INDEX(LoadMaster!$P:$P,MATCH(B23,LoadMaster!$C:$C,0))</f>
        <v>Madera</v>
      </c>
      <c r="R23" s="416" t="str">
        <f>INDEX(LoadMaster!$AH:$AH,MATCH(B23,LoadMaster!$C:$C,0))</f>
        <v>Napa</v>
      </c>
      <c r="S23" s="416" t="str">
        <f>INDEX(LoadMaster!$DC:$DC,MATCH(B23,LoadMaster!$C:$C,0))</f>
        <v>Sunny</v>
      </c>
      <c r="T23" s="136">
        <f>INDEX(LoadMaster!$DA:$DA,MATCH(B23,LoadMaster!$C:$C,0))</f>
        <v>14.5</v>
      </c>
      <c r="U23" s="137">
        <f>Table2[[#This Row],[WeekEndingDate]]+7</f>
        <v>42202</v>
      </c>
      <c r="V23" s="15">
        <f t="shared" si="3"/>
        <v>7</v>
      </c>
      <c r="W23" s="416">
        <f t="shared" si="4"/>
        <v>2015</v>
      </c>
    </row>
    <row r="24" spans="1:23" s="68" customFormat="1">
      <c r="A24" s="15" t="str">
        <f>INDEX(LoadMaster!$A:$A,MATCH(B24,LoadMaster!$C:$C,0))</f>
        <v>70909025</v>
      </c>
      <c r="B24" s="139">
        <v>176243170</v>
      </c>
      <c r="C24" s="138" t="str">
        <f>VLOOKUP(Table2[[#This Row],[BrokerConfNo]],LoadMaster!C:D,2,FALSE)</f>
        <v>Ch Robinson</v>
      </c>
      <c r="D24" s="140">
        <v>42201</v>
      </c>
      <c r="E24" s="416" t="str">
        <f>IF(Table2[[#This Row],[UBActualReceived]]&gt;1,"Received","Pending")</f>
        <v>Received</v>
      </c>
      <c r="F24" s="132">
        <f>INDEX(LoadMaster!$CU:$CU,MATCH(B24,LoadMaster!$C:$C,0))</f>
        <v>547</v>
      </c>
      <c r="G24" s="132">
        <f>INDEX(LoadMaster!$CX:$CX,MATCH(B24,LoadMaster!$C:$C,0))</f>
        <v>536.05999999999995</v>
      </c>
      <c r="H24" s="132">
        <f>INDEX(LoadMaster!$CW:$CW,MATCH(B24,LoadMaster!$C:$C,0))</f>
        <v>547</v>
      </c>
      <c r="I24" s="333">
        <v>504</v>
      </c>
      <c r="J24" s="528">
        <v>547</v>
      </c>
      <c r="K24" s="134" t="str">
        <f t="shared" si="0"/>
        <v>Less</v>
      </c>
      <c r="L24" s="134">
        <f>INDEX(LoadMaster!$CT:$CT,MATCH(Table2[[#This Row],[BrokerConfNo]],LoadMaster!$C:$C,0))</f>
        <v>147</v>
      </c>
      <c r="M24" s="416" t="str">
        <f>INDEX(LoadMaster!$AO:$AO,MATCH(Table2[[#This Row],[BrokerConfNo]],LoadMaster!$C:$C,0))</f>
        <v>Satnam</v>
      </c>
      <c r="N24" s="104">
        <f t="shared" si="1"/>
        <v>42195</v>
      </c>
      <c r="O24" s="135">
        <f t="shared" si="2"/>
        <v>42202</v>
      </c>
      <c r="P24" s="140">
        <f>INDEX(LoadMaster!$M:$M,MATCH(B24,LoadMaster!$C:$C,0))</f>
        <v>42192</v>
      </c>
      <c r="Q24" s="138" t="str">
        <f>INDEX(LoadMaster!$P:$P,MATCH(B24,LoadMaster!$C:$C,0))</f>
        <v>Banecia</v>
      </c>
      <c r="R24" s="416" t="str">
        <f>INDEX(LoadMaster!$AH:$AH,MATCH(B24,LoadMaster!$C:$C,0))</f>
        <v>Tracy</v>
      </c>
      <c r="S24" s="416" t="str">
        <f>INDEX(LoadMaster!$DC:$DC,MATCH(B24,LoadMaster!$C:$C,0))</f>
        <v>Sunny</v>
      </c>
      <c r="T24" s="136">
        <f>INDEX(LoadMaster!$DA:$DA,MATCH(B24,LoadMaster!$C:$C,0))</f>
        <v>-10.94</v>
      </c>
      <c r="U24" s="137">
        <f>Table2[[#This Row],[WeekEndingDate]]+7</f>
        <v>42202</v>
      </c>
      <c r="V24" s="15">
        <f t="shared" si="3"/>
        <v>7</v>
      </c>
      <c r="W24" s="416">
        <f t="shared" si="4"/>
        <v>2015</v>
      </c>
    </row>
    <row r="25" spans="1:23" s="68" customFormat="1">
      <c r="A25" s="15" t="str">
        <f>INDEX(LoadMaster!$A:$A,MATCH(B25,LoadMaster!$C:$C,0))</f>
        <v>58042549</v>
      </c>
      <c r="B25" s="81">
        <v>176518558</v>
      </c>
      <c r="C25" s="416" t="str">
        <f>VLOOKUP(Table2[[#This Row],[BrokerConfNo]],LoadMaster!C:D,2,FALSE)</f>
        <v>Ch Robinson</v>
      </c>
      <c r="D25" s="104">
        <v>42200</v>
      </c>
      <c r="E25" s="416" t="str">
        <f>IF(Table2[[#This Row],[UBActualReceived]]&gt;1,"Received","Pending")</f>
        <v>Received</v>
      </c>
      <c r="F25" s="132">
        <f>INDEX(LoadMaster!$CU:$CU,MATCH(B25,LoadMaster!$C:$C,0))</f>
        <v>350</v>
      </c>
      <c r="G25" s="132">
        <f>INDEX(LoadMaster!$CX:$CX,MATCH(B25,LoadMaster!$C:$C,0))</f>
        <v>343</v>
      </c>
      <c r="H25" s="132">
        <f>INDEX(LoadMaster!$CW:$CW,MATCH(B25,LoadMaster!$C:$C,0))</f>
        <v>340</v>
      </c>
      <c r="I25" s="330">
        <v>343</v>
      </c>
      <c r="J25" s="525">
        <v>340</v>
      </c>
      <c r="K25" s="134" t="str">
        <f t="shared" si="0"/>
        <v>Full</v>
      </c>
      <c r="L25" s="134">
        <f>INDEX(LoadMaster!$CT:$CT,MATCH(Table2[[#This Row],[BrokerConfNo]],LoadMaster!$C:$C,0))</f>
        <v>0</v>
      </c>
      <c r="M25" s="416" t="str">
        <f>INDEX(LoadMaster!$AO:$AO,MATCH(Table2[[#This Row],[BrokerConfNo]],LoadMaster!$C:$C,0))</f>
        <v>Albel</v>
      </c>
      <c r="N25" s="104">
        <f t="shared" si="1"/>
        <v>42195</v>
      </c>
      <c r="O25" s="135">
        <f t="shared" si="2"/>
        <v>42209</v>
      </c>
      <c r="P25" s="104">
        <f>INDEX(LoadMaster!$M:$M,MATCH(B25,LoadMaster!$C:$C,0))</f>
        <v>42192</v>
      </c>
      <c r="Q25" s="416" t="str">
        <f>INDEX(LoadMaster!$P:$P,MATCH(B25,LoadMaster!$C:$C,0))</f>
        <v>Woodland</v>
      </c>
      <c r="R25" s="416" t="str">
        <f>INDEX(LoadMaster!$AH:$AH,MATCH(B25,LoadMaster!$C:$C,0))</f>
        <v>Stockton</v>
      </c>
      <c r="S25" s="416" t="str">
        <f>INDEX(LoadMaster!$DC:$DC,MATCH(B25,LoadMaster!$C:$C,0))</f>
        <v>Sunny</v>
      </c>
      <c r="T25" s="136">
        <f>INDEX(LoadMaster!$DA:$DA,MATCH(B25,LoadMaster!$C:$C,0))</f>
        <v>3</v>
      </c>
      <c r="U25" s="137">
        <f>Table2[[#This Row],[WeekEndingDate]]+7</f>
        <v>42202</v>
      </c>
      <c r="V25" s="15">
        <f t="shared" si="3"/>
        <v>7</v>
      </c>
      <c r="W25" s="416">
        <f t="shared" si="4"/>
        <v>2015</v>
      </c>
    </row>
    <row r="26" spans="1:23" s="28" customFormat="1">
      <c r="A26" s="15" t="str">
        <f>INDEX(LoadMaster!$A:$A,MATCH(B26,LoadMaster!$C:$C,0))</f>
        <v>255825</v>
      </c>
      <c r="B26" s="55">
        <v>1462425</v>
      </c>
      <c r="C26" s="18" t="str">
        <f>VLOOKUP(Table2[[#This Row],[BrokerConfNo]],LoadMaster!C:D,2,FALSE)</f>
        <v>Interstate Distributor Co</v>
      </c>
      <c r="D26" s="26">
        <v>42200</v>
      </c>
      <c r="E26" s="18" t="str">
        <f>IF(Table2[[#This Row],[UBActualReceived]]&gt;1,"Received","Pending")</f>
        <v>Received</v>
      </c>
      <c r="F26" s="21">
        <f>INDEX(LoadMaster!$CU:$CU,MATCH(B26,LoadMaster!$C:$C,0))</f>
        <v>675</v>
      </c>
      <c r="G26" s="132">
        <f>INDEX(LoadMaster!$CX:$CX,MATCH(B26,LoadMaster!$C:$C,0))</f>
        <v>666.22500000000002</v>
      </c>
      <c r="H26" s="132">
        <f>INDEX(LoadMaster!$CW:$CW,MATCH(B26,LoadMaster!$C:$C,0))</f>
        <v>625</v>
      </c>
      <c r="I26" s="331">
        <v>666.37</v>
      </c>
      <c r="J26" s="526">
        <v>625</v>
      </c>
      <c r="K26" s="27" t="str">
        <f t="shared" si="0"/>
        <v>Full</v>
      </c>
      <c r="L26" s="27">
        <f>INDEX(LoadMaster!$CT:$CT,MATCH(Table2[[#This Row],[BrokerConfNo]],LoadMaster!$C:$C,0))</f>
        <v>150</v>
      </c>
      <c r="M26" s="18" t="str">
        <f>INDEX(LoadMaster!$AO:$AO,MATCH(Table2[[#This Row],[BrokerConfNo]],LoadMaster!$C:$C,0))</f>
        <v>Satnam</v>
      </c>
      <c r="N26" s="26">
        <f t="shared" si="1"/>
        <v>42195</v>
      </c>
      <c r="O26" s="109">
        <f t="shared" si="2"/>
        <v>42202</v>
      </c>
      <c r="P26" s="26">
        <f>INDEX(LoadMaster!$M:$M,MATCH(B26,LoadMaster!$C:$C,0))</f>
        <v>42192</v>
      </c>
      <c r="Q26" s="18" t="str">
        <f>INDEX(LoadMaster!$P:$P,MATCH(B26,LoadMaster!$C:$C,0))</f>
        <v>Stockton</v>
      </c>
      <c r="R26" s="18" t="str">
        <f>INDEX(LoadMaster!$AH:$AH,MATCH(B26,LoadMaster!$C:$C,0))</f>
        <v>Bakersfield</v>
      </c>
      <c r="S26" s="416" t="str">
        <f>INDEX(LoadMaster!$DC:$DC,MATCH(B26,LoadMaster!$C:$C,0))</f>
        <v>Sunny</v>
      </c>
      <c r="T26" s="48">
        <f>INDEX(LoadMaster!$DA:$DA,MATCH(B26,LoadMaster!$C:$C,0))</f>
        <v>41.225000000000001</v>
      </c>
      <c r="U26" s="110">
        <f>Table2[[#This Row],[WeekEndingDate]]+7</f>
        <v>42202</v>
      </c>
      <c r="V26" s="14">
        <f t="shared" si="3"/>
        <v>7</v>
      </c>
      <c r="W26" s="18">
        <f t="shared" si="4"/>
        <v>2015</v>
      </c>
    </row>
    <row r="27" spans="1:23" s="68" customFormat="1">
      <c r="A27" s="15" t="str">
        <f>INDEX(LoadMaster!$A:$A,MATCH(B27,LoadMaster!$C:$C,0))</f>
        <v>47049</v>
      </c>
      <c r="B27" s="81">
        <v>175966547</v>
      </c>
      <c r="C27" s="416" t="str">
        <f>VLOOKUP(Table2[[#This Row],[BrokerConfNo]],LoadMaster!C:D,2,FALSE)</f>
        <v>Ch Robinson</v>
      </c>
      <c r="D27" s="104">
        <v>42200</v>
      </c>
      <c r="E27" s="416" t="str">
        <f>IF(Table2[[#This Row],[UBActualReceived]]&gt;1,"Received","Pending")</f>
        <v>Received</v>
      </c>
      <c r="F27" s="132">
        <f>INDEX(LoadMaster!$CU:$CU,MATCH(B27,LoadMaster!$C:$C,0))</f>
        <v>1000</v>
      </c>
      <c r="G27" s="132">
        <f>INDEX(LoadMaster!$CX:$CX,MATCH(B27,LoadMaster!$C:$C,0))</f>
        <v>980</v>
      </c>
      <c r="H27" s="132">
        <f>INDEX(LoadMaster!$CW:$CW,MATCH(B27,LoadMaster!$C:$C,0))</f>
        <v>950</v>
      </c>
      <c r="I27" s="330">
        <v>980</v>
      </c>
      <c r="J27" s="525">
        <v>950</v>
      </c>
      <c r="K27" s="134" t="str">
        <f t="shared" si="0"/>
        <v>Full</v>
      </c>
      <c r="L27" s="134">
        <f>INDEX(LoadMaster!$CT:$CT,MATCH(Table2[[#This Row],[BrokerConfNo]],LoadMaster!$C:$C,0))</f>
        <v>0</v>
      </c>
      <c r="M27" s="416" t="str">
        <f>INDEX(LoadMaster!$AO:$AO,MATCH(Table2[[#This Row],[BrokerConfNo]],LoadMaster!$C:$C,0))</f>
        <v>Albel</v>
      </c>
      <c r="N27" s="104">
        <f t="shared" si="1"/>
        <v>42195</v>
      </c>
      <c r="O27" s="135">
        <f t="shared" si="2"/>
        <v>42209</v>
      </c>
      <c r="P27" s="104">
        <f>INDEX(LoadMaster!$M:$M,MATCH(B27,LoadMaster!$C:$C,0))</f>
        <v>42193</v>
      </c>
      <c r="Q27" s="416" t="str">
        <f>INDEX(LoadMaster!$P:$P,MATCH(B27,LoadMaster!$C:$C,0))</f>
        <v>Modesto</v>
      </c>
      <c r="R27" s="416" t="str">
        <f>INDEX(LoadMaster!$AH:$AH,MATCH(B27,LoadMaster!$C:$C,0))</f>
        <v>Redding</v>
      </c>
      <c r="S27" s="416" t="str">
        <f>INDEX(LoadMaster!$DC:$DC,MATCH(B27,LoadMaster!$C:$C,0))</f>
        <v>Sunny</v>
      </c>
      <c r="T27" s="136">
        <f>INDEX(LoadMaster!$DA:$DA,MATCH(B27,LoadMaster!$C:$C,0))</f>
        <v>30</v>
      </c>
      <c r="U27" s="137">
        <f>Table2[[#This Row],[WeekEndingDate]]+7</f>
        <v>42202</v>
      </c>
      <c r="V27" s="15">
        <f t="shared" si="3"/>
        <v>7</v>
      </c>
      <c r="W27" s="416">
        <f t="shared" si="4"/>
        <v>2015</v>
      </c>
    </row>
    <row r="28" spans="1:23" s="68" customFormat="1">
      <c r="A28" s="15" t="str">
        <f>INDEX(LoadMaster!$A:$A,MATCH(B28,LoadMaster!$C:$C,0))</f>
        <v>530349</v>
      </c>
      <c r="B28" s="81">
        <v>176774353</v>
      </c>
      <c r="C28" s="416" t="str">
        <f>VLOOKUP(Table2[[#This Row],[BrokerConfNo]],LoadMaster!C:D,2,FALSE)</f>
        <v>Ch Robinson</v>
      </c>
      <c r="D28" s="104">
        <v>42200</v>
      </c>
      <c r="E28" s="416" t="str">
        <f>IF(Table2[[#This Row],[UBActualReceived]]&gt;1,"Received","Pending")</f>
        <v>Received</v>
      </c>
      <c r="F28" s="132">
        <f>INDEX(LoadMaster!$CU:$CU,MATCH(B28,LoadMaster!$C:$C,0))</f>
        <v>200</v>
      </c>
      <c r="G28" s="132">
        <f>INDEX(LoadMaster!$CX:$CX,MATCH(B28,LoadMaster!$C:$C,0))</f>
        <v>196</v>
      </c>
      <c r="H28" s="132">
        <f>INDEX(LoadMaster!$CW:$CW,MATCH(B28,LoadMaster!$C:$C,0))</f>
        <v>175</v>
      </c>
      <c r="I28" s="330">
        <v>196</v>
      </c>
      <c r="J28" s="525">
        <v>175</v>
      </c>
      <c r="K28" s="134" t="str">
        <f t="shared" si="0"/>
        <v>Full</v>
      </c>
      <c r="L28" s="134">
        <f>INDEX(LoadMaster!$CT:$CT,MATCH(Table2[[#This Row],[BrokerConfNo]],LoadMaster!$C:$C,0))</f>
        <v>0</v>
      </c>
      <c r="M28" s="416" t="str">
        <f>INDEX(LoadMaster!$AO:$AO,MATCH(Table2[[#This Row],[BrokerConfNo]],LoadMaster!$C:$C,0))</f>
        <v>Albel</v>
      </c>
      <c r="N28" s="104">
        <f t="shared" si="1"/>
        <v>42195</v>
      </c>
      <c r="O28" s="135">
        <f t="shared" si="2"/>
        <v>42209</v>
      </c>
      <c r="P28" s="104">
        <f>INDEX(LoadMaster!$M:$M,MATCH(B28,LoadMaster!$C:$C,0))</f>
        <v>42194</v>
      </c>
      <c r="Q28" s="416" t="str">
        <f>INDEX(LoadMaster!$P:$P,MATCH(B28,LoadMaster!$C:$C,0))</f>
        <v>Watsonville</v>
      </c>
      <c r="R28" s="416" t="str">
        <f>INDEX(LoadMaster!$AH:$AH,MATCH(B28,LoadMaster!$C:$C,0))</f>
        <v>Royal Oaks</v>
      </c>
      <c r="S28" s="416" t="str">
        <f>INDEX(LoadMaster!$DC:$DC,MATCH(B28,LoadMaster!$C:$C,0))</f>
        <v>Sunny</v>
      </c>
      <c r="T28" s="136">
        <f>INDEX(LoadMaster!$DA:$DA,MATCH(B28,LoadMaster!$C:$C,0))</f>
        <v>21</v>
      </c>
      <c r="U28" s="137">
        <f>Table2[[#This Row],[WeekEndingDate]]+7</f>
        <v>42202</v>
      </c>
      <c r="V28" s="15">
        <f t="shared" si="3"/>
        <v>7</v>
      </c>
      <c r="W28" s="416">
        <f t="shared" si="4"/>
        <v>2015</v>
      </c>
    </row>
    <row r="29" spans="1:23" s="18" customFormat="1">
      <c r="A29" s="15" t="str">
        <f>INDEX(LoadMaster!$A:$A,MATCH(B29,LoadMaster!$C:$C,0))</f>
        <v>317349</v>
      </c>
      <c r="B29" s="55">
        <v>1464831</v>
      </c>
      <c r="C29" s="18" t="str">
        <f>VLOOKUP(Table2[[#This Row],[BrokerConfNo]],LoadMaster!C:D,2,FALSE)</f>
        <v>Interstate Distributor Co</v>
      </c>
      <c r="D29" s="26">
        <v>42200</v>
      </c>
      <c r="E29" s="18" t="str">
        <f>IF(Table2[[#This Row],[UBActualReceived]]&gt;1,"Received","Pending")</f>
        <v>Received</v>
      </c>
      <c r="F29" s="21">
        <f>INDEX(LoadMaster!$CU:$CU,MATCH(B29,LoadMaster!$C:$C,0))</f>
        <v>550</v>
      </c>
      <c r="G29" s="132">
        <f>INDEX(LoadMaster!$CX:$CX,MATCH(B29,LoadMaster!$C:$C,0))</f>
        <v>541.75</v>
      </c>
      <c r="H29" s="132">
        <f>INDEX(LoadMaster!$CW:$CW,MATCH(B29,LoadMaster!$C:$C,0))</f>
        <v>500</v>
      </c>
      <c r="I29" s="331">
        <v>556.52</v>
      </c>
      <c r="J29" s="526">
        <v>500</v>
      </c>
      <c r="K29" s="27" t="str">
        <f t="shared" si="0"/>
        <v>Full</v>
      </c>
      <c r="L29" s="27">
        <f>INDEX(LoadMaster!$CT:$CT,MATCH(Table2[[#This Row],[BrokerConfNo]],LoadMaster!$C:$C,0))</f>
        <v>25</v>
      </c>
      <c r="M29" s="18" t="str">
        <f>INDEX(LoadMaster!$AO:$AO,MATCH(Table2[[#This Row],[BrokerConfNo]],LoadMaster!$C:$C,0))</f>
        <v>Albel</v>
      </c>
      <c r="N29" s="26">
        <f t="shared" si="1"/>
        <v>42195</v>
      </c>
      <c r="O29" s="109">
        <f t="shared" si="2"/>
        <v>42209</v>
      </c>
      <c r="P29" s="26">
        <f>INDEX(LoadMaster!$M:$M,MATCH(B29,LoadMaster!$C:$C,0))</f>
        <v>42194</v>
      </c>
      <c r="Q29" s="18" t="str">
        <f>INDEX(LoadMaster!$P:$P,MATCH(B29,LoadMaster!$C:$C,0))</f>
        <v>Stockton</v>
      </c>
      <c r="R29" s="18" t="str">
        <f>INDEX(LoadMaster!$AH:$AH,MATCH(B29,LoadMaster!$C:$C,0))</f>
        <v>Gilroy</v>
      </c>
      <c r="S29" s="416" t="str">
        <f>INDEX(LoadMaster!$DC:$DC,MATCH(B29,LoadMaster!$C:$C,0))</f>
        <v>Sunny</v>
      </c>
      <c r="T29" s="48">
        <f>INDEX(LoadMaster!$DA:$DA,MATCH(B29,LoadMaster!$C:$C,0))</f>
        <v>41.75</v>
      </c>
      <c r="U29" s="110">
        <f>Table2[[#This Row],[WeekEndingDate]]+7</f>
        <v>42202</v>
      </c>
      <c r="V29" s="14">
        <f t="shared" si="3"/>
        <v>7</v>
      </c>
      <c r="W29" s="18">
        <f t="shared" si="4"/>
        <v>2015</v>
      </c>
    </row>
    <row r="30" spans="1:23" s="68" customFormat="1">
      <c r="A30" s="15" t="str">
        <f>INDEX(LoadMaster!$A:$A,MATCH(B30,LoadMaster!$C:$C,0))</f>
        <v>257849</v>
      </c>
      <c r="B30" s="81">
        <v>176947125</v>
      </c>
      <c r="C30" s="416" t="str">
        <f>VLOOKUP(Table2[[#This Row],[BrokerConfNo]],LoadMaster!C:D,2,FALSE)</f>
        <v>Ch Robinson</v>
      </c>
      <c r="D30" s="104">
        <v>42205</v>
      </c>
      <c r="E30" s="416" t="str">
        <f>IF(Table2[[#This Row],[UBActualReceived]]&gt;1,"Received","Pending")</f>
        <v>Received</v>
      </c>
      <c r="F30" s="132">
        <f>INDEX(LoadMaster!$CU:$CU,MATCH(B30,LoadMaster!$C:$C,0))</f>
        <v>825</v>
      </c>
      <c r="G30" s="132">
        <f>INDEX(LoadMaster!$CX:$CX,MATCH(B30,LoadMaster!$C:$C,0))</f>
        <v>808.5</v>
      </c>
      <c r="H30" s="132">
        <f>INDEX(LoadMaster!$CW:$CW,MATCH(B30,LoadMaster!$C:$C,0))</f>
        <v>775</v>
      </c>
      <c r="I30" s="330">
        <v>808.5</v>
      </c>
      <c r="J30" s="525">
        <v>775</v>
      </c>
      <c r="K30" s="134" t="str">
        <f t="shared" si="0"/>
        <v>Full</v>
      </c>
      <c r="L30" s="134">
        <f>INDEX(LoadMaster!$CT:$CT,MATCH(Table2[[#This Row],[BrokerConfNo]],LoadMaster!$C:$C,0))</f>
        <v>0</v>
      </c>
      <c r="M30" s="416" t="str">
        <f>INDEX(LoadMaster!$AO:$AO,MATCH(Table2[[#This Row],[BrokerConfNo]],LoadMaster!$C:$C,0))</f>
        <v>Albel</v>
      </c>
      <c r="N30" s="104">
        <f t="shared" si="1"/>
        <v>42195</v>
      </c>
      <c r="O30" s="135">
        <f t="shared" si="2"/>
        <v>42209</v>
      </c>
      <c r="P30" s="104">
        <f>INDEX(LoadMaster!$M:$M,MATCH(B30,LoadMaster!$C:$C,0))</f>
        <v>42195</v>
      </c>
      <c r="Q30" s="416" t="str">
        <f>INDEX(LoadMaster!$P:$P,MATCH(B30,LoadMaster!$C:$C,0))</f>
        <v>Fairfield</v>
      </c>
      <c r="R30" s="416" t="str">
        <f>INDEX(LoadMaster!$AH:$AH,MATCH(B30,LoadMaster!$C:$C,0))</f>
        <v>Paso Robles</v>
      </c>
      <c r="S30" s="416" t="str">
        <f>INDEX(LoadMaster!$DC:$DC,MATCH(B30,LoadMaster!$C:$C,0))</f>
        <v>Sunny</v>
      </c>
      <c r="T30" s="136">
        <f>INDEX(LoadMaster!$DA:$DA,MATCH(B30,LoadMaster!$C:$C,0))</f>
        <v>33.5</v>
      </c>
      <c r="U30" s="137">
        <f>Table2[[#This Row],[WeekEndingDate]]+7</f>
        <v>42202</v>
      </c>
      <c r="V30" s="15">
        <f t="shared" si="3"/>
        <v>7</v>
      </c>
      <c r="W30" s="416">
        <f t="shared" si="4"/>
        <v>2015</v>
      </c>
    </row>
    <row r="31" spans="1:23" s="68" customFormat="1">
      <c r="A31" s="15" t="str">
        <f>INDEX(LoadMaster!$A:$A,MATCH(B31,LoadMaster!$C:$C,0))</f>
        <v>970949</v>
      </c>
      <c r="B31" s="81">
        <v>179057397</v>
      </c>
      <c r="C31" s="416" t="str">
        <f>VLOOKUP(Table2[[#This Row],[BrokerConfNo]],LoadMaster!C:D,2,FALSE)</f>
        <v>Ch Robinson</v>
      </c>
      <c r="D31" s="104">
        <v>42235</v>
      </c>
      <c r="E31" s="416" t="str">
        <f>IF(Table2[[#This Row],[UBActualReceived]]&gt;1,"Received","Pending")</f>
        <v>Received</v>
      </c>
      <c r="F31" s="132">
        <f>INDEX(LoadMaster!$CU:$CU,MATCH(B31,LoadMaster!$C:$C,0))</f>
        <v>250</v>
      </c>
      <c r="G31" s="132">
        <f>INDEX(LoadMaster!$CX:$CX,MATCH(B31,LoadMaster!$C:$C,0))</f>
        <v>245</v>
      </c>
      <c r="H31" s="132">
        <f>INDEX(LoadMaster!$CW:$CW,MATCH(B31,LoadMaster!$C:$C,0))</f>
        <v>200</v>
      </c>
      <c r="I31" s="330">
        <v>245</v>
      </c>
      <c r="J31" s="525">
        <v>200</v>
      </c>
      <c r="K31" s="134" t="str">
        <f t="shared" si="0"/>
        <v>Full</v>
      </c>
      <c r="L31" s="134">
        <f>INDEX(LoadMaster!$CT:$CT,MATCH(Table2[[#This Row],[BrokerConfNo]],LoadMaster!$C:$C,0))</f>
        <v>0</v>
      </c>
      <c r="M31" s="416" t="str">
        <f>INDEX(LoadMaster!$AO:$AO,MATCH(Table2[[#This Row],[BrokerConfNo]],LoadMaster!$C:$C,0))</f>
        <v>Albel</v>
      </c>
      <c r="N31" s="104">
        <f t="shared" si="1"/>
        <v>42195</v>
      </c>
      <c r="O31" s="135">
        <f t="shared" si="2"/>
        <v>42209</v>
      </c>
      <c r="P31" s="104">
        <f>INDEX(LoadMaster!$M:$M,MATCH(B31,LoadMaster!$C:$C,0))</f>
        <v>42195</v>
      </c>
      <c r="Q31" s="416" t="str">
        <f>INDEX(LoadMaster!$P:$P,MATCH(B31,LoadMaster!$C:$C,0))</f>
        <v>Fairfield</v>
      </c>
      <c r="R31" s="416" t="str">
        <f>INDEX(LoadMaster!$AH:$AH,MATCH(B31,LoadMaster!$C:$C,0))</f>
        <v>Napa</v>
      </c>
      <c r="S31" s="416" t="str">
        <f>INDEX(LoadMaster!$DC:$DC,MATCH(B31,LoadMaster!$C:$C,0))</f>
        <v>Sunny</v>
      </c>
      <c r="T31" s="136">
        <f>INDEX(LoadMaster!$DA:$DA,MATCH(B31,LoadMaster!$C:$C,0))</f>
        <v>45</v>
      </c>
      <c r="U31" s="137">
        <f>Table2[[#This Row],[WeekEndingDate]]+7</f>
        <v>42202</v>
      </c>
      <c r="V31" s="15">
        <f t="shared" si="3"/>
        <v>7</v>
      </c>
      <c r="W31" s="416">
        <f t="shared" si="4"/>
        <v>2015</v>
      </c>
    </row>
    <row r="32" spans="1:23" s="18" customFormat="1">
      <c r="A32" s="15" t="str">
        <f>INDEX(LoadMaster!$A:$A,MATCH(B32,LoadMaster!$C:$C,0))</f>
        <v>00705249</v>
      </c>
      <c r="B32" s="55">
        <v>5897300</v>
      </c>
      <c r="C32" s="18" t="str">
        <f>VLOOKUP(Table2[[#This Row],[BrokerConfNo]],LoadMaster!C:D,2,FALSE)</f>
        <v>Coyote</v>
      </c>
      <c r="D32" s="26">
        <v>42242</v>
      </c>
      <c r="E32" s="18" t="str">
        <f>IF(Table2[[#This Row],[UBActualReceived]]&gt;1,"Received","Pending")</f>
        <v>Received</v>
      </c>
      <c r="F32" s="21">
        <f>INDEX(LoadMaster!$CU:$CU,MATCH(B32,LoadMaster!$C:$C,0))</f>
        <v>150</v>
      </c>
      <c r="G32" s="132">
        <f>INDEX(LoadMaster!$CX:$CX,MATCH(B32,LoadMaster!$C:$C,0))</f>
        <v>145.5</v>
      </c>
      <c r="H32" s="132">
        <f>INDEX(LoadMaster!$CW:$CW,MATCH(B32,LoadMaster!$C:$C,0))</f>
        <v>125</v>
      </c>
      <c r="I32" s="331">
        <v>145.5</v>
      </c>
      <c r="J32" s="526">
        <v>125</v>
      </c>
      <c r="K32" s="27" t="str">
        <f t="shared" si="0"/>
        <v>Full</v>
      </c>
      <c r="L32" s="27">
        <f>INDEX(LoadMaster!$CT:$CT,MATCH(Table2[[#This Row],[BrokerConfNo]],LoadMaster!$C:$C,0))</f>
        <v>0</v>
      </c>
      <c r="M32" s="18" t="str">
        <f>INDEX(LoadMaster!$AO:$AO,MATCH(Table2[[#This Row],[BrokerConfNo]],LoadMaster!$C:$C,0))</f>
        <v>Albel</v>
      </c>
      <c r="N32" s="26">
        <f t="shared" si="1"/>
        <v>42202</v>
      </c>
      <c r="O32" s="109">
        <f t="shared" si="2"/>
        <v>42216</v>
      </c>
      <c r="P32" s="26">
        <f>INDEX(LoadMaster!$M:$M,MATCH(B32,LoadMaster!$C:$C,0))</f>
        <v>42198</v>
      </c>
      <c r="Q32" s="18" t="str">
        <f>INDEX(LoadMaster!$P:$P,MATCH(B32,LoadMaster!$C:$C,0))</f>
        <v>Santa Clara</v>
      </c>
      <c r="R32" s="18" t="str">
        <f>INDEX(LoadMaster!$AH:$AH,MATCH(B32,LoadMaster!$C:$C,0))</f>
        <v>Stockton</v>
      </c>
      <c r="S32" s="416" t="str">
        <f>INDEX(LoadMaster!$DC:$DC,MATCH(B32,LoadMaster!$C:$C,0))</f>
        <v>Sunny</v>
      </c>
      <c r="T32" s="48">
        <f>INDEX(LoadMaster!$DA:$DA,MATCH(B32,LoadMaster!$C:$C,0))</f>
        <v>20.5</v>
      </c>
      <c r="U32" s="110">
        <f>Table2[[#This Row],[WeekEndingDate]]+7</f>
        <v>42209</v>
      </c>
      <c r="V32" s="14">
        <f t="shared" si="3"/>
        <v>7</v>
      </c>
      <c r="W32" s="18">
        <f t="shared" si="4"/>
        <v>2015</v>
      </c>
    </row>
    <row r="33" spans="1:23" s="18" customFormat="1">
      <c r="A33" s="15" t="str">
        <f>INDEX(LoadMaster!$A:$A,MATCH(B33,LoadMaster!$C:$C,0))</f>
        <v>27901249</v>
      </c>
      <c r="B33" s="55">
        <v>27</v>
      </c>
      <c r="C33" s="18" t="str">
        <f>VLOOKUP(Table2[[#This Row],[BrokerConfNo]],LoadMaster!C:D,2,FALSE)</f>
        <v>Global Freight Management</v>
      </c>
      <c r="D33" s="26">
        <v>42210</v>
      </c>
      <c r="E33" s="18" t="str">
        <f>IF(Table2[[#This Row],[UBActualReceived]]&gt;1,"Received","Pending")</f>
        <v>Received</v>
      </c>
      <c r="F33" s="21">
        <f>INDEX(LoadMaster!$CU:$CU,MATCH(B33,LoadMaster!$C:$C,0))</f>
        <v>450</v>
      </c>
      <c r="G33" s="132">
        <f>INDEX(LoadMaster!$CX:$CX,MATCH(B33,LoadMaster!$C:$C,0))</f>
        <v>436.5</v>
      </c>
      <c r="H33" s="132">
        <f>INDEX(LoadMaster!$CW:$CW,MATCH(B33,LoadMaster!$C:$C,0))</f>
        <v>400</v>
      </c>
      <c r="I33" s="331">
        <v>436.5</v>
      </c>
      <c r="J33" s="526">
        <v>400</v>
      </c>
      <c r="K33" s="27" t="str">
        <f t="shared" si="0"/>
        <v>Full</v>
      </c>
      <c r="L33" s="27">
        <f>INDEX(LoadMaster!$CT:$CT,MATCH(Table2[[#This Row],[BrokerConfNo]],LoadMaster!$C:$C,0))</f>
        <v>0</v>
      </c>
      <c r="M33" s="18" t="str">
        <f>INDEX(LoadMaster!$AO:$AO,MATCH(Table2[[#This Row],[BrokerConfNo]],LoadMaster!$C:$C,0))</f>
        <v>Albel</v>
      </c>
      <c r="N33" s="26">
        <f t="shared" si="1"/>
        <v>42202</v>
      </c>
      <c r="O33" s="109">
        <f t="shared" si="2"/>
        <v>42216</v>
      </c>
      <c r="P33" s="26">
        <f>INDEX(LoadMaster!$M:$M,MATCH(B33,LoadMaster!$C:$C,0))</f>
        <v>42198</v>
      </c>
      <c r="Q33" s="18" t="str">
        <f>INDEX(LoadMaster!$P:$P,MATCH(B33,LoadMaster!$C:$C,0))</f>
        <v>South San Francisco</v>
      </c>
      <c r="R33" s="18" t="str">
        <f>INDEX(LoadMaster!$AH:$AH,MATCH(B33,LoadMaster!$C:$C,0))</f>
        <v>Rocklin</v>
      </c>
      <c r="S33" s="416" t="str">
        <f>INDEX(LoadMaster!$DC:$DC,MATCH(B33,LoadMaster!$C:$C,0))</f>
        <v>Sunny</v>
      </c>
      <c r="T33" s="48">
        <f>INDEX(LoadMaster!$DA:$DA,MATCH(B33,LoadMaster!$C:$C,0))</f>
        <v>36.5</v>
      </c>
      <c r="U33" s="110">
        <f>Table2[[#This Row],[WeekEndingDate]]+7</f>
        <v>42209</v>
      </c>
      <c r="V33" s="14">
        <f t="shared" si="3"/>
        <v>7</v>
      </c>
      <c r="W33" s="18">
        <f t="shared" si="4"/>
        <v>2015</v>
      </c>
    </row>
    <row r="34" spans="1:23" s="18" customFormat="1">
      <c r="A34" s="15" t="str">
        <f>INDEX(LoadMaster!$A:$A,MATCH(B34,LoadMaster!$C:$C,0))</f>
        <v>96681949</v>
      </c>
      <c r="B34" s="55">
        <v>77496</v>
      </c>
      <c r="C34" s="18" t="str">
        <f>VLOOKUP(Table2[[#This Row],[BrokerConfNo]],LoadMaster!C:D,2,FALSE)</f>
        <v>Pepsi Logistics Company Inc</v>
      </c>
      <c r="D34" s="26">
        <v>42208</v>
      </c>
      <c r="E34" s="18" t="str">
        <f>IF(Table2[[#This Row],[UBActualReceived]]&gt;1,"Received","Pending")</f>
        <v>Received</v>
      </c>
      <c r="F34" s="21">
        <f>INDEX(LoadMaster!$CU:$CU,MATCH(B34,LoadMaster!$C:$C,0))</f>
        <v>525</v>
      </c>
      <c r="G34" s="132">
        <f>INDEX(LoadMaster!$CX:$CX,MATCH(B34,LoadMaster!$C:$C,0))</f>
        <v>525</v>
      </c>
      <c r="H34" s="132">
        <f>INDEX(LoadMaster!$CW:$CW,MATCH(B34,LoadMaster!$C:$C,0))</f>
        <v>475</v>
      </c>
      <c r="I34" s="334">
        <v>525</v>
      </c>
      <c r="J34" s="529">
        <v>475</v>
      </c>
      <c r="K34" s="27" t="str">
        <f t="shared" si="0"/>
        <v>Full</v>
      </c>
      <c r="L34" s="27">
        <f>INDEX(LoadMaster!$CT:$CT,MATCH(Table2[[#This Row],[BrokerConfNo]],LoadMaster!$C:$C,0))</f>
        <v>0</v>
      </c>
      <c r="M34" s="18" t="str">
        <f>INDEX(LoadMaster!$AO:$AO,MATCH(Table2[[#This Row],[BrokerConfNo]],LoadMaster!$C:$C,0))</f>
        <v>Albel</v>
      </c>
      <c r="N34" s="26">
        <f t="shared" si="1"/>
        <v>42202</v>
      </c>
      <c r="O34" s="109">
        <f t="shared" si="2"/>
        <v>42216</v>
      </c>
      <c r="P34" s="26">
        <f>INDEX(LoadMaster!$M:$M,MATCH(B34,LoadMaster!$C:$C,0))</f>
        <v>42199</v>
      </c>
      <c r="Q34" s="18" t="str">
        <f>INDEX(LoadMaster!$P:$P,MATCH(B34,LoadMaster!$C:$C,0))</f>
        <v>Martell</v>
      </c>
      <c r="R34" s="18" t="str">
        <f>INDEX(LoadMaster!$AH:$AH,MATCH(B34,LoadMaster!$C:$C,0))</f>
        <v>Goshen</v>
      </c>
      <c r="S34" s="416" t="str">
        <f>INDEX(LoadMaster!$DC:$DC,MATCH(B34,LoadMaster!$C:$C,0))</f>
        <v>Sunny</v>
      </c>
      <c r="T34" s="48">
        <f>INDEX(LoadMaster!$DA:$DA,MATCH(B34,LoadMaster!$C:$C,0))</f>
        <v>50</v>
      </c>
      <c r="U34" s="110">
        <f>Table2[[#This Row],[WeekEndingDate]]+7</f>
        <v>42209</v>
      </c>
      <c r="V34" s="14">
        <f t="shared" si="3"/>
        <v>7</v>
      </c>
      <c r="W34" s="18">
        <f t="shared" si="4"/>
        <v>2015</v>
      </c>
    </row>
    <row r="35" spans="1:23" s="18" customFormat="1">
      <c r="A35" s="15" t="str">
        <f>INDEX(LoadMaster!$A:$A,MATCH(B35,LoadMaster!$C:$C,0))</f>
        <v>58sfsf49</v>
      </c>
      <c r="B35" s="81">
        <v>177361558</v>
      </c>
      <c r="C35" s="416" t="str">
        <f>VLOOKUP(Table2[[#This Row],[BrokerConfNo]],LoadMaster!C:D,2,FALSE)</f>
        <v>Ch Robinson</v>
      </c>
      <c r="D35" s="104">
        <v>42197</v>
      </c>
      <c r="E35" s="416" t="str">
        <f>IF(Table2[[#This Row],[UBActualReceived]]&gt;1,"Received","Pending")</f>
        <v>Received</v>
      </c>
      <c r="F35" s="132">
        <f>INDEX(LoadMaster!$CU:$CU,MATCH(B35,LoadMaster!$C:$C,0))</f>
        <v>150</v>
      </c>
      <c r="G35" s="132">
        <f>INDEX(LoadMaster!$CX:$CX,MATCH(B35,LoadMaster!$C:$C,0))</f>
        <v>147</v>
      </c>
      <c r="H35" s="132">
        <f>INDEX(LoadMaster!$CW:$CW,MATCH(B35,LoadMaster!$C:$C,0))</f>
        <v>125</v>
      </c>
      <c r="I35" s="335">
        <v>147</v>
      </c>
      <c r="J35" s="530">
        <v>125</v>
      </c>
      <c r="K35" s="134" t="str">
        <f t="shared" si="0"/>
        <v>Full</v>
      </c>
      <c r="L35" s="134">
        <f>INDEX(LoadMaster!$CT:$CT,MATCH(Table2[[#This Row],[BrokerConfNo]],LoadMaster!$C:$C,0))</f>
        <v>0</v>
      </c>
      <c r="M35" s="416" t="str">
        <f>INDEX(LoadMaster!$AO:$AO,MATCH(Table2[[#This Row],[BrokerConfNo]],LoadMaster!$C:$C,0))</f>
        <v>Albel</v>
      </c>
      <c r="N35" s="104">
        <f t="shared" si="1"/>
        <v>42202</v>
      </c>
      <c r="O35" s="135">
        <f t="shared" si="2"/>
        <v>42216</v>
      </c>
      <c r="P35" s="104">
        <f>INDEX(LoadMaster!$M:$M,MATCH(B35,LoadMaster!$C:$C,0))</f>
        <v>42200</v>
      </c>
      <c r="Q35" s="416" t="str">
        <f>INDEX(LoadMaster!$P:$P,MATCH(B35,LoadMaster!$C:$C,0))</f>
        <v>Tracy</v>
      </c>
      <c r="R35" s="416" t="str">
        <f>INDEX(LoadMaster!$AH:$AH,MATCH(B35,LoadMaster!$C:$C,0))</f>
        <v>Patterson</v>
      </c>
      <c r="S35" s="416" t="str">
        <f>INDEX(LoadMaster!$DC:$DC,MATCH(B35,LoadMaster!$C:$C,0))</f>
        <v>Sunny</v>
      </c>
      <c r="T35" s="136">
        <f>INDEX(LoadMaster!$DA:$DA,MATCH(B35,LoadMaster!$C:$C,0))</f>
        <v>22</v>
      </c>
      <c r="U35" s="137">
        <f>Table2[[#This Row],[WeekEndingDate]]+7</f>
        <v>42209</v>
      </c>
      <c r="V35" s="15">
        <f t="shared" si="3"/>
        <v>7</v>
      </c>
      <c r="W35" s="416">
        <f t="shared" si="4"/>
        <v>2015</v>
      </c>
    </row>
    <row r="36" spans="1:23" s="68" customFormat="1">
      <c r="A36" s="15" t="str">
        <f>INDEX(LoadMaster!$A:$A,MATCH(B36,LoadMaster!$C:$C,0))</f>
        <v>24606049</v>
      </c>
      <c r="B36" s="55">
        <v>5908024</v>
      </c>
      <c r="C36" s="18" t="str">
        <f>VLOOKUP(Table2[[#This Row],[BrokerConfNo]],LoadMaster!C:D,2,FALSE)</f>
        <v>Coyote</v>
      </c>
      <c r="D36" s="26">
        <v>42226</v>
      </c>
      <c r="E36" s="18" t="str">
        <f>IF(Table2[[#This Row],[UBActualReceived]]&gt;1,"Received","Pending")</f>
        <v>Received</v>
      </c>
      <c r="F36" s="21">
        <f>INDEX(LoadMaster!$CU:$CU,MATCH(B36,LoadMaster!$C:$C,0))</f>
        <v>550</v>
      </c>
      <c r="G36" s="132">
        <f>INDEX(LoadMaster!$CX:$CX,MATCH(B36,LoadMaster!$C:$C,0))</f>
        <v>533.5</v>
      </c>
      <c r="H36" s="132">
        <f>INDEX(LoadMaster!$CW:$CW,MATCH(B36,LoadMaster!$C:$C,0))</f>
        <v>500</v>
      </c>
      <c r="I36" s="334">
        <v>550</v>
      </c>
      <c r="J36" s="529">
        <v>500</v>
      </c>
      <c r="K36" s="27" t="str">
        <f t="shared" si="0"/>
        <v>Full</v>
      </c>
      <c r="L36" s="27">
        <f>INDEX(LoadMaster!$CT:$CT,MATCH(Table2[[#This Row],[BrokerConfNo]],LoadMaster!$C:$C,0))</f>
        <v>0</v>
      </c>
      <c r="M36" s="18" t="str">
        <f>INDEX(LoadMaster!$AO:$AO,MATCH(Table2[[#This Row],[BrokerConfNo]],LoadMaster!$C:$C,0))</f>
        <v>Albel</v>
      </c>
      <c r="N36" s="26">
        <f t="shared" si="1"/>
        <v>42202</v>
      </c>
      <c r="O36" s="109">
        <f t="shared" si="2"/>
        <v>42216</v>
      </c>
      <c r="P36" s="26">
        <f>INDEX(LoadMaster!$M:$M,MATCH(B36,LoadMaster!$C:$C,0))</f>
        <v>42200</v>
      </c>
      <c r="Q36" s="18" t="str">
        <f>INDEX(LoadMaster!$P:$P,MATCH(B36,LoadMaster!$C:$C,0))</f>
        <v>Elk Grove</v>
      </c>
      <c r="R36" s="18" t="str">
        <f>INDEX(LoadMaster!$AH:$AH,MATCH(B36,LoadMaster!$C:$C,0))</f>
        <v>Salinas</v>
      </c>
      <c r="S36" s="416" t="str">
        <f>INDEX(LoadMaster!$DC:$DC,MATCH(B36,LoadMaster!$C:$C,0))</f>
        <v>Sunny</v>
      </c>
      <c r="T36" s="48">
        <f>INDEX(LoadMaster!$DA:$DA,MATCH(B36,LoadMaster!$C:$C,0))</f>
        <v>33.5</v>
      </c>
      <c r="U36" s="110">
        <f>Table2[[#This Row],[WeekEndingDate]]+7</f>
        <v>42209</v>
      </c>
      <c r="V36" s="14">
        <f t="shared" si="3"/>
        <v>7</v>
      </c>
      <c r="W36" s="18">
        <f t="shared" si="4"/>
        <v>2015</v>
      </c>
    </row>
    <row r="37" spans="1:23" s="18" customFormat="1">
      <c r="A37" s="15" t="str">
        <f>INDEX(LoadMaster!$A:$A,MATCH(B37,LoadMaster!$C:$C,0))</f>
        <v>08979749</v>
      </c>
      <c r="B37" s="55">
        <v>5930008</v>
      </c>
      <c r="C37" s="18" t="str">
        <f>VLOOKUP(Table2[[#This Row],[BrokerConfNo]],LoadMaster!C:D,2,FALSE)</f>
        <v>Coyote</v>
      </c>
      <c r="D37" s="26">
        <v>42242</v>
      </c>
      <c r="E37" s="18" t="str">
        <f>IF(Table2[[#This Row],[UBActualReceived]]&gt;1,"Received","Pending")</f>
        <v>Received</v>
      </c>
      <c r="F37" s="21">
        <f>INDEX(LoadMaster!$CU:$CU,MATCH(B37,LoadMaster!$C:$C,0))</f>
        <v>600</v>
      </c>
      <c r="G37" s="132">
        <f>INDEX(LoadMaster!$CX:$CX,MATCH(B37,LoadMaster!$C:$C,0))</f>
        <v>582</v>
      </c>
      <c r="H37" s="132">
        <f>INDEX(LoadMaster!$CW:$CW,MATCH(B37,LoadMaster!$C:$C,0))</f>
        <v>550</v>
      </c>
      <c r="I37" s="334">
        <v>582</v>
      </c>
      <c r="J37" s="529">
        <v>550</v>
      </c>
      <c r="K37" s="27" t="str">
        <f t="shared" si="0"/>
        <v>Full</v>
      </c>
      <c r="L37" s="27">
        <f>INDEX(LoadMaster!$CT:$CT,MATCH(Table2[[#This Row],[BrokerConfNo]],LoadMaster!$C:$C,0))</f>
        <v>0</v>
      </c>
      <c r="M37" s="18" t="str">
        <f>INDEX(LoadMaster!$AO:$AO,MATCH(Table2[[#This Row],[BrokerConfNo]],LoadMaster!$C:$C,0))</f>
        <v>Albel</v>
      </c>
      <c r="N37" s="26">
        <f t="shared" si="1"/>
        <v>42209</v>
      </c>
      <c r="O37" s="109">
        <f t="shared" si="2"/>
        <v>42223</v>
      </c>
      <c r="P37" s="26">
        <f>INDEX(LoadMaster!$M:$M,MATCH(B37,LoadMaster!$C:$C,0))</f>
        <v>42205</v>
      </c>
      <c r="Q37" s="18" t="str">
        <f>INDEX(LoadMaster!$P:$P,MATCH(B37,LoadMaster!$C:$C,0))</f>
        <v>Fairfield</v>
      </c>
      <c r="R37" s="18" t="str">
        <f>INDEX(LoadMaster!$AH:$AH,MATCH(B37,LoadMaster!$C:$C,0))</f>
        <v>Fresno</v>
      </c>
      <c r="S37" s="416" t="str">
        <f>INDEX(LoadMaster!$DC:$DC,MATCH(B37,LoadMaster!$C:$C,0))</f>
        <v>Sunny</v>
      </c>
      <c r="T37" s="48">
        <f>INDEX(LoadMaster!$DA:$DA,MATCH(B37,LoadMaster!$C:$C,0))</f>
        <v>32</v>
      </c>
      <c r="U37" s="110">
        <f>Table2[[#This Row],[WeekEndingDate]]+7</f>
        <v>42216</v>
      </c>
      <c r="V37" s="14">
        <f t="shared" si="3"/>
        <v>7</v>
      </c>
      <c r="W37" s="18">
        <f t="shared" si="4"/>
        <v>2015</v>
      </c>
    </row>
    <row r="38" spans="1:23" s="18" customFormat="1">
      <c r="A38" s="15" t="str">
        <f>INDEX(LoadMaster!$A:$A,MATCH(B38,LoadMaster!$C:$C,0))</f>
        <v>941649</v>
      </c>
      <c r="B38" s="55">
        <v>6101794</v>
      </c>
      <c r="C38" s="18" t="str">
        <f>VLOOKUP(Table2[[#This Row],[BrokerConfNo]],LoadMaster!C:D,2,FALSE)</f>
        <v>Landstar</v>
      </c>
      <c r="D38" s="26">
        <v>42233</v>
      </c>
      <c r="E38" s="18" t="str">
        <f>IF(Table2[[#This Row],[UBActualReceived]]&gt;1,"Received","Pending")</f>
        <v>Received</v>
      </c>
      <c r="F38" s="21">
        <f>INDEX(LoadMaster!$CU:$CU,MATCH(B38,LoadMaster!$C:$C,0))</f>
        <v>450</v>
      </c>
      <c r="G38" s="132">
        <f>INDEX(LoadMaster!$CX:$CX,MATCH(B38,LoadMaster!$C:$C,0))</f>
        <v>441</v>
      </c>
      <c r="H38" s="132">
        <f>INDEX(LoadMaster!$CW:$CW,MATCH(B38,LoadMaster!$C:$C,0))</f>
        <v>400</v>
      </c>
      <c r="I38" s="331">
        <v>441</v>
      </c>
      <c r="J38" s="526">
        <v>400</v>
      </c>
      <c r="K38" s="27" t="str">
        <f t="shared" si="0"/>
        <v>Full</v>
      </c>
      <c r="L38" s="27">
        <f>INDEX(LoadMaster!$CT:$CT,MATCH(Table2[[#This Row],[BrokerConfNo]],LoadMaster!$C:$C,0))</f>
        <v>0</v>
      </c>
      <c r="M38" s="18" t="str">
        <f>INDEX(LoadMaster!$AO:$AO,MATCH(Table2[[#This Row],[BrokerConfNo]],LoadMaster!$C:$C,0))</f>
        <v>Albel</v>
      </c>
      <c r="N38" s="26">
        <f t="shared" si="1"/>
        <v>42209</v>
      </c>
      <c r="O38" s="109">
        <f t="shared" si="2"/>
        <v>42223</v>
      </c>
      <c r="P38" s="26">
        <f>INDEX(LoadMaster!$M:$M,MATCH(B38,LoadMaster!$C:$C,0))</f>
        <v>42206</v>
      </c>
      <c r="Q38" s="18" t="str">
        <f>INDEX(LoadMaster!$P:$P,MATCH(B38,LoadMaster!$C:$C,0))</f>
        <v>Visalia</v>
      </c>
      <c r="R38" s="18" t="str">
        <f>INDEX(LoadMaster!$AH:$AH,MATCH(B38,LoadMaster!$C:$C,0))</f>
        <v>Biola</v>
      </c>
      <c r="S38" s="416" t="str">
        <f>INDEX(LoadMaster!$DC:$DC,MATCH(B38,LoadMaster!$C:$C,0))</f>
        <v>Sunny</v>
      </c>
      <c r="T38" s="48">
        <f>INDEX(LoadMaster!$DA:$DA,MATCH(B38,LoadMaster!$C:$C,0))</f>
        <v>41</v>
      </c>
      <c r="U38" s="110">
        <f>Table2[[#This Row],[WeekEndingDate]]+7</f>
        <v>42216</v>
      </c>
      <c r="V38" s="14">
        <f t="shared" si="3"/>
        <v>7</v>
      </c>
      <c r="W38" s="18">
        <f t="shared" si="4"/>
        <v>2015</v>
      </c>
    </row>
    <row r="39" spans="1:23" s="68" customFormat="1">
      <c r="A39" s="15" t="str">
        <f>INDEX(LoadMaster!$A:$A,MATCH(B39,LoadMaster!$C:$C,0))</f>
        <v>77021449</v>
      </c>
      <c r="B39" s="81">
        <v>177323977</v>
      </c>
      <c r="C39" s="416" t="str">
        <f>VLOOKUP(Table2[[#This Row],[BrokerConfNo]],LoadMaster!C:D,2,FALSE)</f>
        <v>Ch Robinson</v>
      </c>
      <c r="D39" s="104">
        <v>42216</v>
      </c>
      <c r="E39" s="416" t="str">
        <f>IF(Table2[[#This Row],[UBActualReceived]]&gt;1,"Received","Pending")</f>
        <v>Received</v>
      </c>
      <c r="F39" s="132">
        <f>INDEX(LoadMaster!$CU:$CU,MATCH(B39,LoadMaster!$C:$C,0))</f>
        <v>75</v>
      </c>
      <c r="G39" s="132">
        <f>INDEX(LoadMaster!$CX:$CX,MATCH(B39,LoadMaster!$C:$C,0))</f>
        <v>73.5</v>
      </c>
      <c r="H39" s="132">
        <f>INDEX(LoadMaster!$CW:$CW,MATCH(B39,LoadMaster!$C:$C,0))</f>
        <v>50</v>
      </c>
      <c r="I39" s="330">
        <v>73.5</v>
      </c>
      <c r="J39" s="525">
        <v>50</v>
      </c>
      <c r="K39" s="134" t="str">
        <f t="shared" si="0"/>
        <v>Full</v>
      </c>
      <c r="L39" s="134">
        <f>INDEX(LoadMaster!$CT:$CT,MATCH(Table2[[#This Row],[BrokerConfNo]],LoadMaster!$C:$C,0))</f>
        <v>0</v>
      </c>
      <c r="M39" s="416" t="str">
        <f>INDEX(LoadMaster!$AO:$AO,MATCH(Table2[[#This Row],[BrokerConfNo]],LoadMaster!$C:$C,0))</f>
        <v>Albel</v>
      </c>
      <c r="N39" s="104">
        <f t="shared" si="1"/>
        <v>42209</v>
      </c>
      <c r="O39" s="135">
        <f t="shared" si="2"/>
        <v>42223</v>
      </c>
      <c r="P39" s="104">
        <f>INDEX(LoadMaster!$M:$M,MATCH(B39,LoadMaster!$C:$C,0))</f>
        <v>42207</v>
      </c>
      <c r="Q39" s="416" t="str">
        <f>INDEX(LoadMaster!$P:$P,MATCH(B39,LoadMaster!$C:$C,0))</f>
        <v>Gilroy</v>
      </c>
      <c r="R39" s="416" t="str">
        <f>INDEX(LoadMaster!$AH:$AH,MATCH(B39,LoadMaster!$C:$C,0))</f>
        <v>Stocton</v>
      </c>
      <c r="S39" s="416" t="str">
        <f>INDEX(LoadMaster!$DC:$DC,MATCH(B39,LoadMaster!$C:$C,0))</f>
        <v>Sunny</v>
      </c>
      <c r="T39" s="136">
        <f>INDEX(LoadMaster!$DA:$DA,MATCH(B39,LoadMaster!$C:$C,0))</f>
        <v>23.5</v>
      </c>
      <c r="U39" s="137">
        <f>Table2[[#This Row],[WeekEndingDate]]+7</f>
        <v>42216</v>
      </c>
      <c r="V39" s="15">
        <f t="shared" si="3"/>
        <v>7</v>
      </c>
      <c r="W39" s="416">
        <f t="shared" si="4"/>
        <v>2015</v>
      </c>
    </row>
    <row r="40" spans="1:23" s="18" customFormat="1">
      <c r="A40" s="15" t="str">
        <f>INDEX(LoadMaster!$A:$A,MATCH(B40,LoadMaster!$C:$C,0))</f>
        <v>89023A49</v>
      </c>
      <c r="B40" s="55">
        <v>87589</v>
      </c>
      <c r="C40" s="18" t="str">
        <f>VLOOKUP(Table2[[#This Row],[BrokerConfNo]],LoadMaster!C:D,2,FALSE)</f>
        <v xml:space="preserve">Kam-Way </v>
      </c>
      <c r="D40" s="26">
        <v>42223</v>
      </c>
      <c r="E40" s="18" t="str">
        <f>IF(Table2[[#This Row],[UBActualReceived]]&gt;1,"Received","Pending")</f>
        <v>Received</v>
      </c>
      <c r="F40" s="21">
        <f>INDEX(LoadMaster!$CU:$CU,MATCH(B40,LoadMaster!$C:$C,0))</f>
        <v>700</v>
      </c>
      <c r="G40" s="132">
        <f>INDEX(LoadMaster!$CX:$CX,MATCH(B40,LoadMaster!$C:$C,0))</f>
        <v>679</v>
      </c>
      <c r="H40" s="132">
        <f>INDEX(LoadMaster!$CW:$CW,MATCH(B40,LoadMaster!$C:$C,0))</f>
        <v>650</v>
      </c>
      <c r="I40" s="331">
        <v>679</v>
      </c>
      <c r="J40" s="526">
        <v>650</v>
      </c>
      <c r="K40" s="27" t="str">
        <f t="shared" si="0"/>
        <v>Full</v>
      </c>
      <c r="L40" s="27">
        <f>INDEX(LoadMaster!$CT:$CT,MATCH(Table2[[#This Row],[BrokerConfNo]],LoadMaster!$C:$C,0))</f>
        <v>0</v>
      </c>
      <c r="M40" s="18" t="str">
        <f>INDEX(LoadMaster!$AO:$AO,MATCH(Table2[[#This Row],[BrokerConfNo]],LoadMaster!$C:$C,0))</f>
        <v>Albel</v>
      </c>
      <c r="N40" s="26">
        <f t="shared" si="1"/>
        <v>42209</v>
      </c>
      <c r="O40" s="109">
        <f t="shared" si="2"/>
        <v>42223</v>
      </c>
      <c r="P40" s="26">
        <f>INDEX(LoadMaster!$M:$M,MATCH(B40,LoadMaster!$C:$C,0))</f>
        <v>42207</v>
      </c>
      <c r="Q40" s="18" t="str">
        <f>INDEX(LoadMaster!$P:$P,MATCH(B40,LoadMaster!$C:$C,0))</f>
        <v>Fairfield</v>
      </c>
      <c r="R40" s="18" t="str">
        <f>INDEX(LoadMaster!$AH:$AH,MATCH(B40,LoadMaster!$C:$C,0))</f>
        <v>Fresno</v>
      </c>
      <c r="S40" s="416" t="str">
        <f>INDEX(LoadMaster!$DC:$DC,MATCH(B40,LoadMaster!$C:$C,0))</f>
        <v>Sunny</v>
      </c>
      <c r="T40" s="48">
        <f>INDEX(LoadMaster!$DA:$DA,MATCH(B40,LoadMaster!$C:$C,0))</f>
        <v>29</v>
      </c>
      <c r="U40" s="110">
        <f>Table2[[#This Row],[WeekEndingDate]]+7</f>
        <v>42216</v>
      </c>
      <c r="V40" s="14">
        <f t="shared" si="3"/>
        <v>7</v>
      </c>
      <c r="W40" s="18">
        <f t="shared" si="4"/>
        <v>2015</v>
      </c>
    </row>
    <row r="41" spans="1:23" s="68" customFormat="1">
      <c r="A41" s="15" t="str">
        <f>INDEX(LoadMaster!$A:$A,MATCH(B41,LoadMaster!$C:$C,0))</f>
        <v>832649</v>
      </c>
      <c r="B41" s="81">
        <v>177743283</v>
      </c>
      <c r="C41" s="416" t="str">
        <f>VLOOKUP(Table2[[#This Row],[BrokerConfNo]],LoadMaster!C:D,2,FALSE)</f>
        <v>Ch Robinson</v>
      </c>
      <c r="D41" s="104">
        <v>42216</v>
      </c>
      <c r="E41" s="416" t="str">
        <f>IF(Table2[[#This Row],[UBActualReceived]]&gt;1,"Received","Pending")</f>
        <v>Received</v>
      </c>
      <c r="F41" s="132">
        <f>INDEX(LoadMaster!$CU:$CU,MATCH(B41,LoadMaster!$C:$C,0))</f>
        <v>650</v>
      </c>
      <c r="G41" s="132">
        <f>INDEX(LoadMaster!$CX:$CX,MATCH(B41,LoadMaster!$C:$C,0))</f>
        <v>637</v>
      </c>
      <c r="H41" s="132">
        <f>INDEX(LoadMaster!$CW:$CW,MATCH(B41,LoadMaster!$C:$C,0))</f>
        <v>600</v>
      </c>
      <c r="I41" s="330">
        <v>637</v>
      </c>
      <c r="J41" s="525">
        <v>600</v>
      </c>
      <c r="K41" s="134" t="str">
        <f t="shared" si="0"/>
        <v>Full</v>
      </c>
      <c r="L41" s="134">
        <f>INDEX(LoadMaster!$CT:$CT,MATCH(Table2[[#This Row],[BrokerConfNo]],LoadMaster!$C:$C,0))</f>
        <v>0</v>
      </c>
      <c r="M41" s="416" t="str">
        <f>INDEX(LoadMaster!$AO:$AO,MATCH(Table2[[#This Row],[BrokerConfNo]],LoadMaster!$C:$C,0))</f>
        <v>Albel</v>
      </c>
      <c r="N41" s="104">
        <f t="shared" si="1"/>
        <v>42209</v>
      </c>
      <c r="O41" s="135">
        <f t="shared" si="2"/>
        <v>42223</v>
      </c>
      <c r="P41" s="104">
        <f>INDEX(LoadMaster!$M:$M,MATCH(B41,LoadMaster!$C:$C,0))</f>
        <v>42208</v>
      </c>
      <c r="Q41" s="416" t="str">
        <f>INDEX(LoadMaster!$P:$P,MATCH(B41,LoadMaster!$C:$C,0))</f>
        <v>Hanford</v>
      </c>
      <c r="R41" s="416" t="str">
        <f>INDEX(LoadMaster!$AH:$AH,MATCH(B41,LoadMaster!$C:$C,0))</f>
        <v>Woodland / Placerville</v>
      </c>
      <c r="S41" s="416" t="str">
        <f>INDEX(LoadMaster!$DC:$DC,MATCH(B41,LoadMaster!$C:$C,0))</f>
        <v>Sunny</v>
      </c>
      <c r="T41" s="136">
        <f>INDEX(LoadMaster!$DA:$DA,MATCH(B41,LoadMaster!$C:$C,0))</f>
        <v>37</v>
      </c>
      <c r="U41" s="137">
        <f>Table2[[#This Row],[WeekEndingDate]]+7</f>
        <v>42216</v>
      </c>
      <c r="V41" s="15">
        <f t="shared" si="3"/>
        <v>7</v>
      </c>
      <c r="W41" s="416">
        <f t="shared" si="4"/>
        <v>2015</v>
      </c>
    </row>
    <row r="42" spans="1:23" s="68" customFormat="1">
      <c r="A42" s="15" t="str">
        <f>INDEX(LoadMaster!$A:$A,MATCH(B42,LoadMaster!$C:$C,0))</f>
        <v>33555549</v>
      </c>
      <c r="B42" s="81">
        <v>177951733</v>
      </c>
      <c r="C42" s="416" t="str">
        <f>VLOOKUP(Table2[[#This Row],[BrokerConfNo]],LoadMaster!C:D,2,FALSE)</f>
        <v>Ch Robinson</v>
      </c>
      <c r="D42" s="104">
        <v>42219</v>
      </c>
      <c r="E42" s="416" t="str">
        <f>IF(Table2[[#This Row],[UBActualReceived]]&gt;1,"Received","Pending")</f>
        <v>Received</v>
      </c>
      <c r="F42" s="132">
        <f>INDEX(LoadMaster!$CU:$CU,MATCH(B42,LoadMaster!$C:$C,0))</f>
        <v>824.99950000000001</v>
      </c>
      <c r="G42" s="132">
        <f>INDEX(LoadMaster!$CX:$CX,MATCH(B42,LoadMaster!$C:$C,0))</f>
        <v>808.49950999999999</v>
      </c>
      <c r="H42" s="132">
        <f>INDEX(LoadMaster!$CW:$CW,MATCH(B42,LoadMaster!$C:$C,0))</f>
        <v>750</v>
      </c>
      <c r="I42" s="330">
        <v>808.5</v>
      </c>
      <c r="J42" s="525">
        <v>750</v>
      </c>
      <c r="K42" s="134" t="str">
        <f t="shared" si="0"/>
        <v>Full</v>
      </c>
      <c r="L42" s="134">
        <f>INDEX(LoadMaster!$CT:$CT,MATCH(Table2[[#This Row],[BrokerConfNo]],LoadMaster!$C:$C,0))</f>
        <v>224.99949999999998</v>
      </c>
      <c r="M42" s="416" t="str">
        <f>INDEX(LoadMaster!$AO:$AO,MATCH(Table2[[#This Row],[BrokerConfNo]],LoadMaster!$C:$C,0))</f>
        <v>Albel</v>
      </c>
      <c r="N42" s="104">
        <f t="shared" si="1"/>
        <v>42209</v>
      </c>
      <c r="O42" s="135">
        <f t="shared" si="2"/>
        <v>42223</v>
      </c>
      <c r="P42" s="104">
        <f>INDEX(LoadMaster!$M:$M,MATCH(B42,LoadMaster!$C:$C,0))</f>
        <v>42209</v>
      </c>
      <c r="Q42" s="416" t="str">
        <f>INDEX(LoadMaster!$P:$P,MATCH(B42,LoadMaster!$C:$C,0))</f>
        <v>Roseville</v>
      </c>
      <c r="R42" s="416" t="str">
        <f>INDEX(LoadMaster!$AH:$AH,MATCH(B42,LoadMaster!$C:$C,0))</f>
        <v>San Martin</v>
      </c>
      <c r="S42" s="416" t="str">
        <f>INDEX(LoadMaster!$DC:$DC,MATCH(B42,LoadMaster!$C:$C,0))</f>
        <v>Sunny</v>
      </c>
      <c r="T42" s="136">
        <f>INDEX(LoadMaster!$DA:$DA,MATCH(B42,LoadMaster!$C:$C,0))</f>
        <v>58.499510000000015</v>
      </c>
      <c r="U42" s="137">
        <f>Table2[[#This Row],[WeekEndingDate]]+7</f>
        <v>42216</v>
      </c>
      <c r="V42" s="15">
        <f t="shared" si="3"/>
        <v>7</v>
      </c>
      <c r="W42" s="416">
        <f t="shared" si="4"/>
        <v>2015</v>
      </c>
    </row>
    <row r="43" spans="1:23" s="68" customFormat="1">
      <c r="A43" s="15" t="str">
        <f>INDEX(LoadMaster!$A:$A,MATCH(B43,LoadMaster!$C:$C,0))</f>
        <v>38868649</v>
      </c>
      <c r="B43" s="81">
        <v>178040538</v>
      </c>
      <c r="C43" s="416" t="str">
        <f>VLOOKUP(Table2[[#This Row],[BrokerConfNo]],LoadMaster!C:D,2,FALSE)</f>
        <v>Ch Robinson</v>
      </c>
      <c r="D43" s="104">
        <v>42216</v>
      </c>
      <c r="E43" s="416" t="str">
        <f>IF(Table2[[#This Row],[UBActualReceived]]&gt;1,"Received","Pending")</f>
        <v>Received</v>
      </c>
      <c r="F43" s="132">
        <f>INDEX(LoadMaster!$CU:$CU,MATCH(B43,LoadMaster!$C:$C,0))</f>
        <v>400</v>
      </c>
      <c r="G43" s="132">
        <f>INDEX(LoadMaster!$CX:$CX,MATCH(B43,LoadMaster!$C:$C,0))</f>
        <v>392</v>
      </c>
      <c r="H43" s="132">
        <f>INDEX(LoadMaster!$CW:$CW,MATCH(B43,LoadMaster!$C:$C,0))</f>
        <v>350</v>
      </c>
      <c r="I43" s="330">
        <v>392</v>
      </c>
      <c r="J43" s="525">
        <v>350</v>
      </c>
      <c r="K43" s="134" t="str">
        <f t="shared" si="0"/>
        <v>Full</v>
      </c>
      <c r="L43" s="134">
        <f>INDEX(LoadMaster!$CT:$CT,MATCH(Table2[[#This Row],[BrokerConfNo]],LoadMaster!$C:$C,0))</f>
        <v>0</v>
      </c>
      <c r="M43" s="416" t="str">
        <f>INDEX(LoadMaster!$AO:$AO,MATCH(Table2[[#This Row],[BrokerConfNo]],LoadMaster!$C:$C,0))</f>
        <v>Albel</v>
      </c>
      <c r="N43" s="104">
        <f t="shared" si="1"/>
        <v>42216</v>
      </c>
      <c r="O43" s="135">
        <f t="shared" si="2"/>
        <v>42230</v>
      </c>
      <c r="P43" s="104">
        <f>INDEX(LoadMaster!$M:$M,MATCH(B43,LoadMaster!$C:$C,0))</f>
        <v>42212</v>
      </c>
      <c r="Q43" s="416" t="str">
        <f>INDEX(LoadMaster!$P:$P,MATCH(B43,LoadMaster!$C:$C,0))</f>
        <v>Watsonville</v>
      </c>
      <c r="R43" s="416" t="str">
        <f>INDEX(LoadMaster!$AH:$AH,MATCH(B43,LoadMaster!$C:$C,0))</f>
        <v>Emeryville</v>
      </c>
      <c r="S43" s="416" t="str">
        <f>INDEX(LoadMaster!$DC:$DC,MATCH(B43,LoadMaster!$C:$C,0))</f>
        <v>Sunny</v>
      </c>
      <c r="T43" s="136">
        <f>INDEX(LoadMaster!$DA:$DA,MATCH(B43,LoadMaster!$C:$C,0))</f>
        <v>42</v>
      </c>
      <c r="U43" s="137">
        <f>Table2[[#This Row],[WeekEndingDate]]+7</f>
        <v>42223</v>
      </c>
      <c r="V43" s="15">
        <f t="shared" si="3"/>
        <v>7</v>
      </c>
      <c r="W43" s="416">
        <f t="shared" si="4"/>
        <v>2015</v>
      </c>
    </row>
    <row r="44" spans="1:23" s="18" customFormat="1">
      <c r="A44" s="15" t="str">
        <f>INDEX(LoadMaster!$A:$A,MATCH(B44,LoadMaster!$C:$C,0))</f>
        <v>51484849</v>
      </c>
      <c r="B44" s="55">
        <v>10957051</v>
      </c>
      <c r="C44" s="18" t="str">
        <f>VLOOKUP(Table2[[#This Row],[BrokerConfNo]],LoadMaster!C:D,2,FALSE)</f>
        <v>Uti</v>
      </c>
      <c r="D44" s="26">
        <v>42223</v>
      </c>
      <c r="E44" s="18" t="str">
        <f>IF(Table2[[#This Row],[UBActualReceived]]&gt;1,"Received","Pending")</f>
        <v>Received</v>
      </c>
      <c r="F44" s="21">
        <f>INDEX(LoadMaster!$CU:$CU,MATCH(B44,LoadMaster!$C:$C,0))</f>
        <v>650</v>
      </c>
      <c r="G44" s="132">
        <f>INDEX(LoadMaster!$CX:$CX,MATCH(B44,LoadMaster!$C:$C,0))</f>
        <v>637</v>
      </c>
      <c r="H44" s="132">
        <f>INDEX(LoadMaster!$CW:$CW,MATCH(B44,LoadMaster!$C:$C,0))</f>
        <v>600</v>
      </c>
      <c r="I44" s="331">
        <v>637</v>
      </c>
      <c r="J44" s="526">
        <v>600</v>
      </c>
      <c r="K44" s="27" t="str">
        <f t="shared" si="0"/>
        <v>Full</v>
      </c>
      <c r="L44" s="27">
        <f>INDEX(LoadMaster!$CT:$CT,MATCH(Table2[[#This Row],[BrokerConfNo]],LoadMaster!$C:$C,0))</f>
        <v>0</v>
      </c>
      <c r="M44" s="18" t="str">
        <f>INDEX(LoadMaster!$AO:$AO,MATCH(Table2[[#This Row],[BrokerConfNo]],LoadMaster!$C:$C,0))</f>
        <v>Albel</v>
      </c>
      <c r="N44" s="26">
        <f t="shared" si="1"/>
        <v>42216</v>
      </c>
      <c r="O44" s="109">
        <f t="shared" si="2"/>
        <v>42230</v>
      </c>
      <c r="P44" s="26">
        <f>INDEX(LoadMaster!$M:$M,MATCH(B44,LoadMaster!$C:$C,0))</f>
        <v>42212</v>
      </c>
      <c r="Q44" s="18" t="str">
        <f>INDEX(LoadMaster!$P:$P,MATCH(B44,LoadMaster!$C:$C,0))</f>
        <v>San Leandro</v>
      </c>
      <c r="R44" s="18" t="str">
        <f>INDEX(LoadMaster!$AH:$AH,MATCH(B44,LoadMaster!$C:$C,0))</f>
        <v>Orland</v>
      </c>
      <c r="S44" s="416" t="str">
        <f>INDEX(LoadMaster!$DC:$DC,MATCH(B44,LoadMaster!$C:$C,0))</f>
        <v>Sunny</v>
      </c>
      <c r="T44" s="48">
        <f>INDEX(LoadMaster!$DA:$DA,MATCH(B44,LoadMaster!$C:$C,0))</f>
        <v>37</v>
      </c>
      <c r="U44" s="110">
        <f>Table2[[#This Row],[WeekEndingDate]]+7</f>
        <v>42223</v>
      </c>
      <c r="V44" s="14">
        <f t="shared" si="3"/>
        <v>7</v>
      </c>
      <c r="W44" s="18">
        <f t="shared" si="4"/>
        <v>2015</v>
      </c>
    </row>
    <row r="45" spans="1:23" s="18" customFormat="1">
      <c r="A45" s="15" t="str">
        <f>INDEX(LoadMaster!$A:$A,MATCH(B45,LoadMaster!$C:$C,0))</f>
        <v>44444449</v>
      </c>
      <c r="B45" s="55">
        <v>706744</v>
      </c>
      <c r="C45" s="18" t="str">
        <f>VLOOKUP(Table2[[#This Row],[BrokerConfNo]],LoadMaster!C:D,2,FALSE)</f>
        <v>Transcorr</v>
      </c>
      <c r="D45" s="26">
        <v>42229</v>
      </c>
      <c r="E45" s="18" t="str">
        <f>IF(Table2[[#This Row],[UBActualReceived]]&gt;1,"Received","Pending")</f>
        <v>Received</v>
      </c>
      <c r="F45" s="21">
        <f>INDEX(LoadMaster!$CU:$CU,MATCH(B45,LoadMaster!$C:$C,0))</f>
        <v>500</v>
      </c>
      <c r="G45" s="132">
        <f>INDEX(LoadMaster!$CX:$CX,MATCH(B45,LoadMaster!$C:$C,0))</f>
        <v>492.5</v>
      </c>
      <c r="H45" s="132">
        <f>INDEX(LoadMaster!$CW:$CW,MATCH(B45,LoadMaster!$C:$C,0))</f>
        <v>450</v>
      </c>
      <c r="I45" s="331">
        <v>492.5</v>
      </c>
      <c r="J45" s="526">
        <v>450</v>
      </c>
      <c r="K45" s="27" t="str">
        <f t="shared" si="0"/>
        <v>Full</v>
      </c>
      <c r="L45" s="27">
        <f>INDEX(LoadMaster!$CT:$CT,MATCH(Table2[[#This Row],[BrokerConfNo]],LoadMaster!$C:$C,0))</f>
        <v>0</v>
      </c>
      <c r="M45" s="18" t="str">
        <f>INDEX(LoadMaster!$AO:$AO,MATCH(Table2[[#This Row],[BrokerConfNo]],LoadMaster!$C:$C,0))</f>
        <v>Albel</v>
      </c>
      <c r="N45" s="26">
        <f t="shared" si="1"/>
        <v>42216</v>
      </c>
      <c r="O45" s="109">
        <f t="shared" si="2"/>
        <v>42230</v>
      </c>
      <c r="P45" s="26">
        <f>INDEX(LoadMaster!$M:$M,MATCH(B45,LoadMaster!$C:$C,0))</f>
        <v>42214</v>
      </c>
      <c r="Q45" s="18" t="str">
        <f>INDEX(LoadMaster!$P:$P,MATCH(B45,LoadMaster!$C:$C,0))</f>
        <v>Stockton</v>
      </c>
      <c r="R45" s="18" t="str">
        <f>INDEX(LoadMaster!$AH:$AH,MATCH(B45,LoadMaster!$C:$C,0))</f>
        <v>Salinas</v>
      </c>
      <c r="S45" s="416" t="str">
        <f>INDEX(LoadMaster!$DC:$DC,MATCH(B45,LoadMaster!$C:$C,0))</f>
        <v>Sunny</v>
      </c>
      <c r="T45" s="48">
        <f>INDEX(LoadMaster!$DA:$DA,MATCH(B45,LoadMaster!$C:$C,0))</f>
        <v>42.5</v>
      </c>
      <c r="U45" s="110">
        <f>Table2[[#This Row],[WeekEndingDate]]+7</f>
        <v>42223</v>
      </c>
      <c r="V45" s="14">
        <f t="shared" si="3"/>
        <v>7</v>
      </c>
      <c r="W45" s="18">
        <f t="shared" si="4"/>
        <v>2015</v>
      </c>
    </row>
    <row r="46" spans="1:23" s="18" customFormat="1">
      <c r="A46" s="15" t="str">
        <f>INDEX(LoadMaster!$A:$A,MATCH(B46,LoadMaster!$C:$C,0))</f>
        <v>31838349</v>
      </c>
      <c r="B46" s="55">
        <v>5895331</v>
      </c>
      <c r="C46" s="18" t="str">
        <f>VLOOKUP(Table2[[#This Row],[BrokerConfNo]],LoadMaster!C:D,2,FALSE)</f>
        <v>Tql</v>
      </c>
      <c r="D46" s="26">
        <v>42226</v>
      </c>
      <c r="E46" s="18" t="str">
        <f>IF(Table2[[#This Row],[UBActualReceived]]&gt;1,"Received","Pending")</f>
        <v>Received</v>
      </c>
      <c r="F46" s="21">
        <f>INDEX(LoadMaster!$CU:$CU,MATCH(B46,LoadMaster!$C:$C,0))</f>
        <v>450</v>
      </c>
      <c r="G46" s="132">
        <f>INDEX(LoadMaster!$CX:$CX,MATCH(B46,LoadMaster!$C:$C,0))</f>
        <v>436.5</v>
      </c>
      <c r="H46" s="132">
        <f>INDEX(LoadMaster!$CW:$CW,MATCH(B46,LoadMaster!$C:$C,0))</f>
        <v>400</v>
      </c>
      <c r="I46" s="331">
        <v>436.5</v>
      </c>
      <c r="J46" s="526">
        <v>400</v>
      </c>
      <c r="K46" s="27" t="str">
        <f t="shared" si="0"/>
        <v>Full</v>
      </c>
      <c r="L46" s="27">
        <f>INDEX(LoadMaster!$CT:$CT,MATCH(Table2[[#This Row],[BrokerConfNo]],LoadMaster!$C:$C,0))</f>
        <v>0</v>
      </c>
      <c r="M46" s="18" t="str">
        <f>INDEX(LoadMaster!$AO:$AO,MATCH(Table2[[#This Row],[BrokerConfNo]],LoadMaster!$C:$C,0))</f>
        <v>Albel</v>
      </c>
      <c r="N46" s="26">
        <f t="shared" si="1"/>
        <v>42216</v>
      </c>
      <c r="O46" s="109">
        <f t="shared" si="2"/>
        <v>42230</v>
      </c>
      <c r="P46" s="26">
        <f>INDEX(LoadMaster!$M:$M,MATCH(B46,LoadMaster!$C:$C,0))</f>
        <v>42215</v>
      </c>
      <c r="Q46" s="18" t="str">
        <f>INDEX(LoadMaster!$P:$P,MATCH(B46,LoadMaster!$C:$C,0))</f>
        <v>Escalon</v>
      </c>
      <c r="R46" s="18" t="str">
        <f>INDEX(LoadMaster!$AH:$AH,MATCH(B46,LoadMaster!$C:$C,0))</f>
        <v>Gilroy</v>
      </c>
      <c r="S46" s="416" t="str">
        <f>INDEX(LoadMaster!$DC:$DC,MATCH(B46,LoadMaster!$C:$C,0))</f>
        <v>Sunny</v>
      </c>
      <c r="T46" s="48">
        <f>INDEX(LoadMaster!$DA:$DA,MATCH(B46,LoadMaster!$C:$C,0))</f>
        <v>36.5</v>
      </c>
      <c r="U46" s="110">
        <f>Table2[[#This Row],[WeekEndingDate]]+7</f>
        <v>42223</v>
      </c>
      <c r="V46" s="14">
        <f t="shared" si="3"/>
        <v>7</v>
      </c>
      <c r="W46" s="18">
        <f t="shared" si="4"/>
        <v>2015</v>
      </c>
    </row>
    <row r="47" spans="1:23" s="18" customFormat="1">
      <c r="A47" s="15" t="str">
        <f>INDEX(LoadMaster!$A:$A,MATCH(B47,LoadMaster!$C:$C,0))</f>
        <v>24848449</v>
      </c>
      <c r="B47" s="81">
        <v>178437124</v>
      </c>
      <c r="C47" s="416" t="str">
        <f>VLOOKUP(Table2[[#This Row],[BrokerConfNo]],LoadMaster!C:D,2,FALSE)</f>
        <v>Ch Robinson</v>
      </c>
      <c r="D47" s="104">
        <v>42223</v>
      </c>
      <c r="E47" s="416" t="str">
        <f>IF(Table2[[#This Row],[UBActualReceived]]&gt;1,"Received","Pending")</f>
        <v>Received</v>
      </c>
      <c r="F47" s="132">
        <f>INDEX(LoadMaster!$CU:$CU,MATCH(B47,LoadMaster!$C:$C,0))</f>
        <v>425</v>
      </c>
      <c r="G47" s="132">
        <f>INDEX(LoadMaster!$CX:$CX,MATCH(B47,LoadMaster!$C:$C,0))</f>
        <v>416.5</v>
      </c>
      <c r="H47" s="132">
        <f>INDEX(LoadMaster!$CW:$CW,MATCH(B47,LoadMaster!$C:$C,0))</f>
        <v>375</v>
      </c>
      <c r="I47" s="330">
        <v>416.5</v>
      </c>
      <c r="J47" s="525">
        <v>375</v>
      </c>
      <c r="K47" s="134" t="str">
        <f t="shared" si="0"/>
        <v>Full</v>
      </c>
      <c r="L47" s="134">
        <f>INDEX(LoadMaster!$CT:$CT,MATCH(Table2[[#This Row],[BrokerConfNo]],LoadMaster!$C:$C,0))</f>
        <v>0</v>
      </c>
      <c r="M47" s="416" t="str">
        <f>INDEX(LoadMaster!$AO:$AO,MATCH(Table2[[#This Row],[BrokerConfNo]],LoadMaster!$C:$C,0))</f>
        <v>Albel</v>
      </c>
      <c r="N47" s="104">
        <f t="shared" si="1"/>
        <v>42216</v>
      </c>
      <c r="O47" s="135">
        <f t="shared" si="2"/>
        <v>42230</v>
      </c>
      <c r="P47" s="104">
        <f>INDEX(LoadMaster!$M:$M,MATCH(B47,LoadMaster!$C:$C,0))</f>
        <v>42216</v>
      </c>
      <c r="Q47" s="416" t="str">
        <f>INDEX(LoadMaster!$P:$P,MATCH(B47,LoadMaster!$C:$C,0))</f>
        <v>Antioch</v>
      </c>
      <c r="R47" s="416" t="str">
        <f>INDEX(LoadMaster!$AH:$AH,MATCH(B47,LoadMaster!$C:$C,0))</f>
        <v>Petaluma</v>
      </c>
      <c r="S47" s="416" t="str">
        <f>INDEX(LoadMaster!$DC:$DC,MATCH(B47,LoadMaster!$C:$C,0))</f>
        <v>Sunny</v>
      </c>
      <c r="T47" s="136">
        <f>INDEX(LoadMaster!$DA:$DA,MATCH(B47,LoadMaster!$C:$C,0))</f>
        <v>41.5</v>
      </c>
      <c r="U47" s="137">
        <f>Table2[[#This Row],[WeekEndingDate]]+7</f>
        <v>42223</v>
      </c>
      <c r="V47" s="15">
        <f t="shared" si="3"/>
        <v>7</v>
      </c>
      <c r="W47" s="416">
        <f t="shared" si="4"/>
        <v>2015</v>
      </c>
    </row>
    <row r="48" spans="1:23" s="138" customFormat="1">
      <c r="A48" s="15" t="str">
        <f>INDEX(LoadMaster!$A:$A,MATCH(B48,LoadMaster!$C:$C,0))</f>
        <v>03868649</v>
      </c>
      <c r="B48" s="55">
        <v>5982903</v>
      </c>
      <c r="C48" s="18" t="str">
        <f>VLOOKUP(Table2[[#This Row],[BrokerConfNo]],LoadMaster!C:D,2,FALSE)</f>
        <v>Coyote</v>
      </c>
      <c r="D48" s="26">
        <v>42242</v>
      </c>
      <c r="E48" s="18" t="str">
        <f>IF(Table2[[#This Row],[UBActualReceived]]&gt;1,"Received","Pending")</f>
        <v>Received</v>
      </c>
      <c r="F48" s="21">
        <f>INDEX(LoadMaster!$CU:$CU,MATCH(B48,LoadMaster!$C:$C,0))</f>
        <v>700</v>
      </c>
      <c r="G48" s="132">
        <f>INDEX(LoadMaster!$CX:$CX,MATCH(B48,LoadMaster!$C:$C,0))</f>
        <v>679</v>
      </c>
      <c r="H48" s="132">
        <f>INDEX(LoadMaster!$CW:$CW,MATCH(B48,LoadMaster!$C:$C,0))</f>
        <v>650</v>
      </c>
      <c r="I48" s="331">
        <v>679</v>
      </c>
      <c r="J48" s="526">
        <v>650</v>
      </c>
      <c r="K48" s="27" t="str">
        <f t="shared" si="0"/>
        <v>Full</v>
      </c>
      <c r="L48" s="27">
        <f>INDEX(LoadMaster!$CT:$CT,MATCH(Table2[[#This Row],[BrokerConfNo]],LoadMaster!$C:$C,0))</f>
        <v>0</v>
      </c>
      <c r="M48" s="18" t="str">
        <f>INDEX(LoadMaster!$AO:$AO,MATCH(Table2[[#This Row],[BrokerConfNo]],LoadMaster!$C:$C,0))</f>
        <v>Albel</v>
      </c>
      <c r="N48" s="26">
        <f t="shared" si="1"/>
        <v>42216</v>
      </c>
      <c r="O48" s="109">
        <f t="shared" si="2"/>
        <v>42230</v>
      </c>
      <c r="P48" s="26">
        <f>INDEX(LoadMaster!$M:$M,MATCH(B48,LoadMaster!$C:$C,0))</f>
        <v>42216</v>
      </c>
      <c r="Q48" s="18" t="str">
        <f>INDEX(LoadMaster!$P:$P,MATCH(B48,LoadMaster!$C:$C,0))</f>
        <v>Fairfield</v>
      </c>
      <c r="R48" s="18" t="str">
        <f>INDEX(LoadMaster!$AH:$AH,MATCH(B48,LoadMaster!$C:$C,0))</f>
        <v>San Miguel</v>
      </c>
      <c r="S48" s="416" t="str">
        <f>INDEX(LoadMaster!$DC:$DC,MATCH(B48,LoadMaster!$C:$C,0))</f>
        <v>Sunny</v>
      </c>
      <c r="T48" s="48">
        <f>INDEX(LoadMaster!$DA:$DA,MATCH(B48,LoadMaster!$C:$C,0))</f>
        <v>29</v>
      </c>
      <c r="U48" s="110">
        <f>Table2[[#This Row],[WeekEndingDate]]+7</f>
        <v>42223</v>
      </c>
      <c r="V48" s="14">
        <f t="shared" si="3"/>
        <v>7</v>
      </c>
      <c r="W48" s="18">
        <f t="shared" si="4"/>
        <v>2015</v>
      </c>
    </row>
    <row r="49" spans="1:23" s="68" customFormat="1">
      <c r="A49" s="15" t="str">
        <f>INDEX(LoadMaster!$A:$A,MATCH(B49,LoadMaster!$C:$C,0))</f>
        <v>67737349</v>
      </c>
      <c r="B49" s="139">
        <v>178445067</v>
      </c>
      <c r="C49" s="138" t="str">
        <f>VLOOKUP(Table2[[#This Row],[BrokerConfNo]],LoadMaster!C:D,2,FALSE)</f>
        <v>Ch Robinson</v>
      </c>
      <c r="D49" s="140">
        <v>42228</v>
      </c>
      <c r="E49" s="416" t="str">
        <f>IF(Table2[[#This Row],[UBActualReceived]]&gt;1,"Received","Pending")</f>
        <v>Received</v>
      </c>
      <c r="F49" s="132">
        <f>INDEX(LoadMaster!$CU:$CU,MATCH(B49,LoadMaster!$C:$C,0))</f>
        <v>550</v>
      </c>
      <c r="G49" s="132">
        <f>INDEX(LoadMaster!$CX:$CX,MATCH(B49,LoadMaster!$C:$C,0))</f>
        <v>539</v>
      </c>
      <c r="H49" s="132">
        <f>INDEX(LoadMaster!$CW:$CW,MATCH(B49,LoadMaster!$C:$C,0))</f>
        <v>500</v>
      </c>
      <c r="I49" s="336">
        <v>539</v>
      </c>
      <c r="J49" s="531">
        <v>500</v>
      </c>
      <c r="K49" s="134" t="str">
        <f t="shared" si="0"/>
        <v>Full</v>
      </c>
      <c r="L49" s="134">
        <f>INDEX(LoadMaster!$CT:$CT,MATCH(Table2[[#This Row],[BrokerConfNo]],LoadMaster!$C:$C,0))</f>
        <v>0</v>
      </c>
      <c r="M49" s="416" t="str">
        <f>INDEX(LoadMaster!$AO:$AO,MATCH(Table2[[#This Row],[BrokerConfNo]],LoadMaster!$C:$C,0))</f>
        <v>Albel</v>
      </c>
      <c r="N49" s="140">
        <f t="shared" si="1"/>
        <v>42223</v>
      </c>
      <c r="O49" s="135">
        <f t="shared" si="2"/>
        <v>42237</v>
      </c>
      <c r="P49" s="140">
        <f>INDEX(LoadMaster!$M:$M,MATCH(B49,LoadMaster!$C:$C,0))</f>
        <v>42219</v>
      </c>
      <c r="Q49" s="138" t="str">
        <f>INDEX(LoadMaster!$P:$P,MATCH(B49,LoadMaster!$C:$C,0))</f>
        <v>Madera</v>
      </c>
      <c r="R49" s="416" t="str">
        <f>INDEX(LoadMaster!$AH:$AH,MATCH(B49,LoadMaster!$C:$C,0))</f>
        <v>Fairfield</v>
      </c>
      <c r="S49" s="416" t="str">
        <f>INDEX(LoadMaster!$DC:$DC,MATCH(B49,LoadMaster!$C:$C,0))</f>
        <v>Sunny</v>
      </c>
      <c r="T49" s="136">
        <f>INDEX(LoadMaster!$DA:$DA,MATCH(B49,LoadMaster!$C:$C,0))</f>
        <v>39</v>
      </c>
      <c r="U49" s="137">
        <f>Table2[[#This Row],[WeekEndingDate]]+7</f>
        <v>42230</v>
      </c>
      <c r="V49" s="15">
        <f t="shared" si="3"/>
        <v>8</v>
      </c>
      <c r="W49" s="416">
        <f t="shared" si="4"/>
        <v>2015</v>
      </c>
    </row>
    <row r="50" spans="1:23" s="18" customFormat="1">
      <c r="A50" s="15" t="str">
        <f>INDEX(LoadMaster!$A:$A,MATCH(B50,LoadMaster!$C:$C,0))</f>
        <v>71636349</v>
      </c>
      <c r="B50" s="55">
        <v>6005671</v>
      </c>
      <c r="C50" s="18" t="str">
        <f>VLOOKUP(Table2[[#This Row],[BrokerConfNo]],LoadMaster!C:D,2,FALSE)</f>
        <v>Coyote</v>
      </c>
      <c r="D50" s="26">
        <v>42247</v>
      </c>
      <c r="E50" s="18" t="str">
        <f>IF(Table2[[#This Row],[UBActualReceived]]&gt;1,"Received","Pending")</f>
        <v>Received</v>
      </c>
      <c r="F50" s="21">
        <f>INDEX(LoadMaster!$CU:$CU,MATCH(B50,LoadMaster!$C:$C,0))</f>
        <v>750</v>
      </c>
      <c r="G50" s="132">
        <f>INDEX(LoadMaster!$CX:$CX,MATCH(B50,LoadMaster!$C:$C,0))</f>
        <v>727.5</v>
      </c>
      <c r="H50" s="132">
        <f>INDEX(LoadMaster!$CW:$CW,MATCH(B50,LoadMaster!$C:$C,0))</f>
        <v>700</v>
      </c>
      <c r="I50" s="331">
        <v>727.5</v>
      </c>
      <c r="J50" s="526">
        <v>700</v>
      </c>
      <c r="K50" s="27" t="str">
        <f t="shared" si="0"/>
        <v>Full</v>
      </c>
      <c r="L50" s="27">
        <f>INDEX(LoadMaster!$CT:$CT,MATCH(Table2[[#This Row],[BrokerConfNo]],LoadMaster!$C:$C,0))</f>
        <v>0</v>
      </c>
      <c r="M50" s="18" t="str">
        <f>INDEX(LoadMaster!$AO:$AO,MATCH(Table2[[#This Row],[BrokerConfNo]],LoadMaster!$C:$C,0))</f>
        <v>Albel</v>
      </c>
      <c r="N50" s="26">
        <f t="shared" si="1"/>
        <v>42223</v>
      </c>
      <c r="O50" s="109">
        <f t="shared" si="2"/>
        <v>42237</v>
      </c>
      <c r="P50" s="26">
        <f>INDEX(LoadMaster!$M:$M,MATCH(B50,LoadMaster!$C:$C,0))</f>
        <v>42220</v>
      </c>
      <c r="Q50" s="18" t="str">
        <f>INDEX(LoadMaster!$P:$P,MATCH(B50,LoadMaster!$C:$C,0))</f>
        <v>Benicia</v>
      </c>
      <c r="R50" s="18" t="str">
        <f>INDEX(LoadMaster!$AH:$AH,MATCH(B50,LoadMaster!$C:$C,0))</f>
        <v>Paso Robles</v>
      </c>
      <c r="S50" s="416" t="str">
        <f>INDEX(LoadMaster!$DC:$DC,MATCH(B50,LoadMaster!$C:$C,0))</f>
        <v>Sunny</v>
      </c>
      <c r="T50" s="48">
        <f>INDEX(LoadMaster!$DA:$DA,MATCH(B50,LoadMaster!$C:$C,0))</f>
        <v>27.5</v>
      </c>
      <c r="U50" s="110">
        <f>Table2[[#This Row],[WeekEndingDate]]+7</f>
        <v>42230</v>
      </c>
      <c r="V50" s="14">
        <f t="shared" si="3"/>
        <v>8</v>
      </c>
      <c r="W50" s="18">
        <f t="shared" si="4"/>
        <v>2015</v>
      </c>
    </row>
    <row r="51" spans="1:23" s="18" customFormat="1">
      <c r="A51" s="15" t="str">
        <f>INDEX(LoadMaster!$A:$A,MATCH(B51,LoadMaster!$C:$C,0))</f>
        <v>02997749</v>
      </c>
      <c r="B51" s="55">
        <v>1485102</v>
      </c>
      <c r="C51" s="18" t="str">
        <f>VLOOKUP(Table2[[#This Row],[BrokerConfNo]],LoadMaster!C:D,2,FALSE)</f>
        <v>Interstate Distributor Co</v>
      </c>
      <c r="D51" s="26">
        <v>42233</v>
      </c>
      <c r="E51" s="18" t="str">
        <f>IF(Table2[[#This Row],[UBActualReceived]]&gt;1,"Received","Pending")</f>
        <v>Received</v>
      </c>
      <c r="F51" s="21">
        <f>INDEX(LoadMaster!$CU:$CU,MATCH(B51,LoadMaster!$C:$C,0))</f>
        <v>750</v>
      </c>
      <c r="G51" s="132">
        <f>INDEX(LoadMaster!$CX:$CX,MATCH(B51,LoadMaster!$C:$C,0))</f>
        <v>738.75</v>
      </c>
      <c r="H51" s="132">
        <f>INDEX(LoadMaster!$CW:$CW,MATCH(B51,LoadMaster!$C:$C,0))</f>
        <v>700</v>
      </c>
      <c r="I51" s="331">
        <v>738.75</v>
      </c>
      <c r="J51" s="526">
        <v>700</v>
      </c>
      <c r="K51" s="27" t="str">
        <f t="shared" si="0"/>
        <v>Full</v>
      </c>
      <c r="L51" s="27">
        <f>INDEX(LoadMaster!$CT:$CT,MATCH(Table2[[#This Row],[BrokerConfNo]],LoadMaster!$C:$C,0))</f>
        <v>0</v>
      </c>
      <c r="M51" s="18" t="str">
        <f>INDEX(LoadMaster!$AO:$AO,MATCH(Table2[[#This Row],[BrokerConfNo]],LoadMaster!$C:$C,0))</f>
        <v>Albel</v>
      </c>
      <c r="N51" s="26">
        <f t="shared" si="1"/>
        <v>42223</v>
      </c>
      <c r="O51" s="109">
        <f t="shared" si="2"/>
        <v>42237</v>
      </c>
      <c r="P51" s="26">
        <f>INDEX(LoadMaster!$M:$M,MATCH(B51,LoadMaster!$C:$C,0))</f>
        <v>42221</v>
      </c>
      <c r="Q51" s="18" t="str">
        <f>INDEX(LoadMaster!$P:$P,MATCH(B51,LoadMaster!$C:$C,0))</f>
        <v>Paso Robles</v>
      </c>
      <c r="R51" s="18" t="str">
        <f>INDEX(LoadMaster!$AH:$AH,MATCH(B51,LoadMaster!$C:$C,0))</f>
        <v>Union City</v>
      </c>
      <c r="S51" s="416" t="str">
        <f>INDEX(LoadMaster!$DC:$DC,MATCH(B51,LoadMaster!$C:$C,0))</f>
        <v>Sunny</v>
      </c>
      <c r="T51" s="48">
        <f>INDEX(LoadMaster!$DA:$DA,MATCH(B51,LoadMaster!$C:$C,0))</f>
        <v>38.75</v>
      </c>
      <c r="U51" s="110">
        <f>Table2[[#This Row],[WeekEndingDate]]+7</f>
        <v>42230</v>
      </c>
      <c r="V51" s="14">
        <f t="shared" si="3"/>
        <v>8</v>
      </c>
      <c r="W51" s="18">
        <f t="shared" si="4"/>
        <v>2015</v>
      </c>
    </row>
    <row r="52" spans="1:23" s="18" customFormat="1">
      <c r="A52" s="15" t="str">
        <f>INDEX(LoadMaster!$A:$A,MATCH(B52,LoadMaster!$C:$C,0))</f>
        <v>702749</v>
      </c>
      <c r="B52" s="55">
        <v>6013270</v>
      </c>
      <c r="C52" s="18" t="str">
        <f>VLOOKUP(Table2[[#This Row],[BrokerConfNo]],LoadMaster!C:D,2,FALSE)</f>
        <v>Coyote</v>
      </c>
      <c r="D52" s="26">
        <v>42242</v>
      </c>
      <c r="E52" s="18" t="str">
        <f>IF(Table2[[#This Row],[UBActualReceived]]&gt;1,"Received","Pending")</f>
        <v>Received</v>
      </c>
      <c r="F52" s="21">
        <f>INDEX(LoadMaster!$CU:$CU,MATCH(B52,LoadMaster!$C:$C,0))</f>
        <v>900</v>
      </c>
      <c r="G52" s="132">
        <f>INDEX(LoadMaster!$CX:$CX,MATCH(B52,LoadMaster!$C:$C,0))</f>
        <v>873</v>
      </c>
      <c r="H52" s="132">
        <f>INDEX(LoadMaster!$CW:$CW,MATCH(B52,LoadMaster!$C:$C,0))</f>
        <v>850</v>
      </c>
      <c r="I52" s="331">
        <v>873</v>
      </c>
      <c r="J52" s="526">
        <v>850</v>
      </c>
      <c r="K52" s="27" t="str">
        <f t="shared" si="0"/>
        <v>Full</v>
      </c>
      <c r="L52" s="27">
        <f>INDEX(LoadMaster!$CT:$CT,MATCH(Table2[[#This Row],[BrokerConfNo]],LoadMaster!$C:$C,0))</f>
        <v>0</v>
      </c>
      <c r="M52" s="18" t="str">
        <f>INDEX(LoadMaster!$AO:$AO,MATCH(Table2[[#This Row],[BrokerConfNo]],LoadMaster!$C:$C,0))</f>
        <v>Albel</v>
      </c>
      <c r="N52" s="26">
        <f t="shared" si="1"/>
        <v>42223</v>
      </c>
      <c r="O52" s="109">
        <f t="shared" si="2"/>
        <v>42237</v>
      </c>
      <c r="P52" s="26">
        <f>INDEX(LoadMaster!$M:$M,MATCH(B52,LoadMaster!$C:$C,0))</f>
        <v>42222</v>
      </c>
      <c r="Q52" s="18" t="str">
        <f>INDEX(LoadMaster!$P:$P,MATCH(B52,LoadMaster!$C:$C,0))</f>
        <v>San Jose</v>
      </c>
      <c r="R52" s="18" t="str">
        <f>INDEX(LoadMaster!$AH:$AH,MATCH(B52,LoadMaster!$C:$C,0))</f>
        <v>Eureka</v>
      </c>
      <c r="S52" s="416" t="str">
        <f>INDEX(LoadMaster!$DC:$DC,MATCH(B52,LoadMaster!$C:$C,0))</f>
        <v>Sunny</v>
      </c>
      <c r="T52" s="48">
        <f>INDEX(LoadMaster!$DA:$DA,MATCH(B52,LoadMaster!$C:$C,0))</f>
        <v>23</v>
      </c>
      <c r="U52" s="110">
        <f>Table2[[#This Row],[WeekEndingDate]]+7</f>
        <v>42230</v>
      </c>
      <c r="V52" s="14">
        <f t="shared" si="3"/>
        <v>8</v>
      </c>
      <c r="W52" s="18">
        <f t="shared" si="4"/>
        <v>2015</v>
      </c>
    </row>
    <row r="53" spans="1:23" s="68" customFormat="1">
      <c r="A53" s="15" t="str">
        <f>INDEX(LoadMaster!$A:$A,MATCH(B53,LoadMaster!$C:$C,0))</f>
        <v>90828249</v>
      </c>
      <c r="B53" s="81">
        <v>178863790</v>
      </c>
      <c r="C53" s="416" t="str">
        <f>VLOOKUP(Table2[[#This Row],[BrokerConfNo]],LoadMaster!C:D,2,FALSE)</f>
        <v>Ch Robinson</v>
      </c>
      <c r="D53" s="104">
        <v>42233</v>
      </c>
      <c r="E53" s="416" t="str">
        <f>IF(Table2[[#This Row],[UBActualReceived]]&gt;1,"Received","Pending")</f>
        <v>Received</v>
      </c>
      <c r="F53" s="132">
        <f>INDEX(LoadMaster!$CU:$CU,MATCH(B53,LoadMaster!$C:$C,0))</f>
        <v>600</v>
      </c>
      <c r="G53" s="132">
        <f>INDEX(LoadMaster!$CX:$CX,MATCH(B53,LoadMaster!$C:$C,0))</f>
        <v>588</v>
      </c>
      <c r="H53" s="132">
        <f>INDEX(LoadMaster!$CW:$CW,MATCH(B53,LoadMaster!$C:$C,0))</f>
        <v>550</v>
      </c>
      <c r="I53" s="330">
        <v>588</v>
      </c>
      <c r="J53" s="525">
        <v>550</v>
      </c>
      <c r="K53" s="134" t="str">
        <f t="shared" si="0"/>
        <v>Full</v>
      </c>
      <c r="L53" s="134">
        <f>INDEX(LoadMaster!$CT:$CT,MATCH(Table2[[#This Row],[BrokerConfNo]],LoadMaster!$C:$C,0))</f>
        <v>0</v>
      </c>
      <c r="M53" s="416" t="str">
        <f>INDEX(LoadMaster!$AO:$AO,MATCH(Table2[[#This Row],[BrokerConfNo]],LoadMaster!$C:$C,0))</f>
        <v>Albel</v>
      </c>
      <c r="N53" s="104">
        <f t="shared" si="1"/>
        <v>42223</v>
      </c>
      <c r="O53" s="135">
        <f t="shared" si="2"/>
        <v>42237</v>
      </c>
      <c r="P53" s="104">
        <f>INDEX(LoadMaster!$M:$M,MATCH(B53,LoadMaster!$C:$C,0))</f>
        <v>42223</v>
      </c>
      <c r="Q53" s="416" t="str">
        <f>INDEX(LoadMaster!$P:$P,MATCH(B53,LoadMaster!$C:$C,0))</f>
        <v>Redding</v>
      </c>
      <c r="R53" s="416" t="str">
        <f>INDEX(LoadMaster!$AH:$AH,MATCH(B53,LoadMaster!$C:$C,0))</f>
        <v>Lathrop</v>
      </c>
      <c r="S53" s="416" t="str">
        <f>INDEX(LoadMaster!$DC:$DC,MATCH(B53,LoadMaster!$C:$C,0))</f>
        <v>Sunny</v>
      </c>
      <c r="T53" s="136">
        <f>INDEX(LoadMaster!$DA:$DA,MATCH(B53,LoadMaster!$C:$C,0))</f>
        <v>38</v>
      </c>
      <c r="U53" s="137">
        <f>Table2[[#This Row],[WeekEndingDate]]+7</f>
        <v>42230</v>
      </c>
      <c r="V53" s="15">
        <f t="shared" si="3"/>
        <v>8</v>
      </c>
      <c r="W53" s="416">
        <f t="shared" si="4"/>
        <v>2015</v>
      </c>
    </row>
    <row r="54" spans="1:23" s="18" customFormat="1">
      <c r="A54" s="15" t="str">
        <f>INDEX(LoadMaster!$A:$A,MATCH(B54,LoadMaster!$C:$C,0))</f>
        <v>100C0C49</v>
      </c>
      <c r="B54" s="81">
        <v>179027210</v>
      </c>
      <c r="C54" s="416" t="str">
        <f>VLOOKUP(Table2[[#This Row],[BrokerConfNo]],LoadMaster!C:D,2,FALSE)</f>
        <v>Ch Robinson</v>
      </c>
      <c r="D54" s="104">
        <v>42233</v>
      </c>
      <c r="E54" s="416" t="str">
        <f>IF(Table2[[#This Row],[UBActualReceived]]&gt;1,"Received","Pending")</f>
        <v>Received</v>
      </c>
      <c r="F54" s="132">
        <f>INDEX(LoadMaster!$CU:$CU,MATCH(B54,LoadMaster!$C:$C,0))</f>
        <v>400</v>
      </c>
      <c r="G54" s="132">
        <f>INDEX(LoadMaster!$CX:$CX,MATCH(B54,LoadMaster!$C:$C,0))</f>
        <v>392</v>
      </c>
      <c r="H54" s="132">
        <f>INDEX(LoadMaster!$CW:$CW,MATCH(B54,LoadMaster!$C:$C,0))</f>
        <v>350</v>
      </c>
      <c r="I54" s="330">
        <v>392</v>
      </c>
      <c r="J54" s="525">
        <v>350</v>
      </c>
      <c r="K54" s="134" t="str">
        <f t="shared" si="0"/>
        <v>Full</v>
      </c>
      <c r="L54" s="134">
        <f>INDEX(LoadMaster!$CT:$CT,MATCH(Table2[[#This Row],[BrokerConfNo]],LoadMaster!$C:$C,0))</f>
        <v>0</v>
      </c>
      <c r="M54" s="416" t="str">
        <f>INDEX(LoadMaster!$AO:$AO,MATCH(Table2[[#This Row],[BrokerConfNo]],LoadMaster!$C:$C,0))</f>
        <v>Albel</v>
      </c>
      <c r="N54" s="104">
        <f t="shared" si="1"/>
        <v>42230</v>
      </c>
      <c r="O54" s="135">
        <f t="shared" si="2"/>
        <v>42244</v>
      </c>
      <c r="P54" s="104">
        <f>INDEX(LoadMaster!$M:$M,MATCH(B54,LoadMaster!$C:$C,0))</f>
        <v>42226</v>
      </c>
      <c r="Q54" s="416" t="str">
        <f>INDEX(LoadMaster!$P:$P,MATCH(B54,LoadMaster!$C:$C,0))</f>
        <v>Calistoga</v>
      </c>
      <c r="R54" s="416" t="str">
        <f>INDEX(LoadMaster!$AH:$AH,MATCH(B54,LoadMaster!$C:$C,0))</f>
        <v>Lathrop</v>
      </c>
      <c r="S54" s="416" t="str">
        <f>INDEX(LoadMaster!$DC:$DC,MATCH(B54,LoadMaster!$C:$C,0))</f>
        <v>Sunny</v>
      </c>
      <c r="T54" s="136">
        <f>INDEX(LoadMaster!$DA:$DA,MATCH(B54,LoadMaster!$C:$C,0))</f>
        <v>42</v>
      </c>
      <c r="U54" s="137">
        <f>Table2[[#This Row],[WeekEndingDate]]+7</f>
        <v>42237</v>
      </c>
      <c r="V54" s="15">
        <f t="shared" si="3"/>
        <v>8</v>
      </c>
      <c r="W54" s="416">
        <f t="shared" si="4"/>
        <v>2015</v>
      </c>
    </row>
    <row r="55" spans="1:23" s="68" customFormat="1">
      <c r="A55" s="15" t="str">
        <f>INDEX(LoadMaster!$A:$A,MATCH(B55,LoadMaster!$C:$C,0))</f>
        <v>14480449</v>
      </c>
      <c r="B55" s="55">
        <v>6029314</v>
      </c>
      <c r="C55" s="18" t="str">
        <f>VLOOKUP(Table2[[#This Row],[BrokerConfNo]],LoadMaster!C:D,2,FALSE)</f>
        <v>Coyote</v>
      </c>
      <c r="D55" s="26">
        <v>42242</v>
      </c>
      <c r="E55" s="18" t="str">
        <f>IF(Table2[[#This Row],[UBActualReceived]]&gt;1,"Received","Pending")</f>
        <v>Received</v>
      </c>
      <c r="F55" s="21">
        <f>INDEX(LoadMaster!$CU:$CU,MATCH(B55,LoadMaster!$C:$C,0))</f>
        <v>350</v>
      </c>
      <c r="G55" s="132">
        <f>INDEX(LoadMaster!$CX:$CX,MATCH(B55,LoadMaster!$C:$C,0))</f>
        <v>339.5</v>
      </c>
      <c r="H55" s="132">
        <f>INDEX(LoadMaster!$CW:$CW,MATCH(B55,LoadMaster!$C:$C,0))</f>
        <v>300</v>
      </c>
      <c r="I55" s="331">
        <v>339.5</v>
      </c>
      <c r="J55" s="526">
        <v>300</v>
      </c>
      <c r="K55" s="27" t="str">
        <f t="shared" si="0"/>
        <v>Full</v>
      </c>
      <c r="L55" s="27">
        <f>INDEX(LoadMaster!$CT:$CT,MATCH(Table2[[#This Row],[BrokerConfNo]],LoadMaster!$C:$C,0))</f>
        <v>0</v>
      </c>
      <c r="M55" s="18" t="str">
        <f>INDEX(LoadMaster!$AO:$AO,MATCH(Table2[[#This Row],[BrokerConfNo]],LoadMaster!$C:$C,0))</f>
        <v>Albel</v>
      </c>
      <c r="N55" s="26">
        <f t="shared" si="1"/>
        <v>42230</v>
      </c>
      <c r="O55" s="109">
        <f t="shared" si="2"/>
        <v>42244</v>
      </c>
      <c r="P55" s="26">
        <f>INDEX(LoadMaster!$M:$M,MATCH(B55,LoadMaster!$C:$C,0))</f>
        <v>42226</v>
      </c>
      <c r="Q55" s="18" t="str">
        <f>INDEX(LoadMaster!$P:$P,MATCH(B55,LoadMaster!$C:$C,0))</f>
        <v>Tracy</v>
      </c>
      <c r="R55" s="18" t="str">
        <f>INDEX(LoadMaster!$AH:$AH,MATCH(B55,LoadMaster!$C:$C,0))</f>
        <v>Fairfield</v>
      </c>
      <c r="S55" s="416" t="str">
        <f>INDEX(LoadMaster!$DC:$DC,MATCH(B55,LoadMaster!$C:$C,0))</f>
        <v>Sunny</v>
      </c>
      <c r="T55" s="48">
        <f>INDEX(LoadMaster!$DA:$DA,MATCH(B55,LoadMaster!$C:$C,0))</f>
        <v>39.5</v>
      </c>
      <c r="U55" s="110">
        <f>Table2[[#This Row],[WeekEndingDate]]+7</f>
        <v>42237</v>
      </c>
      <c r="V55" s="14">
        <f t="shared" si="3"/>
        <v>8</v>
      </c>
      <c r="W55" s="18">
        <f t="shared" si="4"/>
        <v>2015</v>
      </c>
    </row>
    <row r="56" spans="1:23" s="18" customFormat="1">
      <c r="A56" s="15" t="str">
        <f>INDEX(LoadMaster!$A:$A,MATCH(B56,LoadMaster!$C:$C,0))</f>
        <v>13170949</v>
      </c>
      <c r="B56" s="55">
        <v>204813</v>
      </c>
      <c r="C56" s="18" t="str">
        <f>VLOOKUP(Table2[[#This Row],[BrokerConfNo]],LoadMaster!C:D,2,FALSE)</f>
        <v>Magna Transport Solutions</v>
      </c>
      <c r="D56" s="26">
        <v>42234</v>
      </c>
      <c r="E56" s="18" t="str">
        <f>IF(Table2[[#This Row],[UBActualReceived]]&gt;1,"Received","Pending")</f>
        <v>Received</v>
      </c>
      <c r="F56" s="21">
        <f>INDEX(LoadMaster!$CU:$CU,MATCH(B56,LoadMaster!$C:$C,0))</f>
        <v>525</v>
      </c>
      <c r="G56" s="132">
        <f>INDEX(LoadMaster!$CX:$CX,MATCH(B56,LoadMaster!$C:$C,0))</f>
        <v>509.25</v>
      </c>
      <c r="H56" s="132">
        <f>INDEX(LoadMaster!$CW:$CW,MATCH(B56,LoadMaster!$C:$C,0))</f>
        <v>475</v>
      </c>
      <c r="I56" s="331">
        <v>525</v>
      </c>
      <c r="J56" s="526">
        <v>475</v>
      </c>
      <c r="K56" s="27" t="str">
        <f t="shared" si="0"/>
        <v>Full</v>
      </c>
      <c r="L56" s="27">
        <f>INDEX(LoadMaster!$CT:$CT,MATCH(Table2[[#This Row],[BrokerConfNo]],LoadMaster!$C:$C,0))</f>
        <v>0</v>
      </c>
      <c r="M56" s="18" t="str">
        <f>INDEX(LoadMaster!$AO:$AO,MATCH(Table2[[#This Row],[BrokerConfNo]],LoadMaster!$C:$C,0))</f>
        <v>Albel</v>
      </c>
      <c r="N56" s="26">
        <f t="shared" si="1"/>
        <v>42230</v>
      </c>
      <c r="O56" s="109">
        <f t="shared" si="2"/>
        <v>42244</v>
      </c>
      <c r="P56" s="26">
        <f>INDEX(LoadMaster!$M:$M,MATCH(B56,LoadMaster!$C:$C,0))</f>
        <v>42227</v>
      </c>
      <c r="Q56" s="18" t="str">
        <f>INDEX(LoadMaster!$P:$P,MATCH(B56,LoadMaster!$C:$C,0))</f>
        <v>Madera</v>
      </c>
      <c r="R56" s="18" t="str">
        <f>INDEX(LoadMaster!$AH:$AH,MATCH(B56,LoadMaster!$C:$C,0))</f>
        <v>Fairfield</v>
      </c>
      <c r="S56" s="416" t="str">
        <f>INDEX(LoadMaster!$DC:$DC,MATCH(B56,LoadMaster!$C:$C,0))</f>
        <v>Sunny</v>
      </c>
      <c r="T56" s="48">
        <f>INDEX(LoadMaster!$DA:$DA,MATCH(B56,LoadMaster!$C:$C,0))</f>
        <v>34.25</v>
      </c>
      <c r="U56" s="110">
        <f>Table2[[#This Row],[WeekEndingDate]]+7</f>
        <v>42237</v>
      </c>
      <c r="V56" s="14">
        <f t="shared" si="3"/>
        <v>8</v>
      </c>
      <c r="W56" s="18">
        <f t="shared" si="4"/>
        <v>2015</v>
      </c>
    </row>
    <row r="57" spans="1:23" s="18" customFormat="1">
      <c r="A57" s="15" t="str">
        <f>INDEX(LoadMaster!$A:$A,MATCH(B57,LoadMaster!$C:$C,0))</f>
        <v>68793049</v>
      </c>
      <c r="B57" s="55">
        <v>82268</v>
      </c>
      <c r="C57" s="18" t="str">
        <f>VLOOKUP(Table2[[#This Row],[BrokerConfNo]],LoadMaster!C:D,2,FALSE)</f>
        <v>Pepsi Logistics Company Inc</v>
      </c>
      <c r="D57" s="26">
        <v>42236</v>
      </c>
      <c r="E57" s="18" t="str">
        <f>IF(Table2[[#This Row],[UBActualReceived]]&gt;1,"Received","Pending")</f>
        <v>Received</v>
      </c>
      <c r="F57" s="21">
        <f>INDEX(LoadMaster!$CU:$CU,MATCH(B57,LoadMaster!$C:$C,0))</f>
        <v>525</v>
      </c>
      <c r="G57" s="132">
        <f>INDEX(LoadMaster!$CX:$CX,MATCH(B57,LoadMaster!$C:$C,0))</f>
        <v>525</v>
      </c>
      <c r="H57" s="132">
        <f>INDEX(LoadMaster!$CW:$CW,MATCH(B57,LoadMaster!$C:$C,0))</f>
        <v>475</v>
      </c>
      <c r="I57" s="331">
        <v>525</v>
      </c>
      <c r="J57" s="526">
        <v>475</v>
      </c>
      <c r="K57" s="27" t="str">
        <f t="shared" si="0"/>
        <v>Full</v>
      </c>
      <c r="L57" s="27">
        <f>INDEX(LoadMaster!$CT:$CT,MATCH(Table2[[#This Row],[BrokerConfNo]],LoadMaster!$C:$C,0))</f>
        <v>0</v>
      </c>
      <c r="M57" s="18" t="str">
        <f>INDEX(LoadMaster!$AO:$AO,MATCH(Table2[[#This Row],[BrokerConfNo]],LoadMaster!$C:$C,0))</f>
        <v>Albel</v>
      </c>
      <c r="N57" s="26">
        <f t="shared" si="1"/>
        <v>42230</v>
      </c>
      <c r="O57" s="109">
        <f t="shared" si="2"/>
        <v>42244</v>
      </c>
      <c r="P57" s="26">
        <f>INDEX(LoadMaster!$M:$M,MATCH(B57,LoadMaster!$C:$C,0))</f>
        <v>42227</v>
      </c>
      <c r="Q57" s="18" t="str">
        <f>INDEX(LoadMaster!$P:$P,MATCH(B57,LoadMaster!$C:$C,0))</f>
        <v>Martell</v>
      </c>
      <c r="R57" s="18" t="str">
        <f>INDEX(LoadMaster!$AH:$AH,MATCH(B57,LoadMaster!$C:$C,0))</f>
        <v>Goshen</v>
      </c>
      <c r="S57" s="416" t="str">
        <f>INDEX(LoadMaster!$DC:$DC,MATCH(B57,LoadMaster!$C:$C,0))</f>
        <v>Sunny</v>
      </c>
      <c r="T57" s="48">
        <f>INDEX(LoadMaster!$DA:$DA,MATCH(B57,LoadMaster!$C:$C,0))</f>
        <v>50</v>
      </c>
      <c r="U57" s="110">
        <f>Table2[[#This Row],[WeekEndingDate]]+7</f>
        <v>42237</v>
      </c>
      <c r="V57" s="14">
        <f t="shared" si="3"/>
        <v>8</v>
      </c>
      <c r="W57" s="18">
        <f t="shared" si="4"/>
        <v>2015</v>
      </c>
    </row>
    <row r="58" spans="1:23" s="68" customFormat="1">
      <c r="A58" s="15" t="str">
        <f>INDEX(LoadMaster!$A:$A,MATCH(B58,LoadMaster!$C:$C,0))</f>
        <v>28555549</v>
      </c>
      <c r="B58" s="81">
        <v>179295328</v>
      </c>
      <c r="C58" s="416" t="str">
        <f>VLOOKUP(Table2[[#This Row],[BrokerConfNo]],LoadMaster!C:D,2,FALSE)</f>
        <v>Ch Robinson</v>
      </c>
      <c r="D58" s="104">
        <v>42235</v>
      </c>
      <c r="E58" s="416" t="str">
        <f>IF(Table2[[#This Row],[UBActualReceived]]&gt;1,"Received","Pending")</f>
        <v>Received</v>
      </c>
      <c r="F58" s="132">
        <f>INDEX(LoadMaster!$CU:$CU,MATCH(B58,LoadMaster!$C:$C,0))</f>
        <v>900</v>
      </c>
      <c r="G58" s="132">
        <f>INDEX(LoadMaster!$CX:$CX,MATCH(B58,LoadMaster!$C:$C,0))</f>
        <v>882</v>
      </c>
      <c r="H58" s="132">
        <f>INDEX(LoadMaster!$CW:$CW,MATCH(B58,LoadMaster!$C:$C,0))</f>
        <v>875</v>
      </c>
      <c r="I58" s="330">
        <v>882</v>
      </c>
      <c r="J58" s="525">
        <v>875</v>
      </c>
      <c r="K58" s="134" t="str">
        <f t="shared" si="0"/>
        <v>Full</v>
      </c>
      <c r="L58" s="134">
        <f>INDEX(LoadMaster!$CT:$CT,MATCH(Table2[[#This Row],[BrokerConfNo]],LoadMaster!$C:$C,0))</f>
        <v>0</v>
      </c>
      <c r="M58" s="416" t="str">
        <f>INDEX(LoadMaster!$AO:$AO,MATCH(Table2[[#This Row],[BrokerConfNo]],LoadMaster!$C:$C,0))</f>
        <v>Albel</v>
      </c>
      <c r="N58" s="104">
        <f t="shared" si="1"/>
        <v>42230</v>
      </c>
      <c r="O58" s="135">
        <f t="shared" si="2"/>
        <v>42244</v>
      </c>
      <c r="P58" s="104">
        <f>INDEX(LoadMaster!$M:$M,MATCH(B58,LoadMaster!$C:$C,0))</f>
        <v>42228</v>
      </c>
      <c r="Q58" s="416" t="str">
        <f>INDEX(LoadMaster!$P:$P,MATCH(B58,LoadMaster!$C:$C,0))</f>
        <v>Woodland</v>
      </c>
      <c r="R58" s="416" t="str">
        <f>INDEX(LoadMaster!$AH:$AH,MATCH(B58,LoadMaster!$C:$C,0))</f>
        <v>Santa Maria</v>
      </c>
      <c r="S58" s="416" t="str">
        <f>INDEX(LoadMaster!$DC:$DC,MATCH(B58,LoadMaster!$C:$C,0))</f>
        <v>Sunny</v>
      </c>
      <c r="T58" s="136">
        <f>INDEX(LoadMaster!$DA:$DA,MATCH(B58,LoadMaster!$C:$C,0))</f>
        <v>7</v>
      </c>
      <c r="U58" s="137">
        <f>Table2[[#This Row],[WeekEndingDate]]+7</f>
        <v>42237</v>
      </c>
      <c r="V58" s="15">
        <f t="shared" si="3"/>
        <v>8</v>
      </c>
      <c r="W58" s="416">
        <f t="shared" si="4"/>
        <v>2015</v>
      </c>
    </row>
    <row r="59" spans="1:23" s="18" customFormat="1">
      <c r="A59" s="15" t="str">
        <f>INDEX(LoadMaster!$A:$A,MATCH(B59,LoadMaster!$C:$C,0))</f>
        <v>55818149</v>
      </c>
      <c r="B59" s="55">
        <v>204855</v>
      </c>
      <c r="C59" s="18" t="str">
        <f>VLOOKUP(Table2[[#This Row],[BrokerConfNo]],LoadMaster!C:D,2,FALSE)</f>
        <v>Magna Transport Solutions</v>
      </c>
      <c r="D59" s="26">
        <v>42242</v>
      </c>
      <c r="E59" s="18" t="str">
        <f>IF(Table2[[#This Row],[UBActualReceived]]&gt;1,"Received","Pending")</f>
        <v>Received</v>
      </c>
      <c r="F59" s="21">
        <f>INDEX(LoadMaster!$CU:$CU,MATCH(B59,LoadMaster!$C:$C,0))</f>
        <v>525</v>
      </c>
      <c r="G59" s="132">
        <f>INDEX(LoadMaster!$CX:$CX,MATCH(B59,LoadMaster!$C:$C,0))</f>
        <v>509.25</v>
      </c>
      <c r="H59" s="132">
        <f>INDEX(LoadMaster!$CW:$CW,MATCH(B59,LoadMaster!$C:$C,0))</f>
        <v>475</v>
      </c>
      <c r="I59" s="331">
        <v>525</v>
      </c>
      <c r="J59" s="526">
        <v>475</v>
      </c>
      <c r="K59" s="27" t="str">
        <f t="shared" si="0"/>
        <v>Full</v>
      </c>
      <c r="L59" s="27">
        <f>INDEX(LoadMaster!$CT:$CT,MATCH(Table2[[#This Row],[BrokerConfNo]],LoadMaster!$C:$C,0))</f>
        <v>0</v>
      </c>
      <c r="M59" s="18" t="str">
        <f>INDEX(LoadMaster!$AO:$AO,MATCH(Table2[[#This Row],[BrokerConfNo]],LoadMaster!$C:$C,0))</f>
        <v>Albel</v>
      </c>
      <c r="N59" s="26">
        <f t="shared" si="1"/>
        <v>42230</v>
      </c>
      <c r="O59" s="109">
        <f t="shared" si="2"/>
        <v>42244</v>
      </c>
      <c r="P59" s="26">
        <f>INDEX(LoadMaster!$M:$M,MATCH(B59,LoadMaster!$C:$C,0))</f>
        <v>42230</v>
      </c>
      <c r="Q59" s="18" t="str">
        <f>INDEX(LoadMaster!$P:$P,MATCH(B59,LoadMaster!$C:$C,0))</f>
        <v>Madera</v>
      </c>
      <c r="R59" s="18" t="str">
        <f>INDEX(LoadMaster!$AH:$AH,MATCH(B59,LoadMaster!$C:$C,0))</f>
        <v>Fairfield</v>
      </c>
      <c r="S59" s="416" t="str">
        <f>INDEX(LoadMaster!$DC:$DC,MATCH(B59,LoadMaster!$C:$C,0))</f>
        <v>Sunny</v>
      </c>
      <c r="T59" s="48">
        <f>INDEX(LoadMaster!$DA:$DA,MATCH(B59,LoadMaster!$C:$C,0))</f>
        <v>34.25</v>
      </c>
      <c r="U59" s="110">
        <f>Table2[[#This Row],[WeekEndingDate]]+7</f>
        <v>42237</v>
      </c>
      <c r="V59" s="14">
        <f t="shared" si="3"/>
        <v>8</v>
      </c>
      <c r="W59" s="18">
        <f t="shared" si="4"/>
        <v>2015</v>
      </c>
    </row>
    <row r="60" spans="1:23" s="18" customFormat="1">
      <c r="A60" s="15" t="str">
        <f>INDEX(LoadMaster!$A:$A,MATCH(B60,LoadMaster!$C:$C,0))</f>
        <v>99803149</v>
      </c>
      <c r="B60" s="55">
        <v>85299</v>
      </c>
      <c r="C60" s="18" t="str">
        <f>VLOOKUP(Table2[[#This Row],[BrokerConfNo]],LoadMaster!C:D,2,FALSE)</f>
        <v>Pepsi Logistics Company Inc</v>
      </c>
      <c r="D60" s="26">
        <v>42236</v>
      </c>
      <c r="E60" s="18" t="str">
        <f>IF(Table2[[#This Row],[UBActualReceived]]&gt;1,"Received","Pending")</f>
        <v>Received</v>
      </c>
      <c r="F60" s="21">
        <f>INDEX(LoadMaster!$CU:$CU,MATCH(B60,LoadMaster!$C:$C,0))</f>
        <v>525</v>
      </c>
      <c r="G60" s="132">
        <f>INDEX(LoadMaster!$CX:$CX,MATCH(B60,LoadMaster!$C:$C,0))</f>
        <v>525</v>
      </c>
      <c r="H60" s="132">
        <f>INDEX(LoadMaster!$CW:$CW,MATCH(B60,LoadMaster!$C:$C,0))</f>
        <v>500</v>
      </c>
      <c r="I60" s="331">
        <v>525</v>
      </c>
      <c r="J60" s="526">
        <v>500</v>
      </c>
      <c r="K60" s="27" t="str">
        <f t="shared" si="0"/>
        <v>Full</v>
      </c>
      <c r="L60" s="27">
        <f>INDEX(LoadMaster!$CT:$CT,MATCH(Table2[[#This Row],[BrokerConfNo]],LoadMaster!$C:$C,0))</f>
        <v>0</v>
      </c>
      <c r="M60" s="18" t="str">
        <f>INDEX(LoadMaster!$AO:$AO,MATCH(Table2[[#This Row],[BrokerConfNo]],LoadMaster!$C:$C,0))</f>
        <v>Albel</v>
      </c>
      <c r="N60" s="26">
        <f t="shared" si="1"/>
        <v>42230</v>
      </c>
      <c r="O60" s="109">
        <f t="shared" si="2"/>
        <v>42244</v>
      </c>
      <c r="P60" s="26">
        <f>INDEX(LoadMaster!$M:$M,MATCH(B60,LoadMaster!$C:$C,0))</f>
        <v>42230</v>
      </c>
      <c r="Q60" s="18" t="str">
        <f>INDEX(LoadMaster!$P:$P,MATCH(B60,LoadMaster!$C:$C,0))</f>
        <v>Martell</v>
      </c>
      <c r="R60" s="18" t="str">
        <f>INDEX(LoadMaster!$AH:$AH,MATCH(B60,LoadMaster!$C:$C,0))</f>
        <v>Goshen</v>
      </c>
      <c r="S60" s="416" t="str">
        <f>INDEX(LoadMaster!$DC:$DC,MATCH(B60,LoadMaster!$C:$C,0))</f>
        <v>Sunny</v>
      </c>
      <c r="T60" s="48">
        <f>INDEX(LoadMaster!$DA:$DA,MATCH(B60,LoadMaster!$C:$C,0))</f>
        <v>25</v>
      </c>
      <c r="U60" s="110">
        <f>Table2[[#This Row],[WeekEndingDate]]+7</f>
        <v>42237</v>
      </c>
      <c r="V60" s="14">
        <f t="shared" si="3"/>
        <v>8</v>
      </c>
      <c r="W60" s="18">
        <f t="shared" si="4"/>
        <v>2015</v>
      </c>
    </row>
    <row r="61" spans="1:23" s="18" customFormat="1">
      <c r="A61" s="15" t="str">
        <f>INDEX(LoadMaster!$A:$A,MATCH(B61,LoadMaster!$C:$C,0))</f>
        <v>249349</v>
      </c>
      <c r="B61" s="55">
        <v>6040724</v>
      </c>
      <c r="C61" s="18" t="str">
        <f>VLOOKUP(Table2[[#This Row],[BrokerConfNo]],LoadMaster!C:D,2,FALSE)</f>
        <v>Coyote</v>
      </c>
      <c r="D61" s="26">
        <v>42242</v>
      </c>
      <c r="E61" s="18" t="str">
        <f>IF(Table2[[#This Row],[UBActualReceived]]&gt;1,"Received","Pending")</f>
        <v>Received</v>
      </c>
      <c r="F61" s="21">
        <f>INDEX(LoadMaster!$CU:$CU,MATCH(B61,LoadMaster!$C:$C,0))</f>
        <v>800</v>
      </c>
      <c r="G61" s="132">
        <f>INDEX(LoadMaster!$CX:$CX,MATCH(B61,LoadMaster!$C:$C,0))</f>
        <v>776</v>
      </c>
      <c r="H61" s="132">
        <f>INDEX(LoadMaster!$CW:$CW,MATCH(B61,LoadMaster!$C:$C,0))</f>
        <v>740</v>
      </c>
      <c r="I61" s="331">
        <v>776</v>
      </c>
      <c r="J61" s="526">
        <v>740</v>
      </c>
      <c r="K61" s="27" t="str">
        <f t="shared" si="0"/>
        <v>Full</v>
      </c>
      <c r="L61" s="27">
        <f>INDEX(LoadMaster!$CT:$CT,MATCH(Table2[[#This Row],[BrokerConfNo]],LoadMaster!$C:$C,0))</f>
        <v>0</v>
      </c>
      <c r="M61" s="18" t="str">
        <f>INDEX(LoadMaster!$AO:$AO,MATCH(Table2[[#This Row],[BrokerConfNo]],LoadMaster!$C:$C,0))</f>
        <v>Albel</v>
      </c>
      <c r="N61" s="26">
        <f t="shared" si="1"/>
        <v>42237</v>
      </c>
      <c r="O61" s="109">
        <f t="shared" si="2"/>
        <v>42251</v>
      </c>
      <c r="P61" s="26">
        <f>INDEX(LoadMaster!$M:$M,MATCH(B61,LoadMaster!$C:$C,0))</f>
        <v>42233</v>
      </c>
      <c r="Q61" s="18" t="str">
        <f>INDEX(LoadMaster!$P:$P,MATCH(B61,LoadMaster!$C:$C,0))</f>
        <v>Fairfield</v>
      </c>
      <c r="R61" s="18" t="str">
        <f>INDEX(LoadMaster!$AH:$AH,MATCH(B61,LoadMaster!$C:$C,0))</f>
        <v>Paso Robles / Santa Maria</v>
      </c>
      <c r="S61" s="416" t="str">
        <f>INDEX(LoadMaster!$DC:$DC,MATCH(B61,LoadMaster!$C:$C,0))</f>
        <v>Sunny</v>
      </c>
      <c r="T61" s="48">
        <f>INDEX(LoadMaster!$DA:$DA,MATCH(B61,LoadMaster!$C:$C,0))</f>
        <v>36</v>
      </c>
      <c r="U61" s="110">
        <f>Table2[[#This Row],[WeekEndingDate]]+7</f>
        <v>42244</v>
      </c>
      <c r="V61" s="14">
        <f t="shared" si="3"/>
        <v>8</v>
      </c>
      <c r="W61" s="18">
        <f t="shared" si="4"/>
        <v>2015</v>
      </c>
    </row>
    <row r="62" spans="1:23" s="68" customFormat="1">
      <c r="A62" s="15" t="str">
        <f>INDEX(LoadMaster!$A:$A,MATCH(B62,LoadMaster!$C:$C,0))</f>
        <v>09048949</v>
      </c>
      <c r="B62" s="81">
        <v>179672509</v>
      </c>
      <c r="C62" s="416" t="str">
        <f>VLOOKUP(Table2[[#This Row],[BrokerConfNo]],LoadMaster!C:D,2,FALSE)</f>
        <v>Ch Robinson</v>
      </c>
      <c r="D62" s="104">
        <v>42242</v>
      </c>
      <c r="E62" s="416" t="str">
        <f>IF(Table2[[#This Row],[UBActualReceived]]&gt;1,"Received","Pending")</f>
        <v>Received</v>
      </c>
      <c r="F62" s="132">
        <f>INDEX(LoadMaster!$CU:$CU,MATCH(B62,LoadMaster!$C:$C,0))</f>
        <v>550</v>
      </c>
      <c r="G62" s="132">
        <f>INDEX(LoadMaster!$CX:$CX,MATCH(B62,LoadMaster!$C:$C,0))</f>
        <v>539</v>
      </c>
      <c r="H62" s="132">
        <f>INDEX(LoadMaster!$CW:$CW,MATCH(B62,LoadMaster!$C:$C,0))</f>
        <v>550</v>
      </c>
      <c r="I62" s="330">
        <v>539</v>
      </c>
      <c r="J62" s="525">
        <v>550</v>
      </c>
      <c r="K62" s="134" t="str">
        <f t="shared" si="0"/>
        <v>Full</v>
      </c>
      <c r="L62" s="134">
        <f>INDEX(LoadMaster!$CT:$CT,MATCH(Table2[[#This Row],[BrokerConfNo]],LoadMaster!$C:$C,0))</f>
        <v>0</v>
      </c>
      <c r="M62" s="416" t="str">
        <f>INDEX(LoadMaster!$AO:$AO,MATCH(Table2[[#This Row],[BrokerConfNo]],LoadMaster!$C:$C,0))</f>
        <v>Albel</v>
      </c>
      <c r="N62" s="104">
        <f t="shared" si="1"/>
        <v>42237</v>
      </c>
      <c r="O62" s="135">
        <f t="shared" si="2"/>
        <v>42251</v>
      </c>
      <c r="P62" s="104">
        <f>INDEX(LoadMaster!$M:$M,MATCH(B62,LoadMaster!$C:$C,0))</f>
        <v>42234</v>
      </c>
      <c r="Q62" s="416" t="str">
        <f>INDEX(LoadMaster!$P:$P,MATCH(B62,LoadMaster!$C:$C,0))</f>
        <v>Madera</v>
      </c>
      <c r="R62" s="416" t="str">
        <f>INDEX(LoadMaster!$AH:$AH,MATCH(B62,LoadMaster!$C:$C,0))</f>
        <v>Sonoma</v>
      </c>
      <c r="S62" s="416" t="str">
        <f>INDEX(LoadMaster!$DC:$DC,MATCH(B62,LoadMaster!$C:$C,0))</f>
        <v>Sunny</v>
      </c>
      <c r="T62" s="136">
        <f>INDEX(LoadMaster!$DA:$DA,MATCH(B62,LoadMaster!$C:$C,0))</f>
        <v>-11</v>
      </c>
      <c r="U62" s="137">
        <f>Table2[[#This Row],[WeekEndingDate]]+7</f>
        <v>42244</v>
      </c>
      <c r="V62" s="15">
        <f t="shared" si="3"/>
        <v>8</v>
      </c>
      <c r="W62" s="416">
        <f t="shared" si="4"/>
        <v>2015</v>
      </c>
    </row>
    <row r="63" spans="1:23" s="68" customFormat="1">
      <c r="A63" s="15" t="str">
        <f>INDEX(LoadMaster!$A:$A,MATCH(B63,LoadMaster!$C:$C,0))</f>
        <v>17696916</v>
      </c>
      <c r="B63" s="81">
        <v>179717617</v>
      </c>
      <c r="C63" s="416" t="str">
        <f>VLOOKUP(Table2[[#This Row],[BrokerConfNo]],LoadMaster!C:D,2,FALSE)</f>
        <v>Ch Robinson</v>
      </c>
      <c r="D63" s="104">
        <v>42242</v>
      </c>
      <c r="E63" s="416" t="str">
        <f>IF(Table2[[#This Row],[UBActualReceived]]&gt;1,"Received","Pending")</f>
        <v>Received</v>
      </c>
      <c r="F63" s="132">
        <f>INDEX(LoadMaster!$CU:$CU,MATCH(B63,LoadMaster!$C:$C,0))</f>
        <v>200</v>
      </c>
      <c r="G63" s="132">
        <f>INDEX(LoadMaster!$CX:$CX,MATCH(B63,LoadMaster!$C:$C,0))</f>
        <v>196</v>
      </c>
      <c r="H63" s="132">
        <f>INDEX(LoadMaster!$CW:$CW,MATCH(B63,LoadMaster!$C:$C,0))</f>
        <v>180</v>
      </c>
      <c r="I63" s="330">
        <v>196</v>
      </c>
      <c r="J63" s="525">
        <v>180</v>
      </c>
      <c r="K63" s="134" t="str">
        <f t="shared" si="0"/>
        <v>Full</v>
      </c>
      <c r="L63" s="134">
        <f>INDEX(LoadMaster!$CT:$CT,MATCH(Table2[[#This Row],[BrokerConfNo]],LoadMaster!$C:$C,0))</f>
        <v>0</v>
      </c>
      <c r="M63" s="416" t="str">
        <f>INDEX(LoadMaster!$AO:$AO,MATCH(Table2[[#This Row],[BrokerConfNo]],LoadMaster!$C:$C,0))</f>
        <v>Christopher J.</v>
      </c>
      <c r="N63" s="104">
        <f t="shared" si="1"/>
        <v>42237</v>
      </c>
      <c r="O63" s="135">
        <f t="shared" si="2"/>
        <v>42244</v>
      </c>
      <c r="P63" s="104">
        <f>INDEX(LoadMaster!$M:$M,MATCH(B63,LoadMaster!$C:$C,0))</f>
        <v>42234</v>
      </c>
      <c r="Q63" s="416" t="str">
        <f>INDEX(LoadMaster!$P:$P,MATCH(B63,LoadMaster!$C:$C,0))</f>
        <v>Fowler</v>
      </c>
      <c r="R63" s="416" t="str">
        <f>INDEX(LoadMaster!$AH:$AH,MATCH(B63,LoadMaster!$C:$C,0))</f>
        <v>Hanford</v>
      </c>
      <c r="S63" s="416" t="str">
        <f>INDEX(LoadMaster!$DC:$DC,MATCH(B63,LoadMaster!$C:$C,0))</f>
        <v>Sunny</v>
      </c>
      <c r="T63" s="136">
        <f>INDEX(LoadMaster!$DA:$DA,MATCH(B63,LoadMaster!$C:$C,0))</f>
        <v>16</v>
      </c>
      <c r="U63" s="137">
        <f>Table2[[#This Row],[WeekEndingDate]]+7</f>
        <v>42244</v>
      </c>
      <c r="V63" s="15">
        <f t="shared" si="3"/>
        <v>8</v>
      </c>
      <c r="W63" s="416">
        <f t="shared" si="4"/>
        <v>2015</v>
      </c>
    </row>
    <row r="64" spans="1:23" s="68" customFormat="1">
      <c r="A64" s="15" t="str">
        <f>INDEX(LoadMaster!$A:$A,MATCH(B64,LoadMaster!$C:$C,0))</f>
        <v>15151549</v>
      </c>
      <c r="B64" s="55">
        <v>35615</v>
      </c>
      <c r="C64" s="18" t="str">
        <f>VLOOKUP(Table2[[#This Row],[BrokerConfNo]],LoadMaster!C:D,2,FALSE)</f>
        <v>Biro Transport</v>
      </c>
      <c r="D64" s="26">
        <v>42247</v>
      </c>
      <c r="E64" s="18" t="str">
        <f>IF(Table2[[#This Row],[UBActualReceived]]&gt;1,"Received","Pending")</f>
        <v>Received</v>
      </c>
      <c r="F64" s="21">
        <f>INDEX(LoadMaster!$CU:$CU,MATCH(B64,LoadMaster!$C:$C,0))</f>
        <v>550</v>
      </c>
      <c r="G64" s="132">
        <f>INDEX(LoadMaster!$CX:$CX,MATCH(B64,LoadMaster!$C:$C,0))</f>
        <v>550</v>
      </c>
      <c r="H64" s="132">
        <f>INDEX(LoadMaster!$CW:$CW,MATCH(B64,LoadMaster!$C:$C,0))</f>
        <v>550</v>
      </c>
      <c r="I64" s="331">
        <v>550</v>
      </c>
      <c r="J64" s="526">
        <v>550</v>
      </c>
      <c r="K64" s="27" t="str">
        <f t="shared" si="0"/>
        <v>Full</v>
      </c>
      <c r="L64" s="27">
        <f>INDEX(LoadMaster!$CT:$CT,MATCH(Table2[[#This Row],[BrokerConfNo]],LoadMaster!$C:$C,0))</f>
        <v>0</v>
      </c>
      <c r="M64" s="18" t="str">
        <f>INDEX(LoadMaster!$AO:$AO,MATCH(Table2[[#This Row],[BrokerConfNo]],LoadMaster!$C:$C,0))</f>
        <v>Albel</v>
      </c>
      <c r="N64" s="26">
        <f t="shared" si="1"/>
        <v>42237</v>
      </c>
      <c r="O64" s="109">
        <f t="shared" si="2"/>
        <v>42251</v>
      </c>
      <c r="P64" s="26">
        <f>INDEX(LoadMaster!$M:$M,MATCH(B64,LoadMaster!$C:$C,0))</f>
        <v>42235</v>
      </c>
      <c r="Q64" s="18" t="str">
        <f>INDEX(LoadMaster!$P:$P,MATCH(B64,LoadMaster!$C:$C,0))</f>
        <v>Elk Grove</v>
      </c>
      <c r="R64" s="18" t="str">
        <f>INDEX(LoadMaster!$AH:$AH,MATCH(B64,LoadMaster!$C:$C,0))</f>
        <v>Salinas</v>
      </c>
      <c r="S64" s="416" t="str">
        <f>INDEX(LoadMaster!$DC:$DC,MATCH(B64,LoadMaster!$C:$C,0))</f>
        <v>Sunny</v>
      </c>
      <c r="T64" s="48">
        <f>INDEX(LoadMaster!$DA:$DA,MATCH(B64,LoadMaster!$C:$C,0))</f>
        <v>0</v>
      </c>
      <c r="U64" s="110">
        <f>Table2[[#This Row],[WeekEndingDate]]+7</f>
        <v>42244</v>
      </c>
      <c r="V64" s="14">
        <f t="shared" si="3"/>
        <v>8</v>
      </c>
      <c r="W64" s="18">
        <f t="shared" si="4"/>
        <v>2015</v>
      </c>
    </row>
    <row r="65" spans="1:23" s="18" customFormat="1">
      <c r="A65" s="15" t="str">
        <f>INDEX(LoadMaster!$A:$A,MATCH(B65,LoadMaster!$C:$C,0))</f>
        <v>21078916</v>
      </c>
      <c r="B65" s="81">
        <v>179672521</v>
      </c>
      <c r="C65" s="416" t="str">
        <f>VLOOKUP(Table2[[#This Row],[BrokerConfNo]],LoadMaster!C:D,2,FALSE)</f>
        <v>Ch Robinson</v>
      </c>
      <c r="D65" s="104">
        <v>42242</v>
      </c>
      <c r="E65" s="416" t="str">
        <f>IF(Table2[[#This Row],[UBActualReceived]]&gt;1,"Received","Pending")</f>
        <v>Received</v>
      </c>
      <c r="F65" s="132">
        <f>INDEX(LoadMaster!$CU:$CU,MATCH(B65,LoadMaster!$C:$C,0))</f>
        <v>550</v>
      </c>
      <c r="G65" s="132">
        <f>INDEX(LoadMaster!$CX:$CX,MATCH(B65,LoadMaster!$C:$C,0))</f>
        <v>539</v>
      </c>
      <c r="H65" s="132">
        <f>INDEX(LoadMaster!$CW:$CW,MATCH(B65,LoadMaster!$C:$C,0))</f>
        <v>495</v>
      </c>
      <c r="I65" s="330">
        <v>539</v>
      </c>
      <c r="J65" s="525">
        <v>495</v>
      </c>
      <c r="K65" s="134" t="str">
        <f t="shared" si="0"/>
        <v>Full</v>
      </c>
      <c r="L65" s="134">
        <f>INDEX(LoadMaster!$CT:$CT,MATCH(Table2[[#This Row],[BrokerConfNo]],LoadMaster!$C:$C,0))</f>
        <v>0</v>
      </c>
      <c r="M65" s="416" t="str">
        <f>INDEX(LoadMaster!$AO:$AO,MATCH(Table2[[#This Row],[BrokerConfNo]],LoadMaster!$C:$C,0))</f>
        <v>Christopher J.</v>
      </c>
      <c r="N65" s="104">
        <f t="shared" si="1"/>
        <v>42237</v>
      </c>
      <c r="O65" s="135">
        <f t="shared" si="2"/>
        <v>42244</v>
      </c>
      <c r="P65" s="104">
        <f>INDEX(LoadMaster!$M:$M,MATCH(B65,LoadMaster!$C:$C,0))</f>
        <v>42235</v>
      </c>
      <c r="Q65" s="416" t="str">
        <f>INDEX(LoadMaster!$P:$P,MATCH(B65,LoadMaster!$C:$C,0))</f>
        <v>Madera</v>
      </c>
      <c r="R65" s="416" t="str">
        <f>INDEX(LoadMaster!$AH:$AH,MATCH(B65,LoadMaster!$C:$C,0))</f>
        <v>Sonoma</v>
      </c>
      <c r="S65" s="416" t="str">
        <f>INDEX(LoadMaster!$DC:$DC,MATCH(B65,LoadMaster!$C:$C,0))</f>
        <v>Sunny</v>
      </c>
      <c r="T65" s="136">
        <f>INDEX(LoadMaster!$DA:$DA,MATCH(B65,LoadMaster!$C:$C,0))</f>
        <v>44</v>
      </c>
      <c r="U65" s="137">
        <f>Table2[[#This Row],[WeekEndingDate]]+7</f>
        <v>42244</v>
      </c>
      <c r="V65" s="15">
        <f t="shared" si="3"/>
        <v>8</v>
      </c>
      <c r="W65" s="416">
        <f t="shared" si="4"/>
        <v>2015</v>
      </c>
    </row>
    <row r="66" spans="1:23" s="18" customFormat="1">
      <c r="A66" s="15" t="str">
        <f>INDEX(LoadMaster!$A:$A,MATCH(B66,LoadMaster!$C:$C,0))</f>
        <v>33289549</v>
      </c>
      <c r="B66" s="81">
        <v>179663833</v>
      </c>
      <c r="C66" s="416" t="str">
        <f>VLOOKUP(Table2[[#This Row],[BrokerConfNo]],LoadMaster!C:D,2,FALSE)</f>
        <v>Ch Robinson</v>
      </c>
      <c r="D66" s="104">
        <v>42243</v>
      </c>
      <c r="E66" s="416" t="str">
        <f>IF(Table2[[#This Row],[UBActualReceived]]&gt;1,"Received","Pending")</f>
        <v>Received</v>
      </c>
      <c r="F66" s="132">
        <f>INDEX(LoadMaster!$CU:$CU,MATCH(B66,LoadMaster!$C:$C,0))</f>
        <v>475</v>
      </c>
      <c r="G66" s="132">
        <f>INDEX(LoadMaster!$CX:$CX,MATCH(B66,LoadMaster!$C:$C,0))</f>
        <v>465.5</v>
      </c>
      <c r="H66" s="132">
        <f>INDEX(LoadMaster!$CW:$CW,MATCH(B66,LoadMaster!$C:$C,0))</f>
        <v>425</v>
      </c>
      <c r="I66" s="330">
        <v>465.5</v>
      </c>
      <c r="J66" s="525">
        <v>425</v>
      </c>
      <c r="K66" s="134" t="str">
        <f t="shared" ref="K66:K129" si="5">IF(I66&lt;G66, "Less", "Full")</f>
        <v>Full</v>
      </c>
      <c r="L66" s="134">
        <f>INDEX(LoadMaster!$CT:$CT,MATCH(Table2[[#This Row],[BrokerConfNo]],LoadMaster!$C:$C,0))</f>
        <v>0</v>
      </c>
      <c r="M66" s="416" t="str">
        <f>INDEX(LoadMaster!$AO:$AO,MATCH(Table2[[#This Row],[BrokerConfNo]],LoadMaster!$C:$C,0))</f>
        <v>Albel</v>
      </c>
      <c r="N66" s="104">
        <f t="shared" ref="N66:N129" si="6">(5-WEEKDAY(P66,2))+P66</f>
        <v>42237</v>
      </c>
      <c r="O66" s="135">
        <f t="shared" ref="O66:O129" si="7">IF(M66="Albel",((5-WEEKDAY(P66,2))+P66)+14,(((5-WEEKDAY(P66,2))+P66)+7))</f>
        <v>42251</v>
      </c>
      <c r="P66" s="104">
        <f>INDEX(LoadMaster!$M:$M,MATCH(B66,LoadMaster!$C:$C,0))</f>
        <v>42236</v>
      </c>
      <c r="Q66" s="416" t="str">
        <f>INDEX(LoadMaster!$P:$P,MATCH(B66,LoadMaster!$C:$C,0))</f>
        <v>Salinas</v>
      </c>
      <c r="R66" s="416" t="str">
        <f>INDEX(LoadMaster!$AH:$AH,MATCH(B66,LoadMaster!$C:$C,0))</f>
        <v>Stockton</v>
      </c>
      <c r="S66" s="416" t="str">
        <f>INDEX(LoadMaster!$DC:$DC,MATCH(B66,LoadMaster!$C:$C,0))</f>
        <v>Sunny</v>
      </c>
      <c r="T66" s="136">
        <f>INDEX(LoadMaster!$DA:$DA,MATCH(B66,LoadMaster!$C:$C,0))</f>
        <v>40.5</v>
      </c>
      <c r="U66" s="137">
        <f>Table2[[#This Row],[WeekEndingDate]]+7</f>
        <v>42244</v>
      </c>
      <c r="V66" s="15">
        <f t="shared" ref="V66:V129" si="8">MONTH(P66)</f>
        <v>8</v>
      </c>
      <c r="W66" s="416">
        <f t="shared" ref="W66:W129" si="9">YEAR(P66)</f>
        <v>2015</v>
      </c>
    </row>
    <row r="67" spans="1:23" s="68" customFormat="1">
      <c r="A67" s="15" t="str">
        <f>INDEX(LoadMaster!$A:$A,MATCH(B67,LoadMaster!$C:$C,0))</f>
        <v>494916</v>
      </c>
      <c r="B67" s="55">
        <v>6080649</v>
      </c>
      <c r="C67" s="18" t="str">
        <f>VLOOKUP(Table2[[#This Row],[BrokerConfNo]],LoadMaster!C:D,2,FALSE)</f>
        <v>Coyote</v>
      </c>
      <c r="D67" s="26">
        <v>42242</v>
      </c>
      <c r="E67" s="18" t="str">
        <f>IF(Table2[[#This Row],[UBActualReceived]]&gt;1,"Received","Pending")</f>
        <v>Received</v>
      </c>
      <c r="F67" s="21">
        <f>INDEX(LoadMaster!$CU:$CU,MATCH(B67,LoadMaster!$C:$C,0))</f>
        <v>425</v>
      </c>
      <c r="G67" s="132">
        <f>INDEX(LoadMaster!$CX:$CX,MATCH(B67,LoadMaster!$C:$C,0))</f>
        <v>412.25</v>
      </c>
      <c r="H67" s="132">
        <f>INDEX(LoadMaster!$CW:$CW,MATCH(B67,LoadMaster!$C:$C,0))</f>
        <v>382.5</v>
      </c>
      <c r="I67" s="331">
        <v>412.25</v>
      </c>
      <c r="J67" s="526">
        <v>382.5</v>
      </c>
      <c r="K67" s="27" t="str">
        <f t="shared" si="5"/>
        <v>Full</v>
      </c>
      <c r="L67" s="27">
        <f>INDEX(LoadMaster!$CT:$CT,MATCH(Table2[[#This Row],[BrokerConfNo]],LoadMaster!$C:$C,0))</f>
        <v>0</v>
      </c>
      <c r="M67" s="18" t="str">
        <f>INDEX(LoadMaster!$AO:$AO,MATCH(Table2[[#This Row],[BrokerConfNo]],LoadMaster!$C:$C,0))</f>
        <v>Christopher J.</v>
      </c>
      <c r="N67" s="26">
        <f t="shared" si="6"/>
        <v>42237</v>
      </c>
      <c r="O67" s="109">
        <f t="shared" si="7"/>
        <v>42244</v>
      </c>
      <c r="P67" s="26">
        <f>INDEX(LoadMaster!$M:$M,MATCH(B67,LoadMaster!$C:$C,0))</f>
        <v>42236</v>
      </c>
      <c r="Q67" s="18" t="str">
        <f>INDEX(LoadMaster!$P:$P,MATCH(B67,LoadMaster!$C:$C,0))</f>
        <v>Sonoma</v>
      </c>
      <c r="R67" s="18" t="str">
        <f>INDEX(LoadMaster!$AH:$AH,MATCH(B67,LoadMaster!$C:$C,0))</f>
        <v>Sutter Creek</v>
      </c>
      <c r="S67" s="416" t="str">
        <f>INDEX(LoadMaster!$DC:$DC,MATCH(B67,LoadMaster!$C:$C,0))</f>
        <v>Sunny</v>
      </c>
      <c r="T67" s="48">
        <f>INDEX(LoadMaster!$DA:$DA,MATCH(B67,LoadMaster!$C:$C,0))</f>
        <v>29.75</v>
      </c>
      <c r="U67" s="110">
        <f>Table2[[#This Row],[WeekEndingDate]]+7</f>
        <v>42244</v>
      </c>
      <c r="V67" s="14">
        <f t="shared" si="8"/>
        <v>8</v>
      </c>
      <c r="W67" s="18">
        <f t="shared" si="9"/>
        <v>2015</v>
      </c>
    </row>
    <row r="68" spans="1:23" s="18" customFormat="1">
      <c r="A68" s="15" t="str">
        <f>INDEX(LoadMaster!$A:$A,MATCH(B68,LoadMaster!$C:$C,0))</f>
        <v>22070749</v>
      </c>
      <c r="B68" s="81">
        <v>179899422</v>
      </c>
      <c r="C68" s="416" t="str">
        <f>VLOOKUP(Table2[[#This Row],[BrokerConfNo]],LoadMaster!C:D,2,FALSE)</f>
        <v>Ch Robinson</v>
      </c>
      <c r="D68" s="104">
        <v>42248</v>
      </c>
      <c r="E68" s="416" t="str">
        <f>IF(Table2[[#This Row],[UBActualReceived]]&gt;1,"Received","Pending")</f>
        <v>Received</v>
      </c>
      <c r="F68" s="132">
        <f>INDEX(LoadMaster!$CU:$CU,MATCH(B68,LoadMaster!$C:$C,0))</f>
        <v>550</v>
      </c>
      <c r="G68" s="132">
        <f>INDEX(LoadMaster!$CX:$CX,MATCH(B68,LoadMaster!$C:$C,0))</f>
        <v>539</v>
      </c>
      <c r="H68" s="132">
        <f>INDEX(LoadMaster!$CW:$CW,MATCH(B68,LoadMaster!$C:$C,0))</f>
        <v>500</v>
      </c>
      <c r="I68" s="330">
        <v>539</v>
      </c>
      <c r="J68" s="525">
        <v>500</v>
      </c>
      <c r="K68" s="134" t="str">
        <f t="shared" si="5"/>
        <v>Full</v>
      </c>
      <c r="L68" s="134">
        <f>INDEX(LoadMaster!$CT:$CT,MATCH(Table2[[#This Row],[BrokerConfNo]],LoadMaster!$C:$C,0))</f>
        <v>0</v>
      </c>
      <c r="M68" s="416" t="str">
        <f>INDEX(LoadMaster!$AO:$AO,MATCH(Table2[[#This Row],[BrokerConfNo]],LoadMaster!$C:$C,0))</f>
        <v>Albel</v>
      </c>
      <c r="N68" s="104">
        <f t="shared" si="6"/>
        <v>42237</v>
      </c>
      <c r="O68" s="135">
        <f t="shared" si="7"/>
        <v>42251</v>
      </c>
      <c r="P68" s="104">
        <f>INDEX(LoadMaster!$M:$M,MATCH(B68,LoadMaster!$C:$C,0))</f>
        <v>42237</v>
      </c>
      <c r="Q68" s="416" t="str">
        <f>INDEX(LoadMaster!$P:$P,MATCH(B68,LoadMaster!$C:$C,0))</f>
        <v>West Sacramento</v>
      </c>
      <c r="R68" s="416" t="str">
        <f>INDEX(LoadMaster!$AH:$AH,MATCH(B68,LoadMaster!$C:$C,0))</f>
        <v>Salinas</v>
      </c>
      <c r="S68" s="416" t="str">
        <f>INDEX(LoadMaster!$DC:$DC,MATCH(B68,LoadMaster!$C:$C,0))</f>
        <v>Sunny</v>
      </c>
      <c r="T68" s="136">
        <f>INDEX(LoadMaster!$DA:$DA,MATCH(B68,LoadMaster!$C:$C,0))</f>
        <v>39</v>
      </c>
      <c r="U68" s="137">
        <f>Table2[[#This Row],[WeekEndingDate]]+7</f>
        <v>42244</v>
      </c>
      <c r="V68" s="15">
        <f t="shared" si="8"/>
        <v>8</v>
      </c>
      <c r="W68" s="416">
        <f t="shared" si="9"/>
        <v>2015</v>
      </c>
    </row>
    <row r="69" spans="1:23" s="68" customFormat="1">
      <c r="A69" s="15" t="str">
        <f>INDEX(LoadMaster!$A:$A,MATCH(B69,LoadMaster!$C:$C,0))</f>
        <v>14548949</v>
      </c>
      <c r="B69" s="81">
        <v>179995214</v>
      </c>
      <c r="C69" s="416" t="str">
        <f>VLOOKUP(Table2[[#This Row],[BrokerConfNo]],LoadMaster!C:D,2,FALSE)</f>
        <v>Ch Robinson</v>
      </c>
      <c r="D69" s="104">
        <v>42248</v>
      </c>
      <c r="E69" s="416" t="str">
        <f>IF(Table2[[#This Row],[UBActualReceived]]&gt;1,"Received","Pending")</f>
        <v>Received</v>
      </c>
      <c r="F69" s="132">
        <f>INDEX(LoadMaster!$CU:$CU,MATCH(B69,LoadMaster!$C:$C,0))</f>
        <v>550</v>
      </c>
      <c r="G69" s="132">
        <f>INDEX(LoadMaster!$CX:$CX,MATCH(B69,LoadMaster!$C:$C,0))</f>
        <v>539</v>
      </c>
      <c r="H69" s="132">
        <f>INDEX(LoadMaster!$CW:$CW,MATCH(B69,LoadMaster!$C:$C,0))</f>
        <v>500</v>
      </c>
      <c r="I69" s="330">
        <v>539</v>
      </c>
      <c r="J69" s="525">
        <v>500</v>
      </c>
      <c r="K69" s="134" t="str">
        <f t="shared" si="5"/>
        <v>Full</v>
      </c>
      <c r="L69" s="134">
        <f>INDEX(LoadMaster!$CT:$CT,MATCH(Table2[[#This Row],[BrokerConfNo]],LoadMaster!$C:$C,0))</f>
        <v>0</v>
      </c>
      <c r="M69" s="416" t="str">
        <f>INDEX(LoadMaster!$AO:$AO,MATCH(Table2[[#This Row],[BrokerConfNo]],LoadMaster!$C:$C,0))</f>
        <v>Albel</v>
      </c>
      <c r="N69" s="104">
        <f t="shared" si="6"/>
        <v>42237</v>
      </c>
      <c r="O69" s="135">
        <f t="shared" si="7"/>
        <v>42251</v>
      </c>
      <c r="P69" s="104">
        <f>INDEX(LoadMaster!$M:$M,MATCH(B69,LoadMaster!$C:$C,0))</f>
        <v>42237</v>
      </c>
      <c r="Q69" s="416" t="str">
        <f>INDEX(LoadMaster!$P:$P,MATCH(B69,LoadMaster!$C:$C,0))</f>
        <v>Madera</v>
      </c>
      <c r="R69" s="416" t="str">
        <f>INDEX(LoadMaster!$AH:$AH,MATCH(B69,LoadMaster!$C:$C,0))</f>
        <v>Sonoma</v>
      </c>
      <c r="S69" s="416" t="str">
        <f>INDEX(LoadMaster!$DC:$DC,MATCH(B69,LoadMaster!$C:$C,0))</f>
        <v>Sunny</v>
      </c>
      <c r="T69" s="136">
        <f>INDEX(LoadMaster!$DA:$DA,MATCH(B69,LoadMaster!$C:$C,0))</f>
        <v>39</v>
      </c>
      <c r="U69" s="137">
        <f>Table2[[#This Row],[WeekEndingDate]]+7</f>
        <v>42244</v>
      </c>
      <c r="V69" s="15">
        <f t="shared" si="8"/>
        <v>8</v>
      </c>
      <c r="W69" s="416">
        <f t="shared" si="9"/>
        <v>2015</v>
      </c>
    </row>
    <row r="70" spans="1:23" s="68" customFormat="1">
      <c r="A70" s="15" t="str">
        <f>INDEX(LoadMaster!$A:$A,MATCH(B70,LoadMaster!$C:$C,0))</f>
        <v>67868616</v>
      </c>
      <c r="B70" s="55">
        <v>6089867</v>
      </c>
      <c r="C70" s="18" t="str">
        <f>VLOOKUP(Table2[[#This Row],[BrokerConfNo]],LoadMaster!C:D,2,FALSE)</f>
        <v>Coyote</v>
      </c>
      <c r="D70" s="26">
        <v>42242</v>
      </c>
      <c r="E70" s="18" t="str">
        <f>IF(Table2[[#This Row],[UBActualReceived]]&gt;1,"Received","Pending")</f>
        <v>Received</v>
      </c>
      <c r="F70" s="21">
        <f>INDEX(LoadMaster!$CU:$CU,MATCH(B70,LoadMaster!$C:$C,0))</f>
        <v>700</v>
      </c>
      <c r="G70" s="132">
        <f>INDEX(LoadMaster!$CX:$CX,MATCH(B70,LoadMaster!$C:$C,0))</f>
        <v>679</v>
      </c>
      <c r="H70" s="132">
        <f>INDEX(LoadMaster!$CW:$CW,MATCH(B70,LoadMaster!$C:$C,0))</f>
        <v>630</v>
      </c>
      <c r="I70" s="331">
        <v>679</v>
      </c>
      <c r="J70" s="526">
        <v>630</v>
      </c>
      <c r="K70" s="27" t="str">
        <f t="shared" si="5"/>
        <v>Full</v>
      </c>
      <c r="L70" s="27">
        <f>INDEX(LoadMaster!$CT:$CT,MATCH(Table2[[#This Row],[BrokerConfNo]],LoadMaster!$C:$C,0))</f>
        <v>0</v>
      </c>
      <c r="M70" s="18" t="str">
        <f>INDEX(LoadMaster!$AO:$AO,MATCH(Table2[[#This Row],[BrokerConfNo]],LoadMaster!$C:$C,0))</f>
        <v>Christopher J.</v>
      </c>
      <c r="N70" s="26">
        <f t="shared" si="6"/>
        <v>42237</v>
      </c>
      <c r="O70" s="109">
        <f t="shared" si="7"/>
        <v>42244</v>
      </c>
      <c r="P70" s="26">
        <f>INDEX(LoadMaster!$M:$M,MATCH(B70,LoadMaster!$C:$C,0))</f>
        <v>42237</v>
      </c>
      <c r="Q70" s="18" t="str">
        <f>INDEX(LoadMaster!$P:$P,MATCH(B70,LoadMaster!$C:$C,0))</f>
        <v>Fairfield</v>
      </c>
      <c r="R70" s="18" t="str">
        <f>INDEX(LoadMaster!$AH:$AH,MATCH(B70,LoadMaster!$C:$C,0))</f>
        <v>Buellton</v>
      </c>
      <c r="S70" s="416" t="str">
        <f>INDEX(LoadMaster!$DC:$DC,MATCH(B70,LoadMaster!$C:$C,0))</f>
        <v>Sunny</v>
      </c>
      <c r="T70" s="48">
        <f>INDEX(LoadMaster!$DA:$DA,MATCH(B70,LoadMaster!$C:$C,0))</f>
        <v>49</v>
      </c>
      <c r="U70" s="110">
        <f>Table2[[#This Row],[WeekEndingDate]]+7</f>
        <v>42244</v>
      </c>
      <c r="V70" s="14">
        <f t="shared" si="8"/>
        <v>8</v>
      </c>
      <c r="W70" s="18">
        <f t="shared" si="9"/>
        <v>2015</v>
      </c>
    </row>
    <row r="71" spans="1:23" s="68" customFormat="1">
      <c r="A71" s="15" t="str">
        <f>INDEX(LoadMaster!$A:$A,MATCH(B71,LoadMaster!$C:$C,0))</f>
        <v>30242416</v>
      </c>
      <c r="B71" s="81">
        <v>179543630</v>
      </c>
      <c r="C71" s="416" t="str">
        <f>VLOOKUP(Table2[[#This Row],[BrokerConfNo]],LoadMaster!C:D,2,FALSE)</f>
        <v>Ch Robinson</v>
      </c>
      <c r="D71" s="104">
        <v>42248</v>
      </c>
      <c r="E71" s="416" t="str">
        <f>IF(Table2[[#This Row],[UBActualReceived]]&gt;1,"Received","Pending")</f>
        <v>Received</v>
      </c>
      <c r="F71" s="132">
        <f>INDEX(LoadMaster!$CU:$CU,MATCH(B71,LoadMaster!$C:$C,0))</f>
        <v>835</v>
      </c>
      <c r="G71" s="132">
        <f>INDEX(LoadMaster!$CX:$CX,MATCH(B71,LoadMaster!$C:$C,0))</f>
        <v>818.3</v>
      </c>
      <c r="H71" s="132">
        <f>INDEX(LoadMaster!$CW:$CW,MATCH(B71,LoadMaster!$C:$C,0))</f>
        <v>720</v>
      </c>
      <c r="I71" s="330">
        <v>818.3</v>
      </c>
      <c r="J71" s="525">
        <v>720</v>
      </c>
      <c r="K71" s="134" t="str">
        <f t="shared" si="5"/>
        <v>Full</v>
      </c>
      <c r="L71" s="134">
        <f>INDEX(LoadMaster!$CT:$CT,MATCH(Table2[[#This Row],[BrokerConfNo]],LoadMaster!$C:$C,0))</f>
        <v>35</v>
      </c>
      <c r="M71" s="416" t="str">
        <f>INDEX(LoadMaster!$AO:$AO,MATCH(Table2[[#This Row],[BrokerConfNo]],LoadMaster!$C:$C,0))</f>
        <v>Christopher J.</v>
      </c>
      <c r="N71" s="104">
        <f t="shared" si="6"/>
        <v>42237</v>
      </c>
      <c r="O71" s="135">
        <f t="shared" si="7"/>
        <v>42244</v>
      </c>
      <c r="P71" s="104">
        <f>INDEX(LoadMaster!$M:$M,MATCH(B71,LoadMaster!$C:$C,0))</f>
        <v>42239</v>
      </c>
      <c r="Q71" s="416" t="str">
        <f>INDEX(LoadMaster!$P:$P,MATCH(B71,LoadMaster!$C:$C,0))</f>
        <v>Oxnard</v>
      </c>
      <c r="R71" s="416" t="str">
        <f>INDEX(LoadMaster!$AH:$AH,MATCH(B71,LoadMaster!$C:$C,0))</f>
        <v>Tracy</v>
      </c>
      <c r="S71" s="416" t="str">
        <f>INDEX(LoadMaster!$DC:$DC,MATCH(B71,LoadMaster!$C:$C,0))</f>
        <v>Sunny</v>
      </c>
      <c r="T71" s="136">
        <f>INDEX(LoadMaster!$DA:$DA,MATCH(B71,LoadMaster!$C:$C,0))</f>
        <v>98.3</v>
      </c>
      <c r="U71" s="137">
        <f>Table2[[#This Row],[WeekEndingDate]]+7</f>
        <v>42244</v>
      </c>
      <c r="V71" s="15">
        <f t="shared" si="8"/>
        <v>8</v>
      </c>
      <c r="W71" s="416">
        <f t="shared" si="9"/>
        <v>2015</v>
      </c>
    </row>
    <row r="72" spans="1:23" s="18" customFormat="1">
      <c r="A72" s="15" t="str">
        <f>INDEX(LoadMaster!$A:$A,MATCH(B72,LoadMaster!$C:$C,0))</f>
        <v>20666649</v>
      </c>
      <c r="B72" s="55">
        <v>6078920</v>
      </c>
      <c r="C72" s="18" t="str">
        <f>VLOOKUP(Table2[[#This Row],[BrokerConfNo]],LoadMaster!C:D,2,FALSE)</f>
        <v>Coyote</v>
      </c>
      <c r="D72" s="26">
        <v>42244</v>
      </c>
      <c r="E72" s="18" t="str">
        <f>IF(Table2[[#This Row],[UBActualReceived]]&gt;1,"Received","Pending")</f>
        <v>Received</v>
      </c>
      <c r="F72" s="21">
        <f>INDEX(LoadMaster!$CU:$CU,MATCH(B72,LoadMaster!$C:$C,0))</f>
        <v>450</v>
      </c>
      <c r="G72" s="132">
        <f>INDEX(LoadMaster!$CX:$CX,MATCH(B72,LoadMaster!$C:$C,0))</f>
        <v>436.5</v>
      </c>
      <c r="H72" s="132">
        <f>INDEX(LoadMaster!$CW:$CW,MATCH(B72,LoadMaster!$C:$C,0))</f>
        <v>400</v>
      </c>
      <c r="I72" s="331">
        <v>436.5</v>
      </c>
      <c r="J72" s="526">
        <v>400</v>
      </c>
      <c r="K72" s="27" t="str">
        <f t="shared" si="5"/>
        <v>Full</v>
      </c>
      <c r="L72" s="27">
        <f>INDEX(LoadMaster!$CT:$CT,MATCH(Table2[[#This Row],[BrokerConfNo]],LoadMaster!$C:$C,0))</f>
        <v>0</v>
      </c>
      <c r="M72" s="18" t="str">
        <f>INDEX(LoadMaster!$AO:$AO,MATCH(Table2[[#This Row],[BrokerConfNo]],LoadMaster!$C:$C,0))</f>
        <v>Albel</v>
      </c>
      <c r="N72" s="26">
        <f t="shared" si="6"/>
        <v>42244</v>
      </c>
      <c r="O72" s="109">
        <f t="shared" si="7"/>
        <v>42258</v>
      </c>
      <c r="P72" s="26">
        <f>INDEX(LoadMaster!$M:$M,MATCH(B72,LoadMaster!$C:$C,0))</f>
        <v>42240</v>
      </c>
      <c r="Q72" s="18" t="str">
        <f>INDEX(LoadMaster!$P:$P,MATCH(B72,LoadMaster!$C:$C,0))</f>
        <v>Fairfield</v>
      </c>
      <c r="R72" s="18" t="str">
        <f>INDEX(LoadMaster!$AH:$AH,MATCH(B72,LoadMaster!$C:$C,0))</f>
        <v>Morgan Holl</v>
      </c>
      <c r="S72" s="416" t="str">
        <f>INDEX(LoadMaster!$DC:$DC,MATCH(B72,LoadMaster!$C:$C,0))</f>
        <v>Sunny</v>
      </c>
      <c r="T72" s="48">
        <f>INDEX(LoadMaster!$DA:$DA,MATCH(B72,LoadMaster!$C:$C,0))</f>
        <v>36.5</v>
      </c>
      <c r="U72" s="110">
        <f>Table2[[#This Row],[WeekEndingDate]]+7</f>
        <v>42251</v>
      </c>
      <c r="V72" s="14">
        <f t="shared" si="8"/>
        <v>8</v>
      </c>
      <c r="W72" s="18">
        <f t="shared" si="9"/>
        <v>2015</v>
      </c>
    </row>
    <row r="73" spans="1:23" s="68" customFormat="1">
      <c r="A73" s="15" t="str">
        <f>INDEX(LoadMaster!$A:$A,MATCH(B73,LoadMaster!$C:$C,0))</f>
        <v>68267549</v>
      </c>
      <c r="B73" s="81">
        <v>180100468</v>
      </c>
      <c r="C73" s="416" t="str">
        <f>VLOOKUP(Table2[[#This Row],[BrokerConfNo]],LoadMaster!C:D,2,FALSE)</f>
        <v>Ch Robinson</v>
      </c>
      <c r="D73" s="104">
        <v>42248</v>
      </c>
      <c r="E73" s="416" t="str">
        <f>IF(Table2[[#This Row],[UBActualReceived]]&gt;1,"Received","Pending")</f>
        <v>Received</v>
      </c>
      <c r="F73" s="132">
        <f>INDEX(LoadMaster!$CU:$CU,MATCH(B73,LoadMaster!$C:$C,0))</f>
        <v>700</v>
      </c>
      <c r="G73" s="132">
        <f>INDEX(LoadMaster!$CX:$CX,MATCH(B73,LoadMaster!$C:$C,0))</f>
        <v>686</v>
      </c>
      <c r="H73" s="132">
        <f>INDEX(LoadMaster!$CW:$CW,MATCH(B73,LoadMaster!$C:$C,0))</f>
        <v>650</v>
      </c>
      <c r="I73" s="330">
        <v>686</v>
      </c>
      <c r="J73" s="525">
        <v>650</v>
      </c>
      <c r="K73" s="134" t="str">
        <f t="shared" si="5"/>
        <v>Full</v>
      </c>
      <c r="L73" s="134">
        <f>INDEX(LoadMaster!$CT:$CT,MATCH(Table2[[#This Row],[BrokerConfNo]],LoadMaster!$C:$C,0))</f>
        <v>0</v>
      </c>
      <c r="M73" s="416" t="str">
        <f>INDEX(LoadMaster!$AO:$AO,MATCH(Table2[[#This Row],[BrokerConfNo]],LoadMaster!$C:$C,0))</f>
        <v>Albel</v>
      </c>
      <c r="N73" s="104">
        <f t="shared" si="6"/>
        <v>42244</v>
      </c>
      <c r="O73" s="135">
        <f t="shared" si="7"/>
        <v>42258</v>
      </c>
      <c r="P73" s="104">
        <f>INDEX(LoadMaster!$M:$M,MATCH(B73,LoadMaster!$C:$C,0))</f>
        <v>42241</v>
      </c>
      <c r="Q73" s="416" t="str">
        <f>INDEX(LoadMaster!$P:$P,MATCH(B73,LoadMaster!$C:$C,0))</f>
        <v>South San Francisco</v>
      </c>
      <c r="R73" s="416" t="str">
        <f>INDEX(LoadMaster!$AH:$AH,MATCH(B73,LoadMaster!$C:$C,0))</f>
        <v>Sparks</v>
      </c>
      <c r="S73" s="416" t="str">
        <f>INDEX(LoadMaster!$DC:$DC,MATCH(B73,LoadMaster!$C:$C,0))</f>
        <v>Sunny</v>
      </c>
      <c r="T73" s="136">
        <f>INDEX(LoadMaster!$DA:$DA,MATCH(B73,LoadMaster!$C:$C,0))</f>
        <v>36</v>
      </c>
      <c r="U73" s="137">
        <f>Table2[[#This Row],[WeekEndingDate]]+7</f>
        <v>42251</v>
      </c>
      <c r="V73" s="15">
        <f t="shared" si="8"/>
        <v>8</v>
      </c>
      <c r="W73" s="416">
        <f t="shared" si="9"/>
        <v>2015</v>
      </c>
    </row>
    <row r="74" spans="1:23" s="18" customFormat="1">
      <c r="A74" s="15" t="str">
        <f>INDEX(LoadMaster!$A:$A,MATCH(B74,LoadMaster!$C:$C,0))</f>
        <v>48897116</v>
      </c>
      <c r="B74" s="55">
        <v>87248</v>
      </c>
      <c r="C74" s="18" t="str">
        <f>VLOOKUP(Table2[[#This Row],[BrokerConfNo]],LoadMaster!C:D,2,FALSE)</f>
        <v>Pepsi Logistics Company Inc</v>
      </c>
      <c r="D74" s="26">
        <v>42278</v>
      </c>
      <c r="E74" s="18" t="str">
        <f>IF(Table2[[#This Row],[UBActualReceived]]&gt;1,"Received","Pending")</f>
        <v>Received</v>
      </c>
      <c r="F74" s="21">
        <f>INDEX(LoadMaster!$CU:$CU,MATCH(B74,LoadMaster!$C:$C,0))</f>
        <v>769</v>
      </c>
      <c r="G74" s="132">
        <f>INDEX(LoadMaster!$CX:$CX,MATCH(B74,LoadMaster!$C:$C,0))</f>
        <v>769</v>
      </c>
      <c r="H74" s="132">
        <f>INDEX(LoadMaster!$CW:$CW,MATCH(B74,LoadMaster!$C:$C,0))</f>
        <v>540</v>
      </c>
      <c r="I74" s="331">
        <v>769</v>
      </c>
      <c r="J74" s="526">
        <v>540</v>
      </c>
      <c r="K74" s="27" t="str">
        <f t="shared" si="5"/>
        <v>Full</v>
      </c>
      <c r="L74" s="27">
        <f>INDEX(LoadMaster!$CT:$CT,MATCH(Table2[[#This Row],[BrokerConfNo]],LoadMaster!$C:$C,0))</f>
        <v>169</v>
      </c>
      <c r="M74" s="18" t="str">
        <f>INDEX(LoadMaster!$AO:$AO,MATCH(Table2[[#This Row],[BrokerConfNo]],LoadMaster!$C:$C,0))</f>
        <v>Christopher J.</v>
      </c>
      <c r="N74" s="26">
        <f t="shared" si="6"/>
        <v>42244</v>
      </c>
      <c r="O74" s="109">
        <f t="shared" si="7"/>
        <v>42251</v>
      </c>
      <c r="P74" s="26">
        <f>INDEX(LoadMaster!$M:$M,MATCH(B74,LoadMaster!$C:$C,0))</f>
        <v>42242</v>
      </c>
      <c r="Q74" s="18" t="str">
        <f>INDEX(LoadMaster!$P:$P,MATCH(B74,LoadMaster!$C:$C,0))</f>
        <v>Sparks</v>
      </c>
      <c r="R74" s="18" t="str">
        <f>INDEX(LoadMaster!$AH:$AH,MATCH(B74,LoadMaster!$C:$C,0))</f>
        <v>Tracy</v>
      </c>
      <c r="S74" s="416" t="str">
        <f>INDEX(LoadMaster!$DC:$DC,MATCH(B74,LoadMaster!$C:$C,0))</f>
        <v>Sunny</v>
      </c>
      <c r="T74" s="48">
        <f>INDEX(LoadMaster!$DA:$DA,MATCH(B74,LoadMaster!$C:$C,0))</f>
        <v>229</v>
      </c>
      <c r="U74" s="110">
        <f>Table2[[#This Row],[WeekEndingDate]]+7</f>
        <v>42251</v>
      </c>
      <c r="V74" s="14">
        <f t="shared" si="8"/>
        <v>8</v>
      </c>
      <c r="W74" s="18">
        <f t="shared" si="9"/>
        <v>2015</v>
      </c>
    </row>
    <row r="75" spans="1:23" s="18" customFormat="1">
      <c r="A75" s="15" t="str">
        <f>INDEX(LoadMaster!$A:$A,MATCH(B75,LoadMaster!$C:$C,0))</f>
        <v>36833449</v>
      </c>
      <c r="B75" s="55">
        <v>87836</v>
      </c>
      <c r="C75" s="18" t="str">
        <f>VLOOKUP(Table2[[#This Row],[BrokerConfNo]],LoadMaster!C:D,2,FALSE)</f>
        <v>Pepsi Logistics Company Inc</v>
      </c>
      <c r="D75" s="26">
        <v>42279</v>
      </c>
      <c r="E75" s="18" t="str">
        <f>IF(Table2[[#This Row],[UBActualReceived]]&gt;1,"Received","Pending")</f>
        <v>Received</v>
      </c>
      <c r="F75" s="21">
        <f>INDEX(LoadMaster!$CU:$CU,MATCH(B75,LoadMaster!$C:$C,0))</f>
        <v>650</v>
      </c>
      <c r="G75" s="132">
        <f>INDEX(LoadMaster!$CX:$CX,MATCH(B75,LoadMaster!$C:$C,0))</f>
        <v>650</v>
      </c>
      <c r="H75" s="132">
        <f>INDEX(LoadMaster!$CW:$CW,MATCH(B75,LoadMaster!$C:$C,0))</f>
        <v>600</v>
      </c>
      <c r="I75" s="331">
        <v>650</v>
      </c>
      <c r="J75" s="526">
        <v>600</v>
      </c>
      <c r="K75" s="27" t="str">
        <f t="shared" si="5"/>
        <v>Full</v>
      </c>
      <c r="L75" s="27">
        <f>INDEX(LoadMaster!$CT:$CT,MATCH(Table2[[#This Row],[BrokerConfNo]],LoadMaster!$C:$C,0))</f>
        <v>0</v>
      </c>
      <c r="M75" s="18" t="str">
        <f>INDEX(LoadMaster!$AO:$AO,MATCH(Table2[[#This Row],[BrokerConfNo]],LoadMaster!$C:$C,0))</f>
        <v>Albel</v>
      </c>
      <c r="N75" s="26">
        <f t="shared" si="6"/>
        <v>42244</v>
      </c>
      <c r="O75" s="109">
        <f t="shared" si="7"/>
        <v>42258</v>
      </c>
      <c r="P75" s="26">
        <f>INDEX(LoadMaster!$M:$M,MATCH(B75,LoadMaster!$C:$C,0))</f>
        <v>42242</v>
      </c>
      <c r="Q75" s="18" t="str">
        <f>INDEX(LoadMaster!$P:$P,MATCH(B75,LoadMaster!$C:$C,0))</f>
        <v>Martell</v>
      </c>
      <c r="R75" s="18" t="str">
        <f>INDEX(LoadMaster!$AH:$AH,MATCH(B75,LoadMaster!$C:$C,0))</f>
        <v>Goshen</v>
      </c>
      <c r="S75" s="416" t="str">
        <f>INDEX(LoadMaster!$DC:$DC,MATCH(B75,LoadMaster!$C:$C,0))</f>
        <v>Sunny</v>
      </c>
      <c r="T75" s="48">
        <f>INDEX(LoadMaster!$DA:$DA,MATCH(B75,LoadMaster!$C:$C,0))</f>
        <v>50</v>
      </c>
      <c r="U75" s="110">
        <f>Table2[[#This Row],[WeekEndingDate]]+7</f>
        <v>42251</v>
      </c>
      <c r="V75" s="14">
        <f t="shared" si="8"/>
        <v>8</v>
      </c>
      <c r="W75" s="18">
        <f t="shared" si="9"/>
        <v>2015</v>
      </c>
    </row>
    <row r="76" spans="1:23" s="18" customFormat="1">
      <c r="A76" s="15" t="str">
        <f>INDEX(LoadMaster!$A:$A,MATCH(B76,LoadMaster!$C:$C,0))</f>
        <v>741049</v>
      </c>
      <c r="B76" s="81">
        <v>180401274</v>
      </c>
      <c r="C76" s="416" t="str">
        <f>VLOOKUP(Table2[[#This Row],[BrokerConfNo]],LoadMaster!C:D,2,FALSE)</f>
        <v>Ch Robinson</v>
      </c>
      <c r="D76" s="104">
        <v>42265</v>
      </c>
      <c r="E76" s="416" t="str">
        <f>IF(Table2[[#This Row],[UBActualReceived]]&gt;1,"Received","Pending")</f>
        <v>Received</v>
      </c>
      <c r="F76" s="132">
        <f>INDEX(LoadMaster!$CU:$CU,MATCH(B76,LoadMaster!$C:$C,0))</f>
        <v>800</v>
      </c>
      <c r="G76" s="132">
        <f>INDEX(LoadMaster!$CX:$CX,MATCH(B76,LoadMaster!$C:$C,0))</f>
        <v>784</v>
      </c>
      <c r="H76" s="132">
        <f>INDEX(LoadMaster!$CW:$CW,MATCH(B76,LoadMaster!$C:$C,0))</f>
        <v>750</v>
      </c>
      <c r="I76" s="330">
        <v>784</v>
      </c>
      <c r="J76" s="525">
        <v>750</v>
      </c>
      <c r="K76" s="134" t="str">
        <f t="shared" si="5"/>
        <v>Full</v>
      </c>
      <c r="L76" s="134">
        <f>INDEX(LoadMaster!$CT:$CT,MATCH(Table2[[#This Row],[BrokerConfNo]],LoadMaster!$C:$C,0))</f>
        <v>0</v>
      </c>
      <c r="M76" s="416" t="str">
        <f>INDEX(LoadMaster!$AO:$AO,MATCH(Table2[[#This Row],[BrokerConfNo]],LoadMaster!$C:$C,0))</f>
        <v>Albel</v>
      </c>
      <c r="N76" s="104">
        <f t="shared" si="6"/>
        <v>42244</v>
      </c>
      <c r="O76" s="135">
        <f t="shared" si="7"/>
        <v>42258</v>
      </c>
      <c r="P76" s="104">
        <f>INDEX(LoadMaster!$M:$M,MATCH(B76,LoadMaster!$C:$C,0))</f>
        <v>42244</v>
      </c>
      <c r="Q76" s="416" t="str">
        <f>INDEX(LoadMaster!$P:$P,MATCH(B76,LoadMaster!$C:$C,0))</f>
        <v>Stockton</v>
      </c>
      <c r="R76" s="416" t="str">
        <f>INDEX(LoadMaster!$AH:$AH,MATCH(B76,LoadMaster!$C:$C,0))</f>
        <v>Bakersfield</v>
      </c>
      <c r="S76" s="416" t="str">
        <f>INDEX(LoadMaster!$DC:$DC,MATCH(B76,LoadMaster!$C:$C,0))</f>
        <v>Sunny</v>
      </c>
      <c r="T76" s="136">
        <f>INDEX(LoadMaster!$DA:$DA,MATCH(B76,LoadMaster!$C:$C,0))</f>
        <v>34</v>
      </c>
      <c r="U76" s="137">
        <f>Table2[[#This Row],[WeekEndingDate]]+7</f>
        <v>42251</v>
      </c>
      <c r="V76" s="15">
        <f t="shared" si="8"/>
        <v>8</v>
      </c>
      <c r="W76" s="416">
        <f t="shared" si="9"/>
        <v>2015</v>
      </c>
    </row>
    <row r="77" spans="1:23" s="68" customFormat="1">
      <c r="A77" s="15" t="str">
        <f>INDEX(LoadMaster!$A:$A,MATCH(B77,LoadMaster!$C:$C,0))</f>
        <v>57974816</v>
      </c>
      <c r="B77" s="81">
        <v>180504157</v>
      </c>
      <c r="C77" s="416" t="str">
        <f>VLOOKUP(Table2[[#This Row],[BrokerConfNo]],LoadMaster!C:D,2,FALSE)</f>
        <v>Ch Robinson</v>
      </c>
      <c r="D77" s="104">
        <v>42250</v>
      </c>
      <c r="E77" s="416" t="str">
        <f>IF(Table2[[#This Row],[UBActualReceived]]&gt;1,"Received","Pending")</f>
        <v>Received</v>
      </c>
      <c r="F77" s="132">
        <f>INDEX(LoadMaster!$CU:$CU,MATCH(B77,LoadMaster!$C:$C,0))</f>
        <v>500</v>
      </c>
      <c r="G77" s="132">
        <f>INDEX(LoadMaster!$CX:$CX,MATCH(B77,LoadMaster!$C:$C,0))</f>
        <v>490</v>
      </c>
      <c r="H77" s="132">
        <f>INDEX(LoadMaster!$CW:$CW,MATCH(B77,LoadMaster!$C:$C,0))</f>
        <v>450</v>
      </c>
      <c r="I77" s="330">
        <v>490</v>
      </c>
      <c r="J77" s="525">
        <v>450</v>
      </c>
      <c r="K77" s="134" t="str">
        <f t="shared" si="5"/>
        <v>Full</v>
      </c>
      <c r="L77" s="134">
        <f>INDEX(LoadMaster!$CT:$CT,MATCH(Table2[[#This Row],[BrokerConfNo]],LoadMaster!$C:$C,0))</f>
        <v>0</v>
      </c>
      <c r="M77" s="416" t="str">
        <f>INDEX(LoadMaster!$AO:$AO,MATCH(Table2[[#This Row],[BrokerConfNo]],LoadMaster!$C:$C,0))</f>
        <v>Christopher J.</v>
      </c>
      <c r="N77" s="104">
        <f t="shared" si="6"/>
        <v>42244</v>
      </c>
      <c r="O77" s="135">
        <f t="shared" si="7"/>
        <v>42251</v>
      </c>
      <c r="P77" s="104">
        <f>INDEX(LoadMaster!$M:$M,MATCH(B77,LoadMaster!$C:$C,0))</f>
        <v>42244</v>
      </c>
      <c r="Q77" s="416" t="str">
        <f>INDEX(LoadMaster!$P:$P,MATCH(B77,LoadMaster!$C:$C,0))</f>
        <v>Reno</v>
      </c>
      <c r="R77" s="416" t="str">
        <f>INDEX(LoadMaster!$AH:$AH,MATCH(B77,LoadMaster!$C:$C,0))</f>
        <v>Oakland</v>
      </c>
      <c r="S77" s="416" t="str">
        <f>INDEX(LoadMaster!$DC:$DC,MATCH(B77,LoadMaster!$C:$C,0))</f>
        <v>Sunny</v>
      </c>
      <c r="T77" s="136">
        <f>INDEX(LoadMaster!$DA:$DA,MATCH(B77,LoadMaster!$C:$C,0))</f>
        <v>40</v>
      </c>
      <c r="U77" s="137">
        <f>Table2[[#This Row],[WeekEndingDate]]+7</f>
        <v>42251</v>
      </c>
      <c r="V77" s="15">
        <f t="shared" si="8"/>
        <v>8</v>
      </c>
      <c r="W77" s="416">
        <f t="shared" si="9"/>
        <v>2015</v>
      </c>
    </row>
    <row r="78" spans="1:23" s="18" customFormat="1">
      <c r="A78" s="15" t="str">
        <f>INDEX(LoadMaster!$A:$A,MATCH(B78,LoadMaster!$C:$C,0))</f>
        <v>43434316</v>
      </c>
      <c r="B78" s="55">
        <v>6007543</v>
      </c>
      <c r="C78" s="18" t="str">
        <f>VLOOKUP(Table2[[#This Row],[BrokerConfNo]],LoadMaster!C:D,2,FALSE)</f>
        <v>Tql</v>
      </c>
      <c r="D78" s="26">
        <v>42256</v>
      </c>
      <c r="E78" s="18" t="str">
        <f>IF(Table2[[#This Row],[UBActualReceived]]&gt;1,"Received","Pending")</f>
        <v>Received</v>
      </c>
      <c r="F78" s="21">
        <f>INDEX(LoadMaster!$CU:$CU,MATCH(B78,LoadMaster!$C:$C,0))</f>
        <v>700</v>
      </c>
      <c r="G78" s="132">
        <f>INDEX(LoadMaster!$CX:$CX,MATCH(B78,LoadMaster!$C:$C,0))</f>
        <v>679</v>
      </c>
      <c r="H78" s="132">
        <f>INDEX(LoadMaster!$CW:$CW,MATCH(B78,LoadMaster!$C:$C,0))</f>
        <v>630</v>
      </c>
      <c r="I78" s="331">
        <v>700</v>
      </c>
      <c r="J78" s="526">
        <v>630</v>
      </c>
      <c r="K78" s="27" t="str">
        <f t="shared" si="5"/>
        <v>Full</v>
      </c>
      <c r="L78" s="27">
        <f>INDEX(LoadMaster!$CT:$CT,MATCH(Table2[[#This Row],[BrokerConfNo]],LoadMaster!$C:$C,0))</f>
        <v>0</v>
      </c>
      <c r="M78" s="18" t="str">
        <f>INDEX(LoadMaster!$AO:$AO,MATCH(Table2[[#This Row],[BrokerConfNo]],LoadMaster!$C:$C,0))</f>
        <v>Christopher J.</v>
      </c>
      <c r="N78" s="26">
        <f t="shared" si="6"/>
        <v>42244</v>
      </c>
      <c r="O78" s="109">
        <f t="shared" si="7"/>
        <v>42251</v>
      </c>
      <c r="P78" s="26">
        <f>INDEX(LoadMaster!$M:$M,MATCH(B78,LoadMaster!$C:$C,0))</f>
        <v>42244</v>
      </c>
      <c r="Q78" s="18" t="str">
        <f>INDEX(LoadMaster!$P:$P,MATCH(B78,LoadMaster!$C:$C,0))</f>
        <v>Stockton</v>
      </c>
      <c r="R78" s="18" t="str">
        <f>INDEX(LoadMaster!$AH:$AH,MATCH(B78,LoadMaster!$C:$C,0))</f>
        <v>Yerington</v>
      </c>
      <c r="S78" s="416" t="str">
        <f>INDEX(LoadMaster!$DC:$DC,MATCH(B78,LoadMaster!$C:$C,0))</f>
        <v>Sunny</v>
      </c>
      <c r="T78" s="48">
        <f>INDEX(LoadMaster!$DA:$DA,MATCH(B78,LoadMaster!$C:$C,0))</f>
        <v>49</v>
      </c>
      <c r="U78" s="110">
        <f>Table2[[#This Row],[WeekEndingDate]]+7</f>
        <v>42251</v>
      </c>
      <c r="V78" s="14">
        <f t="shared" si="8"/>
        <v>8</v>
      </c>
      <c r="W78" s="18">
        <f t="shared" si="9"/>
        <v>2015</v>
      </c>
    </row>
    <row r="79" spans="1:23" s="68" customFormat="1">
      <c r="A79" s="15" t="str">
        <f>INDEX(LoadMaster!$A:$A,MATCH(B79,LoadMaster!$C:$C,0))</f>
        <v>818149</v>
      </c>
      <c r="B79" s="55">
        <v>6011581</v>
      </c>
      <c r="C79" s="18" t="str">
        <f>VLOOKUP(Table2[[#This Row],[BrokerConfNo]],LoadMaster!C:D,2,FALSE)</f>
        <v>Tql</v>
      </c>
      <c r="D79" s="26">
        <v>42256</v>
      </c>
      <c r="E79" s="18" t="str">
        <f>IF(Table2[[#This Row],[UBActualReceived]]&gt;1,"Received","Pending")</f>
        <v>Received</v>
      </c>
      <c r="F79" s="21">
        <f>INDEX(LoadMaster!$CU:$CU,MATCH(B79,LoadMaster!$C:$C,0))</f>
        <v>650</v>
      </c>
      <c r="G79" s="132">
        <f>INDEX(LoadMaster!$CX:$CX,MATCH(B79,LoadMaster!$C:$C,0))</f>
        <v>630.5</v>
      </c>
      <c r="H79" s="132">
        <f>INDEX(LoadMaster!$CW:$CW,MATCH(B79,LoadMaster!$C:$C,0))</f>
        <v>600</v>
      </c>
      <c r="I79" s="331">
        <v>630.5</v>
      </c>
      <c r="J79" s="526">
        <v>600</v>
      </c>
      <c r="K79" s="27" t="str">
        <f t="shared" si="5"/>
        <v>Full</v>
      </c>
      <c r="L79" s="27">
        <f>INDEX(LoadMaster!$CT:$CT,MATCH(Table2[[#This Row],[BrokerConfNo]],LoadMaster!$C:$C,0))</f>
        <v>0</v>
      </c>
      <c r="M79" s="18" t="str">
        <f>INDEX(LoadMaster!$AO:$AO,MATCH(Table2[[#This Row],[BrokerConfNo]],LoadMaster!$C:$C,0))</f>
        <v>Albel</v>
      </c>
      <c r="N79" s="26">
        <f t="shared" si="6"/>
        <v>42244</v>
      </c>
      <c r="O79" s="109">
        <f t="shared" si="7"/>
        <v>42258</v>
      </c>
      <c r="P79" s="26">
        <f>INDEX(LoadMaster!$M:$M,MATCH(B79,LoadMaster!$C:$C,0))</f>
        <v>42244</v>
      </c>
      <c r="Q79" s="18" t="str">
        <f>INDEX(LoadMaster!$P:$P,MATCH(B79,LoadMaster!$C:$C,0))</f>
        <v>Fresno</v>
      </c>
      <c r="R79" s="18" t="str">
        <f>INDEX(LoadMaster!$AH:$AH,MATCH(B79,LoadMaster!$C:$C,0))</f>
        <v>Cottonwood</v>
      </c>
      <c r="S79" s="416" t="str">
        <f>INDEX(LoadMaster!$DC:$DC,MATCH(B79,LoadMaster!$C:$C,0))</f>
        <v>Sunny</v>
      </c>
      <c r="T79" s="48">
        <f>INDEX(LoadMaster!$DA:$DA,MATCH(B79,LoadMaster!$C:$C,0))</f>
        <v>30.5</v>
      </c>
      <c r="U79" s="110">
        <f>Table2[[#This Row],[WeekEndingDate]]+7</f>
        <v>42251</v>
      </c>
      <c r="V79" s="14">
        <f t="shared" si="8"/>
        <v>8</v>
      </c>
      <c r="W79" s="18">
        <f t="shared" si="9"/>
        <v>2015</v>
      </c>
    </row>
    <row r="80" spans="1:23" s="68" customFormat="1">
      <c r="A80" s="15" t="str">
        <f>INDEX(LoadMaster!$A:$A,MATCH(B80,LoadMaster!$C:$C,0))</f>
        <v>29171749</v>
      </c>
      <c r="B80" s="81">
        <v>180391629</v>
      </c>
      <c r="C80" s="416" t="str">
        <f>VLOOKUP(Table2[[#This Row],[BrokerConfNo]],LoadMaster!C:D,2,FALSE)</f>
        <v>Ch Robinson</v>
      </c>
      <c r="D80" s="104">
        <v>42256</v>
      </c>
      <c r="E80" s="416" t="str">
        <f>IF(Table2[[#This Row],[UBActualReceived]]&gt;1,"Received","Pending")</f>
        <v>Received</v>
      </c>
      <c r="F80" s="132">
        <f>INDEX(LoadMaster!$CU:$CU,MATCH(B80,LoadMaster!$C:$C,0))</f>
        <v>631.25</v>
      </c>
      <c r="G80" s="132">
        <f>INDEX(LoadMaster!$CX:$CX,MATCH(B80,LoadMaster!$C:$C,0))</f>
        <v>618.625</v>
      </c>
      <c r="H80" s="132">
        <f>INDEX(LoadMaster!$CW:$CW,MATCH(B80,LoadMaster!$C:$C,0))</f>
        <v>581.25</v>
      </c>
      <c r="I80" s="330">
        <v>618.63</v>
      </c>
      <c r="J80" s="525">
        <v>581.25</v>
      </c>
      <c r="K80" s="134" t="str">
        <f t="shared" si="5"/>
        <v>Full</v>
      </c>
      <c r="L80" s="134">
        <f>INDEX(LoadMaster!$CT:$CT,MATCH(Table2[[#This Row],[BrokerConfNo]],LoadMaster!$C:$C,0))</f>
        <v>31.25</v>
      </c>
      <c r="M80" s="416" t="str">
        <f>INDEX(LoadMaster!$AO:$AO,MATCH(Table2[[#This Row],[BrokerConfNo]],LoadMaster!$C:$C,0))</f>
        <v>Albel</v>
      </c>
      <c r="N80" s="104">
        <f t="shared" si="6"/>
        <v>42251</v>
      </c>
      <c r="O80" s="135">
        <f t="shared" si="7"/>
        <v>42265</v>
      </c>
      <c r="P80" s="104">
        <f>INDEX(LoadMaster!$M:$M,MATCH(B80,LoadMaster!$C:$C,0))</f>
        <v>42247</v>
      </c>
      <c r="Q80" s="416" t="str">
        <f>INDEX(LoadMaster!$P:$P,MATCH(B80,LoadMaster!$C:$C,0))</f>
        <v>Redding</v>
      </c>
      <c r="R80" s="416" t="str">
        <f>INDEX(LoadMaster!$AH:$AH,MATCH(B80,LoadMaster!$C:$C,0))</f>
        <v>Fremont</v>
      </c>
      <c r="S80" s="416" t="str">
        <f>INDEX(LoadMaster!$DC:$DC,MATCH(B80,LoadMaster!$C:$C,0))</f>
        <v>Sunny</v>
      </c>
      <c r="T80" s="136">
        <f>INDEX(LoadMaster!$DA:$DA,MATCH(B80,LoadMaster!$C:$C,0))</f>
        <v>37.375</v>
      </c>
      <c r="U80" s="137">
        <f>Table2[[#This Row],[WeekEndingDate]]+7</f>
        <v>42258</v>
      </c>
      <c r="V80" s="15">
        <f t="shared" si="8"/>
        <v>8</v>
      </c>
      <c r="W80" s="416">
        <f t="shared" si="9"/>
        <v>2015</v>
      </c>
    </row>
    <row r="81" spans="1:23" s="68" customFormat="1">
      <c r="A81" s="15" t="str">
        <f>INDEX(LoadMaster!$A:$A,MATCH(B81,LoadMaster!$C:$C,0))</f>
        <v>76775916</v>
      </c>
      <c r="B81" s="81">
        <v>180015876</v>
      </c>
      <c r="C81" s="416" t="str">
        <f>VLOOKUP(Table2[[#This Row],[BrokerConfNo]],LoadMaster!C:D,2,FALSE)</f>
        <v>Ch Robinson</v>
      </c>
      <c r="D81" s="104">
        <v>42256</v>
      </c>
      <c r="E81" s="416" t="str">
        <f>IF(Table2[[#This Row],[UBActualReceived]]&gt;1,"Received","Pending")</f>
        <v>Received</v>
      </c>
      <c r="F81" s="132">
        <f>INDEX(LoadMaster!$CU:$CU,MATCH(B81,LoadMaster!$C:$C,0))</f>
        <v>600</v>
      </c>
      <c r="G81" s="132">
        <f>INDEX(LoadMaster!$CX:$CX,MATCH(B81,LoadMaster!$C:$C,0))</f>
        <v>588</v>
      </c>
      <c r="H81" s="132">
        <f>INDEX(LoadMaster!$CW:$CW,MATCH(B81,LoadMaster!$C:$C,0))</f>
        <v>540</v>
      </c>
      <c r="I81" s="330">
        <v>588</v>
      </c>
      <c r="J81" s="525">
        <v>540</v>
      </c>
      <c r="K81" s="134" t="str">
        <f t="shared" si="5"/>
        <v>Full</v>
      </c>
      <c r="L81" s="134">
        <f>INDEX(LoadMaster!$CT:$CT,MATCH(Table2[[#This Row],[BrokerConfNo]],LoadMaster!$C:$C,0))</f>
        <v>0</v>
      </c>
      <c r="M81" s="416" t="str">
        <f>INDEX(LoadMaster!$AO:$AO,MATCH(Table2[[#This Row],[BrokerConfNo]],LoadMaster!$C:$C,0))</f>
        <v>Christopher J.</v>
      </c>
      <c r="N81" s="104">
        <f t="shared" si="6"/>
        <v>42251</v>
      </c>
      <c r="O81" s="135">
        <f t="shared" si="7"/>
        <v>42258</v>
      </c>
      <c r="P81" s="104">
        <f>INDEX(LoadMaster!$M:$M,MATCH(B81,LoadMaster!$C:$C,0))</f>
        <v>42247</v>
      </c>
      <c r="Q81" s="416" t="str">
        <f>INDEX(LoadMaster!$P:$P,MATCH(B81,LoadMaster!$C:$C,0))</f>
        <v>Newark</v>
      </c>
      <c r="R81" s="416" t="str">
        <f>INDEX(LoadMaster!$AH:$AH,MATCH(B81,LoadMaster!$C:$C,0))</f>
        <v>San Luis Obispo</v>
      </c>
      <c r="S81" s="416" t="str">
        <f>INDEX(LoadMaster!$DC:$DC,MATCH(B81,LoadMaster!$C:$C,0))</f>
        <v>Sunny</v>
      </c>
      <c r="T81" s="136">
        <f>INDEX(LoadMaster!$DA:$DA,MATCH(B81,LoadMaster!$C:$C,0))</f>
        <v>48</v>
      </c>
      <c r="U81" s="137">
        <f>Table2[[#This Row],[WeekEndingDate]]+7</f>
        <v>42258</v>
      </c>
      <c r="V81" s="15">
        <f t="shared" si="8"/>
        <v>8</v>
      </c>
      <c r="W81" s="416">
        <f t="shared" si="9"/>
        <v>2015</v>
      </c>
    </row>
    <row r="82" spans="1:23" s="68" customFormat="1">
      <c r="A82" s="15" t="str">
        <f>INDEX(LoadMaster!$A:$A,MATCH(B82,LoadMaster!$C:$C,0))</f>
        <v>64159749</v>
      </c>
      <c r="B82" s="81">
        <v>180396164</v>
      </c>
      <c r="C82" s="416" t="str">
        <f>VLOOKUP(Table2[[#This Row],[BrokerConfNo]],LoadMaster!C:D,2,FALSE)</f>
        <v>Ch Robinson</v>
      </c>
      <c r="D82" s="104">
        <v>42256</v>
      </c>
      <c r="E82" s="416" t="str">
        <f>IF(Table2[[#This Row],[UBActualReceived]]&gt;1,"Received","Pending")</f>
        <v>Received</v>
      </c>
      <c r="F82" s="132">
        <f>INDEX(LoadMaster!$CU:$CU,MATCH(B82,LoadMaster!$C:$C,0))</f>
        <v>675</v>
      </c>
      <c r="G82" s="132">
        <f>INDEX(LoadMaster!$CX:$CX,MATCH(B82,LoadMaster!$C:$C,0))</f>
        <v>661.5</v>
      </c>
      <c r="H82" s="132">
        <f>INDEX(LoadMaster!$CW:$CW,MATCH(B82,LoadMaster!$C:$C,0))</f>
        <v>625</v>
      </c>
      <c r="I82" s="330">
        <v>661.5</v>
      </c>
      <c r="J82" s="525">
        <v>625</v>
      </c>
      <c r="K82" s="134" t="str">
        <f t="shared" si="5"/>
        <v>Full</v>
      </c>
      <c r="L82" s="134">
        <f>INDEX(LoadMaster!$CT:$CT,MATCH(Table2[[#This Row],[BrokerConfNo]],LoadMaster!$C:$C,0))</f>
        <v>25</v>
      </c>
      <c r="M82" s="416" t="str">
        <f>INDEX(LoadMaster!$AO:$AO,MATCH(Table2[[#This Row],[BrokerConfNo]],LoadMaster!$C:$C,0))</f>
        <v>Albel</v>
      </c>
      <c r="N82" s="104">
        <f t="shared" si="6"/>
        <v>42251</v>
      </c>
      <c r="O82" s="135">
        <f t="shared" si="7"/>
        <v>42265</v>
      </c>
      <c r="P82" s="104">
        <f>INDEX(LoadMaster!$M:$M,MATCH(B82,LoadMaster!$C:$C,0))</f>
        <v>42248</v>
      </c>
      <c r="Q82" s="416" t="str">
        <f>INDEX(LoadMaster!$P:$P,MATCH(B82,LoadMaster!$C:$C,0))</f>
        <v>Richmond</v>
      </c>
      <c r="R82" s="416" t="str">
        <f>INDEX(LoadMaster!$AH:$AH,MATCH(B82,LoadMaster!$C:$C,0))</f>
        <v>Woodland</v>
      </c>
      <c r="S82" s="416" t="str">
        <f>INDEX(LoadMaster!$DC:$DC,MATCH(B82,LoadMaster!$C:$C,0))</f>
        <v>Sunny</v>
      </c>
      <c r="T82" s="136">
        <f>INDEX(LoadMaster!$DA:$DA,MATCH(B82,LoadMaster!$C:$C,0))</f>
        <v>36.5</v>
      </c>
      <c r="U82" s="137">
        <f>Table2[[#This Row],[WeekEndingDate]]+7</f>
        <v>42258</v>
      </c>
      <c r="V82" s="15">
        <f t="shared" si="8"/>
        <v>9</v>
      </c>
      <c r="W82" s="416">
        <f t="shared" si="9"/>
        <v>2015</v>
      </c>
    </row>
    <row r="83" spans="1:23" s="68" customFormat="1">
      <c r="A83" s="15" t="str">
        <f>INDEX(LoadMaster!$A:$A,MATCH(B83,LoadMaster!$C:$C,0))</f>
        <v>89191916</v>
      </c>
      <c r="B83" s="81">
        <v>180513289</v>
      </c>
      <c r="C83" s="416" t="str">
        <f>VLOOKUP(Table2[[#This Row],[BrokerConfNo]],LoadMaster!C:D,2,FALSE)</f>
        <v>Ch Robinson</v>
      </c>
      <c r="D83" s="104">
        <v>42256</v>
      </c>
      <c r="E83" s="416" t="str">
        <f>IF(Table2[[#This Row],[UBActualReceived]]&gt;1,"Received","Pending")</f>
        <v>Received</v>
      </c>
      <c r="F83" s="132">
        <f>INDEX(LoadMaster!$CU:$CU,MATCH(B83,LoadMaster!$C:$C,0))</f>
        <v>600</v>
      </c>
      <c r="G83" s="132">
        <f>INDEX(LoadMaster!$CX:$CX,MATCH(B83,LoadMaster!$C:$C,0))</f>
        <v>588</v>
      </c>
      <c r="H83" s="132">
        <f>INDEX(LoadMaster!$CW:$CW,MATCH(B83,LoadMaster!$C:$C,0))</f>
        <v>540</v>
      </c>
      <c r="I83" s="330">
        <v>588</v>
      </c>
      <c r="J83" s="525">
        <v>540</v>
      </c>
      <c r="K83" s="134" t="str">
        <f t="shared" si="5"/>
        <v>Full</v>
      </c>
      <c r="L83" s="134">
        <f>INDEX(LoadMaster!$CT:$CT,MATCH(Table2[[#This Row],[BrokerConfNo]],LoadMaster!$C:$C,0))</f>
        <v>0</v>
      </c>
      <c r="M83" s="416" t="str">
        <f>INDEX(LoadMaster!$AO:$AO,MATCH(Table2[[#This Row],[BrokerConfNo]],LoadMaster!$C:$C,0))</f>
        <v>Christopher J.</v>
      </c>
      <c r="N83" s="104">
        <f t="shared" si="6"/>
        <v>42251</v>
      </c>
      <c r="O83" s="135">
        <f t="shared" si="7"/>
        <v>42258</v>
      </c>
      <c r="P83" s="104">
        <f>INDEX(LoadMaster!$M:$M,MATCH(B83,LoadMaster!$C:$C,0))</f>
        <v>42248</v>
      </c>
      <c r="Q83" s="416" t="str">
        <f>INDEX(LoadMaster!$P:$P,MATCH(B83,LoadMaster!$C:$C,0))</f>
        <v>Greenfield</v>
      </c>
      <c r="R83" s="416" t="str">
        <f>INDEX(LoadMaster!$AH:$AH,MATCH(B83,LoadMaster!$C:$C,0))</f>
        <v>Stockton</v>
      </c>
      <c r="S83" s="416" t="str">
        <f>INDEX(LoadMaster!$DC:$DC,MATCH(B83,LoadMaster!$C:$C,0))</f>
        <v>Sunny</v>
      </c>
      <c r="T83" s="136">
        <f>INDEX(LoadMaster!$DA:$DA,MATCH(B83,LoadMaster!$C:$C,0))</f>
        <v>48</v>
      </c>
      <c r="U83" s="137">
        <f>Table2[[#This Row],[WeekEndingDate]]+7</f>
        <v>42258</v>
      </c>
      <c r="V83" s="15">
        <f t="shared" si="8"/>
        <v>9</v>
      </c>
      <c r="W83" s="416">
        <f t="shared" si="9"/>
        <v>2015</v>
      </c>
    </row>
    <row r="84" spans="1:23" s="68" customFormat="1">
      <c r="A84" s="15" t="str">
        <f>INDEX(LoadMaster!$A:$A,MATCH(B84,LoadMaster!$C:$C,0))</f>
        <v>46784616</v>
      </c>
      <c r="B84" s="81">
        <v>180617246</v>
      </c>
      <c r="C84" s="416" t="str">
        <f>VLOOKUP(Table2[[#This Row],[BrokerConfNo]],LoadMaster!C:D,2,FALSE)</f>
        <v>Ch Robinson</v>
      </c>
      <c r="D84" s="104">
        <v>42262</v>
      </c>
      <c r="E84" s="416" t="str">
        <f>IF(Table2[[#This Row],[UBActualReceived]]&gt;1,"Received","Pending")</f>
        <v>Received</v>
      </c>
      <c r="F84" s="132">
        <f>INDEX(LoadMaster!$CU:$CU,MATCH(B84,LoadMaster!$C:$C,0))</f>
        <v>1850</v>
      </c>
      <c r="G84" s="132">
        <f>INDEX(LoadMaster!$CX:$CX,MATCH(B84,LoadMaster!$C:$C,0))</f>
        <v>1813</v>
      </c>
      <c r="H84" s="132">
        <f>INDEX(LoadMaster!$CW:$CW,MATCH(B84,LoadMaster!$C:$C,0))</f>
        <v>1665</v>
      </c>
      <c r="I84" s="330">
        <v>1813</v>
      </c>
      <c r="J84" s="525">
        <v>1665</v>
      </c>
      <c r="K84" s="134" t="str">
        <f t="shared" si="5"/>
        <v>Full</v>
      </c>
      <c r="L84" s="134">
        <f>INDEX(LoadMaster!$CT:$CT,MATCH(Table2[[#This Row],[BrokerConfNo]],LoadMaster!$C:$C,0))</f>
        <v>0</v>
      </c>
      <c r="M84" s="416" t="str">
        <f>INDEX(LoadMaster!$AO:$AO,MATCH(Table2[[#This Row],[BrokerConfNo]],LoadMaster!$C:$C,0))</f>
        <v>Christopher J.</v>
      </c>
      <c r="N84" s="104">
        <f t="shared" si="6"/>
        <v>42251</v>
      </c>
      <c r="O84" s="135">
        <f t="shared" si="7"/>
        <v>42258</v>
      </c>
      <c r="P84" s="104">
        <f>INDEX(LoadMaster!$M:$M,MATCH(B84,LoadMaster!$C:$C,0))</f>
        <v>42249</v>
      </c>
      <c r="Q84" s="416" t="str">
        <f>INDEX(LoadMaster!$P:$P,MATCH(B84,LoadMaster!$C:$C,0))</f>
        <v>Los Banos</v>
      </c>
      <c r="R84" s="416" t="str">
        <f>INDEX(LoadMaster!$AH:$AH,MATCH(B84,LoadMaster!$C:$C,0))</f>
        <v>Springville</v>
      </c>
      <c r="S84" s="416" t="str">
        <f>INDEX(LoadMaster!$DC:$DC,MATCH(B84,LoadMaster!$C:$C,0))</f>
        <v>Sunny</v>
      </c>
      <c r="T84" s="136">
        <f>INDEX(LoadMaster!$DA:$DA,MATCH(B84,LoadMaster!$C:$C,0))</f>
        <v>148</v>
      </c>
      <c r="U84" s="137">
        <f>Table2[[#This Row],[WeekEndingDate]]+7</f>
        <v>42258</v>
      </c>
      <c r="V84" s="15">
        <f t="shared" si="8"/>
        <v>9</v>
      </c>
      <c r="W84" s="416">
        <f t="shared" si="9"/>
        <v>2015</v>
      </c>
    </row>
    <row r="85" spans="1:23" s="18" customFormat="1">
      <c r="A85" s="15" t="str">
        <f>INDEX(LoadMaster!$A:$A,MATCH(B85,LoadMaster!$C:$C,0))</f>
        <v>849X9X49</v>
      </c>
      <c r="B85" s="55">
        <v>6015884</v>
      </c>
      <c r="C85" s="18" t="str">
        <f>VLOOKUP(Table2[[#This Row],[BrokerConfNo]],LoadMaster!C:D,2,FALSE)</f>
        <v>Tql</v>
      </c>
      <c r="D85" s="26">
        <v>42261</v>
      </c>
      <c r="E85" s="18" t="str">
        <f>IF(Table2[[#This Row],[UBActualReceived]]&gt;1,"Received","Pending")</f>
        <v>Received</v>
      </c>
      <c r="F85" s="21">
        <f>INDEX(LoadMaster!$CU:$CU,MATCH(B85,LoadMaster!$C:$C,0))</f>
        <v>650</v>
      </c>
      <c r="G85" s="132">
        <f>INDEX(LoadMaster!$CX:$CX,MATCH(B85,LoadMaster!$C:$C,0))</f>
        <v>630.5</v>
      </c>
      <c r="H85" s="132">
        <f>INDEX(LoadMaster!$CW:$CW,MATCH(B85,LoadMaster!$C:$C,0))</f>
        <v>600</v>
      </c>
      <c r="I85" s="331">
        <v>630.5</v>
      </c>
      <c r="J85" s="526">
        <v>600</v>
      </c>
      <c r="K85" s="27" t="str">
        <f t="shared" si="5"/>
        <v>Full</v>
      </c>
      <c r="L85" s="27">
        <f>INDEX(LoadMaster!$CT:$CT,MATCH(Table2[[#This Row],[BrokerConfNo]],LoadMaster!$C:$C,0))</f>
        <v>0</v>
      </c>
      <c r="M85" s="18" t="str">
        <f>INDEX(LoadMaster!$AO:$AO,MATCH(Table2[[#This Row],[BrokerConfNo]],LoadMaster!$C:$C,0))</f>
        <v>Albel</v>
      </c>
      <c r="N85" s="26">
        <f t="shared" si="6"/>
        <v>42251</v>
      </c>
      <c r="O85" s="109">
        <f t="shared" si="7"/>
        <v>42265</v>
      </c>
      <c r="P85" s="26">
        <f>INDEX(LoadMaster!$M:$M,MATCH(B85,LoadMaster!$C:$C,0))</f>
        <v>42249</v>
      </c>
      <c r="Q85" s="18" t="str">
        <f>INDEX(LoadMaster!$P:$P,MATCH(B85,LoadMaster!$C:$C,0))</f>
        <v>West Sacramento</v>
      </c>
      <c r="R85" s="18" t="str">
        <f>INDEX(LoadMaster!$AH:$AH,MATCH(B85,LoadMaster!$C:$C,0))</f>
        <v>Bakersfield</v>
      </c>
      <c r="S85" s="416" t="str">
        <f>INDEX(LoadMaster!$DC:$DC,MATCH(B85,LoadMaster!$C:$C,0))</f>
        <v>Sunny</v>
      </c>
      <c r="T85" s="48">
        <f>INDEX(LoadMaster!$DA:$DA,MATCH(B85,LoadMaster!$C:$C,0))</f>
        <v>30.5</v>
      </c>
      <c r="U85" s="110">
        <f>Table2[[#This Row],[WeekEndingDate]]+7</f>
        <v>42258</v>
      </c>
      <c r="V85" s="14">
        <f t="shared" si="8"/>
        <v>9</v>
      </c>
      <c r="W85" s="18">
        <f t="shared" si="9"/>
        <v>2015</v>
      </c>
    </row>
    <row r="86" spans="1:23" s="18" customFormat="1">
      <c r="A86" s="15" t="str">
        <f>INDEX(LoadMaster!$A:$A,MATCH(B86,LoadMaster!$C:$C,0))</f>
        <v>94le49</v>
      </c>
      <c r="B86" s="55">
        <v>1994</v>
      </c>
      <c r="C86" s="18" t="str">
        <f>VLOOKUP(Table2[[#This Row],[BrokerConfNo]],LoadMaster!C:D,2,FALSE)</f>
        <v>Golden State Brokers Inc</v>
      </c>
      <c r="D86" s="26">
        <v>42286</v>
      </c>
      <c r="E86" s="18" t="str">
        <f>IF(Table2[[#This Row],[UBActualReceived]]&gt;1,"Received","Pending")</f>
        <v>Received</v>
      </c>
      <c r="F86" s="21">
        <f>INDEX(LoadMaster!$CU:$CU,MATCH(B86,LoadMaster!$C:$C,0))</f>
        <v>950</v>
      </c>
      <c r="G86" s="132">
        <f>INDEX(LoadMaster!$CX:$CX,MATCH(B86,LoadMaster!$C:$C,0))</f>
        <v>950</v>
      </c>
      <c r="H86" s="132">
        <f>INDEX(LoadMaster!$CW:$CW,MATCH(B86,LoadMaster!$C:$C,0))</f>
        <v>900</v>
      </c>
      <c r="I86" s="331">
        <v>950</v>
      </c>
      <c r="J86" s="526">
        <v>900</v>
      </c>
      <c r="K86" s="27" t="str">
        <f t="shared" si="5"/>
        <v>Full</v>
      </c>
      <c r="L86" s="27">
        <f>INDEX(LoadMaster!$CT:$CT,MATCH(Table2[[#This Row],[BrokerConfNo]],LoadMaster!$C:$C,0))</f>
        <v>50</v>
      </c>
      <c r="M86" s="18" t="str">
        <f>INDEX(LoadMaster!$AO:$AO,MATCH(Table2[[#This Row],[BrokerConfNo]],LoadMaster!$C:$C,0))</f>
        <v>Albel</v>
      </c>
      <c r="N86" s="26">
        <f t="shared" si="6"/>
        <v>42251</v>
      </c>
      <c r="O86" s="109">
        <f t="shared" si="7"/>
        <v>42265</v>
      </c>
      <c r="P86" s="26">
        <f>INDEX(LoadMaster!$M:$M,MATCH(B86,LoadMaster!$C:$C,0))</f>
        <v>42250</v>
      </c>
      <c r="Q86" s="18" t="str">
        <f>INDEX(LoadMaster!$P:$P,MATCH(B86,LoadMaster!$C:$C,0))</f>
        <v>Bakersfield</v>
      </c>
      <c r="R86" s="18" t="str">
        <f>INDEX(LoadMaster!$AH:$AH,MATCH(B86,LoadMaster!$C:$C,0))</f>
        <v>Live Oak</v>
      </c>
      <c r="S86" s="416" t="str">
        <f>INDEX(LoadMaster!$DC:$DC,MATCH(B86,LoadMaster!$C:$C,0))</f>
        <v>Sunny</v>
      </c>
      <c r="T86" s="48">
        <f>INDEX(LoadMaster!$DA:$DA,MATCH(B86,LoadMaster!$C:$C,0))</f>
        <v>50</v>
      </c>
      <c r="U86" s="110">
        <f>Table2[[#This Row],[WeekEndingDate]]+7</f>
        <v>42258</v>
      </c>
      <c r="V86" s="14">
        <f t="shared" si="8"/>
        <v>9</v>
      </c>
      <c r="W86" s="18">
        <f t="shared" si="9"/>
        <v>2015</v>
      </c>
    </row>
    <row r="87" spans="1:23" s="68" customFormat="1">
      <c r="A87" s="15" t="str">
        <f>INDEX(LoadMaster!$A:$A,MATCH(B87,LoadMaster!$C:$C,0))</f>
        <v>33471749</v>
      </c>
      <c r="B87" s="81">
        <v>180950633</v>
      </c>
      <c r="C87" s="416" t="str">
        <f>VLOOKUP(Table2[[#This Row],[BrokerConfNo]],LoadMaster!C:D,2,FALSE)</f>
        <v>Ch Robinson</v>
      </c>
      <c r="D87" s="104">
        <v>42262</v>
      </c>
      <c r="E87" s="416" t="str">
        <f>IF(Table2[[#This Row],[UBActualReceived]]&gt;1,"Received","Pending")</f>
        <v>Received</v>
      </c>
      <c r="F87" s="132">
        <f>INDEX(LoadMaster!$CU:$CU,MATCH(B87,LoadMaster!$C:$C,0))</f>
        <v>580</v>
      </c>
      <c r="G87" s="132">
        <f>INDEX(LoadMaster!$CX:$CX,MATCH(B87,LoadMaster!$C:$C,0))</f>
        <v>568.4</v>
      </c>
      <c r="H87" s="132">
        <f>INDEX(LoadMaster!$CW:$CW,MATCH(B87,LoadMaster!$C:$C,0))</f>
        <v>530</v>
      </c>
      <c r="I87" s="330">
        <v>568.4</v>
      </c>
      <c r="J87" s="525">
        <v>530</v>
      </c>
      <c r="K87" s="134" t="str">
        <f t="shared" si="5"/>
        <v>Full</v>
      </c>
      <c r="L87" s="134">
        <f>INDEX(LoadMaster!$CT:$CT,MATCH(Table2[[#This Row],[BrokerConfNo]],LoadMaster!$C:$C,0))</f>
        <v>30</v>
      </c>
      <c r="M87" s="416" t="str">
        <f>INDEX(LoadMaster!$AO:$AO,MATCH(Table2[[#This Row],[BrokerConfNo]],LoadMaster!$C:$C,0))</f>
        <v>Albel</v>
      </c>
      <c r="N87" s="104">
        <f t="shared" si="6"/>
        <v>42251</v>
      </c>
      <c r="O87" s="135">
        <f t="shared" si="7"/>
        <v>42265</v>
      </c>
      <c r="P87" s="104">
        <f>INDEX(LoadMaster!$M:$M,MATCH(B87,LoadMaster!$C:$C,0))</f>
        <v>42251</v>
      </c>
      <c r="Q87" s="416" t="str">
        <f>INDEX(LoadMaster!$P:$P,MATCH(B87,LoadMaster!$C:$C,0))</f>
        <v> Stockton</v>
      </c>
      <c r="R87" s="416" t="str">
        <f>INDEX(LoadMaster!$AH:$AH,MATCH(B87,LoadMaster!$C:$C,0))</f>
        <v>Selma</v>
      </c>
      <c r="S87" s="416" t="str">
        <f>INDEX(LoadMaster!$DC:$DC,MATCH(B87,LoadMaster!$C:$C,0))</f>
        <v>Sunny</v>
      </c>
      <c r="T87" s="136">
        <f>INDEX(LoadMaster!$DA:$DA,MATCH(B87,LoadMaster!$C:$C,0))</f>
        <v>38.4</v>
      </c>
      <c r="U87" s="137">
        <f>Table2[[#This Row],[WeekEndingDate]]+7</f>
        <v>42258</v>
      </c>
      <c r="V87" s="15">
        <f t="shared" si="8"/>
        <v>9</v>
      </c>
      <c r="W87" s="416">
        <f t="shared" si="9"/>
        <v>2015</v>
      </c>
    </row>
    <row r="88" spans="1:23" s="18" customFormat="1">
      <c r="A88" s="15" t="str">
        <f>INDEX(LoadMaster!$A:$A,MATCH(B88,LoadMaster!$C:$C,0))</f>
        <v>98er16</v>
      </c>
      <c r="B88" s="74">
        <v>6032998</v>
      </c>
      <c r="C88" s="17" t="str">
        <f>VLOOKUP(Table2[[#This Row],[BrokerConfNo]],LoadMaster!C:D,2,FALSE)</f>
        <v>Tql</v>
      </c>
      <c r="D88" s="19">
        <v>42263</v>
      </c>
      <c r="E88" s="18" t="str">
        <f>IF(Table2[[#This Row],[UBActualReceived]]&gt;1,"Received","Pending")</f>
        <v>Received</v>
      </c>
      <c r="F88" s="21">
        <f>INDEX(LoadMaster!$CU:$CU,MATCH(B88,LoadMaster!$C:$C,0))</f>
        <v>950</v>
      </c>
      <c r="G88" s="132">
        <f>INDEX(LoadMaster!$CX:$CX,MATCH(B88,LoadMaster!$C:$C,0))</f>
        <v>921.5</v>
      </c>
      <c r="H88" s="132">
        <f>INDEX(LoadMaster!$CW:$CW,MATCH(B88,LoadMaster!$C:$C,0))</f>
        <v>860</v>
      </c>
      <c r="I88" s="337">
        <v>921.5</v>
      </c>
      <c r="J88" s="526">
        <v>860</v>
      </c>
      <c r="K88" s="27" t="str">
        <f t="shared" si="5"/>
        <v>Full</v>
      </c>
      <c r="L88" s="27">
        <f>INDEX(LoadMaster!$CT:$CT,MATCH(Table2[[#This Row],[BrokerConfNo]],LoadMaster!$C:$C,0))</f>
        <v>50</v>
      </c>
      <c r="M88" s="18" t="str">
        <f>INDEX(LoadMaster!$AO:$AO,MATCH(Table2[[#This Row],[BrokerConfNo]],LoadMaster!$C:$C,0))</f>
        <v>Christopher J.</v>
      </c>
      <c r="N88" s="19">
        <f t="shared" si="6"/>
        <v>42251</v>
      </c>
      <c r="O88" s="109">
        <f t="shared" si="7"/>
        <v>42258</v>
      </c>
      <c r="P88" s="19">
        <f>INDEX(LoadMaster!$M:$M,MATCH(B88,LoadMaster!$C:$C,0))</f>
        <v>42251</v>
      </c>
      <c r="Q88" s="17" t="str">
        <f>INDEX(LoadMaster!$P:$P,MATCH(B88,LoadMaster!$C:$C,0))</f>
        <v>Myton</v>
      </c>
      <c r="R88" s="18" t="str">
        <f>INDEX(LoadMaster!$AH:$AH,MATCH(B88,LoadMaster!$C:$C,0))</f>
        <v>Tulare</v>
      </c>
      <c r="S88" s="416" t="str">
        <f>INDEX(LoadMaster!$DC:$DC,MATCH(B88,LoadMaster!$C:$C,0))</f>
        <v>Sunny</v>
      </c>
      <c r="T88" s="48">
        <f>INDEX(LoadMaster!$DA:$DA,MATCH(B88,LoadMaster!$C:$C,0))</f>
        <v>61.5</v>
      </c>
      <c r="U88" s="110">
        <f>Table2[[#This Row],[WeekEndingDate]]+7</f>
        <v>42258</v>
      </c>
      <c r="V88" s="14">
        <f t="shared" si="8"/>
        <v>9</v>
      </c>
      <c r="W88" s="18">
        <f t="shared" si="9"/>
        <v>2015</v>
      </c>
    </row>
    <row r="89" spans="1:23" s="18" customFormat="1">
      <c r="A89" s="15" t="str">
        <f>INDEX(LoadMaster!$A:$A,MATCH(B89,LoadMaster!$C:$C,0))</f>
        <v>500U-249</v>
      </c>
      <c r="B89" s="55">
        <v>6015850</v>
      </c>
      <c r="C89" s="18" t="str">
        <f>VLOOKUP(Table2[[#This Row],[BrokerConfNo]],LoadMaster!C:D,2,FALSE)</f>
        <v>Tql</v>
      </c>
      <c r="D89" s="26">
        <v>42263</v>
      </c>
      <c r="E89" s="18" t="str">
        <f>IF(Table2[[#This Row],[UBActualReceived]]&gt;1,"Received","Pending")</f>
        <v>Received</v>
      </c>
      <c r="F89" s="21">
        <f>INDEX(LoadMaster!$CU:$CU,MATCH(B89,LoadMaster!$C:$C,0))</f>
        <v>700</v>
      </c>
      <c r="G89" s="132">
        <f>INDEX(LoadMaster!$CX:$CX,MATCH(B89,LoadMaster!$C:$C,0))</f>
        <v>679</v>
      </c>
      <c r="H89" s="132">
        <f>INDEX(LoadMaster!$CW:$CW,MATCH(B89,LoadMaster!$C:$C,0))</f>
        <v>650</v>
      </c>
      <c r="I89" s="331">
        <v>679</v>
      </c>
      <c r="J89" s="526">
        <v>650</v>
      </c>
      <c r="K89" s="27" t="str">
        <f t="shared" si="5"/>
        <v>Full</v>
      </c>
      <c r="L89" s="27">
        <f>INDEX(LoadMaster!$CT:$CT,MATCH(Table2[[#This Row],[BrokerConfNo]],LoadMaster!$C:$C,0))</f>
        <v>0</v>
      </c>
      <c r="M89" s="18" t="str">
        <f>INDEX(LoadMaster!$AO:$AO,MATCH(Table2[[#This Row],[BrokerConfNo]],LoadMaster!$C:$C,0))</f>
        <v>Albel</v>
      </c>
      <c r="N89" s="26">
        <f t="shared" si="6"/>
        <v>42258</v>
      </c>
      <c r="O89" s="109">
        <f t="shared" si="7"/>
        <v>42272</v>
      </c>
      <c r="P89" s="26">
        <f>INDEX(LoadMaster!$M:$M,MATCH(B89,LoadMaster!$C:$C,0))</f>
        <v>42255</v>
      </c>
      <c r="Q89" s="18" t="str">
        <f>INDEX(LoadMaster!$P:$P,MATCH(B89,LoadMaster!$C:$C,0))</f>
        <v>West Sacramento</v>
      </c>
      <c r="R89" s="18" t="str">
        <f>INDEX(LoadMaster!$AH:$AH,MATCH(B89,LoadMaster!$C:$C,0))</f>
        <v>Santa Rosa, Watsonville</v>
      </c>
      <c r="S89" s="416" t="str">
        <f>INDEX(LoadMaster!$DC:$DC,MATCH(B89,LoadMaster!$C:$C,0))</f>
        <v>Sunny</v>
      </c>
      <c r="T89" s="48">
        <f>INDEX(LoadMaster!$DA:$DA,MATCH(B89,LoadMaster!$C:$C,0))</f>
        <v>29</v>
      </c>
      <c r="U89" s="110">
        <f>Table2[[#This Row],[WeekEndingDate]]+7</f>
        <v>42265</v>
      </c>
      <c r="V89" s="14">
        <f t="shared" si="8"/>
        <v>9</v>
      </c>
      <c r="W89" s="18">
        <f t="shared" si="9"/>
        <v>2015</v>
      </c>
    </row>
    <row r="90" spans="1:23" s="68" customFormat="1">
      <c r="A90" s="15" t="str">
        <f>INDEX(LoadMaster!$A:$A,MATCH(B90,LoadMaster!$C:$C,0))</f>
        <v>36519949</v>
      </c>
      <c r="B90" s="81">
        <v>180405036</v>
      </c>
      <c r="C90" s="416" t="str">
        <f>VLOOKUP(Table2[[#This Row],[BrokerConfNo]],LoadMaster!C:D,2,FALSE)</f>
        <v>Ch Robinson</v>
      </c>
      <c r="D90" s="104">
        <v>42264</v>
      </c>
      <c r="E90" s="416" t="str">
        <f>IF(Table2[[#This Row],[UBActualReceived]]&gt;1,"Received","Pending")</f>
        <v>Received</v>
      </c>
      <c r="F90" s="132">
        <f>INDEX(LoadMaster!$CU:$CU,MATCH(B90,LoadMaster!$C:$C,0))</f>
        <v>600</v>
      </c>
      <c r="G90" s="132">
        <f>INDEX(LoadMaster!$CX:$CX,MATCH(B90,LoadMaster!$C:$C,0))</f>
        <v>588</v>
      </c>
      <c r="H90" s="132">
        <f>INDEX(LoadMaster!$CW:$CW,MATCH(B90,LoadMaster!$C:$C,0))</f>
        <v>550</v>
      </c>
      <c r="I90" s="330">
        <v>588</v>
      </c>
      <c r="J90" s="525">
        <v>550</v>
      </c>
      <c r="K90" s="134" t="str">
        <f t="shared" si="5"/>
        <v>Full</v>
      </c>
      <c r="L90" s="134">
        <f>INDEX(LoadMaster!$CT:$CT,MATCH(Table2[[#This Row],[BrokerConfNo]],LoadMaster!$C:$C,0))</f>
        <v>0</v>
      </c>
      <c r="M90" s="416" t="str">
        <f>INDEX(LoadMaster!$AO:$AO,MATCH(Table2[[#This Row],[BrokerConfNo]],LoadMaster!$C:$C,0))</f>
        <v>Albel</v>
      </c>
      <c r="N90" s="104">
        <f t="shared" si="6"/>
        <v>42258</v>
      </c>
      <c r="O90" s="135">
        <f t="shared" si="7"/>
        <v>42272</v>
      </c>
      <c r="P90" s="104">
        <f>INDEX(LoadMaster!$M:$M,MATCH(B90,LoadMaster!$C:$C,0))</f>
        <v>42256</v>
      </c>
      <c r="Q90" s="416" t="str">
        <f>INDEX(LoadMaster!$P:$P,MATCH(B90,LoadMaster!$C:$C,0))</f>
        <v>Firebaugh</v>
      </c>
      <c r="R90" s="416" t="str">
        <f>INDEX(LoadMaster!$AH:$AH,MATCH(B90,LoadMaster!$C:$C,0))</f>
        <v>Hayward,</v>
      </c>
      <c r="S90" s="416" t="str">
        <f>INDEX(LoadMaster!$DC:$DC,MATCH(B90,LoadMaster!$C:$C,0))</f>
        <v>Sunny</v>
      </c>
      <c r="T90" s="136">
        <f>INDEX(LoadMaster!$DA:$DA,MATCH(B90,LoadMaster!$C:$C,0))</f>
        <v>38</v>
      </c>
      <c r="U90" s="137">
        <f>Table2[[#This Row],[WeekEndingDate]]+7</f>
        <v>42265</v>
      </c>
      <c r="V90" s="15">
        <f t="shared" si="8"/>
        <v>9</v>
      </c>
      <c r="W90" s="416">
        <f t="shared" si="9"/>
        <v>2015</v>
      </c>
    </row>
    <row r="91" spans="1:23" s="68" customFormat="1">
      <c r="A91" s="15" t="str">
        <f>INDEX(LoadMaster!$A:$A,MATCH(B91,LoadMaster!$C:$C,0))</f>
        <v>27anne49</v>
      </c>
      <c r="B91" s="81">
        <v>181285327</v>
      </c>
      <c r="C91" s="416" t="str">
        <f>VLOOKUP(Table2[[#This Row],[BrokerConfNo]],LoadMaster!C:D,2,FALSE)</f>
        <v>Ch Robinson</v>
      </c>
      <c r="D91" s="104">
        <v>42265</v>
      </c>
      <c r="E91" s="416" t="str">
        <f>IF(Table2[[#This Row],[UBActualReceived]]&gt;1,"Received","Pending")</f>
        <v>Received</v>
      </c>
      <c r="F91" s="132">
        <f>INDEX(LoadMaster!$CU:$CU,MATCH(B91,LoadMaster!$C:$C,0))</f>
        <v>400</v>
      </c>
      <c r="G91" s="132">
        <f>INDEX(LoadMaster!$CX:$CX,MATCH(B91,LoadMaster!$C:$C,0))</f>
        <v>392</v>
      </c>
      <c r="H91" s="132">
        <f>INDEX(LoadMaster!$CW:$CW,MATCH(B91,LoadMaster!$C:$C,0))</f>
        <v>350</v>
      </c>
      <c r="I91" s="330">
        <v>392</v>
      </c>
      <c r="J91" s="525">
        <v>350</v>
      </c>
      <c r="K91" s="134" t="str">
        <f t="shared" si="5"/>
        <v>Full</v>
      </c>
      <c r="L91" s="134">
        <f>INDEX(LoadMaster!$CT:$CT,MATCH(Table2[[#This Row],[BrokerConfNo]],LoadMaster!$C:$C,0))</f>
        <v>0</v>
      </c>
      <c r="M91" s="416" t="str">
        <f>INDEX(LoadMaster!$AO:$AO,MATCH(Table2[[#This Row],[BrokerConfNo]],LoadMaster!$C:$C,0))</f>
        <v>Albel</v>
      </c>
      <c r="N91" s="104">
        <f t="shared" si="6"/>
        <v>42258</v>
      </c>
      <c r="O91" s="135">
        <f t="shared" si="7"/>
        <v>42272</v>
      </c>
      <c r="P91" s="104">
        <f>INDEX(LoadMaster!$M:$M,MATCH(B91,LoadMaster!$C:$C,0))</f>
        <v>42257</v>
      </c>
      <c r="Q91" s="416" t="str">
        <f>INDEX(LoadMaster!$P:$P,MATCH(B91,LoadMaster!$C:$C,0))</f>
        <v>Milpitas</v>
      </c>
      <c r="R91" s="416" t="str">
        <f>INDEX(LoadMaster!$AH:$AH,MATCH(B91,LoadMaster!$C:$C,0))</f>
        <v>South Sanfrancisco</v>
      </c>
      <c r="S91" s="416" t="str">
        <f>INDEX(LoadMaster!$DC:$DC,MATCH(B91,LoadMaster!$C:$C,0))</f>
        <v>Sunny</v>
      </c>
      <c r="T91" s="136">
        <f>INDEX(LoadMaster!$DA:$DA,MATCH(B91,LoadMaster!$C:$C,0))</f>
        <v>42</v>
      </c>
      <c r="U91" s="137">
        <f>Table2[[#This Row],[WeekEndingDate]]+7</f>
        <v>42265</v>
      </c>
      <c r="V91" s="15">
        <f t="shared" si="8"/>
        <v>9</v>
      </c>
      <c r="W91" s="416">
        <f t="shared" si="9"/>
        <v>2015</v>
      </c>
    </row>
    <row r="92" spans="1:23" s="68" customFormat="1">
      <c r="A92" s="15" t="str">
        <f>INDEX(LoadMaster!$A:$A,MATCH(B92,LoadMaster!$C:$C,0))</f>
        <v>12523949</v>
      </c>
      <c r="B92" s="81">
        <v>181271412</v>
      </c>
      <c r="C92" s="416" t="str">
        <f>VLOOKUP(Table2[[#This Row],[BrokerConfNo]],LoadMaster!C:D,2,FALSE)</f>
        <v>Ch Robinson</v>
      </c>
      <c r="D92" s="104">
        <v>42264</v>
      </c>
      <c r="E92" s="416" t="str">
        <f>IF(Table2[[#This Row],[UBActualReceived]]&gt;1,"Received","Pending")</f>
        <v>Received</v>
      </c>
      <c r="F92" s="132">
        <f>INDEX(LoadMaster!$CU:$CU,MATCH(B92,LoadMaster!$C:$C,0))</f>
        <v>500</v>
      </c>
      <c r="G92" s="132">
        <f>INDEX(LoadMaster!$CX:$CX,MATCH(B92,LoadMaster!$C:$C,0))</f>
        <v>490</v>
      </c>
      <c r="H92" s="132">
        <f>INDEX(LoadMaster!$CW:$CW,MATCH(B92,LoadMaster!$C:$C,0))</f>
        <v>450</v>
      </c>
      <c r="I92" s="330">
        <v>490</v>
      </c>
      <c r="J92" s="525">
        <v>450</v>
      </c>
      <c r="K92" s="134" t="str">
        <f t="shared" si="5"/>
        <v>Full</v>
      </c>
      <c r="L92" s="134">
        <f>INDEX(LoadMaster!$CT:$CT,MATCH(Table2[[#This Row],[BrokerConfNo]],LoadMaster!$C:$C,0))</f>
        <v>0</v>
      </c>
      <c r="M92" s="416" t="str">
        <f>INDEX(LoadMaster!$AO:$AO,MATCH(Table2[[#This Row],[BrokerConfNo]],LoadMaster!$C:$C,0))</f>
        <v>Albel</v>
      </c>
      <c r="N92" s="104">
        <f t="shared" si="6"/>
        <v>42258</v>
      </c>
      <c r="O92" s="135">
        <f t="shared" si="7"/>
        <v>42272</v>
      </c>
      <c r="P92" s="104">
        <f>INDEX(LoadMaster!$M:$M,MATCH(B92,LoadMaster!$C:$C,0))</f>
        <v>42257</v>
      </c>
      <c r="Q92" s="416" t="str">
        <f>INDEX(LoadMaster!$P:$P,MATCH(B92,LoadMaster!$C:$C,0))</f>
        <v>Newark</v>
      </c>
      <c r="R92" s="416" t="str">
        <f>INDEX(LoadMaster!$AH:$AH,MATCH(B92,LoadMaster!$C:$C,0))</f>
        <v>Firebaugh</v>
      </c>
      <c r="S92" s="416" t="str">
        <f>INDEX(LoadMaster!$DC:$DC,MATCH(B92,LoadMaster!$C:$C,0))</f>
        <v>Sunny</v>
      </c>
      <c r="T92" s="136">
        <f>INDEX(LoadMaster!$DA:$DA,MATCH(B92,LoadMaster!$C:$C,0))</f>
        <v>40</v>
      </c>
      <c r="U92" s="137">
        <f>Table2[[#This Row],[WeekEndingDate]]+7</f>
        <v>42265</v>
      </c>
      <c r="V92" s="15">
        <f t="shared" si="8"/>
        <v>9</v>
      </c>
      <c r="W92" s="416">
        <f t="shared" si="9"/>
        <v>2015</v>
      </c>
    </row>
    <row r="93" spans="1:23" s="68" customFormat="1">
      <c r="A93" s="15" t="str">
        <f>INDEX(LoadMaster!$A:$A,MATCH(B93,LoadMaster!$C:$C,0))</f>
        <v>56050516</v>
      </c>
      <c r="B93" s="81">
        <v>180878956</v>
      </c>
      <c r="C93" s="416" t="str">
        <f>VLOOKUP(Table2[[#This Row],[BrokerConfNo]],LoadMaster!C:D,2,FALSE)</f>
        <v>Ch Robinson</v>
      </c>
      <c r="D93" s="104">
        <v>42264</v>
      </c>
      <c r="E93" s="416" t="str">
        <f>IF(Table2[[#This Row],[UBActualReceived]]&gt;1,"Received","Pending")</f>
        <v>Received</v>
      </c>
      <c r="F93" s="132">
        <f>INDEX(LoadMaster!$CU:$CU,MATCH(B93,LoadMaster!$C:$C,0))</f>
        <v>850</v>
      </c>
      <c r="G93" s="132">
        <f>INDEX(LoadMaster!$CX:$CX,MATCH(B93,LoadMaster!$C:$C,0))</f>
        <v>833</v>
      </c>
      <c r="H93" s="132">
        <f>INDEX(LoadMaster!$CW:$CW,MATCH(B93,LoadMaster!$C:$C,0))</f>
        <v>765</v>
      </c>
      <c r="I93" s="330">
        <v>833</v>
      </c>
      <c r="J93" s="525">
        <v>765</v>
      </c>
      <c r="K93" s="134" t="str">
        <f t="shared" si="5"/>
        <v>Full</v>
      </c>
      <c r="L93" s="134">
        <f>INDEX(LoadMaster!$CT:$CT,MATCH(Table2[[#This Row],[BrokerConfNo]],LoadMaster!$C:$C,0))</f>
        <v>0</v>
      </c>
      <c r="M93" s="416" t="str">
        <f>INDEX(LoadMaster!$AO:$AO,MATCH(Table2[[#This Row],[BrokerConfNo]],LoadMaster!$C:$C,0))</f>
        <v>Christopher J.</v>
      </c>
      <c r="N93" s="104">
        <f t="shared" si="6"/>
        <v>42258</v>
      </c>
      <c r="O93" s="135">
        <f t="shared" si="7"/>
        <v>42265</v>
      </c>
      <c r="P93" s="104">
        <f>INDEX(LoadMaster!$M:$M,MATCH(B93,LoadMaster!$C:$C,0))</f>
        <v>42257</v>
      </c>
      <c r="Q93" s="416" t="str">
        <f>INDEX(LoadMaster!$P:$P,MATCH(B93,LoadMaster!$C:$C,0))</f>
        <v>Lathrop</v>
      </c>
      <c r="R93" s="416" t="str">
        <f>INDEX(LoadMaster!$AH:$AH,MATCH(B93,LoadMaster!$C:$C,0))</f>
        <v>San Juan Capistrano</v>
      </c>
      <c r="S93" s="416" t="str">
        <f>INDEX(LoadMaster!$DC:$DC,MATCH(B93,LoadMaster!$C:$C,0))</f>
        <v>Sunny</v>
      </c>
      <c r="T93" s="136">
        <f>INDEX(LoadMaster!$DA:$DA,MATCH(B93,LoadMaster!$C:$C,0))</f>
        <v>68</v>
      </c>
      <c r="U93" s="137">
        <f>Table2[[#This Row],[WeekEndingDate]]+7</f>
        <v>42265</v>
      </c>
      <c r="V93" s="15">
        <f t="shared" si="8"/>
        <v>9</v>
      </c>
      <c r="W93" s="416">
        <f t="shared" si="9"/>
        <v>2015</v>
      </c>
    </row>
    <row r="94" spans="1:23" s="18" customFormat="1">
      <c r="A94" s="15" t="str">
        <f>INDEX(LoadMaster!$A:$A,MATCH(B94,LoadMaster!$C:$C,0))</f>
        <v>91leme16</v>
      </c>
      <c r="B94" s="55">
        <v>6050091</v>
      </c>
      <c r="C94" s="18" t="str">
        <f>VLOOKUP(Table2[[#This Row],[BrokerConfNo]],LoadMaster!C:D,2,FALSE)</f>
        <v>Tql</v>
      </c>
      <c r="D94" s="26">
        <v>42269</v>
      </c>
      <c r="E94" s="18" t="str">
        <f>IF(Table2[[#This Row],[UBActualReceived]]&gt;1,"Received","Pending")</f>
        <v>Received</v>
      </c>
      <c r="F94" s="21">
        <f>INDEX(LoadMaster!$CU:$CU,MATCH(B94,LoadMaster!$C:$C,0))</f>
        <v>775</v>
      </c>
      <c r="G94" s="132">
        <f>INDEX(LoadMaster!$CX:$CX,MATCH(B94,LoadMaster!$C:$C,0))</f>
        <v>751.75</v>
      </c>
      <c r="H94" s="132">
        <f>INDEX(LoadMaster!$CW:$CW,MATCH(B94,LoadMaster!$C:$C,0))</f>
        <v>697.5</v>
      </c>
      <c r="I94" s="331">
        <v>751.75</v>
      </c>
      <c r="J94" s="526">
        <v>697.5</v>
      </c>
      <c r="K94" s="27" t="str">
        <f t="shared" si="5"/>
        <v>Full</v>
      </c>
      <c r="L94" s="27">
        <f>INDEX(LoadMaster!$CT:$CT,MATCH(Table2[[#This Row],[BrokerConfNo]],LoadMaster!$C:$C,0))</f>
        <v>0</v>
      </c>
      <c r="M94" s="18" t="str">
        <f>INDEX(LoadMaster!$AO:$AO,MATCH(Table2[[#This Row],[BrokerConfNo]],LoadMaster!$C:$C,0))</f>
        <v>Christopher J.</v>
      </c>
      <c r="N94" s="26">
        <f t="shared" si="6"/>
        <v>42258</v>
      </c>
      <c r="O94" s="109">
        <f t="shared" si="7"/>
        <v>42265</v>
      </c>
      <c r="P94" s="26">
        <f>INDEX(LoadMaster!$M:$M,MATCH(B94,LoadMaster!$C:$C,0))</f>
        <v>42259</v>
      </c>
      <c r="Q94" s="18" t="str">
        <f>INDEX(LoadMaster!$P:$P,MATCH(B94,LoadMaster!$C:$C,0))</f>
        <v>Santa Fe Springs</v>
      </c>
      <c r="R94" s="18" t="str">
        <f>INDEX(LoadMaster!$AH:$AH,MATCH(B94,LoadMaster!$C:$C,0))</f>
        <v>Oakdale</v>
      </c>
      <c r="S94" s="416" t="str">
        <f>INDEX(LoadMaster!$DC:$DC,MATCH(B94,LoadMaster!$C:$C,0))</f>
        <v>Sunny</v>
      </c>
      <c r="T94" s="48">
        <f>INDEX(LoadMaster!$DA:$DA,MATCH(B94,LoadMaster!$C:$C,0))</f>
        <v>54.25</v>
      </c>
      <c r="U94" s="110">
        <f>Table2[[#This Row],[WeekEndingDate]]+7</f>
        <v>42265</v>
      </c>
      <c r="V94" s="14">
        <f t="shared" si="8"/>
        <v>9</v>
      </c>
      <c r="W94" s="18">
        <f t="shared" si="9"/>
        <v>2015</v>
      </c>
    </row>
    <row r="95" spans="1:23" s="18" customFormat="1">
      <c r="A95" s="15" t="str">
        <f>INDEX(LoadMaster!$A:$A,MATCH(B95,LoadMaster!$C:$C,0))</f>
        <v>03843549</v>
      </c>
      <c r="B95" s="55">
        <v>91303</v>
      </c>
      <c r="C95" s="18" t="str">
        <f>VLOOKUP(Table2[[#This Row],[BrokerConfNo]],LoadMaster!C:D,2,FALSE)</f>
        <v>Pepsi Logistics Company Inc</v>
      </c>
      <c r="D95" s="26">
        <v>42276</v>
      </c>
      <c r="E95" s="18" t="str">
        <f>IF(Table2[[#This Row],[UBActualReceived]]&gt;1,"Received","Pending")</f>
        <v>Received</v>
      </c>
      <c r="F95" s="21">
        <f>INDEX(LoadMaster!$CU:$CU,MATCH(B95,LoadMaster!$C:$C,0))</f>
        <v>550</v>
      </c>
      <c r="G95" s="132">
        <f>INDEX(LoadMaster!$CX:$CX,MATCH(B95,LoadMaster!$C:$C,0))</f>
        <v>536.25</v>
      </c>
      <c r="H95" s="132">
        <f>INDEX(LoadMaster!$CW:$CW,MATCH(B95,LoadMaster!$C:$C,0))</f>
        <v>500</v>
      </c>
      <c r="I95" s="331">
        <v>536.25</v>
      </c>
      <c r="J95" s="526">
        <v>500</v>
      </c>
      <c r="K95" s="27" t="str">
        <f t="shared" si="5"/>
        <v>Full</v>
      </c>
      <c r="L95" s="27">
        <f>INDEX(LoadMaster!$CT:$CT,MATCH(Table2[[#This Row],[BrokerConfNo]],LoadMaster!$C:$C,0))</f>
        <v>0</v>
      </c>
      <c r="M95" s="18" t="str">
        <f>INDEX(LoadMaster!$AO:$AO,MATCH(Table2[[#This Row],[BrokerConfNo]],LoadMaster!$C:$C,0))</f>
        <v>Albel</v>
      </c>
      <c r="N95" s="26">
        <f t="shared" si="6"/>
        <v>42265</v>
      </c>
      <c r="O95" s="109">
        <f t="shared" si="7"/>
        <v>42279</v>
      </c>
      <c r="P95" s="26">
        <f>INDEX(LoadMaster!$M:$M,MATCH(B95,LoadMaster!$C:$C,0))</f>
        <v>42261</v>
      </c>
      <c r="Q95" s="18" t="str">
        <f>INDEX(LoadMaster!$P:$P,MATCH(B95,LoadMaster!$C:$C,0))</f>
        <v>Martell</v>
      </c>
      <c r="R95" s="18" t="str">
        <f>INDEX(LoadMaster!$AH:$AH,MATCH(B95,LoadMaster!$C:$C,0))</f>
        <v>Goshen</v>
      </c>
      <c r="S95" s="416" t="str">
        <f>INDEX(LoadMaster!$DC:$DC,MATCH(B95,LoadMaster!$C:$C,0))</f>
        <v>Sunny</v>
      </c>
      <c r="T95" s="48">
        <f>INDEX(LoadMaster!$DA:$DA,MATCH(B95,LoadMaster!$C:$C,0))</f>
        <v>36.25</v>
      </c>
      <c r="U95" s="110">
        <f>Table2[[#This Row],[WeekEndingDate]]+7</f>
        <v>42272</v>
      </c>
      <c r="V95" s="14">
        <f t="shared" si="8"/>
        <v>9</v>
      </c>
      <c r="W95" s="18">
        <f t="shared" si="9"/>
        <v>2015</v>
      </c>
    </row>
    <row r="96" spans="1:23" s="68" customFormat="1">
      <c r="A96" s="15" t="str">
        <f>INDEX(LoadMaster!$A:$A,MATCH(B96,LoadMaster!$C:$C,0))</f>
        <v>00919149</v>
      </c>
      <c r="B96" s="81">
        <v>181536100</v>
      </c>
      <c r="C96" s="416" t="str">
        <f>VLOOKUP(Table2[[#This Row],[BrokerConfNo]],LoadMaster!C:D,2,FALSE)</f>
        <v>Ch Robinson</v>
      </c>
      <c r="D96" s="104">
        <v>42270</v>
      </c>
      <c r="E96" s="416" t="str">
        <f>IF(Table2[[#This Row],[UBActualReceived]]&gt;1,"Received","Pending")</f>
        <v>Received</v>
      </c>
      <c r="F96" s="132">
        <f>INDEX(LoadMaster!$CU:$CU,MATCH(B96,LoadMaster!$C:$C,0))</f>
        <v>675</v>
      </c>
      <c r="G96" s="132">
        <f>INDEX(LoadMaster!$CX:$CX,MATCH(B96,LoadMaster!$C:$C,0))</f>
        <v>661.5</v>
      </c>
      <c r="H96" s="132">
        <f>INDEX(LoadMaster!$CW:$CW,MATCH(B96,LoadMaster!$C:$C,0))</f>
        <v>625</v>
      </c>
      <c r="I96" s="330">
        <v>661.5</v>
      </c>
      <c r="J96" s="525">
        <v>625</v>
      </c>
      <c r="K96" s="134" t="str">
        <f t="shared" si="5"/>
        <v>Full</v>
      </c>
      <c r="L96" s="134">
        <f>INDEX(LoadMaster!$CT:$CT,MATCH(Table2[[#This Row],[BrokerConfNo]],LoadMaster!$C:$C,0))</f>
        <v>0</v>
      </c>
      <c r="M96" s="416" t="str">
        <f>INDEX(LoadMaster!$AO:$AO,MATCH(Table2[[#This Row],[BrokerConfNo]],LoadMaster!$C:$C,0))</f>
        <v>Albel</v>
      </c>
      <c r="N96" s="104">
        <f t="shared" si="6"/>
        <v>42265</v>
      </c>
      <c r="O96" s="135">
        <f t="shared" si="7"/>
        <v>42279</v>
      </c>
      <c r="P96" s="104">
        <f>INDEX(LoadMaster!$M:$M,MATCH(B96,LoadMaster!$C:$C,0))</f>
        <v>42262</v>
      </c>
      <c r="Q96" s="416" t="str">
        <f>INDEX(LoadMaster!$P:$P,MATCH(B96,LoadMaster!$C:$C,0))</f>
        <v>Merced</v>
      </c>
      <c r="R96" s="416" t="str">
        <f>INDEX(LoadMaster!$AH:$AH,MATCH(B96,LoadMaster!$C:$C,0))</f>
        <v>Hopland</v>
      </c>
      <c r="S96" s="416" t="str">
        <f>INDEX(LoadMaster!$DC:$DC,MATCH(B96,LoadMaster!$C:$C,0))</f>
        <v>Sunny</v>
      </c>
      <c r="T96" s="136">
        <f>INDEX(LoadMaster!$DA:$DA,MATCH(B96,LoadMaster!$C:$C,0))</f>
        <v>36.5</v>
      </c>
      <c r="U96" s="137">
        <f>Table2[[#This Row],[WeekEndingDate]]+7</f>
        <v>42272</v>
      </c>
      <c r="V96" s="15">
        <f t="shared" si="8"/>
        <v>9</v>
      </c>
      <c r="W96" s="416">
        <f t="shared" si="9"/>
        <v>2015</v>
      </c>
    </row>
    <row r="97" spans="1:23" s="18" customFormat="1">
      <c r="A97" s="15" t="str">
        <f>INDEX(LoadMaster!$A:$A,MATCH(B97,LoadMaster!$C:$C,0))</f>
        <v>52101049</v>
      </c>
      <c r="B97" s="55">
        <v>6205952</v>
      </c>
      <c r="C97" s="18" t="str">
        <f>VLOOKUP(Table2[[#This Row],[BrokerConfNo]],LoadMaster!C:D,2,FALSE)</f>
        <v>Coyote</v>
      </c>
      <c r="D97" s="26">
        <v>42271</v>
      </c>
      <c r="E97" s="18" t="str">
        <f>IF(Table2[[#This Row],[UBActualReceived]]&gt;1,"Received","Pending")</f>
        <v>Received</v>
      </c>
      <c r="F97" s="21">
        <f>INDEX(LoadMaster!$CU:$CU,MATCH(B97,LoadMaster!$C:$C,0))</f>
        <v>840</v>
      </c>
      <c r="G97" s="132">
        <f>INDEX(LoadMaster!$CX:$CX,MATCH(B97,LoadMaster!$C:$C,0))</f>
        <v>814.8</v>
      </c>
      <c r="H97" s="132">
        <f>INDEX(LoadMaster!$CW:$CW,MATCH(B97,LoadMaster!$C:$C,0))</f>
        <v>790</v>
      </c>
      <c r="I97" s="331">
        <v>814.8</v>
      </c>
      <c r="J97" s="526">
        <v>790</v>
      </c>
      <c r="K97" s="27" t="str">
        <f t="shared" si="5"/>
        <v>Full</v>
      </c>
      <c r="L97" s="27">
        <f>INDEX(LoadMaster!$CT:$CT,MATCH(Table2[[#This Row],[BrokerConfNo]],LoadMaster!$C:$C,0))</f>
        <v>140</v>
      </c>
      <c r="M97" s="18" t="str">
        <f>INDEX(LoadMaster!$AO:$AO,MATCH(Table2[[#This Row],[BrokerConfNo]],LoadMaster!$C:$C,0))</f>
        <v>Albel</v>
      </c>
      <c r="N97" s="26">
        <f t="shared" si="6"/>
        <v>42265</v>
      </c>
      <c r="O97" s="109">
        <f t="shared" si="7"/>
        <v>42279</v>
      </c>
      <c r="P97" s="26">
        <f>INDEX(LoadMaster!$M:$M,MATCH(B97,LoadMaster!$C:$C,0))</f>
        <v>42263</v>
      </c>
      <c r="Q97" s="18" t="str">
        <f>INDEX(LoadMaster!$P:$P,MATCH(B97,LoadMaster!$C:$C,0))</f>
        <v>Fairfield</v>
      </c>
      <c r="R97" s="18" t="str">
        <f>INDEX(LoadMaster!$AH:$AH,MATCH(B97,LoadMaster!$C:$C,0))</f>
        <v>Buelton</v>
      </c>
      <c r="S97" s="416" t="str">
        <f>INDEX(LoadMaster!$DC:$DC,MATCH(B97,LoadMaster!$C:$C,0))</f>
        <v>Sunny</v>
      </c>
      <c r="T97" s="48">
        <f>INDEX(LoadMaster!$DA:$DA,MATCH(B97,LoadMaster!$C:$C,0))</f>
        <v>24.8</v>
      </c>
      <c r="U97" s="110">
        <f>Table2[[#This Row],[WeekEndingDate]]+7</f>
        <v>42272</v>
      </c>
      <c r="V97" s="14">
        <f t="shared" si="8"/>
        <v>9</v>
      </c>
      <c r="W97" s="18">
        <f t="shared" si="9"/>
        <v>2015</v>
      </c>
    </row>
    <row r="98" spans="1:23" s="18" customFormat="1">
      <c r="A98" s="15" t="str">
        <f>INDEX(LoadMaster!$A:$A,MATCH(B98,LoadMaster!$C:$C,0))</f>
        <v>77070749</v>
      </c>
      <c r="B98" s="55">
        <v>6209177</v>
      </c>
      <c r="C98" s="18" t="str">
        <f>VLOOKUP(Table2[[#This Row],[BrokerConfNo]],LoadMaster!C:D,2,FALSE)</f>
        <v>Coyote</v>
      </c>
      <c r="D98" s="26">
        <v>42271</v>
      </c>
      <c r="E98" s="18" t="str">
        <f>IF(Table2[[#This Row],[UBActualReceived]]&gt;1,"Received","Pending")</f>
        <v>Received</v>
      </c>
      <c r="F98" s="21">
        <f>INDEX(LoadMaster!$CU:$CU,MATCH(B98,LoadMaster!$C:$C,0))</f>
        <v>500</v>
      </c>
      <c r="G98" s="132">
        <f>INDEX(LoadMaster!$CX:$CX,MATCH(B98,LoadMaster!$C:$C,0))</f>
        <v>485</v>
      </c>
      <c r="H98" s="132">
        <f>INDEX(LoadMaster!$CW:$CW,MATCH(B98,LoadMaster!$C:$C,0))</f>
        <v>450</v>
      </c>
      <c r="I98" s="331">
        <v>485</v>
      </c>
      <c r="J98" s="526">
        <v>450</v>
      </c>
      <c r="K98" s="27" t="str">
        <f t="shared" si="5"/>
        <v>Full</v>
      </c>
      <c r="L98" s="27">
        <f>INDEX(LoadMaster!$CT:$CT,MATCH(Table2[[#This Row],[BrokerConfNo]],LoadMaster!$C:$C,0))</f>
        <v>0</v>
      </c>
      <c r="M98" s="18" t="str">
        <f>INDEX(LoadMaster!$AO:$AO,MATCH(Table2[[#This Row],[BrokerConfNo]],LoadMaster!$C:$C,0))</f>
        <v>Albel</v>
      </c>
      <c r="N98" s="26">
        <f t="shared" si="6"/>
        <v>42265</v>
      </c>
      <c r="O98" s="109">
        <f t="shared" si="7"/>
        <v>42279</v>
      </c>
      <c r="P98" s="26">
        <f>INDEX(LoadMaster!$M:$M,MATCH(B98,LoadMaster!$C:$C,0))</f>
        <v>42264</v>
      </c>
      <c r="Q98" s="18" t="str">
        <f>INDEX(LoadMaster!$P:$P,MATCH(B98,LoadMaster!$C:$C,0))</f>
        <v>Santa Maria</v>
      </c>
      <c r="R98" s="18" t="str">
        <f>INDEX(LoadMaster!$AH:$AH,MATCH(B98,LoadMaster!$C:$C,0))</f>
        <v>City Of Industry</v>
      </c>
      <c r="S98" s="416" t="str">
        <f>INDEX(LoadMaster!$DC:$DC,MATCH(B98,LoadMaster!$C:$C,0))</f>
        <v>Sunny</v>
      </c>
      <c r="T98" s="48">
        <f>INDEX(LoadMaster!$DA:$DA,MATCH(B98,LoadMaster!$C:$C,0))</f>
        <v>35</v>
      </c>
      <c r="U98" s="110">
        <f>Table2[[#This Row],[WeekEndingDate]]+7</f>
        <v>42272</v>
      </c>
      <c r="V98" s="14">
        <f t="shared" si="8"/>
        <v>9</v>
      </c>
      <c r="W98" s="18">
        <f t="shared" si="9"/>
        <v>2015</v>
      </c>
    </row>
    <row r="99" spans="1:23" s="18" customFormat="1">
      <c r="A99" s="15" t="str">
        <f>INDEX(LoadMaster!$A:$A,MATCH(B99,LoadMaster!$C:$C,0))</f>
        <v>63leme49</v>
      </c>
      <c r="B99" s="55">
        <v>6067063</v>
      </c>
      <c r="C99" s="18" t="str">
        <f>VLOOKUP(Table2[[#This Row],[BrokerConfNo]],LoadMaster!C:D,2,FALSE)</f>
        <v>Tql</v>
      </c>
      <c r="D99" s="26">
        <v>42275</v>
      </c>
      <c r="E99" s="18" t="str">
        <f>IF(Table2[[#This Row],[UBActualReceived]]&gt;1,"Received","Pending")</f>
        <v>Received</v>
      </c>
      <c r="F99" s="21">
        <f>INDEX(LoadMaster!$CU:$CU,MATCH(B99,LoadMaster!$C:$C,0))</f>
        <v>700</v>
      </c>
      <c r="G99" s="132">
        <f>INDEX(LoadMaster!$CX:$CX,MATCH(B99,LoadMaster!$C:$C,0))</f>
        <v>679</v>
      </c>
      <c r="H99" s="132">
        <f>INDEX(LoadMaster!$CW:$CW,MATCH(B99,LoadMaster!$C:$C,0))</f>
        <v>650</v>
      </c>
      <c r="I99" s="331">
        <v>679</v>
      </c>
      <c r="J99" s="526">
        <v>650</v>
      </c>
      <c r="K99" s="27" t="str">
        <f t="shared" si="5"/>
        <v>Full</v>
      </c>
      <c r="L99" s="27">
        <f>INDEX(LoadMaster!$CT:$CT,MATCH(Table2[[#This Row],[BrokerConfNo]],LoadMaster!$C:$C,0))</f>
        <v>0</v>
      </c>
      <c r="M99" s="18" t="str">
        <f>INDEX(LoadMaster!$AO:$AO,MATCH(Table2[[#This Row],[BrokerConfNo]],LoadMaster!$C:$C,0))</f>
        <v>Albel</v>
      </c>
      <c r="N99" s="26">
        <f t="shared" si="6"/>
        <v>42265</v>
      </c>
      <c r="O99" s="109">
        <f t="shared" si="7"/>
        <v>42279</v>
      </c>
      <c r="P99" s="26">
        <f>INDEX(LoadMaster!$M:$M,MATCH(B99,LoadMaster!$C:$C,0))</f>
        <v>42265</v>
      </c>
      <c r="Q99" s="18" t="str">
        <f>INDEX(LoadMaster!$P:$P,MATCH(B99,LoadMaster!$C:$C,0))</f>
        <v>Santa Fe Springs</v>
      </c>
      <c r="R99" s="18" t="str">
        <f>INDEX(LoadMaster!$AH:$AH,MATCH(B99,LoadMaster!$C:$C,0))</f>
        <v>Oakdale</v>
      </c>
      <c r="S99" s="416" t="str">
        <f>INDEX(LoadMaster!$DC:$DC,MATCH(B99,LoadMaster!$C:$C,0))</f>
        <v>Sunny</v>
      </c>
      <c r="T99" s="48">
        <f>INDEX(LoadMaster!$DA:$DA,MATCH(B99,LoadMaster!$C:$C,0))</f>
        <v>29</v>
      </c>
      <c r="U99" s="110">
        <f>Table2[[#This Row],[WeekEndingDate]]+7</f>
        <v>42272</v>
      </c>
      <c r="V99" s="14">
        <f t="shared" si="8"/>
        <v>9</v>
      </c>
      <c r="W99" s="18">
        <f t="shared" si="9"/>
        <v>2015</v>
      </c>
    </row>
    <row r="100" spans="1:23" s="68" customFormat="1">
      <c r="A100" s="15" t="str">
        <f>INDEX(LoadMaster!$A:$A,MATCH(B100,LoadMaster!$C:$C,0))</f>
        <v>891149</v>
      </c>
      <c r="B100" s="81">
        <v>182039789</v>
      </c>
      <c r="C100" s="416" t="str">
        <f>VLOOKUP(Table2[[#This Row],[BrokerConfNo]],LoadMaster!C:D,2,FALSE)</f>
        <v>Ch Robinson</v>
      </c>
      <c r="D100" s="104">
        <v>42279</v>
      </c>
      <c r="E100" s="416" t="str">
        <f>IF(Table2[[#This Row],[UBActualReceived]]&gt;1,"Received","Pending")</f>
        <v>Received</v>
      </c>
      <c r="F100" s="132">
        <f>INDEX(LoadMaster!$CU:$CU,MATCH(B100,LoadMaster!$C:$C,0))</f>
        <v>775</v>
      </c>
      <c r="G100" s="132">
        <f>INDEX(LoadMaster!$CX:$CX,MATCH(B100,LoadMaster!$C:$C,0))</f>
        <v>759.5</v>
      </c>
      <c r="H100" s="132">
        <f>INDEX(LoadMaster!$CW:$CW,MATCH(B100,LoadMaster!$C:$C,0))</f>
        <v>725</v>
      </c>
      <c r="I100" s="330">
        <v>759.5</v>
      </c>
      <c r="J100" s="525">
        <v>725</v>
      </c>
      <c r="K100" s="134" t="str">
        <f t="shared" si="5"/>
        <v>Full</v>
      </c>
      <c r="L100" s="134">
        <f>INDEX(LoadMaster!$CT:$CT,MATCH(Table2[[#This Row],[BrokerConfNo]],LoadMaster!$C:$C,0))</f>
        <v>0</v>
      </c>
      <c r="M100" s="416" t="str">
        <f>INDEX(LoadMaster!$AO:$AO,MATCH(Table2[[#This Row],[BrokerConfNo]],LoadMaster!$C:$C,0))</f>
        <v>Albel</v>
      </c>
      <c r="N100" s="104">
        <f t="shared" si="6"/>
        <v>42272</v>
      </c>
      <c r="O100" s="135">
        <f t="shared" si="7"/>
        <v>42286</v>
      </c>
      <c r="P100" s="104">
        <f>INDEX(LoadMaster!$M:$M,MATCH(B100,LoadMaster!$C:$C,0))</f>
        <v>42268</v>
      </c>
      <c r="Q100" s="416" t="str">
        <f>INDEX(LoadMaster!$P:$P,MATCH(B100,LoadMaster!$C:$C,0))</f>
        <v>Fairfield</v>
      </c>
      <c r="R100" s="416" t="str">
        <f>INDEX(LoadMaster!$AH:$AH,MATCH(B100,LoadMaster!$C:$C,0))</f>
        <v>Paso Robles</v>
      </c>
      <c r="S100" s="416" t="str">
        <f>INDEX(LoadMaster!$DC:$DC,MATCH(B100,LoadMaster!$C:$C,0))</f>
        <v>Sunny</v>
      </c>
      <c r="T100" s="136">
        <f>INDEX(LoadMaster!$DA:$DA,MATCH(B100,LoadMaster!$C:$C,0))</f>
        <v>34.5</v>
      </c>
      <c r="U100" s="137">
        <f>Table2[[#This Row],[WeekEndingDate]]+7</f>
        <v>42279</v>
      </c>
      <c r="V100" s="15">
        <f t="shared" si="8"/>
        <v>9</v>
      </c>
      <c r="W100" s="416">
        <f t="shared" si="9"/>
        <v>2015</v>
      </c>
    </row>
    <row r="101" spans="1:23" s="68" customFormat="1">
      <c r="A101" s="15" t="str">
        <f>INDEX(LoadMaster!$A:$A,MATCH(B101,LoadMaster!$C:$C,0))</f>
        <v>91252549</v>
      </c>
      <c r="B101" s="81">
        <v>182087991</v>
      </c>
      <c r="C101" s="416" t="str">
        <f>VLOOKUP(Table2[[#This Row],[BrokerConfNo]],LoadMaster!C:D,2,FALSE)</f>
        <v>Ch Robinson</v>
      </c>
      <c r="D101" s="104">
        <v>42279</v>
      </c>
      <c r="E101" s="416" t="str">
        <f>IF(Table2[[#This Row],[UBActualReceived]]&gt;1,"Received","Pending")</f>
        <v>Received</v>
      </c>
      <c r="F101" s="132">
        <f>INDEX(LoadMaster!$CU:$CU,MATCH(B101,LoadMaster!$C:$C,0))</f>
        <v>800</v>
      </c>
      <c r="G101" s="132">
        <f>INDEX(LoadMaster!$CX:$CX,MATCH(B101,LoadMaster!$C:$C,0))</f>
        <v>784</v>
      </c>
      <c r="H101" s="132">
        <f>INDEX(LoadMaster!$CW:$CW,MATCH(B101,LoadMaster!$C:$C,0))</f>
        <v>750</v>
      </c>
      <c r="I101" s="330">
        <v>800</v>
      </c>
      <c r="J101" s="525">
        <v>750</v>
      </c>
      <c r="K101" s="134" t="str">
        <f t="shared" si="5"/>
        <v>Full</v>
      </c>
      <c r="L101" s="134">
        <f>INDEX(LoadMaster!$CT:$CT,MATCH(Table2[[#This Row],[BrokerConfNo]],LoadMaster!$C:$C,0))</f>
        <v>0</v>
      </c>
      <c r="M101" s="416" t="str">
        <f>INDEX(LoadMaster!$AO:$AO,MATCH(Table2[[#This Row],[BrokerConfNo]],LoadMaster!$C:$C,0))</f>
        <v>Albel</v>
      </c>
      <c r="N101" s="104">
        <f t="shared" si="6"/>
        <v>42272</v>
      </c>
      <c r="O101" s="135">
        <f t="shared" si="7"/>
        <v>42286</v>
      </c>
      <c r="P101" s="104">
        <f>INDEX(LoadMaster!$M:$M,MATCH(B101,LoadMaster!$C:$C,0))</f>
        <v>42269</v>
      </c>
      <c r="Q101" s="416" t="str">
        <f>INDEX(LoadMaster!$P:$P,MATCH(B101,LoadMaster!$C:$C,0))</f>
        <v>Fresno</v>
      </c>
      <c r="R101" s="416" t="str">
        <f>INDEX(LoadMaster!$AH:$AH,MATCH(B101,LoadMaster!$C:$C,0))</f>
        <v>Redding</v>
      </c>
      <c r="S101" s="416" t="str">
        <f>INDEX(LoadMaster!$DC:$DC,MATCH(B101,LoadMaster!$C:$C,0))</f>
        <v>Sunny</v>
      </c>
      <c r="T101" s="136">
        <f>INDEX(LoadMaster!$DA:$DA,MATCH(B101,LoadMaster!$C:$C,0))</f>
        <v>34</v>
      </c>
      <c r="U101" s="137">
        <f>Table2[[#This Row],[WeekEndingDate]]+7</f>
        <v>42279</v>
      </c>
      <c r="V101" s="15">
        <f t="shared" si="8"/>
        <v>9</v>
      </c>
      <c r="W101" s="416">
        <f t="shared" si="9"/>
        <v>2015</v>
      </c>
    </row>
    <row r="102" spans="1:23" s="68" customFormat="1">
      <c r="A102" s="15" t="str">
        <f>INDEX(LoadMaster!$A:$A,MATCH(B102,LoadMaster!$C:$C,0))</f>
        <v>24053949</v>
      </c>
      <c r="B102" s="81">
        <v>181323224</v>
      </c>
      <c r="C102" s="416" t="str">
        <f>VLOOKUP(Table2[[#This Row],[BrokerConfNo]],LoadMaster!C:D,2,FALSE)</f>
        <v>Ch Robinson</v>
      </c>
      <c r="D102" s="104">
        <v>42279</v>
      </c>
      <c r="E102" s="416" t="str">
        <f>IF(Table2[[#This Row],[UBActualReceived]]&gt;1,"Received","Pending")</f>
        <v>Received</v>
      </c>
      <c r="F102" s="132">
        <f>INDEX(LoadMaster!$CU:$CU,MATCH(B102,LoadMaster!$C:$C,0))</f>
        <v>700</v>
      </c>
      <c r="G102" s="132">
        <f>INDEX(LoadMaster!$CX:$CX,MATCH(B102,LoadMaster!$C:$C,0))</f>
        <v>686</v>
      </c>
      <c r="H102" s="132">
        <f>INDEX(LoadMaster!$CW:$CW,MATCH(B102,LoadMaster!$C:$C,0))</f>
        <v>650</v>
      </c>
      <c r="I102" s="330">
        <v>686</v>
      </c>
      <c r="J102" s="525">
        <v>650</v>
      </c>
      <c r="K102" s="134" t="str">
        <f t="shared" si="5"/>
        <v>Full</v>
      </c>
      <c r="L102" s="134">
        <f>INDEX(LoadMaster!$CT:$CT,MATCH(Table2[[#This Row],[BrokerConfNo]],LoadMaster!$C:$C,0))</f>
        <v>0</v>
      </c>
      <c r="M102" s="416" t="str">
        <f>INDEX(LoadMaster!$AO:$AO,MATCH(Table2[[#This Row],[BrokerConfNo]],LoadMaster!$C:$C,0))</f>
        <v>Albel</v>
      </c>
      <c r="N102" s="104">
        <f t="shared" si="6"/>
        <v>42272</v>
      </c>
      <c r="O102" s="135">
        <f t="shared" si="7"/>
        <v>42286</v>
      </c>
      <c r="P102" s="104">
        <f>INDEX(LoadMaster!$M:$M,MATCH(B102,LoadMaster!$C:$C,0))</f>
        <v>42270</v>
      </c>
      <c r="Q102" s="416" t="str">
        <f>INDEX(LoadMaster!$P:$P,MATCH(B102,LoadMaster!$C:$C,0))</f>
        <v>Weed</v>
      </c>
      <c r="R102" s="416" t="str">
        <f>INDEX(LoadMaster!$AH:$AH,MATCH(B102,LoadMaster!$C:$C,0))</f>
        <v>Tracy</v>
      </c>
      <c r="S102" s="416" t="str">
        <f>INDEX(LoadMaster!$DC:$DC,MATCH(B102,LoadMaster!$C:$C,0))</f>
        <v>Sunny</v>
      </c>
      <c r="T102" s="136">
        <f>INDEX(LoadMaster!$DA:$DA,MATCH(B102,LoadMaster!$C:$C,0))</f>
        <v>36</v>
      </c>
      <c r="U102" s="137">
        <f>Table2[[#This Row],[WeekEndingDate]]+7</f>
        <v>42279</v>
      </c>
      <c r="V102" s="15">
        <f t="shared" si="8"/>
        <v>9</v>
      </c>
      <c r="W102" s="416">
        <f t="shared" si="9"/>
        <v>2015</v>
      </c>
    </row>
    <row r="103" spans="1:23" s="18" customFormat="1">
      <c r="A103" s="15" t="str">
        <f>INDEX(LoadMaster!$A:$A,MATCH(B103,LoadMaster!$C:$C,0))</f>
        <v>68ne49</v>
      </c>
      <c r="B103" s="55">
        <v>446968</v>
      </c>
      <c r="C103" s="18" t="str">
        <f>VLOOKUP(Table2[[#This Row],[BrokerConfNo]],LoadMaster!C:D,2,FALSE)</f>
        <v>Scott Logistics Corp</v>
      </c>
      <c r="D103" s="26">
        <v>42285</v>
      </c>
      <c r="E103" s="18" t="str">
        <f>IF(Table2[[#This Row],[UBActualReceived]]&gt;1,"Received","Pending")</f>
        <v>Received</v>
      </c>
      <c r="F103" s="21">
        <f>INDEX(LoadMaster!$CU:$CU,MATCH(B103,LoadMaster!$C:$C,0))</f>
        <v>1300</v>
      </c>
      <c r="G103" s="132">
        <f>INDEX(LoadMaster!$CX:$CX,MATCH(B103,LoadMaster!$C:$C,0))</f>
        <v>1274</v>
      </c>
      <c r="H103" s="132">
        <f>INDEX(LoadMaster!$CW:$CW,MATCH(B103,LoadMaster!$C:$C,0))</f>
        <v>1250</v>
      </c>
      <c r="I103" s="331">
        <v>1300</v>
      </c>
      <c r="J103" s="526">
        <v>1250</v>
      </c>
      <c r="K103" s="27" t="str">
        <f t="shared" si="5"/>
        <v>Full</v>
      </c>
      <c r="L103" s="27">
        <f>INDEX(LoadMaster!$CT:$CT,MATCH(Table2[[#This Row],[BrokerConfNo]],LoadMaster!$C:$C,0))</f>
        <v>550</v>
      </c>
      <c r="M103" s="18" t="str">
        <f>INDEX(LoadMaster!$AO:$AO,MATCH(Table2[[#This Row],[BrokerConfNo]],LoadMaster!$C:$C,0))</f>
        <v>Albel</v>
      </c>
      <c r="N103" s="26">
        <f t="shared" si="6"/>
        <v>42272</v>
      </c>
      <c r="O103" s="109">
        <f t="shared" si="7"/>
        <v>42286</v>
      </c>
      <c r="P103" s="26">
        <f>INDEX(LoadMaster!$M:$M,MATCH(B103,LoadMaster!$C:$C,0))</f>
        <v>42271</v>
      </c>
      <c r="Q103" s="18" t="str">
        <f>INDEX(LoadMaster!$P:$P,MATCH(B103,LoadMaster!$C:$C,0))</f>
        <v>Santa Clara</v>
      </c>
      <c r="R103" s="18" t="str">
        <f>INDEX(LoadMaster!$AH:$AH,MATCH(B103,LoadMaster!$C:$C,0))</f>
        <v>Goshen</v>
      </c>
      <c r="S103" s="416" t="str">
        <f>INDEX(LoadMaster!$DC:$DC,MATCH(B103,LoadMaster!$C:$C,0))</f>
        <v>Sunny</v>
      </c>
      <c r="T103" s="48">
        <f>INDEX(LoadMaster!$DA:$DA,MATCH(B103,LoadMaster!$C:$C,0))</f>
        <v>24</v>
      </c>
      <c r="U103" s="110">
        <f>Table2[[#This Row],[WeekEndingDate]]+7</f>
        <v>42279</v>
      </c>
      <c r="V103" s="14">
        <f t="shared" si="8"/>
        <v>9</v>
      </c>
      <c r="W103" s="18">
        <f t="shared" si="9"/>
        <v>2015</v>
      </c>
    </row>
    <row r="104" spans="1:23" s="68" customFormat="1">
      <c r="A104" s="15" t="str">
        <f>INDEX(LoadMaster!$A:$A,MATCH(B104,LoadMaster!$C:$C,0))</f>
        <v>27626288</v>
      </c>
      <c r="B104" s="81">
        <v>182280027</v>
      </c>
      <c r="C104" s="416" t="str">
        <f>VLOOKUP(Table2[[#This Row],[BrokerConfNo]],LoadMaster!C:D,2,FALSE)</f>
        <v>Ch Robinson</v>
      </c>
      <c r="D104" s="104">
        <v>42283</v>
      </c>
      <c r="E104" s="416" t="str">
        <f>IF(Table2[[#This Row],[UBActualReceived]]&gt;1,"Received","Pending")</f>
        <v>Received</v>
      </c>
      <c r="F104" s="132">
        <f>INDEX(LoadMaster!$CU:$CU,MATCH(B104,LoadMaster!$C:$C,0))</f>
        <v>1010</v>
      </c>
      <c r="G104" s="132">
        <f>INDEX(LoadMaster!$CX:$CX,MATCH(B104,LoadMaster!$C:$C,0))</f>
        <v>989.8</v>
      </c>
      <c r="H104" s="132">
        <f>INDEX(LoadMaster!$CW:$CW,MATCH(B104,LoadMaster!$C:$C,0))</f>
        <v>947</v>
      </c>
      <c r="I104" s="330">
        <v>992</v>
      </c>
      <c r="J104" s="525">
        <v>947</v>
      </c>
      <c r="K104" s="134" t="str">
        <f t="shared" si="5"/>
        <v>Full</v>
      </c>
      <c r="L104" s="134">
        <f>INDEX(LoadMaster!$CT:$CT,MATCH(Table2[[#This Row],[BrokerConfNo]],LoadMaster!$C:$C,0))</f>
        <v>110</v>
      </c>
      <c r="M104" s="416" t="str">
        <f>INDEX(LoadMaster!$AO:$AO,MATCH(Table2[[#This Row],[BrokerConfNo]],LoadMaster!$C:$C,0))</f>
        <v>Wesley</v>
      </c>
      <c r="N104" s="104">
        <f t="shared" si="6"/>
        <v>42279</v>
      </c>
      <c r="O104" s="135">
        <f t="shared" si="7"/>
        <v>42286</v>
      </c>
      <c r="P104" s="104">
        <f>INDEX(LoadMaster!$M:$M,MATCH(B104,LoadMaster!$C:$C,0))</f>
        <v>42275</v>
      </c>
      <c r="Q104" s="416" t="str">
        <f>INDEX(LoadMaster!$P:$P,MATCH(B104,LoadMaster!$C:$C,0))</f>
        <v>Woodland</v>
      </c>
      <c r="R104" s="416" t="str">
        <f>INDEX(LoadMaster!$AH:$AH,MATCH(B104,LoadMaster!$C:$C,0))</f>
        <v>Vandenberg Afb</v>
      </c>
      <c r="S104" s="416" t="str">
        <f>INDEX(LoadMaster!$DC:$DC,MATCH(B104,LoadMaster!$C:$C,0))</f>
        <v>Sunny</v>
      </c>
      <c r="T104" s="136">
        <f>INDEX(LoadMaster!$DA:$DA,MATCH(B104,LoadMaster!$C:$C,0))</f>
        <v>42.8</v>
      </c>
      <c r="U104" s="137">
        <f>Table2[[#This Row],[WeekEndingDate]]+7</f>
        <v>42286</v>
      </c>
      <c r="V104" s="15">
        <f t="shared" si="8"/>
        <v>9</v>
      </c>
      <c r="W104" s="416">
        <f t="shared" si="9"/>
        <v>2015</v>
      </c>
    </row>
    <row r="105" spans="1:23" s="68" customFormat="1">
      <c r="A105" s="15" t="str">
        <f>INDEX(LoadMaster!$A:$A,MATCH(B105,LoadMaster!$C:$C,0))</f>
        <v>58122988</v>
      </c>
      <c r="B105" s="81">
        <v>182735358</v>
      </c>
      <c r="C105" s="416" t="str">
        <f>VLOOKUP(Table2[[#This Row],[BrokerConfNo]],LoadMaster!C:D,2,FALSE)</f>
        <v>Ch Robinson</v>
      </c>
      <c r="D105" s="104">
        <v>42285</v>
      </c>
      <c r="E105" s="416" t="str">
        <f>IF(Table2[[#This Row],[UBActualReceived]]&gt;1,"Received","Pending")</f>
        <v>Received</v>
      </c>
      <c r="F105" s="132">
        <f>INDEX(LoadMaster!$CU:$CU,MATCH(B105,LoadMaster!$C:$C,0))</f>
        <v>1000</v>
      </c>
      <c r="G105" s="132">
        <f>INDEX(LoadMaster!$CX:$CX,MATCH(B105,LoadMaster!$C:$C,0))</f>
        <v>980</v>
      </c>
      <c r="H105" s="132">
        <f>INDEX(LoadMaster!$CW:$CW,MATCH(B105,LoadMaster!$C:$C,0))</f>
        <v>944</v>
      </c>
      <c r="I105" s="330">
        <v>980</v>
      </c>
      <c r="J105" s="525">
        <v>944</v>
      </c>
      <c r="K105" s="134" t="str">
        <f t="shared" si="5"/>
        <v>Full</v>
      </c>
      <c r="L105" s="134">
        <f>INDEX(LoadMaster!$CT:$CT,MATCH(Table2[[#This Row],[BrokerConfNo]],LoadMaster!$C:$C,0))</f>
        <v>0</v>
      </c>
      <c r="M105" s="416" t="str">
        <f>INDEX(LoadMaster!$AO:$AO,MATCH(Table2[[#This Row],[BrokerConfNo]],LoadMaster!$C:$C,0))</f>
        <v>Wesley</v>
      </c>
      <c r="N105" s="104">
        <f t="shared" si="6"/>
        <v>42279</v>
      </c>
      <c r="O105" s="135">
        <f t="shared" si="7"/>
        <v>42286</v>
      </c>
      <c r="P105" s="104">
        <f>INDEX(LoadMaster!$M:$M,MATCH(B105,LoadMaster!$C:$C,0))</f>
        <v>42276</v>
      </c>
      <c r="Q105" s="416" t="str">
        <f>INDEX(LoadMaster!$P:$P,MATCH(B105,LoadMaster!$C:$C,0))</f>
        <v>Mcclellan</v>
      </c>
      <c r="R105" s="416" t="str">
        <f>INDEX(LoadMaster!$AH:$AH,MATCH(B105,LoadMaster!$C:$C,0))</f>
        <v>Adelanto</v>
      </c>
      <c r="S105" s="416" t="str">
        <f>INDEX(LoadMaster!$DC:$DC,MATCH(B105,LoadMaster!$C:$C,0))</f>
        <v>Sunny</v>
      </c>
      <c r="T105" s="136">
        <f>INDEX(LoadMaster!$DA:$DA,MATCH(B105,LoadMaster!$C:$C,0))</f>
        <v>36</v>
      </c>
      <c r="U105" s="137">
        <f>Table2[[#This Row],[WeekEndingDate]]+7</f>
        <v>42286</v>
      </c>
      <c r="V105" s="15">
        <f t="shared" si="8"/>
        <v>9</v>
      </c>
      <c r="W105" s="416">
        <f t="shared" si="9"/>
        <v>2015</v>
      </c>
    </row>
    <row r="106" spans="1:23" s="68" customFormat="1">
      <c r="A106" s="15" t="str">
        <f>INDEX(LoadMaster!$A:$A,MATCH(B106,LoadMaster!$C:$C,0))</f>
        <v>30626249</v>
      </c>
      <c r="B106" s="81">
        <v>182280230</v>
      </c>
      <c r="C106" s="416" t="str">
        <f>VLOOKUP(Table2[[#This Row],[BrokerConfNo]],LoadMaster!C:D,2,FALSE)</f>
        <v>Ch Robinson</v>
      </c>
      <c r="D106" s="104">
        <v>42285</v>
      </c>
      <c r="E106" s="416" t="str">
        <f>IF(Table2[[#This Row],[UBActualReceived]]&gt;1,"Received","Pending")</f>
        <v>Received</v>
      </c>
      <c r="F106" s="132">
        <f>INDEX(LoadMaster!$CU:$CU,MATCH(B106,LoadMaster!$C:$C,0))</f>
        <v>150</v>
      </c>
      <c r="G106" s="132">
        <f>INDEX(LoadMaster!$CX:$CX,MATCH(B106,LoadMaster!$C:$C,0))</f>
        <v>147</v>
      </c>
      <c r="H106" s="132">
        <f>INDEX(LoadMaster!$CW:$CW,MATCH(B106,LoadMaster!$C:$C,0))</f>
        <v>125</v>
      </c>
      <c r="I106" s="330">
        <v>147</v>
      </c>
      <c r="J106" s="525">
        <v>125</v>
      </c>
      <c r="K106" s="134" t="str">
        <f t="shared" si="5"/>
        <v>Full</v>
      </c>
      <c r="L106" s="134">
        <f>INDEX(LoadMaster!$CT:$CT,MATCH(Table2[[#This Row],[BrokerConfNo]],LoadMaster!$C:$C,0))</f>
        <v>0</v>
      </c>
      <c r="M106" s="416" t="str">
        <f>INDEX(LoadMaster!$AO:$AO,MATCH(Table2[[#This Row],[BrokerConfNo]],LoadMaster!$C:$C,0))</f>
        <v>Albel</v>
      </c>
      <c r="N106" s="104">
        <f t="shared" si="6"/>
        <v>42279</v>
      </c>
      <c r="O106" s="135">
        <f t="shared" si="7"/>
        <v>42293</v>
      </c>
      <c r="P106" s="104">
        <f>INDEX(LoadMaster!$M:$M,MATCH(B106,LoadMaster!$C:$C,0))</f>
        <v>42276</v>
      </c>
      <c r="Q106" s="416" t="str">
        <f>INDEX(LoadMaster!$P:$P,MATCH(B106,LoadMaster!$C:$C,0))</f>
        <v>Woodland</v>
      </c>
      <c r="R106" s="416" t="str">
        <f>INDEX(LoadMaster!$AH:$AH,MATCH(B106,LoadMaster!$C:$C,0))</f>
        <v>Vandenberg Afb</v>
      </c>
      <c r="S106" s="416" t="str">
        <f>INDEX(LoadMaster!$DC:$DC,MATCH(B106,LoadMaster!$C:$C,0))</f>
        <v>Sunny</v>
      </c>
      <c r="T106" s="136">
        <f>INDEX(LoadMaster!$DA:$DA,MATCH(B106,LoadMaster!$C:$C,0))</f>
        <v>22</v>
      </c>
      <c r="U106" s="137">
        <f>Table2[[#This Row],[WeekEndingDate]]+7</f>
        <v>42286</v>
      </c>
      <c r="V106" s="15">
        <f t="shared" si="8"/>
        <v>9</v>
      </c>
      <c r="W106" s="416">
        <f t="shared" si="9"/>
        <v>2015</v>
      </c>
    </row>
    <row r="107" spans="1:23" s="18" customFormat="1">
      <c r="A107" s="15" t="str">
        <f>INDEX(LoadMaster!$A:$A,MATCH(B107,LoadMaster!$C:$C,0))</f>
        <v>26333388</v>
      </c>
      <c r="B107" s="55">
        <v>261200339740126</v>
      </c>
      <c r="C107" s="18" t="str">
        <f>VLOOKUP(Table2[[#This Row],[BrokerConfNo]],LoadMaster!C:D,2,FALSE)</f>
        <v>Hub Group Inc</v>
      </c>
      <c r="D107" s="26">
        <v>42283</v>
      </c>
      <c r="E107" s="18" t="str">
        <f>IF(Table2[[#This Row],[UBActualReceived]]&gt;1,"Received","Pending")</f>
        <v>Received</v>
      </c>
      <c r="F107" s="21">
        <f>INDEX(LoadMaster!$CU:$CU,MATCH(B107,LoadMaster!$C:$C,0))</f>
        <v>500</v>
      </c>
      <c r="G107" s="132">
        <f>INDEX(LoadMaster!$CX:$CX,MATCH(B107,LoadMaster!$C:$C,0))</f>
        <v>490</v>
      </c>
      <c r="H107" s="132">
        <f>INDEX(LoadMaster!$CW:$CW,MATCH(B107,LoadMaster!$C:$C,0))</f>
        <v>465</v>
      </c>
      <c r="I107" s="331">
        <v>500</v>
      </c>
      <c r="J107" s="526">
        <v>465</v>
      </c>
      <c r="K107" s="27" t="str">
        <f t="shared" si="5"/>
        <v>Full</v>
      </c>
      <c r="L107" s="27">
        <f>INDEX(LoadMaster!$CT:$CT,MATCH(Table2[[#This Row],[BrokerConfNo]],LoadMaster!$C:$C,0))</f>
        <v>0</v>
      </c>
      <c r="M107" s="18" t="str">
        <f>INDEX(LoadMaster!$AO:$AO,MATCH(Table2[[#This Row],[BrokerConfNo]],LoadMaster!$C:$C,0))</f>
        <v>Wesley</v>
      </c>
      <c r="N107" s="26">
        <f t="shared" si="6"/>
        <v>42279</v>
      </c>
      <c r="O107" s="109">
        <f t="shared" si="7"/>
        <v>42286</v>
      </c>
      <c r="P107" s="26">
        <f>INDEX(LoadMaster!$M:$M,MATCH(B107,LoadMaster!$C:$C,0))</f>
        <v>42276</v>
      </c>
      <c r="Q107" s="18" t="str">
        <f>INDEX(LoadMaster!$P:$P,MATCH(B107,LoadMaster!$C:$C,0))</f>
        <v>Santa Maria</v>
      </c>
      <c r="R107" s="18" t="str">
        <f>INDEX(LoadMaster!$AH:$AH,MATCH(B107,LoadMaster!$C:$C,0))</f>
        <v>Fresno</v>
      </c>
      <c r="S107" s="416" t="str">
        <f>INDEX(LoadMaster!$DC:$DC,MATCH(B107,LoadMaster!$C:$C,0))</f>
        <v>Sunny</v>
      </c>
      <c r="T107" s="48">
        <f>INDEX(LoadMaster!$DA:$DA,MATCH(B107,LoadMaster!$C:$C,0))</f>
        <v>25</v>
      </c>
      <c r="U107" s="110">
        <f>Table2[[#This Row],[WeekEndingDate]]+7</f>
        <v>42286</v>
      </c>
      <c r="V107" s="14">
        <f t="shared" si="8"/>
        <v>9</v>
      </c>
      <c r="W107" s="18">
        <f t="shared" si="9"/>
        <v>2015</v>
      </c>
    </row>
    <row r="108" spans="1:23" s="18" customFormat="1">
      <c r="A108" s="15" t="str">
        <f>INDEX(LoadMaster!$A:$A,MATCH(B108,LoadMaster!$C:$C,0))</f>
        <v>30nunu49</v>
      </c>
      <c r="B108" s="81">
        <v>182872930</v>
      </c>
      <c r="C108" s="416" t="str">
        <f>VLOOKUP(Table2[[#This Row],[BrokerConfNo]],LoadMaster!C:D,2,FALSE)</f>
        <v>Ch Robinson</v>
      </c>
      <c r="D108" s="104">
        <v>42290</v>
      </c>
      <c r="E108" s="416" t="str">
        <f>IF(Table2[[#This Row],[UBActualReceived]]&gt;1,"Received","Pending")</f>
        <v>Received</v>
      </c>
      <c r="F108" s="132">
        <f>INDEX(LoadMaster!$CU:$CU,MATCH(B108,LoadMaster!$C:$C,0))</f>
        <v>150</v>
      </c>
      <c r="G108" s="132">
        <f>INDEX(LoadMaster!$CX:$CX,MATCH(B108,LoadMaster!$C:$C,0))</f>
        <v>147</v>
      </c>
      <c r="H108" s="132">
        <f>INDEX(LoadMaster!$CW:$CW,MATCH(B108,LoadMaster!$C:$C,0))</f>
        <v>125</v>
      </c>
      <c r="I108" s="330">
        <v>147</v>
      </c>
      <c r="J108" s="525">
        <v>125</v>
      </c>
      <c r="K108" s="134" t="str">
        <f t="shared" si="5"/>
        <v>Full</v>
      </c>
      <c r="L108" s="134">
        <f>INDEX(LoadMaster!$CT:$CT,MATCH(Table2[[#This Row],[BrokerConfNo]],LoadMaster!$C:$C,0))</f>
        <v>0</v>
      </c>
      <c r="M108" s="416" t="str">
        <f>INDEX(LoadMaster!$AO:$AO,MATCH(Table2[[#This Row],[BrokerConfNo]],LoadMaster!$C:$C,0))</f>
        <v>Albel</v>
      </c>
      <c r="N108" s="104">
        <f t="shared" si="6"/>
        <v>42279</v>
      </c>
      <c r="O108" s="135">
        <f t="shared" si="7"/>
        <v>42293</v>
      </c>
      <c r="P108" s="104">
        <f>INDEX(LoadMaster!$M:$M,MATCH(B108,LoadMaster!$C:$C,0))</f>
        <v>42277</v>
      </c>
      <c r="Q108" s="416" t="str">
        <f>INDEX(LoadMaster!$P:$P,MATCH(B108,LoadMaster!$C:$C,0))</f>
        <v>Paso Robles</v>
      </c>
      <c r="R108" s="416" t="str">
        <f>INDEX(LoadMaster!$AH:$AH,MATCH(B108,LoadMaster!$C:$C,0))</f>
        <v>American Canyon</v>
      </c>
      <c r="S108" s="416" t="str">
        <f>INDEX(LoadMaster!$DC:$DC,MATCH(B108,LoadMaster!$C:$C,0))</f>
        <v>Sunny</v>
      </c>
      <c r="T108" s="136">
        <f>INDEX(LoadMaster!$DA:$DA,MATCH(B108,LoadMaster!$C:$C,0))</f>
        <v>22</v>
      </c>
      <c r="U108" s="137">
        <f>Table2[[#This Row],[WeekEndingDate]]+7</f>
        <v>42286</v>
      </c>
      <c r="V108" s="15">
        <f t="shared" si="8"/>
        <v>9</v>
      </c>
      <c r="W108" s="416">
        <f t="shared" si="9"/>
        <v>2015</v>
      </c>
    </row>
    <row r="109" spans="1:23" s="68" customFormat="1">
      <c r="A109" s="15" t="str">
        <f>INDEX(LoadMaster!$A:$A,MATCH(B109,LoadMaster!$C:$C,0))</f>
        <v>6626fs49</v>
      </c>
      <c r="B109" s="55">
        <v>6120366</v>
      </c>
      <c r="C109" s="18" t="str">
        <f>VLOOKUP(Table2[[#This Row],[BrokerConfNo]],LoadMaster!C:D,2,FALSE)</f>
        <v>Tql</v>
      </c>
      <c r="D109" s="26">
        <v>42285</v>
      </c>
      <c r="E109" s="18" t="str">
        <f>IF(Table2[[#This Row],[UBActualReceived]]&gt;1,"Received","Pending")</f>
        <v>Received</v>
      </c>
      <c r="F109" s="21">
        <f>INDEX(LoadMaster!$CU:$CU,MATCH(B109,LoadMaster!$C:$C,0))</f>
        <v>650</v>
      </c>
      <c r="G109" s="132">
        <f>INDEX(LoadMaster!$CX:$CX,MATCH(B109,LoadMaster!$C:$C,0))</f>
        <v>630.5</v>
      </c>
      <c r="H109" s="132">
        <f>INDEX(LoadMaster!$CW:$CW,MATCH(B109,LoadMaster!$C:$C,0))</f>
        <v>600</v>
      </c>
      <c r="I109" s="331">
        <v>632</v>
      </c>
      <c r="J109" s="526">
        <v>600</v>
      </c>
      <c r="K109" s="27" t="str">
        <f t="shared" si="5"/>
        <v>Full</v>
      </c>
      <c r="L109" s="27">
        <f>INDEX(LoadMaster!$CT:$CT,MATCH(Table2[[#This Row],[BrokerConfNo]],LoadMaster!$C:$C,0))</f>
        <v>50</v>
      </c>
      <c r="M109" s="18" t="str">
        <f>INDEX(LoadMaster!$AO:$AO,MATCH(Table2[[#This Row],[BrokerConfNo]],LoadMaster!$C:$C,0))</f>
        <v>Albel</v>
      </c>
      <c r="N109" s="26">
        <f t="shared" si="6"/>
        <v>42279</v>
      </c>
      <c r="O109" s="109">
        <f t="shared" si="7"/>
        <v>42293</v>
      </c>
      <c r="P109" s="26">
        <f>INDEX(LoadMaster!$M:$M,MATCH(B109,LoadMaster!$C:$C,0))</f>
        <v>42277</v>
      </c>
      <c r="Q109" s="18" t="str">
        <f>INDEX(LoadMaster!$P:$P,MATCH(B109,LoadMaster!$C:$C,0))</f>
        <v>Hayward</v>
      </c>
      <c r="R109" s="18" t="str">
        <f>INDEX(LoadMaster!$AH:$AH,MATCH(B109,LoadMaster!$C:$C,0))</f>
        <v>Paso Robles</v>
      </c>
      <c r="S109" s="416" t="str">
        <f>INDEX(LoadMaster!$DC:$DC,MATCH(B109,LoadMaster!$C:$C,0))</f>
        <v>Sunny</v>
      </c>
      <c r="T109" s="48">
        <f>INDEX(LoadMaster!$DA:$DA,MATCH(B109,LoadMaster!$C:$C,0))</f>
        <v>30.5</v>
      </c>
      <c r="U109" s="110">
        <f>Table2[[#This Row],[WeekEndingDate]]+7</f>
        <v>42286</v>
      </c>
      <c r="V109" s="14">
        <f t="shared" si="8"/>
        <v>9</v>
      </c>
      <c r="W109" s="18">
        <f t="shared" si="9"/>
        <v>2015</v>
      </c>
    </row>
    <row r="110" spans="1:23" s="68" customFormat="1">
      <c r="A110" s="15" t="str">
        <f>INDEX(LoadMaster!$A:$A,MATCH(B110,LoadMaster!$C:$C,0))</f>
        <v>39888888</v>
      </c>
      <c r="B110" s="81">
        <v>182118939</v>
      </c>
      <c r="C110" s="416" t="str">
        <f>VLOOKUP(Table2[[#This Row],[BrokerConfNo]],LoadMaster!C:D,2,FALSE)</f>
        <v>Ch Robinson</v>
      </c>
      <c r="D110" s="104">
        <v>42285</v>
      </c>
      <c r="E110" s="416" t="str">
        <f>IF(Table2[[#This Row],[UBActualReceived]]&gt;1,"Received","Pending")</f>
        <v>Received</v>
      </c>
      <c r="F110" s="132">
        <f>INDEX(LoadMaster!$CU:$CU,MATCH(B110,LoadMaster!$C:$C,0))</f>
        <v>1100</v>
      </c>
      <c r="G110" s="132">
        <f>INDEX(LoadMaster!$CX:$CX,MATCH(B110,LoadMaster!$C:$C,0))</f>
        <v>1078</v>
      </c>
      <c r="H110" s="132">
        <f>INDEX(LoadMaster!$CW:$CW,MATCH(B110,LoadMaster!$C:$C,0))</f>
        <v>1023</v>
      </c>
      <c r="I110" s="330">
        <v>1078</v>
      </c>
      <c r="J110" s="525">
        <v>1023</v>
      </c>
      <c r="K110" s="134" t="str">
        <f t="shared" si="5"/>
        <v>Full</v>
      </c>
      <c r="L110" s="134">
        <f>INDEX(LoadMaster!$CT:$CT,MATCH(Table2[[#This Row],[BrokerConfNo]],LoadMaster!$C:$C,0))</f>
        <v>0</v>
      </c>
      <c r="M110" s="416" t="str">
        <f>INDEX(LoadMaster!$AO:$AO,MATCH(Table2[[#This Row],[BrokerConfNo]],LoadMaster!$C:$C,0))</f>
        <v>Wesley</v>
      </c>
      <c r="N110" s="104">
        <f t="shared" si="6"/>
        <v>42279</v>
      </c>
      <c r="O110" s="135">
        <f t="shared" si="7"/>
        <v>42286</v>
      </c>
      <c r="P110" s="104">
        <f>INDEX(LoadMaster!$M:$M,MATCH(B110,LoadMaster!$C:$C,0))</f>
        <v>42278</v>
      </c>
      <c r="Q110" s="416" t="str">
        <f>INDEX(LoadMaster!$P:$P,MATCH(B110,LoadMaster!$C:$C,0))</f>
        <v>Oxnard</v>
      </c>
      <c r="R110" s="416" t="str">
        <f>INDEX(LoadMaster!$AH:$AH,MATCH(B110,LoadMaster!$C:$C,0))</f>
        <v>Hayward</v>
      </c>
      <c r="S110" s="416" t="str">
        <f>INDEX(LoadMaster!$DC:$DC,MATCH(B110,LoadMaster!$C:$C,0))</f>
        <v>Sunny</v>
      </c>
      <c r="T110" s="136">
        <f>INDEX(LoadMaster!$DA:$DA,MATCH(B110,LoadMaster!$C:$C,0))</f>
        <v>55</v>
      </c>
      <c r="U110" s="137">
        <f>Table2[[#This Row],[WeekEndingDate]]+7</f>
        <v>42286</v>
      </c>
      <c r="V110" s="15">
        <f t="shared" si="8"/>
        <v>10</v>
      </c>
      <c r="W110" s="416">
        <f t="shared" si="9"/>
        <v>2015</v>
      </c>
    </row>
    <row r="111" spans="1:23" s="18" customFormat="1">
      <c r="A111" s="15" t="str">
        <f>INDEX(LoadMaster!$A:$A,MATCH(B111,LoadMaster!$C:$C,0))</f>
        <v>26nene49</v>
      </c>
      <c r="B111" s="81">
        <v>182804926</v>
      </c>
      <c r="C111" s="416" t="str">
        <f>VLOOKUP(Table2[[#This Row],[BrokerConfNo]],LoadMaster!C:D,2,FALSE)</f>
        <v>Ch Robinson</v>
      </c>
      <c r="D111" s="104">
        <v>42286</v>
      </c>
      <c r="E111" s="416" t="str">
        <f>IF(Table2[[#This Row],[UBActualReceived]]&gt;1,"Received","Pending")</f>
        <v>Received</v>
      </c>
      <c r="F111" s="132">
        <f>INDEX(LoadMaster!$CU:$CU,MATCH(B111,LoadMaster!$C:$C,0))</f>
        <v>550</v>
      </c>
      <c r="G111" s="132">
        <f>INDEX(LoadMaster!$CX:$CX,MATCH(B111,LoadMaster!$C:$C,0))</f>
        <v>539</v>
      </c>
      <c r="H111" s="132">
        <f>INDEX(LoadMaster!$CW:$CW,MATCH(B111,LoadMaster!$C:$C,0))</f>
        <v>500</v>
      </c>
      <c r="I111" s="330">
        <v>539</v>
      </c>
      <c r="J111" s="525">
        <v>500</v>
      </c>
      <c r="K111" s="134" t="str">
        <f t="shared" si="5"/>
        <v>Full</v>
      </c>
      <c r="L111" s="134">
        <f>INDEX(LoadMaster!$CT:$CT,MATCH(Table2[[#This Row],[BrokerConfNo]],LoadMaster!$C:$C,0))</f>
        <v>0</v>
      </c>
      <c r="M111" s="416" t="str">
        <f>INDEX(LoadMaster!$AO:$AO,MATCH(Table2[[#This Row],[BrokerConfNo]],LoadMaster!$C:$C,0))</f>
        <v>Albel</v>
      </c>
      <c r="N111" s="104">
        <f t="shared" si="6"/>
        <v>42279</v>
      </c>
      <c r="O111" s="135">
        <f t="shared" si="7"/>
        <v>42293</v>
      </c>
      <c r="P111" s="104">
        <f>INDEX(LoadMaster!$M:$M,MATCH(B111,LoadMaster!$C:$C,0))</f>
        <v>42278</v>
      </c>
      <c r="Q111" s="416" t="str">
        <f>INDEX(LoadMaster!$P:$P,MATCH(B111,LoadMaster!$C:$C,0))</f>
        <v>Paso Robles</v>
      </c>
      <c r="R111" s="416" t="str">
        <f>INDEX(LoadMaster!$AH:$AH,MATCH(B111,LoadMaster!$C:$C,0))</f>
        <v>American Canyon</v>
      </c>
      <c r="S111" s="416" t="str">
        <f>INDEX(LoadMaster!$DC:$DC,MATCH(B111,LoadMaster!$C:$C,0))</f>
        <v>Sunny</v>
      </c>
      <c r="T111" s="136">
        <f>INDEX(LoadMaster!$DA:$DA,MATCH(B111,LoadMaster!$C:$C,0))</f>
        <v>39</v>
      </c>
      <c r="U111" s="137">
        <f>Table2[[#This Row],[WeekEndingDate]]+7</f>
        <v>42286</v>
      </c>
      <c r="V111" s="15">
        <f t="shared" si="8"/>
        <v>10</v>
      </c>
      <c r="W111" s="416">
        <f t="shared" si="9"/>
        <v>2015</v>
      </c>
    </row>
    <row r="112" spans="1:23" s="18" customFormat="1">
      <c r="A112" s="15" t="str">
        <f>INDEX(LoadMaster!$A:$A,MATCH(B112,LoadMaster!$C:$C,0))</f>
        <v>882049</v>
      </c>
      <c r="B112" s="55">
        <v>10736088</v>
      </c>
      <c r="C112" s="18" t="str">
        <f>VLOOKUP(Table2[[#This Row],[BrokerConfNo]],LoadMaster!C:D,2,FALSE)</f>
        <v>England Logistics, Inc.</v>
      </c>
      <c r="D112" s="26">
        <v>42284</v>
      </c>
      <c r="E112" s="18" t="str">
        <f>IF(Table2[[#This Row],[UBActualReceived]]&gt;1,"Received","Pending")</f>
        <v>Received</v>
      </c>
      <c r="F112" s="21">
        <f>INDEX(LoadMaster!$CU:$CU,MATCH(B112,LoadMaster!$C:$C,0))</f>
        <v>315</v>
      </c>
      <c r="G112" s="132">
        <f>INDEX(LoadMaster!$CX:$CX,MATCH(B112,LoadMaster!$C:$C,0))</f>
        <v>302.39999999999998</v>
      </c>
      <c r="H112" s="132">
        <f>INDEX(LoadMaster!$CW:$CW,MATCH(B112,LoadMaster!$C:$C,0))</f>
        <v>275</v>
      </c>
      <c r="I112" s="331">
        <v>315</v>
      </c>
      <c r="J112" s="526">
        <v>275</v>
      </c>
      <c r="K112" s="27" t="str">
        <f t="shared" si="5"/>
        <v>Full</v>
      </c>
      <c r="L112" s="27">
        <f>INDEX(LoadMaster!$CT:$CT,MATCH(Table2[[#This Row],[BrokerConfNo]],LoadMaster!$C:$C,0))</f>
        <v>0</v>
      </c>
      <c r="M112" s="18" t="str">
        <f>INDEX(LoadMaster!$AO:$AO,MATCH(Table2[[#This Row],[BrokerConfNo]],LoadMaster!$C:$C,0))</f>
        <v>Albel</v>
      </c>
      <c r="N112" s="26">
        <f t="shared" si="6"/>
        <v>42279</v>
      </c>
      <c r="O112" s="109">
        <f t="shared" si="7"/>
        <v>42293</v>
      </c>
      <c r="P112" s="26">
        <f>INDEX(LoadMaster!$M:$M,MATCH(B112,LoadMaster!$C:$C,0))</f>
        <v>42278</v>
      </c>
      <c r="Q112" s="18" t="str">
        <f>INDEX(LoadMaster!$P:$P,MATCH(B112,LoadMaster!$C:$C,0))</f>
        <v>American Canyoca</v>
      </c>
      <c r="R112" s="18" t="str">
        <f>INDEX(LoadMaster!$AH:$AH,MATCH(B112,LoadMaster!$C:$C,0))</f>
        <v>Stockton</v>
      </c>
      <c r="S112" s="416" t="str">
        <f>INDEX(LoadMaster!$DC:$DC,MATCH(B112,LoadMaster!$C:$C,0))</f>
        <v>Sunny</v>
      </c>
      <c r="T112" s="48">
        <f>INDEX(LoadMaster!$DA:$DA,MATCH(B112,LoadMaster!$C:$C,0))</f>
        <v>27.4</v>
      </c>
      <c r="U112" s="110">
        <f>Table2[[#This Row],[WeekEndingDate]]+7</f>
        <v>42286</v>
      </c>
      <c r="V112" s="14">
        <f t="shared" si="8"/>
        <v>10</v>
      </c>
      <c r="W112" s="18">
        <f t="shared" si="9"/>
        <v>2015</v>
      </c>
    </row>
    <row r="113" spans="1:23" s="68" customFormat="1">
      <c r="A113" s="15" t="str">
        <f>INDEX(LoadMaster!$A:$A,MATCH(B113,LoadMaster!$C:$C,0))</f>
        <v>11949449</v>
      </c>
      <c r="B113" s="55">
        <v>94911</v>
      </c>
      <c r="C113" s="18" t="str">
        <f>VLOOKUP(Table2[[#This Row],[BrokerConfNo]],LoadMaster!C:D,2,FALSE)</f>
        <v>Pepsi Logistics Company Inc</v>
      </c>
      <c r="D113" s="26">
        <v>42297</v>
      </c>
      <c r="E113" s="18" t="str">
        <f>IF(Table2[[#This Row],[UBActualReceived]]&gt;1,"Received","Pending")</f>
        <v>Received</v>
      </c>
      <c r="F113" s="21">
        <f>INDEX(LoadMaster!$CU:$CU,MATCH(B113,LoadMaster!$C:$C,0))</f>
        <v>500</v>
      </c>
      <c r="G113" s="132">
        <f>INDEX(LoadMaster!$CX:$CX,MATCH(B113,LoadMaster!$C:$C,0))</f>
        <v>487.5</v>
      </c>
      <c r="H113" s="132">
        <f>INDEX(LoadMaster!$CW:$CW,MATCH(B113,LoadMaster!$C:$C,0))</f>
        <v>450</v>
      </c>
      <c r="I113" s="331">
        <v>490</v>
      </c>
      <c r="J113" s="526">
        <v>450</v>
      </c>
      <c r="K113" s="27" t="str">
        <f t="shared" si="5"/>
        <v>Full</v>
      </c>
      <c r="L113" s="27">
        <f>INDEX(LoadMaster!$CT:$CT,MATCH(Table2[[#This Row],[BrokerConfNo]],LoadMaster!$C:$C,0))</f>
        <v>0</v>
      </c>
      <c r="M113" s="18" t="str">
        <f>INDEX(LoadMaster!$AO:$AO,MATCH(Table2[[#This Row],[BrokerConfNo]],LoadMaster!$C:$C,0))</f>
        <v>Albel</v>
      </c>
      <c r="N113" s="26">
        <f t="shared" si="6"/>
        <v>42279</v>
      </c>
      <c r="O113" s="109">
        <f t="shared" si="7"/>
        <v>42293</v>
      </c>
      <c r="P113" s="26">
        <f>INDEX(LoadMaster!$M:$M,MATCH(B113,LoadMaster!$C:$C,0))</f>
        <v>42278</v>
      </c>
      <c r="Q113" s="18" t="str">
        <f>INDEX(LoadMaster!$P:$P,MATCH(B113,LoadMaster!$C:$C,0))</f>
        <v>Fairfield</v>
      </c>
      <c r="R113" s="18" t="str">
        <f>INDEX(LoadMaster!$AH:$AH,MATCH(B113,LoadMaster!$C:$C,0))</f>
        <v>Tracy</v>
      </c>
      <c r="S113" s="416" t="str">
        <f>INDEX(LoadMaster!$DC:$DC,MATCH(B113,LoadMaster!$C:$C,0))</f>
        <v>Sunny</v>
      </c>
      <c r="T113" s="48">
        <f>INDEX(LoadMaster!$DA:$DA,MATCH(B113,LoadMaster!$C:$C,0))</f>
        <v>37.5</v>
      </c>
      <c r="U113" s="110">
        <f>Table2[[#This Row],[WeekEndingDate]]+7</f>
        <v>42286</v>
      </c>
      <c r="V113" s="14">
        <f t="shared" si="8"/>
        <v>10</v>
      </c>
      <c r="W113" s="18">
        <f t="shared" si="9"/>
        <v>2015</v>
      </c>
    </row>
    <row r="114" spans="1:23" s="18" customFormat="1">
      <c r="A114" s="15" t="str">
        <f>INDEX(LoadMaster!$A:$A,MATCH(B114,LoadMaster!$C:$C,0))</f>
        <v>048588</v>
      </c>
      <c r="B114" s="81">
        <v>183125704</v>
      </c>
      <c r="C114" s="416" t="str">
        <f>VLOOKUP(Table2[[#This Row],[BrokerConfNo]],LoadMaster!C:D,2,FALSE)</f>
        <v>Ch Robinson</v>
      </c>
      <c r="D114" s="104">
        <v>42293</v>
      </c>
      <c r="E114" s="416" t="str">
        <f>IF(Table2[[#This Row],[UBActualReceived]]&gt;1,"Received","Pending")</f>
        <v>Received</v>
      </c>
      <c r="F114" s="132">
        <f>INDEX(LoadMaster!$CU:$CU,MATCH(B114,LoadMaster!$C:$C,0))</f>
        <v>600</v>
      </c>
      <c r="G114" s="132">
        <f>INDEX(LoadMaster!$CX:$CX,MATCH(B114,LoadMaster!$C:$C,0))</f>
        <v>588</v>
      </c>
      <c r="H114" s="132">
        <f>INDEX(LoadMaster!$CW:$CW,MATCH(B114,LoadMaster!$C:$C,0))</f>
        <v>558</v>
      </c>
      <c r="I114" s="330">
        <v>588</v>
      </c>
      <c r="J114" s="525">
        <v>558</v>
      </c>
      <c r="K114" s="134" t="str">
        <f t="shared" si="5"/>
        <v>Full</v>
      </c>
      <c r="L114" s="134">
        <f>INDEX(LoadMaster!$CT:$CT,MATCH(Table2[[#This Row],[BrokerConfNo]],LoadMaster!$C:$C,0))</f>
        <v>0</v>
      </c>
      <c r="M114" s="416" t="str">
        <f>INDEX(LoadMaster!$AO:$AO,MATCH(Table2[[#This Row],[BrokerConfNo]],LoadMaster!$C:$C,0))</f>
        <v>Wesley</v>
      </c>
      <c r="N114" s="104">
        <f t="shared" si="6"/>
        <v>42286</v>
      </c>
      <c r="O114" s="135">
        <f t="shared" si="7"/>
        <v>42293</v>
      </c>
      <c r="P114" s="104">
        <f>INDEX(LoadMaster!$M:$M,MATCH(B114,LoadMaster!$C:$C,0))</f>
        <v>42282</v>
      </c>
      <c r="Q114" s="416" t="str">
        <f>INDEX(LoadMaster!$P:$P,MATCH(B114,LoadMaster!$C:$C,0))</f>
        <v>Pittsburg</v>
      </c>
      <c r="R114" s="416" t="str">
        <f>INDEX(LoadMaster!$AH:$AH,MATCH(B114,LoadMaster!$C:$C,0))</f>
        <v>Mira Loma</v>
      </c>
      <c r="S114" s="416" t="str">
        <f>INDEX(LoadMaster!$DC:$DC,MATCH(B114,LoadMaster!$C:$C,0))</f>
        <v>Sunny</v>
      </c>
      <c r="T114" s="136">
        <f>INDEX(LoadMaster!$DA:$DA,MATCH(B114,LoadMaster!$C:$C,0))</f>
        <v>30</v>
      </c>
      <c r="U114" s="137">
        <f>Table2[[#This Row],[WeekEndingDate]]+7</f>
        <v>42293</v>
      </c>
      <c r="V114" s="15">
        <f t="shared" si="8"/>
        <v>10</v>
      </c>
      <c r="W114" s="416">
        <f t="shared" si="9"/>
        <v>2015</v>
      </c>
    </row>
    <row r="115" spans="1:23" s="68" customFormat="1">
      <c r="A115" s="15" t="str">
        <f>INDEX(LoadMaster!$A:$A,MATCH(B115,LoadMaster!$C:$C,0))</f>
        <v>66563449</v>
      </c>
      <c r="B115" s="55">
        <v>6259066</v>
      </c>
      <c r="C115" s="18" t="str">
        <f>VLOOKUP(Table2[[#This Row],[BrokerConfNo]],LoadMaster!C:D,2,FALSE)</f>
        <v>Coyote</v>
      </c>
      <c r="D115" s="26">
        <v>42291</v>
      </c>
      <c r="E115" s="18" t="str">
        <f>IF(Table2[[#This Row],[UBActualReceived]]&gt;1,"Received","Pending")</f>
        <v>Received</v>
      </c>
      <c r="F115" s="21">
        <f>INDEX(LoadMaster!$CU:$CU,MATCH(B115,LoadMaster!$C:$C,0))</f>
        <v>750</v>
      </c>
      <c r="G115" s="132">
        <f>INDEX(LoadMaster!$CX:$CX,MATCH(B115,LoadMaster!$C:$C,0))</f>
        <v>727.5</v>
      </c>
      <c r="H115" s="132">
        <f>INDEX(LoadMaster!$CW:$CW,MATCH(B115,LoadMaster!$C:$C,0))</f>
        <v>700</v>
      </c>
      <c r="I115" s="331">
        <v>727.5</v>
      </c>
      <c r="J115" s="526">
        <v>700</v>
      </c>
      <c r="K115" s="27" t="str">
        <f t="shared" si="5"/>
        <v>Full</v>
      </c>
      <c r="L115" s="27">
        <f>INDEX(LoadMaster!$CT:$CT,MATCH(Table2[[#This Row],[BrokerConfNo]],LoadMaster!$C:$C,0))</f>
        <v>0</v>
      </c>
      <c r="M115" s="18" t="str">
        <f>INDEX(LoadMaster!$AO:$AO,MATCH(Table2[[#This Row],[BrokerConfNo]],LoadMaster!$C:$C,0))</f>
        <v>Albel</v>
      </c>
      <c r="N115" s="26">
        <f t="shared" si="6"/>
        <v>42286</v>
      </c>
      <c r="O115" s="109">
        <f t="shared" si="7"/>
        <v>42300</v>
      </c>
      <c r="P115" s="26">
        <f>INDEX(LoadMaster!$M:$M,MATCH(B115,LoadMaster!$C:$C,0))</f>
        <v>42282</v>
      </c>
      <c r="Q115" s="18" t="str">
        <f>INDEX(LoadMaster!$P:$P,MATCH(B115,LoadMaster!$C:$C,0))</f>
        <v>American Canyon</v>
      </c>
      <c r="R115" s="18" t="str">
        <f>INDEX(LoadMaster!$AH:$AH,MATCH(B115,LoadMaster!$C:$C,0))</f>
        <v>Morgan Hill</v>
      </c>
      <c r="S115" s="416" t="str">
        <f>INDEX(LoadMaster!$DC:$DC,MATCH(B115,LoadMaster!$C:$C,0))</f>
        <v>Sunny</v>
      </c>
      <c r="T115" s="48">
        <f>INDEX(LoadMaster!$DA:$DA,MATCH(B115,LoadMaster!$C:$C,0))</f>
        <v>27.5</v>
      </c>
      <c r="U115" s="110">
        <f>Table2[[#This Row],[WeekEndingDate]]+7</f>
        <v>42293</v>
      </c>
      <c r="V115" s="14">
        <f t="shared" si="8"/>
        <v>10</v>
      </c>
      <c r="W115" s="18">
        <f t="shared" si="9"/>
        <v>2015</v>
      </c>
    </row>
    <row r="116" spans="1:23" s="68" customFormat="1">
      <c r="A116" s="15" t="str">
        <f>INDEX(LoadMaster!$A:$A,MATCH(B116,LoadMaster!$C:$C,0))</f>
        <v>43182988</v>
      </c>
      <c r="B116" s="81">
        <v>182757343</v>
      </c>
      <c r="C116" s="416" t="str">
        <f>VLOOKUP(Table2[[#This Row],[BrokerConfNo]],LoadMaster!C:D,2,FALSE)</f>
        <v>Ch Robinson</v>
      </c>
      <c r="D116" s="104">
        <v>42291</v>
      </c>
      <c r="E116" s="416" t="str">
        <f>IF(Table2[[#This Row],[UBActualReceived]]&gt;1,"Received","Pending")</f>
        <v>Received</v>
      </c>
      <c r="F116" s="132">
        <f>INDEX(LoadMaster!$CU:$CU,MATCH(B116,LoadMaster!$C:$C,0))</f>
        <v>850</v>
      </c>
      <c r="G116" s="132">
        <f>INDEX(LoadMaster!$CX:$CX,MATCH(B116,LoadMaster!$C:$C,0))</f>
        <v>833</v>
      </c>
      <c r="H116" s="132">
        <f>INDEX(LoadMaster!$CW:$CW,MATCH(B116,LoadMaster!$C:$C,0))</f>
        <v>790.5</v>
      </c>
      <c r="I116" s="330">
        <v>818.3</v>
      </c>
      <c r="J116" s="525">
        <v>790.5</v>
      </c>
      <c r="K116" s="134" t="str">
        <f t="shared" si="5"/>
        <v>Less</v>
      </c>
      <c r="L116" s="134">
        <f>INDEX(LoadMaster!$CT:$CT,MATCH(Table2[[#This Row],[BrokerConfNo]],LoadMaster!$C:$C,0))</f>
        <v>0</v>
      </c>
      <c r="M116" s="416" t="str">
        <f>INDEX(LoadMaster!$AO:$AO,MATCH(Table2[[#This Row],[BrokerConfNo]],LoadMaster!$C:$C,0))</f>
        <v>Wesley</v>
      </c>
      <c r="N116" s="104">
        <f t="shared" si="6"/>
        <v>42286</v>
      </c>
      <c r="O116" s="135">
        <f t="shared" si="7"/>
        <v>42293</v>
      </c>
      <c r="P116" s="104">
        <f>INDEX(LoadMaster!$M:$M,MATCH(B116,LoadMaster!$C:$C,0))</f>
        <v>42283</v>
      </c>
      <c r="Q116" s="416" t="str">
        <f>INDEX(LoadMaster!$P:$P,MATCH(B116,LoadMaster!$C:$C,0))</f>
        <v>Commerce</v>
      </c>
      <c r="R116" s="416" t="str">
        <f>INDEX(LoadMaster!$AH:$AH,MATCH(B116,LoadMaster!$C:$C,0))</f>
        <v>Sacramento</v>
      </c>
      <c r="S116" s="416" t="str">
        <f>INDEX(LoadMaster!$DC:$DC,MATCH(B116,LoadMaster!$C:$C,0))</f>
        <v>Sunny</v>
      </c>
      <c r="T116" s="136">
        <f>INDEX(LoadMaster!$DA:$DA,MATCH(B116,LoadMaster!$C:$C,0))</f>
        <v>42.5</v>
      </c>
      <c r="U116" s="137">
        <f>Table2[[#This Row],[WeekEndingDate]]+7</f>
        <v>42293</v>
      </c>
      <c r="V116" s="15">
        <f t="shared" si="8"/>
        <v>10</v>
      </c>
      <c r="W116" s="416">
        <f t="shared" si="9"/>
        <v>2015</v>
      </c>
    </row>
    <row r="117" spans="1:23" s="68" customFormat="1">
      <c r="A117" s="15" t="str">
        <f>INDEX(LoadMaster!$A:$A,MATCH(B117,LoadMaster!$C:$C,0))</f>
        <v>44363649</v>
      </c>
      <c r="B117" s="81">
        <v>183261344</v>
      </c>
      <c r="C117" s="416" t="str">
        <f>VLOOKUP(Table2[[#This Row],[BrokerConfNo]],LoadMaster!C:D,2,FALSE)</f>
        <v>Ch Robinson</v>
      </c>
      <c r="D117" s="104">
        <v>42293</v>
      </c>
      <c r="E117" s="416" t="str">
        <f>IF(Table2[[#This Row],[UBActualReceived]]&gt;1,"Received","Pending")</f>
        <v>Received</v>
      </c>
      <c r="F117" s="132">
        <f>INDEX(LoadMaster!$CU:$CU,MATCH(B117,LoadMaster!$C:$C,0))</f>
        <v>750</v>
      </c>
      <c r="G117" s="132">
        <f>INDEX(LoadMaster!$CX:$CX,MATCH(B117,LoadMaster!$C:$C,0))</f>
        <v>735</v>
      </c>
      <c r="H117" s="132">
        <f>INDEX(LoadMaster!$CW:$CW,MATCH(B117,LoadMaster!$C:$C,0))</f>
        <v>700</v>
      </c>
      <c r="I117" s="330">
        <v>735</v>
      </c>
      <c r="J117" s="525">
        <v>700</v>
      </c>
      <c r="K117" s="134" t="str">
        <f t="shared" si="5"/>
        <v>Full</v>
      </c>
      <c r="L117" s="134">
        <f>INDEX(LoadMaster!$CT:$CT,MATCH(Table2[[#This Row],[BrokerConfNo]],LoadMaster!$C:$C,0))</f>
        <v>0</v>
      </c>
      <c r="M117" s="416" t="str">
        <f>INDEX(LoadMaster!$AO:$AO,MATCH(Table2[[#This Row],[BrokerConfNo]],LoadMaster!$C:$C,0))</f>
        <v>Albel</v>
      </c>
      <c r="N117" s="104">
        <f t="shared" si="6"/>
        <v>42286</v>
      </c>
      <c r="O117" s="135">
        <f t="shared" si="7"/>
        <v>42300</v>
      </c>
      <c r="P117" s="104">
        <f>INDEX(LoadMaster!$M:$M,MATCH(B117,LoadMaster!$C:$C,0))</f>
        <v>42283</v>
      </c>
      <c r="Q117" s="416" t="str">
        <f>INDEX(LoadMaster!$P:$P,MATCH(B117,LoadMaster!$C:$C,0))</f>
        <v>Hollister</v>
      </c>
      <c r="R117" s="416" t="str">
        <f>INDEX(LoadMaster!$AH:$AH,MATCH(B117,LoadMaster!$C:$C,0))</f>
        <v>Oxnard</v>
      </c>
      <c r="S117" s="416" t="str">
        <f>INDEX(LoadMaster!$DC:$DC,MATCH(B117,LoadMaster!$C:$C,0))</f>
        <v>Sunny</v>
      </c>
      <c r="T117" s="136">
        <f>INDEX(LoadMaster!$DA:$DA,MATCH(B117,LoadMaster!$C:$C,0))</f>
        <v>35</v>
      </c>
      <c r="U117" s="137">
        <f>Table2[[#This Row],[WeekEndingDate]]+7</f>
        <v>42293</v>
      </c>
      <c r="V117" s="15">
        <f t="shared" si="8"/>
        <v>10</v>
      </c>
      <c r="W117" s="416">
        <f t="shared" si="9"/>
        <v>2015</v>
      </c>
    </row>
    <row r="118" spans="1:23" s="68" customFormat="1">
      <c r="A118" s="15" t="str">
        <f>INDEX(LoadMaster!$A:$A,MATCH(B118,LoadMaster!$C:$C,0))</f>
        <v>02737349</v>
      </c>
      <c r="B118" s="81">
        <v>183129702</v>
      </c>
      <c r="C118" s="416" t="str">
        <f>VLOOKUP(Table2[[#This Row],[BrokerConfNo]],LoadMaster!C:D,2,FALSE)</f>
        <v>Ch Robinson</v>
      </c>
      <c r="D118" s="104">
        <v>42293</v>
      </c>
      <c r="E118" s="416" t="str">
        <f>IF(Table2[[#This Row],[UBActualReceived]]&gt;1,"Received","Pending")</f>
        <v>Received</v>
      </c>
      <c r="F118" s="132">
        <f>INDEX(LoadMaster!$CU:$CU,MATCH(B118,LoadMaster!$C:$C,0))</f>
        <v>700</v>
      </c>
      <c r="G118" s="132">
        <f>INDEX(LoadMaster!$CX:$CX,MATCH(B118,LoadMaster!$C:$C,0))</f>
        <v>686</v>
      </c>
      <c r="H118" s="132">
        <f>INDEX(LoadMaster!$CW:$CW,MATCH(B118,LoadMaster!$C:$C,0))</f>
        <v>650</v>
      </c>
      <c r="I118" s="330">
        <v>686</v>
      </c>
      <c r="J118" s="525">
        <v>650</v>
      </c>
      <c r="K118" s="134" t="str">
        <f t="shared" si="5"/>
        <v>Full</v>
      </c>
      <c r="L118" s="134">
        <f>INDEX(LoadMaster!$CT:$CT,MATCH(Table2[[#This Row],[BrokerConfNo]],LoadMaster!$C:$C,0))</f>
        <v>0</v>
      </c>
      <c r="M118" s="416" t="str">
        <f>INDEX(LoadMaster!$AO:$AO,MATCH(Table2[[#This Row],[BrokerConfNo]],LoadMaster!$C:$C,0))</f>
        <v>Albel</v>
      </c>
      <c r="N118" s="104">
        <f t="shared" si="6"/>
        <v>42286</v>
      </c>
      <c r="O118" s="135">
        <f t="shared" si="7"/>
        <v>42300</v>
      </c>
      <c r="P118" s="104">
        <f>INDEX(LoadMaster!$M:$M,MATCH(B118,LoadMaster!$C:$C,0))</f>
        <v>42284</v>
      </c>
      <c r="Q118" s="416" t="str">
        <f>INDEX(LoadMaster!$P:$P,MATCH(B118,LoadMaster!$C:$C,0))</f>
        <v>Santa Fe Springs</v>
      </c>
      <c r="R118" s="416" t="str">
        <f>INDEX(LoadMaster!$AH:$AH,MATCH(B118,LoadMaster!$C:$C,0))</f>
        <v>Tracy</v>
      </c>
      <c r="S118" s="416" t="str">
        <f>INDEX(LoadMaster!$DC:$DC,MATCH(B118,LoadMaster!$C:$C,0))</f>
        <v>Sunny</v>
      </c>
      <c r="T118" s="136">
        <f>INDEX(LoadMaster!$DA:$DA,MATCH(B118,LoadMaster!$C:$C,0))</f>
        <v>36</v>
      </c>
      <c r="U118" s="137">
        <f>Table2[[#This Row],[WeekEndingDate]]+7</f>
        <v>42293</v>
      </c>
      <c r="V118" s="15">
        <f t="shared" si="8"/>
        <v>10</v>
      </c>
      <c r="W118" s="416">
        <f t="shared" si="9"/>
        <v>2015</v>
      </c>
    </row>
    <row r="119" spans="1:23" s="68" customFormat="1">
      <c r="A119" s="15" t="str">
        <f>INDEX(LoadMaster!$A:$A,MATCH(B119,LoadMaster!$C:$C,0))</f>
        <v>4372-288</v>
      </c>
      <c r="B119" s="81">
        <v>183352543</v>
      </c>
      <c r="C119" s="416" t="str">
        <f>VLOOKUP(Table2[[#This Row],[BrokerConfNo]],LoadMaster!C:D,2,FALSE)</f>
        <v>Ch Robinson</v>
      </c>
      <c r="D119" s="104">
        <v>42345</v>
      </c>
      <c r="E119" s="416" t="str">
        <f>IF(Table2[[#This Row],[UBActualReceived]]&gt;1,"Received","Pending")</f>
        <v>Received</v>
      </c>
      <c r="F119" s="132">
        <f>INDEX(LoadMaster!$CU:$CU,MATCH(B119,LoadMaster!$C:$C,0))</f>
        <v>800</v>
      </c>
      <c r="G119" s="132">
        <f>INDEX(LoadMaster!$CX:$CX,MATCH(B119,LoadMaster!$C:$C,0))</f>
        <v>784</v>
      </c>
      <c r="H119" s="132">
        <f>INDEX(LoadMaster!$CW:$CW,MATCH(B119,LoadMaster!$C:$C,0))</f>
        <v>744</v>
      </c>
      <c r="I119" s="330">
        <v>784</v>
      </c>
      <c r="J119" s="525">
        <v>744</v>
      </c>
      <c r="K119" s="134" t="str">
        <f t="shared" si="5"/>
        <v>Full</v>
      </c>
      <c r="L119" s="134">
        <f>INDEX(LoadMaster!$CT:$CT,MATCH(Table2[[#This Row],[BrokerConfNo]],LoadMaster!$C:$C,0))</f>
        <v>0</v>
      </c>
      <c r="M119" s="416" t="str">
        <f>INDEX(LoadMaster!$AO:$AO,MATCH(Table2[[#This Row],[BrokerConfNo]],LoadMaster!$C:$C,0))</f>
        <v>Wesley</v>
      </c>
      <c r="N119" s="104">
        <f t="shared" si="6"/>
        <v>42286</v>
      </c>
      <c r="O119" s="135">
        <f t="shared" si="7"/>
        <v>42293</v>
      </c>
      <c r="P119" s="104">
        <f>INDEX(LoadMaster!$M:$M,MATCH(B119,LoadMaster!$C:$C,0))</f>
        <v>42285</v>
      </c>
      <c r="Q119" s="416" t="str">
        <f>INDEX(LoadMaster!$P:$P,MATCH(B119,LoadMaster!$C:$C,0))</f>
        <v>Napa</v>
      </c>
      <c r="R119" s="416" t="str">
        <f>INDEX(LoadMaster!$AH:$AH,MATCH(B119,LoadMaster!$C:$C,0))</f>
        <v>San Luis Obispo</v>
      </c>
      <c r="S119" s="416" t="str">
        <f>INDEX(LoadMaster!$DC:$DC,MATCH(B119,LoadMaster!$C:$C,0))</f>
        <v>Sunny</v>
      </c>
      <c r="T119" s="136">
        <f>INDEX(LoadMaster!$DA:$DA,MATCH(B119,LoadMaster!$C:$C,0))</f>
        <v>40</v>
      </c>
      <c r="U119" s="137">
        <f>Table2[[#This Row],[WeekEndingDate]]+7</f>
        <v>42293</v>
      </c>
      <c r="V119" s="15">
        <f t="shared" si="8"/>
        <v>10</v>
      </c>
      <c r="W119" s="416">
        <f t="shared" si="9"/>
        <v>2015</v>
      </c>
    </row>
    <row r="120" spans="1:23" s="68" customFormat="1">
      <c r="A120" s="15" t="str">
        <f>INDEX(LoadMaster!$A:$A,MATCH(B120,LoadMaster!$C:$C,0))</f>
        <v>83454588</v>
      </c>
      <c r="B120" s="81">
        <v>183096683</v>
      </c>
      <c r="C120" s="416" t="str">
        <f>VLOOKUP(Table2[[#This Row],[BrokerConfNo]],LoadMaster!C:D,2,FALSE)</f>
        <v>Ch Robinson</v>
      </c>
      <c r="D120" s="104">
        <v>42293</v>
      </c>
      <c r="E120" s="416" t="str">
        <f>IF(Table2[[#This Row],[UBActualReceived]]&gt;1,"Received","Pending")</f>
        <v>Received</v>
      </c>
      <c r="F120" s="132">
        <f>INDEX(LoadMaster!$CU:$CU,MATCH(B120,LoadMaster!$C:$C,0))</f>
        <v>1000</v>
      </c>
      <c r="G120" s="132">
        <f>INDEX(LoadMaster!$CX:$CX,MATCH(B120,LoadMaster!$C:$C,0))</f>
        <v>980</v>
      </c>
      <c r="H120" s="132">
        <f>INDEX(LoadMaster!$CW:$CW,MATCH(B120,LoadMaster!$C:$C,0))</f>
        <v>930</v>
      </c>
      <c r="I120" s="330">
        <v>980</v>
      </c>
      <c r="J120" s="525">
        <v>930</v>
      </c>
      <c r="K120" s="134" t="str">
        <f t="shared" si="5"/>
        <v>Full</v>
      </c>
      <c r="L120" s="134">
        <f>INDEX(LoadMaster!$CT:$CT,MATCH(Table2[[#This Row],[BrokerConfNo]],LoadMaster!$C:$C,0))</f>
        <v>0</v>
      </c>
      <c r="M120" s="416" t="str">
        <f>INDEX(LoadMaster!$AO:$AO,MATCH(Table2[[#This Row],[BrokerConfNo]],LoadMaster!$C:$C,0))</f>
        <v>Wesley</v>
      </c>
      <c r="N120" s="104">
        <f t="shared" si="6"/>
        <v>42286</v>
      </c>
      <c r="O120" s="135">
        <f t="shared" si="7"/>
        <v>42293</v>
      </c>
      <c r="P120" s="104">
        <f>INDEX(LoadMaster!$M:$M,MATCH(B120,LoadMaster!$C:$C,0))</f>
        <v>42286</v>
      </c>
      <c r="Q120" s="416" t="str">
        <f>INDEX(LoadMaster!$P:$P,MATCH(B120,LoadMaster!$C:$C,0))</f>
        <v>Oxnard</v>
      </c>
      <c r="R120" s="416" t="str">
        <f>INDEX(LoadMaster!$AH:$AH,MATCH(B120,LoadMaster!$C:$C,0))</f>
        <v>Gilroy, Santa Clara, San Jose</v>
      </c>
      <c r="S120" s="416" t="str">
        <f>INDEX(LoadMaster!$DC:$DC,MATCH(B120,LoadMaster!$C:$C,0))</f>
        <v>Sunny</v>
      </c>
      <c r="T120" s="136">
        <f>INDEX(LoadMaster!$DA:$DA,MATCH(B120,LoadMaster!$C:$C,0))</f>
        <v>50</v>
      </c>
      <c r="U120" s="137">
        <f>Table2[[#This Row],[WeekEndingDate]]+7</f>
        <v>42293</v>
      </c>
      <c r="V120" s="15">
        <f t="shared" si="8"/>
        <v>10</v>
      </c>
      <c r="W120" s="416">
        <f t="shared" si="9"/>
        <v>2015</v>
      </c>
    </row>
    <row r="121" spans="1:23" s="18" customFormat="1">
      <c r="A121" s="15" t="str">
        <f>INDEX(LoadMaster!$A:$A,MATCH(B121,LoadMaster!$C:$C,0))</f>
        <v>266749</v>
      </c>
      <c r="B121" s="55">
        <v>261200994670126</v>
      </c>
      <c r="C121" s="18" t="str">
        <f>VLOOKUP(Table2[[#This Row],[BrokerConfNo]],LoadMaster!C:D,2,FALSE)</f>
        <v>Hub Group Inc</v>
      </c>
      <c r="D121" s="26">
        <v>42307</v>
      </c>
      <c r="E121" s="18" t="str">
        <f>IF(Table2[[#This Row],[UBActualReceived]]&gt;1,"Received","Pending")</f>
        <v>Received</v>
      </c>
      <c r="F121" s="21">
        <f>INDEX(LoadMaster!$CU:$CU,MATCH(B121,LoadMaster!$C:$C,0))</f>
        <v>372.12</v>
      </c>
      <c r="G121" s="132">
        <f>INDEX(LoadMaster!$CX:$CX,MATCH(B121,LoadMaster!$C:$C,0))</f>
        <v>364.67759999999998</v>
      </c>
      <c r="H121" s="132">
        <f>INDEX(LoadMaster!$CW:$CW,MATCH(B121,LoadMaster!$C:$C,0))</f>
        <v>350</v>
      </c>
      <c r="I121" s="331">
        <v>364.68</v>
      </c>
      <c r="J121" s="526">
        <v>350</v>
      </c>
      <c r="K121" s="27" t="str">
        <f t="shared" si="5"/>
        <v>Full</v>
      </c>
      <c r="L121" s="27">
        <f>INDEX(LoadMaster!$CT:$CT,MATCH(Table2[[#This Row],[BrokerConfNo]],LoadMaster!$C:$C,0))</f>
        <v>0</v>
      </c>
      <c r="M121" s="18" t="str">
        <f>INDEX(LoadMaster!$AO:$AO,MATCH(Table2[[#This Row],[BrokerConfNo]],LoadMaster!$C:$C,0))</f>
        <v>Albel</v>
      </c>
      <c r="N121" s="26">
        <f t="shared" si="6"/>
        <v>42286</v>
      </c>
      <c r="O121" s="109">
        <f t="shared" si="7"/>
        <v>42300</v>
      </c>
      <c r="P121" s="26">
        <f>INDEX(LoadMaster!$M:$M,MATCH(B121,LoadMaster!$C:$C,0))</f>
        <v>42286</v>
      </c>
      <c r="Q121" s="18" t="str">
        <f>INDEX(LoadMaster!$P:$P,MATCH(B121,LoadMaster!$C:$C,0))</f>
        <v>Richmond</v>
      </c>
      <c r="R121" s="18" t="str">
        <f>INDEX(LoadMaster!$AH:$AH,MATCH(B121,LoadMaster!$C:$C,0))</f>
        <v>Stockton</v>
      </c>
      <c r="S121" s="416" t="str">
        <f>INDEX(LoadMaster!$DC:$DC,MATCH(B121,LoadMaster!$C:$C,0))</f>
        <v>Sunny</v>
      </c>
      <c r="T121" s="48">
        <f>INDEX(LoadMaster!$DA:$DA,MATCH(B121,LoadMaster!$C:$C,0))</f>
        <v>14.677600000000005</v>
      </c>
      <c r="U121" s="110">
        <f>Table2[[#This Row],[WeekEndingDate]]+7</f>
        <v>42293</v>
      </c>
      <c r="V121" s="14">
        <f t="shared" si="8"/>
        <v>10</v>
      </c>
      <c r="W121" s="18">
        <f t="shared" si="9"/>
        <v>2015</v>
      </c>
    </row>
    <row r="122" spans="1:23" s="68" customFormat="1">
      <c r="A122" s="15" t="str">
        <f>INDEX(LoadMaster!$A:$A,MATCH(B122,LoadMaster!$C:$C,0))</f>
        <v>16060649</v>
      </c>
      <c r="B122" s="81">
        <v>183616716</v>
      </c>
      <c r="C122" s="416" t="str">
        <f>VLOOKUP(Table2[[#This Row],[BrokerConfNo]],LoadMaster!C:D,2,FALSE)</f>
        <v>Ch Robinson</v>
      </c>
      <c r="D122" s="104">
        <v>42299</v>
      </c>
      <c r="E122" s="416" t="str">
        <f>IF(Table2[[#This Row],[UBActualReceived]]&gt;1,"Received","Pending")</f>
        <v>Received</v>
      </c>
      <c r="F122" s="132">
        <f>INDEX(LoadMaster!$CU:$CU,MATCH(B122,LoadMaster!$C:$C,0))</f>
        <v>700</v>
      </c>
      <c r="G122" s="132">
        <f>INDEX(LoadMaster!$CX:$CX,MATCH(B122,LoadMaster!$C:$C,0))</f>
        <v>686</v>
      </c>
      <c r="H122" s="132">
        <f>INDEX(LoadMaster!$CW:$CW,MATCH(B122,LoadMaster!$C:$C,0))</f>
        <v>650</v>
      </c>
      <c r="I122" s="330">
        <v>686</v>
      </c>
      <c r="J122" s="525">
        <v>650</v>
      </c>
      <c r="K122" s="134" t="str">
        <f t="shared" si="5"/>
        <v>Full</v>
      </c>
      <c r="L122" s="134">
        <f>INDEX(LoadMaster!$CT:$CT,MATCH(Table2[[#This Row],[BrokerConfNo]],LoadMaster!$C:$C,0))</f>
        <v>0</v>
      </c>
      <c r="M122" s="416" t="str">
        <f>INDEX(LoadMaster!$AO:$AO,MATCH(Table2[[#This Row],[BrokerConfNo]],LoadMaster!$C:$C,0))</f>
        <v>Albel</v>
      </c>
      <c r="N122" s="104">
        <f t="shared" si="6"/>
        <v>42293</v>
      </c>
      <c r="O122" s="135">
        <f t="shared" si="7"/>
        <v>42307</v>
      </c>
      <c r="P122" s="104">
        <f>INDEX(LoadMaster!$M:$M,MATCH(B122,LoadMaster!$C:$C,0))</f>
        <v>42289</v>
      </c>
      <c r="Q122" s="416" t="str">
        <f>INDEX(LoadMaster!$P:$P,MATCH(B122,LoadMaster!$C:$C,0))</f>
        <v>Woodland</v>
      </c>
      <c r="R122" s="416" t="str">
        <f>INDEX(LoadMaster!$AH:$AH,MATCH(B122,LoadMaster!$C:$C,0))</f>
        <v>Santa Maria</v>
      </c>
      <c r="S122" s="416" t="str">
        <f>INDEX(LoadMaster!$DC:$DC,MATCH(B122,LoadMaster!$C:$C,0))</f>
        <v>Sunny</v>
      </c>
      <c r="T122" s="136">
        <f>INDEX(LoadMaster!$DA:$DA,MATCH(B122,LoadMaster!$C:$C,0))</f>
        <v>36</v>
      </c>
      <c r="U122" s="137">
        <f>Table2[[#This Row],[WeekEndingDate]]+7</f>
        <v>42300</v>
      </c>
      <c r="V122" s="15">
        <f t="shared" si="8"/>
        <v>10</v>
      </c>
      <c r="W122" s="416">
        <f t="shared" si="9"/>
        <v>2015</v>
      </c>
    </row>
    <row r="123" spans="1:23" s="68" customFormat="1">
      <c r="A123" s="15" t="str">
        <f>INDEX(LoadMaster!$A:$A,MATCH(B123,LoadMaster!$C:$C,0))</f>
        <v>82190088</v>
      </c>
      <c r="B123" s="81">
        <v>183462382</v>
      </c>
      <c r="C123" s="416" t="str">
        <f>VLOOKUP(Table2[[#This Row],[BrokerConfNo]],LoadMaster!C:D,2,FALSE)</f>
        <v>Ch Robinson</v>
      </c>
      <c r="D123" s="104">
        <v>42359</v>
      </c>
      <c r="E123" s="416" t="str">
        <f>IF(Table2[[#This Row],[UBActualReceived]]&gt;1,"Received","Pending")</f>
        <v>Received</v>
      </c>
      <c r="F123" s="132">
        <f>INDEX(LoadMaster!$CU:$CU,MATCH(B123,LoadMaster!$C:$C,0))</f>
        <v>1160</v>
      </c>
      <c r="G123" s="132">
        <f>INDEX(LoadMaster!$CX:$CX,MATCH(B123,LoadMaster!$C:$C,0))</f>
        <v>1136.8</v>
      </c>
      <c r="H123" s="132">
        <f>INDEX(LoadMaster!$CW:$CW,MATCH(B123,LoadMaster!$C:$C,0))</f>
        <v>1053</v>
      </c>
      <c r="I123" s="330">
        <v>1078</v>
      </c>
      <c r="J123" s="525">
        <v>1053</v>
      </c>
      <c r="K123" s="134" t="str">
        <f t="shared" si="5"/>
        <v>Less</v>
      </c>
      <c r="L123" s="134">
        <f>INDEX(LoadMaster!$CT:$CT,MATCH(Table2[[#This Row],[BrokerConfNo]],LoadMaster!$C:$C,0))</f>
        <v>60</v>
      </c>
      <c r="M123" s="416" t="str">
        <f>INDEX(LoadMaster!$AO:$AO,MATCH(Table2[[#This Row],[BrokerConfNo]],LoadMaster!$C:$C,0))</f>
        <v>Wesley</v>
      </c>
      <c r="N123" s="104">
        <f t="shared" si="6"/>
        <v>42293</v>
      </c>
      <c r="O123" s="135">
        <f t="shared" si="7"/>
        <v>42300</v>
      </c>
      <c r="P123" s="104">
        <f>INDEX(LoadMaster!$M:$M,MATCH(B123,LoadMaster!$C:$C,0))</f>
        <v>42289</v>
      </c>
      <c r="Q123" s="416" t="str">
        <f>INDEX(LoadMaster!$P:$P,MATCH(B123,LoadMaster!$C:$C,0))</f>
        <v>Woodland</v>
      </c>
      <c r="R123" s="416" t="str">
        <f>INDEX(LoadMaster!$AH:$AH,MATCH(B123,LoadMaster!$C:$C,0))</f>
        <v>Santa Fe Springs / El Monte</v>
      </c>
      <c r="S123" s="416" t="str">
        <f>INDEX(LoadMaster!$DC:$DC,MATCH(B123,LoadMaster!$C:$C,0))</f>
        <v>Sunny</v>
      </c>
      <c r="T123" s="136">
        <f>INDEX(LoadMaster!$DA:$DA,MATCH(B123,LoadMaster!$C:$C,0))</f>
        <v>83.8</v>
      </c>
      <c r="U123" s="137">
        <f>Table2[[#This Row],[WeekEndingDate]]+7</f>
        <v>42300</v>
      </c>
      <c r="V123" s="15">
        <f t="shared" si="8"/>
        <v>10</v>
      </c>
      <c r="W123" s="416">
        <f t="shared" si="9"/>
        <v>2015</v>
      </c>
    </row>
    <row r="124" spans="1:23" s="68" customFormat="1">
      <c r="A124" s="15" t="str">
        <f>INDEX(LoadMaster!$A:$A,MATCH(B124,LoadMaster!$C:$C,0))</f>
        <v>75131349</v>
      </c>
      <c r="B124" s="81">
        <v>183508775</v>
      </c>
      <c r="C124" s="416" t="str">
        <f>VLOOKUP(Table2[[#This Row],[BrokerConfNo]],LoadMaster!C:D,2,FALSE)</f>
        <v>Ch Robinson</v>
      </c>
      <c r="D124" s="104">
        <v>42317</v>
      </c>
      <c r="E124" s="416" t="str">
        <f>IF(Table2[[#This Row],[UBActualReceived]]&gt;1,"Received","Pending")</f>
        <v>Received</v>
      </c>
      <c r="F124" s="132">
        <f>INDEX(LoadMaster!$CU:$CU,MATCH(B124,LoadMaster!$C:$C,0))</f>
        <v>875</v>
      </c>
      <c r="G124" s="132">
        <f>INDEX(LoadMaster!$CX:$CX,MATCH(B124,LoadMaster!$C:$C,0))</f>
        <v>857.5</v>
      </c>
      <c r="H124" s="132">
        <f>INDEX(LoadMaster!$CW:$CW,MATCH(B124,LoadMaster!$C:$C,0))</f>
        <v>825</v>
      </c>
      <c r="I124" s="330">
        <v>857.5</v>
      </c>
      <c r="J124" s="525">
        <v>825</v>
      </c>
      <c r="K124" s="134" t="str">
        <f t="shared" si="5"/>
        <v>Full</v>
      </c>
      <c r="L124" s="134">
        <f>INDEX(LoadMaster!$CT:$CT,MATCH(Table2[[#This Row],[BrokerConfNo]],LoadMaster!$C:$C,0))</f>
        <v>0</v>
      </c>
      <c r="M124" s="416" t="str">
        <f>INDEX(LoadMaster!$AO:$AO,MATCH(Table2[[#This Row],[BrokerConfNo]],LoadMaster!$C:$C,0))</f>
        <v>Albel</v>
      </c>
      <c r="N124" s="104">
        <f t="shared" si="6"/>
        <v>42293</v>
      </c>
      <c r="O124" s="135">
        <f t="shared" si="7"/>
        <v>42307</v>
      </c>
      <c r="P124" s="104">
        <f>INDEX(LoadMaster!$M:$M,MATCH(B124,LoadMaster!$C:$C,0))</f>
        <v>42290</v>
      </c>
      <c r="Q124" s="416" t="str">
        <f>INDEX(LoadMaster!$P:$P,MATCH(B124,LoadMaster!$C:$C,0))</f>
        <v>Oxnard</v>
      </c>
      <c r="R124" s="416" t="str">
        <f>INDEX(LoadMaster!$AH:$AH,MATCH(B124,LoadMaster!$C:$C,0))</f>
        <v>Fremont, San Jose,Sunnyvale</v>
      </c>
      <c r="S124" s="416" t="str">
        <f>INDEX(LoadMaster!$DC:$DC,MATCH(B124,LoadMaster!$C:$C,0))</f>
        <v>Sunny</v>
      </c>
      <c r="T124" s="136">
        <f>INDEX(LoadMaster!$DA:$DA,MATCH(B124,LoadMaster!$C:$C,0))</f>
        <v>32.5</v>
      </c>
      <c r="U124" s="137">
        <f>Table2[[#This Row],[WeekEndingDate]]+7</f>
        <v>42300</v>
      </c>
      <c r="V124" s="15">
        <f t="shared" si="8"/>
        <v>10</v>
      </c>
      <c r="W124" s="416">
        <f t="shared" si="9"/>
        <v>2015</v>
      </c>
    </row>
    <row r="125" spans="1:23" s="68" customFormat="1">
      <c r="A125" s="15" t="str">
        <f>INDEX(LoadMaster!$A:$A,MATCH(B125,LoadMaster!$C:$C,0))</f>
        <v>03373788</v>
      </c>
      <c r="B125" s="81">
        <v>183302403</v>
      </c>
      <c r="C125" s="416" t="str">
        <f>VLOOKUP(Table2[[#This Row],[BrokerConfNo]],LoadMaster!C:D,2,FALSE)</f>
        <v>Ch Robinson</v>
      </c>
      <c r="D125" s="104">
        <v>42299</v>
      </c>
      <c r="E125" s="416" t="str">
        <f>IF(Table2[[#This Row],[UBActualReceived]]&gt;1,"Received","Pending")</f>
        <v>Received</v>
      </c>
      <c r="F125" s="132">
        <f>INDEX(LoadMaster!$CU:$CU,MATCH(B125,LoadMaster!$C:$C,0))</f>
        <v>890</v>
      </c>
      <c r="G125" s="132">
        <f>INDEX(LoadMaster!$CX:$CX,MATCH(B125,LoadMaster!$C:$C,0))</f>
        <v>872.19999999999993</v>
      </c>
      <c r="H125" s="132">
        <f>INDEX(LoadMaster!$CW:$CW,MATCH(B125,LoadMaster!$C:$C,0))</f>
        <v>827.7</v>
      </c>
      <c r="I125" s="330">
        <v>872.2</v>
      </c>
      <c r="J125" s="525">
        <v>827.7</v>
      </c>
      <c r="K125" s="134" t="str">
        <f t="shared" si="5"/>
        <v>Full</v>
      </c>
      <c r="L125" s="134">
        <f>INDEX(LoadMaster!$CT:$CT,MATCH(Table2[[#This Row],[BrokerConfNo]],LoadMaster!$C:$C,0))</f>
        <v>0</v>
      </c>
      <c r="M125" s="416" t="str">
        <f>INDEX(LoadMaster!$AO:$AO,MATCH(Table2[[#This Row],[BrokerConfNo]],LoadMaster!$C:$C,0))</f>
        <v>Wesley</v>
      </c>
      <c r="N125" s="104">
        <f t="shared" si="6"/>
        <v>42293</v>
      </c>
      <c r="O125" s="135">
        <f t="shared" si="7"/>
        <v>42300</v>
      </c>
      <c r="P125" s="104">
        <f>INDEX(LoadMaster!$M:$M,MATCH(B125,LoadMaster!$C:$C,0))</f>
        <v>42290</v>
      </c>
      <c r="Q125" s="416" t="str">
        <f>INDEX(LoadMaster!$P:$P,MATCH(B125,LoadMaster!$C:$C,0))</f>
        <v>Lucerne Valley</v>
      </c>
      <c r="R125" s="416" t="str">
        <f>INDEX(LoadMaster!$AH:$AH,MATCH(B125,LoadMaster!$C:$C,0))</f>
        <v>Newark</v>
      </c>
      <c r="S125" s="416" t="str">
        <f>INDEX(LoadMaster!$DC:$DC,MATCH(B125,LoadMaster!$C:$C,0))</f>
        <v>Sunny</v>
      </c>
      <c r="T125" s="136">
        <f>INDEX(LoadMaster!$DA:$DA,MATCH(B125,LoadMaster!$C:$C,0))</f>
        <v>44.499999999999957</v>
      </c>
      <c r="U125" s="137">
        <f>Table2[[#This Row],[WeekEndingDate]]+7</f>
        <v>42300</v>
      </c>
      <c r="V125" s="15">
        <f t="shared" si="8"/>
        <v>10</v>
      </c>
      <c r="W125" s="416">
        <f t="shared" si="9"/>
        <v>2015</v>
      </c>
    </row>
    <row r="126" spans="1:23" s="68" customFormat="1">
      <c r="A126" s="15" t="str">
        <f>INDEX(LoadMaster!$A:$A,MATCH(B126,LoadMaster!$C:$C,0))</f>
        <v>819149</v>
      </c>
      <c r="B126" s="81">
        <v>183806481</v>
      </c>
      <c r="C126" s="416" t="str">
        <f>VLOOKUP(Table2[[#This Row],[BrokerConfNo]],LoadMaster!C:D,2,FALSE)</f>
        <v>Ch Robinson</v>
      </c>
      <c r="D126" s="104">
        <v>42299</v>
      </c>
      <c r="E126" s="416" t="str">
        <f>IF(Table2[[#This Row],[UBActualReceived]]&gt;1,"Received","Pending")</f>
        <v>Received</v>
      </c>
      <c r="F126" s="132">
        <f>INDEX(LoadMaster!$CU:$CU,MATCH(B126,LoadMaster!$C:$C,0))</f>
        <v>540</v>
      </c>
      <c r="G126" s="132">
        <f>INDEX(LoadMaster!$CX:$CX,MATCH(B126,LoadMaster!$C:$C,0))</f>
        <v>529.20000000000005</v>
      </c>
      <c r="H126" s="132">
        <f>INDEX(LoadMaster!$CW:$CW,MATCH(B126,LoadMaster!$C:$C,0))</f>
        <v>490</v>
      </c>
      <c r="I126" s="330">
        <v>529.20000000000005</v>
      </c>
      <c r="J126" s="525">
        <v>490</v>
      </c>
      <c r="K126" s="134" t="str">
        <f t="shared" si="5"/>
        <v>Full</v>
      </c>
      <c r="L126" s="134">
        <f>INDEX(LoadMaster!$CT:$CT,MATCH(Table2[[#This Row],[BrokerConfNo]],LoadMaster!$C:$C,0))</f>
        <v>40</v>
      </c>
      <c r="M126" s="416" t="str">
        <f>INDEX(LoadMaster!$AO:$AO,MATCH(Table2[[#This Row],[BrokerConfNo]],LoadMaster!$C:$C,0))</f>
        <v>Albel</v>
      </c>
      <c r="N126" s="104">
        <f t="shared" si="6"/>
        <v>42293</v>
      </c>
      <c r="O126" s="135">
        <f t="shared" si="7"/>
        <v>42307</v>
      </c>
      <c r="P126" s="104">
        <f>INDEX(LoadMaster!$M:$M,MATCH(B126,LoadMaster!$C:$C,0))</f>
        <v>42291</v>
      </c>
      <c r="Q126" s="416" t="str">
        <f>INDEX(LoadMaster!$P:$P,MATCH(B126,LoadMaster!$C:$C,0))</f>
        <v>Oakland</v>
      </c>
      <c r="R126" s="416" t="str">
        <f>INDEX(LoadMaster!$AH:$AH,MATCH(B126,LoadMaster!$C:$C,0))</f>
        <v>Fresno</v>
      </c>
      <c r="S126" s="416" t="str">
        <f>INDEX(LoadMaster!$DC:$DC,MATCH(B126,LoadMaster!$C:$C,0))</f>
        <v>Sunny</v>
      </c>
      <c r="T126" s="136">
        <f>INDEX(LoadMaster!$DA:$DA,MATCH(B126,LoadMaster!$C:$C,0))</f>
        <v>39.200000000000003</v>
      </c>
      <c r="U126" s="137">
        <f>Table2[[#This Row],[WeekEndingDate]]+7</f>
        <v>42300</v>
      </c>
      <c r="V126" s="15">
        <f t="shared" si="8"/>
        <v>10</v>
      </c>
      <c r="W126" s="416">
        <f t="shared" si="9"/>
        <v>2015</v>
      </c>
    </row>
    <row r="127" spans="1:23" s="18" customFormat="1">
      <c r="A127" s="15" t="str">
        <f>INDEX(LoadMaster!$A:$A,MATCH(B127,LoadMaster!$C:$C,0))</f>
        <v>37707088</v>
      </c>
      <c r="B127" s="81">
        <v>183930837</v>
      </c>
      <c r="C127" s="416" t="str">
        <f>VLOOKUP(Table2[[#This Row],[BrokerConfNo]],LoadMaster!C:D,2,FALSE)</f>
        <v>Ch Robinson</v>
      </c>
      <c r="D127" s="104">
        <v>42300</v>
      </c>
      <c r="E127" s="416" t="str">
        <f>IF(Table2[[#This Row],[UBActualReceived]]&gt;1,"Received","Pending")</f>
        <v>Received</v>
      </c>
      <c r="F127" s="132">
        <f>INDEX(LoadMaster!$CU:$CU,MATCH(B127,LoadMaster!$C:$C,0))</f>
        <v>700</v>
      </c>
      <c r="G127" s="132">
        <f>INDEX(LoadMaster!$CX:$CX,MATCH(B127,LoadMaster!$C:$C,0))</f>
        <v>686</v>
      </c>
      <c r="H127" s="132">
        <f>INDEX(LoadMaster!$CW:$CW,MATCH(B127,LoadMaster!$C:$C,0))</f>
        <v>651</v>
      </c>
      <c r="I127" s="330">
        <v>686</v>
      </c>
      <c r="J127" s="525">
        <v>651</v>
      </c>
      <c r="K127" s="134" t="str">
        <f t="shared" si="5"/>
        <v>Full</v>
      </c>
      <c r="L127" s="134">
        <f>INDEX(LoadMaster!$CT:$CT,MATCH(Table2[[#This Row],[BrokerConfNo]],LoadMaster!$C:$C,0))</f>
        <v>0</v>
      </c>
      <c r="M127" s="416" t="str">
        <f>INDEX(LoadMaster!$AO:$AO,MATCH(Table2[[#This Row],[BrokerConfNo]],LoadMaster!$C:$C,0))</f>
        <v>Wesley</v>
      </c>
      <c r="N127" s="104">
        <f t="shared" si="6"/>
        <v>42293</v>
      </c>
      <c r="O127" s="135">
        <f t="shared" si="7"/>
        <v>42300</v>
      </c>
      <c r="P127" s="104">
        <f>INDEX(LoadMaster!$M:$M,MATCH(B127,LoadMaster!$C:$C,0))</f>
        <v>42292</v>
      </c>
      <c r="Q127" s="416" t="str">
        <f>INDEX(LoadMaster!$P:$P,MATCH(B127,LoadMaster!$C:$C,0))</f>
        <v>Hollister</v>
      </c>
      <c r="R127" s="416" t="str">
        <f>INDEX(LoadMaster!$AH:$AH,MATCH(B127,LoadMaster!$C:$C,0))</f>
        <v>Oxnard</v>
      </c>
      <c r="S127" s="416" t="str">
        <f>INDEX(LoadMaster!$DC:$DC,MATCH(B127,LoadMaster!$C:$C,0))</f>
        <v>Sunny</v>
      </c>
      <c r="T127" s="136">
        <f>INDEX(LoadMaster!$DA:$DA,MATCH(B127,LoadMaster!$C:$C,0))</f>
        <v>35</v>
      </c>
      <c r="U127" s="137">
        <f>Table2[[#This Row],[WeekEndingDate]]+7</f>
        <v>42300</v>
      </c>
      <c r="V127" s="15">
        <f t="shared" si="8"/>
        <v>10</v>
      </c>
      <c r="W127" s="416">
        <f t="shared" si="9"/>
        <v>2015</v>
      </c>
    </row>
    <row r="128" spans="1:23" s="68" customFormat="1">
      <c r="A128" s="15" t="str">
        <f>INDEX(LoadMaster!$A:$A,MATCH(B128,LoadMaster!$C:$C,0))</f>
        <v>93353549</v>
      </c>
      <c r="B128" s="55">
        <v>97193</v>
      </c>
      <c r="C128" s="18" t="str">
        <f>VLOOKUP(Table2[[#This Row],[BrokerConfNo]],LoadMaster!C:D,2,FALSE)</f>
        <v>Pepsi Logistics Company Inc</v>
      </c>
      <c r="D128" s="26">
        <v>42304</v>
      </c>
      <c r="E128" s="18" t="str">
        <f>IF(Table2[[#This Row],[UBActualReceived]]&gt;1,"Received","Pending")</f>
        <v>Received</v>
      </c>
      <c r="F128" s="21">
        <f>INDEX(LoadMaster!$CU:$CU,MATCH(B128,LoadMaster!$C:$C,0))</f>
        <v>450</v>
      </c>
      <c r="G128" s="132">
        <f>INDEX(LoadMaster!$CX:$CX,MATCH(B128,LoadMaster!$C:$C,0))</f>
        <v>438.75</v>
      </c>
      <c r="H128" s="132">
        <f>INDEX(LoadMaster!$CW:$CW,MATCH(B128,LoadMaster!$C:$C,0))</f>
        <v>400</v>
      </c>
      <c r="I128" s="331">
        <v>438.75</v>
      </c>
      <c r="J128" s="526">
        <v>400</v>
      </c>
      <c r="K128" s="27" t="str">
        <f t="shared" si="5"/>
        <v>Full</v>
      </c>
      <c r="L128" s="27">
        <f>INDEX(LoadMaster!$CT:$CT,MATCH(Table2[[#This Row],[BrokerConfNo]],LoadMaster!$C:$C,0))</f>
        <v>0</v>
      </c>
      <c r="M128" s="18" t="str">
        <f>INDEX(LoadMaster!$AO:$AO,MATCH(Table2[[#This Row],[BrokerConfNo]],LoadMaster!$C:$C,0))</f>
        <v>Albel</v>
      </c>
      <c r="N128" s="26">
        <f t="shared" si="6"/>
        <v>42293</v>
      </c>
      <c r="O128" s="109">
        <f t="shared" si="7"/>
        <v>42307</v>
      </c>
      <c r="P128" s="26">
        <f>INDEX(LoadMaster!$M:$M,MATCH(B128,LoadMaster!$C:$C,0))</f>
        <v>42292</v>
      </c>
      <c r="Q128" s="18" t="str">
        <f>INDEX(LoadMaster!$P:$P,MATCH(B128,LoadMaster!$C:$C,0))</f>
        <v>Fresno</v>
      </c>
      <c r="R128" s="18" t="str">
        <f>INDEX(LoadMaster!$AH:$AH,MATCH(B128,LoadMaster!$C:$C,0))</f>
        <v>Hayward</v>
      </c>
      <c r="S128" s="416" t="str">
        <f>INDEX(LoadMaster!$DC:$DC,MATCH(B128,LoadMaster!$C:$C,0))</f>
        <v>Sunny</v>
      </c>
      <c r="T128" s="48">
        <f>INDEX(LoadMaster!$DA:$DA,MATCH(B128,LoadMaster!$C:$C,0))</f>
        <v>38.75</v>
      </c>
      <c r="U128" s="110">
        <f>Table2[[#This Row],[WeekEndingDate]]+7</f>
        <v>42300</v>
      </c>
      <c r="V128" s="14">
        <f t="shared" si="8"/>
        <v>10</v>
      </c>
      <c r="W128" s="18">
        <f t="shared" si="9"/>
        <v>2015</v>
      </c>
    </row>
    <row r="129" spans="1:23" s="68" customFormat="1">
      <c r="A129" s="15" t="str">
        <f>INDEX(LoadMaster!$A:$A,MATCH(B129,LoadMaster!$C:$C,0))</f>
        <v>40156188</v>
      </c>
      <c r="B129" s="81">
        <v>183865940</v>
      </c>
      <c r="C129" s="416" t="str">
        <f>VLOOKUP(Table2[[#This Row],[BrokerConfNo]],LoadMaster!C:D,2,FALSE)</f>
        <v>Ch Robinson</v>
      </c>
      <c r="D129" s="104">
        <v>42303</v>
      </c>
      <c r="E129" s="416" t="str">
        <f>IF(Table2[[#This Row],[UBActualReceived]]&gt;1,"Received","Pending")</f>
        <v>Received</v>
      </c>
      <c r="F129" s="132">
        <f>INDEX(LoadMaster!$CU:$CU,MATCH(B129,LoadMaster!$C:$C,0))</f>
        <v>775</v>
      </c>
      <c r="G129" s="132">
        <f>INDEX(LoadMaster!$CX:$CX,MATCH(B129,LoadMaster!$C:$C,0))</f>
        <v>759.5</v>
      </c>
      <c r="H129" s="132">
        <f>INDEX(LoadMaster!$CW:$CW,MATCH(B129,LoadMaster!$C:$C,0))</f>
        <v>720.75</v>
      </c>
      <c r="I129" s="330">
        <v>775</v>
      </c>
      <c r="J129" s="525">
        <v>720.75</v>
      </c>
      <c r="K129" s="134" t="str">
        <f t="shared" si="5"/>
        <v>Full</v>
      </c>
      <c r="L129" s="134">
        <f>INDEX(LoadMaster!$CT:$CT,MATCH(Table2[[#This Row],[BrokerConfNo]],LoadMaster!$C:$C,0))</f>
        <v>0</v>
      </c>
      <c r="M129" s="416" t="str">
        <f>INDEX(LoadMaster!$AO:$AO,MATCH(Table2[[#This Row],[BrokerConfNo]],LoadMaster!$C:$C,0))</f>
        <v>Wesley</v>
      </c>
      <c r="N129" s="104">
        <f t="shared" si="6"/>
        <v>42293</v>
      </c>
      <c r="O129" s="135">
        <f t="shared" si="7"/>
        <v>42300</v>
      </c>
      <c r="P129" s="104">
        <f>INDEX(LoadMaster!$M:$M,MATCH(B129,LoadMaster!$C:$C,0))</f>
        <v>42293</v>
      </c>
      <c r="Q129" s="416" t="str">
        <f>INDEX(LoadMaster!$P:$P,MATCH(B129,LoadMaster!$C:$C,0))</f>
        <v>Rancho Cucamonga</v>
      </c>
      <c r="R129" s="416" t="str">
        <f>INDEX(LoadMaster!$AH:$AH,MATCH(B129,LoadMaster!$C:$C,0))</f>
        <v>Stockton</v>
      </c>
      <c r="S129" s="416" t="str">
        <f>INDEX(LoadMaster!$DC:$DC,MATCH(B129,LoadMaster!$C:$C,0))</f>
        <v>Sunny</v>
      </c>
      <c r="T129" s="136">
        <f>INDEX(LoadMaster!$DA:$DA,MATCH(B129,LoadMaster!$C:$C,0))</f>
        <v>38.75</v>
      </c>
      <c r="U129" s="137">
        <f>Table2[[#This Row],[WeekEndingDate]]+7</f>
        <v>42300</v>
      </c>
      <c r="V129" s="15">
        <f t="shared" si="8"/>
        <v>10</v>
      </c>
      <c r="W129" s="416">
        <f t="shared" si="9"/>
        <v>2015</v>
      </c>
    </row>
    <row r="130" spans="1:23" s="68" customFormat="1">
      <c r="A130" s="15" t="str">
        <f>INDEX(LoadMaster!$A:$A,MATCH(B130,LoadMaster!$C:$C,0))</f>
        <v>32l2l288</v>
      </c>
      <c r="B130" s="81">
        <v>183828332</v>
      </c>
      <c r="C130" s="416" t="str">
        <f>VLOOKUP(Table2[[#This Row],[BrokerConfNo]],LoadMaster!C:D,2,FALSE)</f>
        <v>Ch Robinson</v>
      </c>
      <c r="D130" s="104">
        <v>42300</v>
      </c>
      <c r="E130" s="416" t="str">
        <f>IF(Table2[[#This Row],[UBActualReceived]]&gt;1,"Received","Pending")</f>
        <v>Received</v>
      </c>
      <c r="F130" s="132">
        <f>INDEX(LoadMaster!$CU:$CU,MATCH(B130,LoadMaster!$C:$C,0))</f>
        <v>225</v>
      </c>
      <c r="G130" s="132">
        <f>INDEX(LoadMaster!$CX:$CX,MATCH(B130,LoadMaster!$C:$C,0))</f>
        <v>220.5</v>
      </c>
      <c r="H130" s="132">
        <f>INDEX(LoadMaster!$CW:$CW,MATCH(B130,LoadMaster!$C:$C,0))</f>
        <v>209.25</v>
      </c>
      <c r="I130" s="330">
        <v>220.5</v>
      </c>
      <c r="J130" s="525">
        <v>209.25</v>
      </c>
      <c r="K130" s="134" t="str">
        <f t="shared" ref="K130:K193" si="10">IF(I130&lt;G130, "Less", "Full")</f>
        <v>Full</v>
      </c>
      <c r="L130" s="134">
        <f>INDEX(LoadMaster!$CT:$CT,MATCH(Table2[[#This Row],[BrokerConfNo]],LoadMaster!$C:$C,0))</f>
        <v>0</v>
      </c>
      <c r="M130" s="416" t="str">
        <f>INDEX(LoadMaster!$AO:$AO,MATCH(Table2[[#This Row],[BrokerConfNo]],LoadMaster!$C:$C,0))</f>
        <v>Wesley</v>
      </c>
      <c r="N130" s="104">
        <f t="shared" ref="N130:N193" si="11">(5-WEEKDAY(P130,2))+P130</f>
        <v>42293</v>
      </c>
      <c r="O130" s="135">
        <f t="shared" ref="O130:O193" si="12">IF(M130="Albel",((5-WEEKDAY(P130,2))+P130)+14,(((5-WEEKDAY(P130,2))+P130)+7))</f>
        <v>42300</v>
      </c>
      <c r="P130" s="104">
        <f>INDEX(LoadMaster!$M:$M,MATCH(B130,LoadMaster!$C:$C,0))</f>
        <v>42293</v>
      </c>
      <c r="Q130" s="416" t="str">
        <f>INDEX(LoadMaster!$P:$P,MATCH(B130,LoadMaster!$C:$C,0))</f>
        <v>Vernon</v>
      </c>
      <c r="R130" s="416" t="str">
        <f>INDEX(LoadMaster!$AH:$AH,MATCH(B130,LoadMaster!$C:$C,0))</f>
        <v>Ontario</v>
      </c>
      <c r="S130" s="416" t="str">
        <f>INDEX(LoadMaster!$DC:$DC,MATCH(B130,LoadMaster!$C:$C,0))</f>
        <v>Sunny</v>
      </c>
      <c r="T130" s="136">
        <f>INDEX(LoadMaster!$DA:$DA,MATCH(B130,LoadMaster!$C:$C,0))</f>
        <v>11.25</v>
      </c>
      <c r="U130" s="137">
        <f>Table2[[#This Row],[WeekEndingDate]]+7</f>
        <v>42300</v>
      </c>
      <c r="V130" s="15">
        <f t="shared" ref="V130:V193" si="13">MONTH(P130)</f>
        <v>10</v>
      </c>
      <c r="W130" s="416">
        <f t="shared" ref="W130:W193" si="14">YEAR(P130)</f>
        <v>2015</v>
      </c>
    </row>
    <row r="131" spans="1:23" s="68" customFormat="1">
      <c r="A131" s="15" t="str">
        <f>INDEX(LoadMaster!$A:$A,MATCH(B131,LoadMaster!$C:$C,0))</f>
        <v>81-A5A49</v>
      </c>
      <c r="B131" s="81">
        <v>184141181</v>
      </c>
      <c r="C131" s="416" t="str">
        <f>VLOOKUP(Table2[[#This Row],[BrokerConfNo]],LoadMaster!C:D,2,FALSE)</f>
        <v>Ch Robinson</v>
      </c>
      <c r="D131" s="104">
        <v>42306</v>
      </c>
      <c r="E131" s="416" t="str">
        <f>IF(Table2[[#This Row],[UBActualReceived]]&gt;1,"Received","Pending")</f>
        <v>Received</v>
      </c>
      <c r="F131" s="132">
        <f>INDEX(LoadMaster!$CU:$CU,MATCH(B131,LoadMaster!$C:$C,0))</f>
        <v>525</v>
      </c>
      <c r="G131" s="132">
        <f>INDEX(LoadMaster!$CX:$CX,MATCH(B131,LoadMaster!$C:$C,0))</f>
        <v>514.5</v>
      </c>
      <c r="H131" s="132">
        <f>INDEX(LoadMaster!$CW:$CW,MATCH(B131,LoadMaster!$C:$C,0))</f>
        <v>475</v>
      </c>
      <c r="I131" s="330">
        <v>514.5</v>
      </c>
      <c r="J131" s="525">
        <v>475</v>
      </c>
      <c r="K131" s="134" t="str">
        <f t="shared" si="10"/>
        <v>Full</v>
      </c>
      <c r="L131" s="134">
        <f>INDEX(LoadMaster!$CT:$CT,MATCH(Table2[[#This Row],[BrokerConfNo]],LoadMaster!$C:$C,0))</f>
        <v>0</v>
      </c>
      <c r="M131" s="416" t="str">
        <f>INDEX(LoadMaster!$AO:$AO,MATCH(Table2[[#This Row],[BrokerConfNo]],LoadMaster!$C:$C,0))</f>
        <v>Albel</v>
      </c>
      <c r="N131" s="104">
        <f t="shared" si="11"/>
        <v>42300</v>
      </c>
      <c r="O131" s="135">
        <f t="shared" si="12"/>
        <v>42314</v>
      </c>
      <c r="P131" s="104">
        <f>INDEX(LoadMaster!$M:$M,MATCH(B131,LoadMaster!$C:$C,0))</f>
        <v>42296</v>
      </c>
      <c r="Q131" s="416" t="str">
        <f>INDEX(LoadMaster!$P:$P,MATCH(B131,LoadMaster!$C:$C,0))</f>
        <v>Woodland</v>
      </c>
      <c r="R131" s="416" t="str">
        <f>INDEX(LoadMaster!$AH:$AH,MATCH(B131,LoadMaster!$C:$C,0))</f>
        <v>Watsonville</v>
      </c>
      <c r="S131" s="416" t="str">
        <f>INDEX(LoadMaster!$DC:$DC,MATCH(B131,LoadMaster!$C:$C,0))</f>
        <v>Sunny</v>
      </c>
      <c r="T131" s="136">
        <f>INDEX(LoadMaster!$DA:$DA,MATCH(B131,LoadMaster!$C:$C,0))</f>
        <v>39.5</v>
      </c>
      <c r="U131" s="137">
        <f>Table2[[#This Row],[WeekEndingDate]]+7</f>
        <v>42307</v>
      </c>
      <c r="V131" s="15">
        <f t="shared" si="13"/>
        <v>10</v>
      </c>
      <c r="W131" s="416">
        <f t="shared" si="14"/>
        <v>2015</v>
      </c>
    </row>
    <row r="132" spans="1:23" s="68" customFormat="1">
      <c r="A132" s="15" t="str">
        <f>INDEX(LoadMaster!$A:$A,MATCH(B132,LoadMaster!$C:$C,0))</f>
        <v>62340J49</v>
      </c>
      <c r="B132" s="81">
        <v>184042062</v>
      </c>
      <c r="C132" s="416" t="str">
        <f>VLOOKUP(Table2[[#This Row],[BrokerConfNo]],LoadMaster!C:D,2,FALSE)</f>
        <v>Ch Robinson</v>
      </c>
      <c r="D132" s="104">
        <v>42307</v>
      </c>
      <c r="E132" s="416" t="str">
        <f>IF(Table2[[#This Row],[UBActualReceived]]&gt;1,"Received","Pending")</f>
        <v>Received</v>
      </c>
      <c r="F132" s="132">
        <f>INDEX(LoadMaster!$CU:$CU,MATCH(B132,LoadMaster!$C:$C,0))</f>
        <v>580</v>
      </c>
      <c r="G132" s="132">
        <f>INDEX(LoadMaster!$CX:$CX,MATCH(B132,LoadMaster!$C:$C,0))</f>
        <v>568.4</v>
      </c>
      <c r="H132" s="132">
        <f>INDEX(LoadMaster!$CW:$CW,MATCH(B132,LoadMaster!$C:$C,0))</f>
        <v>530</v>
      </c>
      <c r="I132" s="330">
        <v>568.4</v>
      </c>
      <c r="J132" s="525">
        <v>530</v>
      </c>
      <c r="K132" s="134" t="str">
        <f t="shared" si="10"/>
        <v>Full</v>
      </c>
      <c r="L132" s="134">
        <f>INDEX(LoadMaster!$CT:$CT,MATCH(Table2[[#This Row],[BrokerConfNo]],LoadMaster!$C:$C,0))</f>
        <v>30</v>
      </c>
      <c r="M132" s="416" t="str">
        <f>INDEX(LoadMaster!$AO:$AO,MATCH(Table2[[#This Row],[BrokerConfNo]],LoadMaster!$C:$C,0))</f>
        <v>Albel</v>
      </c>
      <c r="N132" s="104">
        <f t="shared" si="11"/>
        <v>42300</v>
      </c>
      <c r="O132" s="135">
        <f t="shared" si="12"/>
        <v>42314</v>
      </c>
      <c r="P132" s="104">
        <f>INDEX(LoadMaster!$M:$M,MATCH(B132,LoadMaster!$C:$C,0))</f>
        <v>42296</v>
      </c>
      <c r="Q132" s="416" t="str">
        <f>INDEX(LoadMaster!$P:$P,MATCH(B132,LoadMaster!$C:$C,0))</f>
        <v>Castroville</v>
      </c>
      <c r="R132" s="416" t="str">
        <f>INDEX(LoadMaster!$AH:$AH,MATCH(B132,LoadMaster!$C:$C,0))</f>
        <v>Ontario</v>
      </c>
      <c r="S132" s="416" t="str">
        <f>INDEX(LoadMaster!$DC:$DC,MATCH(B132,LoadMaster!$C:$C,0))</f>
        <v>Sunny</v>
      </c>
      <c r="T132" s="136">
        <f>INDEX(LoadMaster!$DA:$DA,MATCH(B132,LoadMaster!$C:$C,0))</f>
        <v>38.4</v>
      </c>
      <c r="U132" s="137">
        <f>Table2[[#This Row],[WeekEndingDate]]+7</f>
        <v>42307</v>
      </c>
      <c r="V132" s="15">
        <f t="shared" si="13"/>
        <v>10</v>
      </c>
      <c r="W132" s="416">
        <f t="shared" si="14"/>
        <v>2015</v>
      </c>
    </row>
    <row r="133" spans="1:23" s="131" customFormat="1">
      <c r="A133" s="15" t="str">
        <f>INDEX(LoadMaster!$A:$A,MATCH(B133,LoadMaster!$C:$C,0))</f>
        <v>84lwlw88</v>
      </c>
      <c r="B133" s="81">
        <v>184141784</v>
      </c>
      <c r="C133" s="416" t="str">
        <f>VLOOKUP(Table2[[#This Row],[BrokerConfNo]],LoadMaster!C:D,2,FALSE)</f>
        <v>Ch Robinson</v>
      </c>
      <c r="D133" s="104">
        <v>42303</v>
      </c>
      <c r="E133" s="416" t="str">
        <f>IF(Table2[[#This Row],[UBActualReceived]]&gt;1,"Received","Pending")</f>
        <v>Received</v>
      </c>
      <c r="F133" s="132">
        <f>INDEX(LoadMaster!$CU:$CU,MATCH(B133,LoadMaster!$C:$C,0))</f>
        <v>750</v>
      </c>
      <c r="G133" s="132">
        <f>INDEX(LoadMaster!$CX:$CX,MATCH(B133,LoadMaster!$C:$C,0))</f>
        <v>735</v>
      </c>
      <c r="H133" s="132">
        <f>INDEX(LoadMaster!$CW:$CW,MATCH(B133,LoadMaster!$C:$C,0))</f>
        <v>697.5</v>
      </c>
      <c r="I133" s="330">
        <v>735</v>
      </c>
      <c r="J133" s="525">
        <v>697.5</v>
      </c>
      <c r="K133" s="134" t="str">
        <f t="shared" si="10"/>
        <v>Full</v>
      </c>
      <c r="L133" s="134">
        <f>INDEX(LoadMaster!$CT:$CT,MATCH(Table2[[#This Row],[BrokerConfNo]],LoadMaster!$C:$C,0))</f>
        <v>0</v>
      </c>
      <c r="M133" s="416" t="str">
        <f>INDEX(LoadMaster!$AO:$AO,MATCH(Table2[[#This Row],[BrokerConfNo]],LoadMaster!$C:$C,0))</f>
        <v>Wesley</v>
      </c>
      <c r="N133" s="104">
        <f t="shared" si="11"/>
        <v>42300</v>
      </c>
      <c r="O133" s="135">
        <f t="shared" si="12"/>
        <v>42307</v>
      </c>
      <c r="P133" s="104">
        <f>INDEX(LoadMaster!$M:$M,MATCH(B133,LoadMaster!$C:$C,0))</f>
        <v>42296</v>
      </c>
      <c r="Q133" s="416" t="str">
        <f>INDEX(LoadMaster!$P:$P,MATCH(B133,LoadMaster!$C:$C,0))</f>
        <v>Woodland</v>
      </c>
      <c r="R133" s="416" t="str">
        <f>INDEX(LoadMaster!$AH:$AH,MATCH(B133,LoadMaster!$C:$C,0))</f>
        <v>Santa Maria</v>
      </c>
      <c r="S133" s="416" t="str">
        <f>INDEX(LoadMaster!$DC:$DC,MATCH(B133,LoadMaster!$C:$C,0))</f>
        <v>Sunny</v>
      </c>
      <c r="T133" s="136">
        <f>INDEX(LoadMaster!$DA:$DA,MATCH(B133,LoadMaster!$C:$C,0))</f>
        <v>37.5</v>
      </c>
      <c r="U133" s="137">
        <f>Table2[[#This Row],[WeekEndingDate]]+7</f>
        <v>42307</v>
      </c>
      <c r="V133" s="15">
        <f t="shared" si="13"/>
        <v>10</v>
      </c>
      <c r="W133" s="416">
        <f t="shared" si="14"/>
        <v>2015</v>
      </c>
    </row>
    <row r="134" spans="1:23" s="68" customFormat="1">
      <c r="A134" s="15" t="str">
        <f>INDEX(LoadMaster!$A:$A,MATCH(B134,LoadMaster!$C:$C,0))</f>
        <v>24235249</v>
      </c>
      <c r="B134" s="141">
        <v>183928424</v>
      </c>
      <c r="C134" s="131" t="str">
        <f>VLOOKUP(Table2[[#This Row],[BrokerConfNo]],LoadMaster!C:D,2,FALSE)</f>
        <v>Ch Robinson</v>
      </c>
      <c r="D134" s="20">
        <v>42306</v>
      </c>
      <c r="E134" s="416" t="str">
        <f>IF(Table2[[#This Row],[UBActualReceived]]&gt;1,"Received","Pending")</f>
        <v>Received</v>
      </c>
      <c r="F134" s="132">
        <f>INDEX(LoadMaster!$CU:$CU,MATCH(B134,LoadMaster!$C:$C,0))</f>
        <v>900</v>
      </c>
      <c r="G134" s="132">
        <f>INDEX(LoadMaster!$CX:$CX,MATCH(B134,LoadMaster!$C:$C,0))</f>
        <v>882</v>
      </c>
      <c r="H134" s="132">
        <f>INDEX(LoadMaster!$CW:$CW,MATCH(B134,LoadMaster!$C:$C,0))</f>
        <v>850</v>
      </c>
      <c r="I134" s="330">
        <v>882</v>
      </c>
      <c r="J134" s="525">
        <v>850</v>
      </c>
      <c r="K134" s="134" t="str">
        <f t="shared" si="10"/>
        <v>Full</v>
      </c>
      <c r="L134" s="134">
        <f>INDEX(LoadMaster!$CT:$CT,MATCH(Table2[[#This Row],[BrokerConfNo]],LoadMaster!$C:$C,0))</f>
        <v>0</v>
      </c>
      <c r="M134" s="416" t="str">
        <f>INDEX(LoadMaster!$AO:$AO,MATCH(Table2[[#This Row],[BrokerConfNo]],LoadMaster!$C:$C,0))</f>
        <v>Albel</v>
      </c>
      <c r="N134" s="20">
        <f t="shared" si="11"/>
        <v>42300</v>
      </c>
      <c r="O134" s="135">
        <f t="shared" si="12"/>
        <v>42314</v>
      </c>
      <c r="P134" s="20">
        <f>INDEX(LoadMaster!$M:$M,MATCH(B134,LoadMaster!$C:$C,0))</f>
        <v>42297</v>
      </c>
      <c r="Q134" s="131" t="str">
        <f>INDEX(LoadMaster!$P:$P,MATCH(B134,LoadMaster!$C:$C,0))</f>
        <v>Redlands</v>
      </c>
      <c r="R134" s="416" t="str">
        <f>INDEX(LoadMaster!$AH:$AH,MATCH(B134,LoadMaster!$C:$C,0))</f>
        <v>Sacramento</v>
      </c>
      <c r="S134" s="416" t="str">
        <f>INDEX(LoadMaster!$DC:$DC,MATCH(B134,LoadMaster!$C:$C,0))</f>
        <v>Sunny</v>
      </c>
      <c r="T134" s="136">
        <f>INDEX(LoadMaster!$DA:$DA,MATCH(B134,LoadMaster!$C:$C,0))</f>
        <v>32</v>
      </c>
      <c r="U134" s="137">
        <f>Table2[[#This Row],[WeekEndingDate]]+7</f>
        <v>42307</v>
      </c>
      <c r="V134" s="15">
        <f t="shared" si="13"/>
        <v>10</v>
      </c>
      <c r="W134" s="416">
        <f t="shared" si="14"/>
        <v>2015</v>
      </c>
    </row>
    <row r="135" spans="1:23" s="68" customFormat="1">
      <c r="A135" s="15" t="str">
        <f>INDEX(LoadMaster!$A:$A,MATCH(B135,LoadMaster!$C:$C,0))</f>
        <v>59nene88</v>
      </c>
      <c r="B135" s="81">
        <v>184297759</v>
      </c>
      <c r="C135" s="416" t="str">
        <f>VLOOKUP(Table2[[#This Row],[BrokerConfNo]],LoadMaster!C:D,2,FALSE)</f>
        <v>Ch Robinson</v>
      </c>
      <c r="D135" s="104">
        <v>42306</v>
      </c>
      <c r="E135" s="416" t="str">
        <f>IF(Table2[[#This Row],[UBActualReceived]]&gt;1,"Received","Pending")</f>
        <v>Received</v>
      </c>
      <c r="F135" s="132">
        <f>INDEX(LoadMaster!$CU:$CU,MATCH(B135,LoadMaster!$C:$C,0))</f>
        <v>900</v>
      </c>
      <c r="G135" s="132">
        <f>INDEX(LoadMaster!$CX:$CX,MATCH(B135,LoadMaster!$C:$C,0))</f>
        <v>882</v>
      </c>
      <c r="H135" s="132">
        <f>INDEX(LoadMaster!$CW:$CW,MATCH(B135,LoadMaster!$C:$C,0))</f>
        <v>837</v>
      </c>
      <c r="I135" s="330">
        <v>882</v>
      </c>
      <c r="J135" s="525">
        <v>837</v>
      </c>
      <c r="K135" s="134" t="str">
        <f t="shared" si="10"/>
        <v>Full</v>
      </c>
      <c r="L135" s="134">
        <f>INDEX(LoadMaster!$CT:$CT,MATCH(Table2[[#This Row],[BrokerConfNo]],LoadMaster!$C:$C,0))</f>
        <v>0</v>
      </c>
      <c r="M135" s="416" t="str">
        <f>INDEX(LoadMaster!$AO:$AO,MATCH(Table2[[#This Row],[BrokerConfNo]],LoadMaster!$C:$C,0))</f>
        <v>Wesley</v>
      </c>
      <c r="N135" s="104">
        <f t="shared" si="11"/>
        <v>42300</v>
      </c>
      <c r="O135" s="135">
        <f t="shared" si="12"/>
        <v>42307</v>
      </c>
      <c r="P135" s="104">
        <f>INDEX(LoadMaster!$M:$M,MATCH(B135,LoadMaster!$C:$C,0))</f>
        <v>42297</v>
      </c>
      <c r="Q135" s="416" t="str">
        <f>INDEX(LoadMaster!$P:$P,MATCH(B135,LoadMaster!$C:$C,0))</f>
        <v>Compton</v>
      </c>
      <c r="R135" s="416" t="str">
        <f>INDEX(LoadMaster!$AH:$AH,MATCH(B135,LoadMaster!$C:$C,0))</f>
        <v>Lathrop</v>
      </c>
      <c r="S135" s="416" t="str">
        <f>INDEX(LoadMaster!$DC:$DC,MATCH(B135,LoadMaster!$C:$C,0))</f>
        <v>Sunny</v>
      </c>
      <c r="T135" s="136">
        <f>INDEX(LoadMaster!$DA:$DA,MATCH(B135,LoadMaster!$C:$C,0))</f>
        <v>45</v>
      </c>
      <c r="U135" s="137">
        <f>Table2[[#This Row],[WeekEndingDate]]+7</f>
        <v>42307</v>
      </c>
      <c r="V135" s="15">
        <f t="shared" si="13"/>
        <v>10</v>
      </c>
      <c r="W135" s="416">
        <f t="shared" si="14"/>
        <v>2015</v>
      </c>
    </row>
    <row r="136" spans="1:23" s="18" customFormat="1">
      <c r="A136" s="15" t="str">
        <f>INDEX(LoadMaster!$A:$A,MATCH(B136,LoadMaster!$C:$C,0))</f>
        <v>54149149</v>
      </c>
      <c r="B136" s="81">
        <v>184206354</v>
      </c>
      <c r="C136" s="416" t="str">
        <f>VLOOKUP(Table2[[#This Row],[BrokerConfNo]],LoadMaster!C:D,2,FALSE)</f>
        <v>Ch Robinson</v>
      </c>
      <c r="D136" s="104">
        <v>42307</v>
      </c>
      <c r="E136" s="416" t="str">
        <f>IF(Table2[[#This Row],[UBActualReceived]]&gt;1,"Received","Pending")</f>
        <v>Received</v>
      </c>
      <c r="F136" s="132">
        <f>INDEX(LoadMaster!$CU:$CU,MATCH(B136,LoadMaster!$C:$C,0))</f>
        <v>950</v>
      </c>
      <c r="G136" s="132">
        <f>INDEX(LoadMaster!$CX:$CX,MATCH(B136,LoadMaster!$C:$C,0))</f>
        <v>931</v>
      </c>
      <c r="H136" s="132">
        <f>INDEX(LoadMaster!$CW:$CW,MATCH(B136,LoadMaster!$C:$C,0))</f>
        <v>900</v>
      </c>
      <c r="I136" s="330">
        <v>931</v>
      </c>
      <c r="J136" s="525">
        <v>900</v>
      </c>
      <c r="K136" s="134" t="str">
        <f t="shared" si="10"/>
        <v>Full</v>
      </c>
      <c r="L136" s="134">
        <f>INDEX(LoadMaster!$CT:$CT,MATCH(Table2[[#This Row],[BrokerConfNo]],LoadMaster!$C:$C,0))</f>
        <v>0</v>
      </c>
      <c r="M136" s="416" t="str">
        <f>INDEX(LoadMaster!$AO:$AO,MATCH(Table2[[#This Row],[BrokerConfNo]],LoadMaster!$C:$C,0))</f>
        <v>Albel</v>
      </c>
      <c r="N136" s="104">
        <f t="shared" si="11"/>
        <v>42300</v>
      </c>
      <c r="O136" s="135">
        <f t="shared" si="12"/>
        <v>42314</v>
      </c>
      <c r="P136" s="104">
        <f>INDEX(LoadMaster!$M:$M,MATCH(B136,LoadMaster!$C:$C,0))</f>
        <v>42298</v>
      </c>
      <c r="Q136" s="416" t="str">
        <f>INDEX(LoadMaster!$P:$P,MATCH(B136,LoadMaster!$C:$C,0))</f>
        <v>Woodland</v>
      </c>
      <c r="R136" s="416" t="str">
        <f>INDEX(LoadMaster!$AH:$AH,MATCH(B136,LoadMaster!$C:$C,0))</f>
        <v>Santa Fe Springs</v>
      </c>
      <c r="S136" s="416" t="str">
        <f>INDEX(LoadMaster!$DC:$DC,MATCH(B136,LoadMaster!$C:$C,0))</f>
        <v>Sunny</v>
      </c>
      <c r="T136" s="136">
        <f>INDEX(LoadMaster!$DA:$DA,MATCH(B136,LoadMaster!$C:$C,0))</f>
        <v>31</v>
      </c>
      <c r="U136" s="137">
        <f>Table2[[#This Row],[WeekEndingDate]]+7</f>
        <v>42307</v>
      </c>
      <c r="V136" s="15">
        <f t="shared" si="13"/>
        <v>10</v>
      </c>
      <c r="W136" s="416">
        <f t="shared" si="14"/>
        <v>2015</v>
      </c>
    </row>
    <row r="137" spans="1:23" s="68" customFormat="1">
      <c r="A137" s="15" t="str">
        <f>INDEX(LoadMaster!$A:$A,MATCH(B137,LoadMaster!$C:$C,0))</f>
        <v>63453388</v>
      </c>
      <c r="B137" s="55">
        <v>6187363</v>
      </c>
      <c r="C137" s="18" t="str">
        <f>VLOOKUP(Table2[[#This Row],[BrokerConfNo]],LoadMaster!C:D,2,FALSE)</f>
        <v>Tql</v>
      </c>
      <c r="D137" s="26">
        <v>42307</v>
      </c>
      <c r="E137" s="18" t="str">
        <f>IF(Table2[[#This Row],[UBActualReceived]]&gt;1,"Received","Pending")</f>
        <v>Received</v>
      </c>
      <c r="F137" s="21">
        <f>INDEX(LoadMaster!$CU:$CU,MATCH(B137,LoadMaster!$C:$C,0))</f>
        <v>675</v>
      </c>
      <c r="G137" s="132">
        <f>INDEX(LoadMaster!$CX:$CX,MATCH(B137,LoadMaster!$C:$C,0))</f>
        <v>654.75</v>
      </c>
      <c r="H137" s="132">
        <f>INDEX(LoadMaster!$CW:$CW,MATCH(B137,LoadMaster!$C:$C,0))</f>
        <v>581.25</v>
      </c>
      <c r="I137" s="331">
        <v>654.75</v>
      </c>
      <c r="J137" s="526">
        <v>581.25</v>
      </c>
      <c r="K137" s="27" t="str">
        <f t="shared" si="10"/>
        <v>Full</v>
      </c>
      <c r="L137" s="27">
        <f>INDEX(LoadMaster!$CT:$CT,MATCH(Table2[[#This Row],[BrokerConfNo]],LoadMaster!$C:$C,0))</f>
        <v>0</v>
      </c>
      <c r="M137" s="18" t="str">
        <f>INDEX(LoadMaster!$AO:$AO,MATCH(Table2[[#This Row],[BrokerConfNo]],LoadMaster!$C:$C,0))</f>
        <v>Wesley</v>
      </c>
      <c r="N137" s="26">
        <f t="shared" si="11"/>
        <v>42300</v>
      </c>
      <c r="O137" s="109">
        <f t="shared" si="12"/>
        <v>42307</v>
      </c>
      <c r="P137" s="26">
        <f>INDEX(LoadMaster!$M:$M,MATCH(B137,LoadMaster!$C:$C,0))</f>
        <v>42298</v>
      </c>
      <c r="Q137" s="18" t="str">
        <f>INDEX(LoadMaster!$P:$P,MATCH(B137,LoadMaster!$C:$C,0))</f>
        <v>Hayward</v>
      </c>
      <c r="R137" s="18" t="str">
        <f>INDEX(LoadMaster!$AH:$AH,MATCH(B137,LoadMaster!$C:$C,0))</f>
        <v>Santa Barbara</v>
      </c>
      <c r="S137" s="416" t="str">
        <f>INDEX(LoadMaster!$DC:$DC,MATCH(B137,LoadMaster!$C:$C,0))</f>
        <v>Sunny</v>
      </c>
      <c r="T137" s="48">
        <f>INDEX(LoadMaster!$DA:$DA,MATCH(B137,LoadMaster!$C:$C,0))</f>
        <v>73.5</v>
      </c>
      <c r="U137" s="110">
        <f>Table2[[#This Row],[WeekEndingDate]]+7</f>
        <v>42307</v>
      </c>
      <c r="V137" s="14">
        <f t="shared" si="13"/>
        <v>10</v>
      </c>
      <c r="W137" s="18">
        <f t="shared" si="14"/>
        <v>2015</v>
      </c>
    </row>
    <row r="138" spans="1:23" s="68" customFormat="1">
      <c r="A138" s="15" t="str">
        <f>INDEX(LoadMaster!$A:$A,MATCH(B138,LoadMaster!$C:$C,0))</f>
        <v>15enne88</v>
      </c>
      <c r="B138" s="81">
        <v>184366215</v>
      </c>
      <c r="C138" s="416" t="str">
        <f>VLOOKUP(Table2[[#This Row],[BrokerConfNo]],LoadMaster!C:D,2,FALSE)</f>
        <v>Ch Robinson</v>
      </c>
      <c r="D138" s="104">
        <v>42313</v>
      </c>
      <c r="E138" s="416" t="str">
        <f>IF(Table2[[#This Row],[UBActualReceived]]&gt;1,"Received","Pending")</f>
        <v>Received</v>
      </c>
      <c r="F138" s="132">
        <f>INDEX(LoadMaster!$CU:$CU,MATCH(B138,LoadMaster!$C:$C,0))</f>
        <v>900</v>
      </c>
      <c r="G138" s="132">
        <f>INDEX(LoadMaster!$CX:$CX,MATCH(B138,LoadMaster!$C:$C,0))</f>
        <v>882</v>
      </c>
      <c r="H138" s="132">
        <f>INDEX(LoadMaster!$CW:$CW,MATCH(B138,LoadMaster!$C:$C,0))</f>
        <v>837</v>
      </c>
      <c r="I138" s="330">
        <v>882</v>
      </c>
      <c r="J138" s="525">
        <v>837</v>
      </c>
      <c r="K138" s="134" t="str">
        <f t="shared" si="10"/>
        <v>Full</v>
      </c>
      <c r="L138" s="134">
        <f>INDEX(LoadMaster!$CT:$CT,MATCH(Table2[[#This Row],[BrokerConfNo]],LoadMaster!$C:$C,0))</f>
        <v>0</v>
      </c>
      <c r="M138" s="416" t="str">
        <f>INDEX(LoadMaster!$AO:$AO,MATCH(Table2[[#This Row],[BrokerConfNo]],LoadMaster!$C:$C,0))</f>
        <v>Wesley</v>
      </c>
      <c r="N138" s="104">
        <f t="shared" si="11"/>
        <v>42300</v>
      </c>
      <c r="O138" s="135">
        <f t="shared" si="12"/>
        <v>42307</v>
      </c>
      <c r="P138" s="104">
        <f>INDEX(LoadMaster!$M:$M,MATCH(B138,LoadMaster!$C:$C,0))</f>
        <v>42299</v>
      </c>
      <c r="Q138" s="416" t="str">
        <f>INDEX(LoadMaster!$P:$P,MATCH(B138,LoadMaster!$C:$C,0))</f>
        <v>Rancho Cucamonga</v>
      </c>
      <c r="R138" s="416" t="str">
        <f>INDEX(LoadMaster!$AH:$AH,MATCH(B138,LoadMaster!$C:$C,0))</f>
        <v>San Pablo / Santa Rosa</v>
      </c>
      <c r="S138" s="416" t="str">
        <f>INDEX(LoadMaster!$DC:$DC,MATCH(B138,LoadMaster!$C:$C,0))</f>
        <v>Sunny</v>
      </c>
      <c r="T138" s="136">
        <f>INDEX(LoadMaster!$DA:$DA,MATCH(B138,LoadMaster!$C:$C,0))</f>
        <v>45</v>
      </c>
      <c r="U138" s="137">
        <f>Table2[[#This Row],[WeekEndingDate]]+7</f>
        <v>42307</v>
      </c>
      <c r="V138" s="15">
        <f t="shared" si="13"/>
        <v>10</v>
      </c>
      <c r="W138" s="416">
        <f t="shared" si="14"/>
        <v>2015</v>
      </c>
    </row>
    <row r="139" spans="1:23" s="68" customFormat="1">
      <c r="A139" s="15" t="str">
        <f>INDEX(LoadMaster!$A:$A,MATCH(B139,LoadMaster!$C:$C,0))</f>
        <v>77161849</v>
      </c>
      <c r="B139" s="81">
        <v>184417277</v>
      </c>
      <c r="C139" s="416" t="str">
        <f>VLOOKUP(Table2[[#This Row],[BrokerConfNo]],LoadMaster!C:D,2,FALSE)</f>
        <v>Ch Robinson</v>
      </c>
      <c r="D139" s="104">
        <v>42307</v>
      </c>
      <c r="E139" s="416" t="str">
        <f>IF(Table2[[#This Row],[UBActualReceived]]&gt;1,"Received","Pending")</f>
        <v>Received</v>
      </c>
      <c r="F139" s="132">
        <f>INDEX(LoadMaster!$CU:$CU,MATCH(B139,LoadMaster!$C:$C,0))</f>
        <v>700</v>
      </c>
      <c r="G139" s="132">
        <f>INDEX(LoadMaster!$CX:$CX,MATCH(B139,LoadMaster!$C:$C,0))</f>
        <v>686</v>
      </c>
      <c r="H139" s="132">
        <f>INDEX(LoadMaster!$CW:$CW,MATCH(B139,LoadMaster!$C:$C,0))</f>
        <v>650</v>
      </c>
      <c r="I139" s="330">
        <v>686</v>
      </c>
      <c r="J139" s="525">
        <v>650</v>
      </c>
      <c r="K139" s="134" t="str">
        <f t="shared" si="10"/>
        <v>Full</v>
      </c>
      <c r="L139" s="134">
        <f>INDEX(LoadMaster!$CT:$CT,MATCH(Table2[[#This Row],[BrokerConfNo]],LoadMaster!$C:$C,0))</f>
        <v>0</v>
      </c>
      <c r="M139" s="416" t="str">
        <f>INDEX(LoadMaster!$AO:$AO,MATCH(Table2[[#This Row],[BrokerConfNo]],LoadMaster!$C:$C,0))</f>
        <v>Albel</v>
      </c>
      <c r="N139" s="104">
        <f t="shared" si="11"/>
        <v>42300</v>
      </c>
      <c r="O139" s="135">
        <f t="shared" si="12"/>
        <v>42314</v>
      </c>
      <c r="P139" s="104">
        <f>INDEX(LoadMaster!$M:$M,MATCH(B139,LoadMaster!$C:$C,0))</f>
        <v>42299</v>
      </c>
      <c r="Q139" s="416" t="str">
        <f>INDEX(LoadMaster!$P:$P,MATCH(B139,LoadMaster!$C:$C,0))</f>
        <v>Ontario</v>
      </c>
      <c r="R139" s="416" t="str">
        <f>INDEX(LoadMaster!$AH:$AH,MATCH(B139,LoadMaster!$C:$C,0))</f>
        <v>Tracy</v>
      </c>
      <c r="S139" s="416" t="str">
        <f>INDEX(LoadMaster!$DC:$DC,MATCH(B139,LoadMaster!$C:$C,0))</f>
        <v>Sunny</v>
      </c>
      <c r="T139" s="136">
        <f>INDEX(LoadMaster!$DA:$DA,MATCH(B139,LoadMaster!$C:$C,0))</f>
        <v>36</v>
      </c>
      <c r="U139" s="137">
        <f>Table2[[#This Row],[WeekEndingDate]]+7</f>
        <v>42307</v>
      </c>
      <c r="V139" s="15">
        <f t="shared" si="13"/>
        <v>10</v>
      </c>
      <c r="W139" s="416">
        <f t="shared" si="14"/>
        <v>2015</v>
      </c>
    </row>
    <row r="140" spans="1:23" s="18" customFormat="1">
      <c r="A140" s="15" t="str">
        <f>INDEX(LoadMaster!$A:$A,MATCH(B140,LoadMaster!$C:$C,0))</f>
        <v>3113fs88</v>
      </c>
      <c r="B140" s="55">
        <v>6209231</v>
      </c>
      <c r="C140" s="18" t="str">
        <f>VLOOKUP(Table2[[#This Row],[BrokerConfNo]],LoadMaster!C:D,2,FALSE)</f>
        <v>Tql</v>
      </c>
      <c r="D140" s="26">
        <v>42307</v>
      </c>
      <c r="E140" s="18" t="str">
        <f>IF(Table2[[#This Row],[UBActualReceived]]&gt;1,"Received","Pending")</f>
        <v>Received</v>
      </c>
      <c r="F140" s="21">
        <f>INDEX(LoadMaster!$CU:$CU,MATCH(B140,LoadMaster!$C:$C,0))</f>
        <v>500</v>
      </c>
      <c r="G140" s="132">
        <f>INDEX(LoadMaster!$CX:$CX,MATCH(B140,LoadMaster!$C:$C,0))</f>
        <v>485</v>
      </c>
      <c r="H140" s="132">
        <f>INDEX(LoadMaster!$CW:$CW,MATCH(B140,LoadMaster!$C:$C,0))</f>
        <v>450</v>
      </c>
      <c r="I140" s="331">
        <v>485</v>
      </c>
      <c r="J140" s="526">
        <v>450</v>
      </c>
      <c r="K140" s="27" t="str">
        <f t="shared" si="10"/>
        <v>Full</v>
      </c>
      <c r="L140" s="27">
        <f>INDEX(LoadMaster!$CT:$CT,MATCH(Table2[[#This Row],[BrokerConfNo]],LoadMaster!$C:$C,0))</f>
        <v>0</v>
      </c>
      <c r="M140" s="18" t="str">
        <f>INDEX(LoadMaster!$AO:$AO,MATCH(Table2[[#This Row],[BrokerConfNo]],LoadMaster!$C:$C,0))</f>
        <v>Wesley</v>
      </c>
      <c r="N140" s="26">
        <f t="shared" si="11"/>
        <v>42300</v>
      </c>
      <c r="O140" s="109">
        <f t="shared" si="12"/>
        <v>42307</v>
      </c>
      <c r="P140" s="26">
        <f>INDEX(LoadMaster!$M:$M,MATCH(B140,LoadMaster!$C:$C,0))</f>
        <v>42300</v>
      </c>
      <c r="Q140" s="18" t="str">
        <f>INDEX(LoadMaster!$P:$P,MATCH(B140,LoadMaster!$C:$C,0))</f>
        <v>Hayward</v>
      </c>
      <c r="R140" s="18" t="str">
        <f>INDEX(LoadMaster!$AH:$AH,MATCH(B140,LoadMaster!$C:$C,0))</f>
        <v>Paso Robles</v>
      </c>
      <c r="S140" s="416" t="str">
        <f>INDEX(LoadMaster!$DC:$DC,MATCH(B140,LoadMaster!$C:$C,0))</f>
        <v>Sunny</v>
      </c>
      <c r="T140" s="48">
        <f>INDEX(LoadMaster!$DA:$DA,MATCH(B140,LoadMaster!$C:$C,0))</f>
        <v>35</v>
      </c>
      <c r="U140" s="110">
        <f>Table2[[#This Row],[WeekEndingDate]]+7</f>
        <v>42307</v>
      </c>
      <c r="V140" s="14">
        <f t="shared" si="13"/>
        <v>10</v>
      </c>
      <c r="W140" s="18">
        <f t="shared" si="14"/>
        <v>2015</v>
      </c>
    </row>
    <row r="141" spans="1:23" s="68" customFormat="1">
      <c r="A141" s="15" t="str">
        <f>INDEX(LoadMaster!$A:$A,MATCH(B141,LoadMaster!$C:$C,0))</f>
        <v>06nkne49</v>
      </c>
      <c r="B141" s="81">
        <v>184435606</v>
      </c>
      <c r="C141" s="416" t="str">
        <f>VLOOKUP(Table2[[#This Row],[BrokerConfNo]],LoadMaster!C:D,2,FALSE)</f>
        <v>Ch Robinson</v>
      </c>
      <c r="D141" s="104">
        <v>42314</v>
      </c>
      <c r="E141" s="416" t="str">
        <f>IF(Table2[[#This Row],[UBActualReceived]]&gt;1,"Received","Pending")</f>
        <v>Received</v>
      </c>
      <c r="F141" s="132">
        <f>INDEX(LoadMaster!$CU:$CU,MATCH(B141,LoadMaster!$C:$C,0))</f>
        <v>1150.0000000002001</v>
      </c>
      <c r="G141" s="132">
        <f>INDEX(LoadMaster!$CX:$CX,MATCH(B141,LoadMaster!$C:$C,0))</f>
        <v>1127.000000000196</v>
      </c>
      <c r="H141" s="132">
        <f>INDEX(LoadMaster!$CW:$CW,MATCH(B141,LoadMaster!$C:$C,0))</f>
        <v>1100.0000000002001</v>
      </c>
      <c r="I141" s="330">
        <v>1127.0999999999999</v>
      </c>
      <c r="J141" s="525">
        <v>1100.0000000002001</v>
      </c>
      <c r="K141" s="134" t="str">
        <f t="shared" si="10"/>
        <v>Full</v>
      </c>
      <c r="L141" s="134">
        <f>INDEX(LoadMaster!$CT:$CT,MATCH(Table2[[#This Row],[BrokerConfNo]],LoadMaster!$C:$C,0))</f>
        <v>250.00000000020003</v>
      </c>
      <c r="M141" s="416" t="str">
        <f>INDEX(LoadMaster!$AO:$AO,MATCH(Table2[[#This Row],[BrokerConfNo]],LoadMaster!$C:$C,0))</f>
        <v>Albel</v>
      </c>
      <c r="N141" s="104">
        <f t="shared" si="11"/>
        <v>42307</v>
      </c>
      <c r="O141" s="135">
        <f t="shared" si="12"/>
        <v>42321</v>
      </c>
      <c r="P141" s="104">
        <f>INDEX(LoadMaster!$M:$M,MATCH(B141,LoadMaster!$C:$C,0))</f>
        <v>42303</v>
      </c>
      <c r="Q141" s="416" t="str">
        <f>INDEX(LoadMaster!$P:$P,MATCH(B141,LoadMaster!$C:$C,0))</f>
        <v>Sacramento</v>
      </c>
      <c r="R141" s="416" t="str">
        <f>INDEX(LoadMaster!$AH:$AH,MATCH(B141,LoadMaster!$C:$C,0))</f>
        <v>Santa Cruz</v>
      </c>
      <c r="S141" s="416" t="str">
        <f>INDEX(LoadMaster!$DC:$DC,MATCH(B141,LoadMaster!$C:$C,0))</f>
        <v>Sunny</v>
      </c>
      <c r="T141" s="136">
        <f>INDEX(LoadMaster!$DA:$DA,MATCH(B141,LoadMaster!$C:$C,0))</f>
        <v>26.999999999995996</v>
      </c>
      <c r="U141" s="137">
        <f>Table2[[#This Row],[WeekEndingDate]]+7</f>
        <v>42314</v>
      </c>
      <c r="V141" s="15">
        <f t="shared" si="13"/>
        <v>10</v>
      </c>
      <c r="W141" s="416">
        <f t="shared" si="14"/>
        <v>2015</v>
      </c>
    </row>
    <row r="142" spans="1:23" s="68" customFormat="1">
      <c r="A142" s="15" t="str">
        <f>INDEX(LoadMaster!$A:$A,MATCH(B142,LoadMaster!$C:$C,0))</f>
        <v>84232688</v>
      </c>
      <c r="B142" s="81">
        <v>184163184</v>
      </c>
      <c r="C142" s="416" t="str">
        <f>VLOOKUP(Table2[[#This Row],[BrokerConfNo]],LoadMaster!C:D,2,FALSE)</f>
        <v>Ch Robinson</v>
      </c>
      <c r="D142" s="104">
        <v>42325</v>
      </c>
      <c r="E142" s="416" t="str">
        <f>IF(Table2[[#This Row],[UBActualReceived]]&gt;1,"Received","Pending")</f>
        <v>Received</v>
      </c>
      <c r="F142" s="132">
        <f>INDEX(LoadMaster!$CU:$CU,MATCH(B142,LoadMaster!$C:$C,0))</f>
        <v>400</v>
      </c>
      <c r="G142" s="132">
        <f>INDEX(LoadMaster!$CX:$CX,MATCH(B142,LoadMaster!$C:$C,0))</f>
        <v>392</v>
      </c>
      <c r="H142" s="132">
        <f>INDEX(LoadMaster!$CW:$CW,MATCH(B142,LoadMaster!$C:$C,0))</f>
        <v>372</v>
      </c>
      <c r="I142" s="330">
        <v>392</v>
      </c>
      <c r="J142" s="525">
        <v>372</v>
      </c>
      <c r="K142" s="134" t="str">
        <f t="shared" si="10"/>
        <v>Full</v>
      </c>
      <c r="L142" s="134">
        <f>INDEX(LoadMaster!$CT:$CT,MATCH(Table2[[#This Row],[BrokerConfNo]],LoadMaster!$C:$C,0))</f>
        <v>0</v>
      </c>
      <c r="M142" s="416" t="str">
        <f>INDEX(LoadMaster!$AO:$AO,MATCH(Table2[[#This Row],[BrokerConfNo]],LoadMaster!$C:$C,0))</f>
        <v>Wesley</v>
      </c>
      <c r="N142" s="104">
        <f t="shared" si="11"/>
        <v>42307</v>
      </c>
      <c r="O142" s="135">
        <f t="shared" si="12"/>
        <v>42314</v>
      </c>
      <c r="P142" s="104">
        <f>INDEX(LoadMaster!$M:$M,MATCH(B142,LoadMaster!$C:$C,0))</f>
        <v>42303</v>
      </c>
      <c r="Q142" s="416" t="str">
        <f>INDEX(LoadMaster!$P:$P,MATCH(B142,LoadMaster!$C:$C,0))</f>
        <v>Oxnard</v>
      </c>
      <c r="R142" s="416" t="str">
        <f>INDEX(LoadMaster!$AH:$AH,MATCH(B142,LoadMaster!$C:$C,0))</f>
        <v>Torrance / Hawthorne / Marina Del Rey</v>
      </c>
      <c r="S142" s="416" t="str">
        <f>INDEX(LoadMaster!$DC:$DC,MATCH(B142,LoadMaster!$C:$C,0))</f>
        <v>Sunny</v>
      </c>
      <c r="T142" s="136">
        <f>INDEX(LoadMaster!$DA:$DA,MATCH(B142,LoadMaster!$C:$C,0))</f>
        <v>20</v>
      </c>
      <c r="U142" s="137">
        <f>Table2[[#This Row],[WeekEndingDate]]+7</f>
        <v>42314</v>
      </c>
      <c r="V142" s="15">
        <f t="shared" si="13"/>
        <v>10</v>
      </c>
      <c r="W142" s="416">
        <f t="shared" si="14"/>
        <v>2015</v>
      </c>
    </row>
    <row r="143" spans="1:23" s="68" customFormat="1">
      <c r="A143" s="15" t="str">
        <f>INDEX(LoadMaster!$A:$A,MATCH(B143,LoadMaster!$C:$C,0))</f>
        <v>84605788</v>
      </c>
      <c r="B143" s="81">
        <v>184505084</v>
      </c>
      <c r="C143" s="416" t="str">
        <f>VLOOKUP(Table2[[#This Row],[BrokerConfNo]],LoadMaster!C:D,2,FALSE)</f>
        <v>Ch Robinson</v>
      </c>
      <c r="D143" s="104">
        <v>42319</v>
      </c>
      <c r="E143" s="416" t="str">
        <f>IF(Table2[[#This Row],[UBActualReceived]]&gt;1,"Received","Pending")</f>
        <v>Received</v>
      </c>
      <c r="F143" s="132">
        <f>INDEX(LoadMaster!$CU:$CU,MATCH(B143,LoadMaster!$C:$C,0))</f>
        <v>700</v>
      </c>
      <c r="G143" s="132">
        <f>INDEX(LoadMaster!$CX:$CX,MATCH(B143,LoadMaster!$C:$C,0))</f>
        <v>686</v>
      </c>
      <c r="H143" s="132">
        <f>INDEX(LoadMaster!$CW:$CW,MATCH(B143,LoadMaster!$C:$C,0))</f>
        <v>651</v>
      </c>
      <c r="I143" s="330">
        <v>686</v>
      </c>
      <c r="J143" s="525">
        <v>651</v>
      </c>
      <c r="K143" s="134" t="str">
        <f t="shared" si="10"/>
        <v>Full</v>
      </c>
      <c r="L143" s="134">
        <f>INDEX(LoadMaster!$CT:$CT,MATCH(Table2[[#This Row],[BrokerConfNo]],LoadMaster!$C:$C,0))</f>
        <v>0</v>
      </c>
      <c r="M143" s="416" t="str">
        <f>INDEX(LoadMaster!$AO:$AO,MATCH(Table2[[#This Row],[BrokerConfNo]],LoadMaster!$C:$C,0))</f>
        <v>Wesley</v>
      </c>
      <c r="N143" s="104">
        <f t="shared" si="11"/>
        <v>42307</v>
      </c>
      <c r="O143" s="135">
        <f t="shared" si="12"/>
        <v>42314</v>
      </c>
      <c r="P143" s="104">
        <f>INDEX(LoadMaster!$M:$M,MATCH(B143,LoadMaster!$C:$C,0))</f>
        <v>42304</v>
      </c>
      <c r="Q143" s="416" t="str">
        <f>INDEX(LoadMaster!$P:$P,MATCH(B143,LoadMaster!$C:$C,0))</f>
        <v>Oxnard</v>
      </c>
      <c r="R143" s="416" t="str">
        <f>INDEX(LoadMaster!$AH:$AH,MATCH(B143,LoadMaster!$C:$C,0))</f>
        <v>Tracy</v>
      </c>
      <c r="S143" s="416" t="str">
        <f>INDEX(LoadMaster!$DC:$DC,MATCH(B143,LoadMaster!$C:$C,0))</f>
        <v>Sunny</v>
      </c>
      <c r="T143" s="136">
        <f>INDEX(LoadMaster!$DA:$DA,MATCH(B143,LoadMaster!$C:$C,0))</f>
        <v>35</v>
      </c>
      <c r="U143" s="137">
        <f>Table2[[#This Row],[WeekEndingDate]]+7</f>
        <v>42314</v>
      </c>
      <c r="V143" s="15">
        <f t="shared" si="13"/>
        <v>10</v>
      </c>
      <c r="W143" s="416">
        <f t="shared" si="14"/>
        <v>2015</v>
      </c>
    </row>
    <row r="144" spans="1:23" s="18" customFormat="1">
      <c r="A144" s="15" t="str">
        <f>INDEX(LoadMaster!$A:$A,MATCH(B144,LoadMaster!$C:$C,0))</f>
        <v>16nenk49</v>
      </c>
      <c r="B144" s="55">
        <v>6220616</v>
      </c>
      <c r="C144" s="18" t="str">
        <f>VLOOKUP(Table2[[#This Row],[BrokerConfNo]],LoadMaster!C:D,2,FALSE)</f>
        <v>Tql</v>
      </c>
      <c r="D144" s="26">
        <v>42319</v>
      </c>
      <c r="E144" s="18" t="str">
        <f>IF(Table2[[#This Row],[UBActualReceived]]&gt;1,"Received","Pending")</f>
        <v>Received</v>
      </c>
      <c r="F144" s="21">
        <f>INDEX(LoadMaster!$CU:$CU,MATCH(B144,LoadMaster!$C:$C,0))</f>
        <v>750</v>
      </c>
      <c r="G144" s="132">
        <f>INDEX(LoadMaster!$CX:$CX,MATCH(B144,LoadMaster!$C:$C,0))</f>
        <v>727.5</v>
      </c>
      <c r="H144" s="132">
        <f>INDEX(LoadMaster!$CW:$CW,MATCH(B144,LoadMaster!$C:$C,0))</f>
        <v>700</v>
      </c>
      <c r="I144" s="331">
        <v>727.5</v>
      </c>
      <c r="J144" s="526">
        <v>700</v>
      </c>
      <c r="K144" s="27" t="str">
        <f t="shared" si="10"/>
        <v>Full</v>
      </c>
      <c r="L144" s="27">
        <f>INDEX(LoadMaster!$CT:$CT,MATCH(Table2[[#This Row],[BrokerConfNo]],LoadMaster!$C:$C,0))</f>
        <v>0</v>
      </c>
      <c r="M144" s="18" t="str">
        <f>INDEX(LoadMaster!$AO:$AO,MATCH(Table2[[#This Row],[BrokerConfNo]],LoadMaster!$C:$C,0))</f>
        <v>Albel</v>
      </c>
      <c r="N144" s="26">
        <f t="shared" si="11"/>
        <v>42307</v>
      </c>
      <c r="O144" s="109">
        <f t="shared" si="12"/>
        <v>42321</v>
      </c>
      <c r="P144" s="26">
        <f>INDEX(LoadMaster!$M:$M,MATCH(B144,LoadMaster!$C:$C,0))</f>
        <v>42305</v>
      </c>
      <c r="Q144" s="18" t="str">
        <f>INDEX(LoadMaster!$P:$P,MATCH(B144,LoadMaster!$C:$C,0))</f>
        <v>West Sacramento</v>
      </c>
      <c r="R144" s="18" t="str">
        <f>INDEX(LoadMaster!$AH:$AH,MATCH(B144,LoadMaster!$C:$C,0))</f>
        <v>Buelton</v>
      </c>
      <c r="S144" s="416" t="str">
        <f>INDEX(LoadMaster!$DC:$DC,MATCH(B144,LoadMaster!$C:$C,0))</f>
        <v>Sunny</v>
      </c>
      <c r="T144" s="48">
        <f>INDEX(LoadMaster!$DA:$DA,MATCH(B144,LoadMaster!$C:$C,0))</f>
        <v>27.5</v>
      </c>
      <c r="U144" s="110">
        <f>Table2[[#This Row],[WeekEndingDate]]+7</f>
        <v>42314</v>
      </c>
      <c r="V144" s="14">
        <f t="shared" si="13"/>
        <v>10</v>
      </c>
      <c r="W144" s="18">
        <f t="shared" si="14"/>
        <v>2015</v>
      </c>
    </row>
    <row r="145" spans="1:23" s="68" customFormat="1">
      <c r="A145" s="15" t="str">
        <f>INDEX(LoadMaster!$A:$A,MATCH(B145,LoadMaster!$C:$C,0))</f>
        <v>46161649</v>
      </c>
      <c r="B145" s="81">
        <v>184791246</v>
      </c>
      <c r="C145" s="416" t="str">
        <f>VLOOKUP(Table2[[#This Row],[BrokerConfNo]],LoadMaster!C:D,2,FALSE)</f>
        <v>Ch Robinson</v>
      </c>
      <c r="D145" s="104">
        <v>42324</v>
      </c>
      <c r="E145" s="416" t="str">
        <f>IF(Table2[[#This Row],[UBActualReceived]]&gt;1,"Received","Pending")</f>
        <v>Received</v>
      </c>
      <c r="F145" s="132">
        <f>INDEX(LoadMaster!$CU:$CU,MATCH(B145,LoadMaster!$C:$C,0))</f>
        <v>800</v>
      </c>
      <c r="G145" s="132">
        <f>INDEX(LoadMaster!$CX:$CX,MATCH(B145,LoadMaster!$C:$C,0))</f>
        <v>784</v>
      </c>
      <c r="H145" s="132">
        <f>INDEX(LoadMaster!$CW:$CW,MATCH(B145,LoadMaster!$C:$C,0))</f>
        <v>750</v>
      </c>
      <c r="I145" s="330">
        <v>784</v>
      </c>
      <c r="J145" s="525">
        <v>750</v>
      </c>
      <c r="K145" s="134" t="str">
        <f t="shared" si="10"/>
        <v>Full</v>
      </c>
      <c r="L145" s="134">
        <f>INDEX(LoadMaster!$CT:$CT,MATCH(Table2[[#This Row],[BrokerConfNo]],LoadMaster!$C:$C,0))</f>
        <v>0</v>
      </c>
      <c r="M145" s="416" t="str">
        <f>INDEX(LoadMaster!$AO:$AO,MATCH(Table2[[#This Row],[BrokerConfNo]],LoadMaster!$C:$C,0))</f>
        <v>Albel</v>
      </c>
      <c r="N145" s="104">
        <f t="shared" si="11"/>
        <v>42307</v>
      </c>
      <c r="O145" s="135">
        <f t="shared" si="12"/>
        <v>42321</v>
      </c>
      <c r="P145" s="104">
        <f>INDEX(LoadMaster!$M:$M,MATCH(B145,LoadMaster!$C:$C,0))</f>
        <v>42306</v>
      </c>
      <c r="Q145" s="416" t="str">
        <f>INDEX(LoadMaster!$P:$P,MATCH(B145,LoadMaster!$C:$C,0))</f>
        <v>Oxnard</v>
      </c>
      <c r="R145" s="416" t="str">
        <f>INDEX(LoadMaster!$AH:$AH,MATCH(B145,LoadMaster!$C:$C,0))</f>
        <v>Lathrop</v>
      </c>
      <c r="S145" s="416" t="str">
        <f>INDEX(LoadMaster!$DC:$DC,MATCH(B145,LoadMaster!$C:$C,0))</f>
        <v>Sunny</v>
      </c>
      <c r="T145" s="136">
        <f>INDEX(LoadMaster!$DA:$DA,MATCH(B145,LoadMaster!$C:$C,0))</f>
        <v>34</v>
      </c>
      <c r="U145" s="137">
        <f>Table2[[#This Row],[WeekEndingDate]]+7</f>
        <v>42314</v>
      </c>
      <c r="V145" s="15">
        <f t="shared" si="13"/>
        <v>10</v>
      </c>
      <c r="W145" s="416">
        <f t="shared" si="14"/>
        <v>2015</v>
      </c>
    </row>
    <row r="146" spans="1:23" s="18" customFormat="1">
      <c r="A146" s="15" t="str">
        <f>INDEX(LoadMaster!$A:$A,MATCH(B146,LoadMaster!$C:$C,0))</f>
        <v>42wnnk88</v>
      </c>
      <c r="B146" s="55">
        <v>6233942</v>
      </c>
      <c r="C146" s="18" t="str">
        <f>VLOOKUP(Table2[[#This Row],[BrokerConfNo]],LoadMaster!C:D,2,FALSE)</f>
        <v>Tql</v>
      </c>
      <c r="D146" s="26">
        <v>42316</v>
      </c>
      <c r="E146" s="18" t="str">
        <f>IF(Table2[[#This Row],[UBActualReceived]]&gt;1,"Received","Pending")</f>
        <v>Received</v>
      </c>
      <c r="F146" s="21">
        <f>INDEX(LoadMaster!$CU:$CU,MATCH(B146,LoadMaster!$C:$C,0))</f>
        <v>850</v>
      </c>
      <c r="G146" s="132">
        <f>INDEX(LoadMaster!$CX:$CX,MATCH(B146,LoadMaster!$C:$C,0))</f>
        <v>824.5</v>
      </c>
      <c r="H146" s="132">
        <f>INDEX(LoadMaster!$CW:$CW,MATCH(B146,LoadMaster!$C:$C,0))</f>
        <v>790.5</v>
      </c>
      <c r="I146" s="331">
        <v>824.5</v>
      </c>
      <c r="J146" s="526">
        <v>790.5</v>
      </c>
      <c r="K146" s="27" t="str">
        <f t="shared" si="10"/>
        <v>Full</v>
      </c>
      <c r="L146" s="27">
        <f>INDEX(LoadMaster!$CT:$CT,MATCH(Table2[[#This Row],[BrokerConfNo]],LoadMaster!$C:$C,0))</f>
        <v>0</v>
      </c>
      <c r="M146" s="18" t="str">
        <f>INDEX(LoadMaster!$AO:$AO,MATCH(Table2[[#This Row],[BrokerConfNo]],LoadMaster!$C:$C,0))</f>
        <v>Wesley</v>
      </c>
      <c r="N146" s="26">
        <f t="shared" si="11"/>
        <v>42307</v>
      </c>
      <c r="O146" s="109">
        <f t="shared" si="12"/>
        <v>42314</v>
      </c>
      <c r="P146" s="26">
        <f>INDEX(LoadMaster!$M:$M,MATCH(B146,LoadMaster!$C:$C,0))</f>
        <v>42306</v>
      </c>
      <c r="Q146" s="18" t="str">
        <f>INDEX(LoadMaster!$P:$P,MATCH(B146,LoadMaster!$C:$C,0))</f>
        <v>Sanjose</v>
      </c>
      <c r="R146" s="18" t="str">
        <f>INDEX(LoadMaster!$AH:$AH,MATCH(B146,LoadMaster!$C:$C,0))</f>
        <v>Fountain Valley</v>
      </c>
      <c r="S146" s="416" t="str">
        <f>INDEX(LoadMaster!$DC:$DC,MATCH(B146,LoadMaster!$C:$C,0))</f>
        <v>Sunny</v>
      </c>
      <c r="T146" s="48">
        <f>INDEX(LoadMaster!$DA:$DA,MATCH(B146,LoadMaster!$C:$C,0))</f>
        <v>34</v>
      </c>
      <c r="U146" s="110">
        <f>Table2[[#This Row],[WeekEndingDate]]+7</f>
        <v>42314</v>
      </c>
      <c r="V146" s="14">
        <f t="shared" si="13"/>
        <v>10</v>
      </c>
      <c r="W146" s="18">
        <f t="shared" si="14"/>
        <v>2015</v>
      </c>
    </row>
    <row r="147" spans="1:23" s="68" customFormat="1">
      <c r="A147" s="15" t="str">
        <f>INDEX(LoadMaster!$A:$A,MATCH(B147,LoadMaster!$C:$C,0))</f>
        <v>51219688</v>
      </c>
      <c r="B147" s="81">
        <v>184776851</v>
      </c>
      <c r="C147" s="416" t="str">
        <f>VLOOKUP(Table2[[#This Row],[BrokerConfNo]],LoadMaster!C:D,2,FALSE)</f>
        <v>Ch Robinson</v>
      </c>
      <c r="D147" s="104">
        <v>42318</v>
      </c>
      <c r="E147" s="416" t="str">
        <f>IF(Table2[[#This Row],[UBActualReceived]]&gt;1,"Received","Pending")</f>
        <v>Received</v>
      </c>
      <c r="F147" s="132">
        <f>INDEX(LoadMaster!$CU:$CU,MATCH(B147,LoadMaster!$C:$C,0))</f>
        <v>750</v>
      </c>
      <c r="G147" s="132">
        <f>INDEX(LoadMaster!$CX:$CX,MATCH(B147,LoadMaster!$C:$C,0))</f>
        <v>735</v>
      </c>
      <c r="H147" s="132">
        <f>INDEX(LoadMaster!$CW:$CW,MATCH(B147,LoadMaster!$C:$C,0))</f>
        <v>697.5</v>
      </c>
      <c r="I147" s="330">
        <v>735</v>
      </c>
      <c r="J147" s="525">
        <v>697.5</v>
      </c>
      <c r="K147" s="134" t="str">
        <f t="shared" si="10"/>
        <v>Full</v>
      </c>
      <c r="L147" s="134">
        <f>INDEX(LoadMaster!$CT:$CT,MATCH(Table2[[#This Row],[BrokerConfNo]],LoadMaster!$C:$C,0))</f>
        <v>0</v>
      </c>
      <c r="M147" s="416" t="str">
        <f>INDEX(LoadMaster!$AO:$AO,MATCH(Table2[[#This Row],[BrokerConfNo]],LoadMaster!$C:$C,0))</f>
        <v>Wesley</v>
      </c>
      <c r="N147" s="104">
        <f t="shared" si="11"/>
        <v>42307</v>
      </c>
      <c r="O147" s="135">
        <f t="shared" si="12"/>
        <v>42314</v>
      </c>
      <c r="P147" s="104">
        <f>INDEX(LoadMaster!$M:$M,MATCH(B147,LoadMaster!$C:$C,0))</f>
        <v>42307</v>
      </c>
      <c r="Q147" s="416" t="str">
        <f>INDEX(LoadMaster!$P:$P,MATCH(B147,LoadMaster!$C:$C,0))</f>
        <v>Rialto</v>
      </c>
      <c r="R147" s="416" t="str">
        <f>INDEX(LoadMaster!$AH:$AH,MATCH(B147,LoadMaster!$C:$C,0))</f>
        <v>Stockton</v>
      </c>
      <c r="S147" s="416" t="str">
        <f>INDEX(LoadMaster!$DC:$DC,MATCH(B147,LoadMaster!$C:$C,0))</f>
        <v>Sunny</v>
      </c>
      <c r="T147" s="136">
        <f>INDEX(LoadMaster!$DA:$DA,MATCH(B147,LoadMaster!$C:$C,0))</f>
        <v>37.5</v>
      </c>
      <c r="U147" s="137">
        <f>Table2[[#This Row],[WeekEndingDate]]+7</f>
        <v>42314</v>
      </c>
      <c r="V147" s="15">
        <f t="shared" si="13"/>
        <v>10</v>
      </c>
      <c r="W147" s="416">
        <f t="shared" si="14"/>
        <v>2015</v>
      </c>
    </row>
    <row r="148" spans="1:23" s="68" customFormat="1">
      <c r="A148" s="15" t="str">
        <f>INDEX(LoadMaster!$A:$A,MATCH(B148,LoadMaster!$C:$C,0))</f>
        <v>30penk49</v>
      </c>
      <c r="B148" s="81">
        <v>185216830</v>
      </c>
      <c r="C148" s="416" t="str">
        <f>VLOOKUP(Table2[[#This Row],[BrokerConfNo]],LoadMaster!C:D,2,FALSE)</f>
        <v>Ch Robinson</v>
      </c>
      <c r="D148" s="104">
        <v>42317</v>
      </c>
      <c r="E148" s="416" t="str">
        <f>IF(Table2[[#This Row],[UBActualReceived]]&gt;1,"Received","Pending")</f>
        <v>Received</v>
      </c>
      <c r="F148" s="132">
        <f>INDEX(LoadMaster!$CU:$CU,MATCH(B148,LoadMaster!$C:$C,0))</f>
        <v>700</v>
      </c>
      <c r="G148" s="132">
        <f>INDEX(LoadMaster!$CX:$CX,MATCH(B148,LoadMaster!$C:$C,0))</f>
        <v>686</v>
      </c>
      <c r="H148" s="132">
        <f>INDEX(LoadMaster!$CW:$CW,MATCH(B148,LoadMaster!$C:$C,0))</f>
        <v>650</v>
      </c>
      <c r="I148" s="330">
        <v>686</v>
      </c>
      <c r="J148" s="525">
        <v>650</v>
      </c>
      <c r="K148" s="134" t="str">
        <f t="shared" si="10"/>
        <v>Full</v>
      </c>
      <c r="L148" s="134">
        <f>INDEX(LoadMaster!$CT:$CT,MATCH(Table2[[#This Row],[BrokerConfNo]],LoadMaster!$C:$C,0))</f>
        <v>0</v>
      </c>
      <c r="M148" s="416" t="str">
        <f>INDEX(LoadMaster!$AO:$AO,MATCH(Table2[[#This Row],[BrokerConfNo]],LoadMaster!$C:$C,0))</f>
        <v>Albel</v>
      </c>
      <c r="N148" s="104">
        <f t="shared" si="11"/>
        <v>42314</v>
      </c>
      <c r="O148" s="135">
        <f t="shared" si="12"/>
        <v>42328</v>
      </c>
      <c r="P148" s="104">
        <f>INDEX(LoadMaster!$M:$M,MATCH(B148,LoadMaster!$C:$C,0))</f>
        <v>42310</v>
      </c>
      <c r="Q148" s="416" t="str">
        <f>INDEX(LoadMaster!$P:$P,MATCH(B148,LoadMaster!$C:$C,0))</f>
        <v>Woodland</v>
      </c>
      <c r="R148" s="416" t="str">
        <f>INDEX(LoadMaster!$AH:$AH,MATCH(B148,LoadMaster!$C:$C,0))</f>
        <v>Paso Robles</v>
      </c>
      <c r="S148" s="416" t="str">
        <f>INDEX(LoadMaster!$DC:$DC,MATCH(B148,LoadMaster!$C:$C,0))</f>
        <v>Sunny</v>
      </c>
      <c r="T148" s="136">
        <f>INDEX(LoadMaster!$DA:$DA,MATCH(B148,LoadMaster!$C:$C,0))</f>
        <v>36</v>
      </c>
      <c r="U148" s="137">
        <f>Table2[[#This Row],[WeekEndingDate]]+7</f>
        <v>42321</v>
      </c>
      <c r="V148" s="15">
        <f t="shared" si="13"/>
        <v>11</v>
      </c>
      <c r="W148" s="416">
        <f t="shared" si="14"/>
        <v>2015</v>
      </c>
    </row>
    <row r="149" spans="1:23" s="68" customFormat="1">
      <c r="A149" s="15" t="str">
        <f>INDEX(LoadMaster!$A:$A,MATCH(B149,LoadMaster!$C:$C,0))</f>
        <v>06eyne49</v>
      </c>
      <c r="B149" s="81">
        <v>185216306</v>
      </c>
      <c r="C149" s="416" t="str">
        <f>VLOOKUP(Table2[[#This Row],[BrokerConfNo]],LoadMaster!C:D,2,FALSE)</f>
        <v>Ch Robinson</v>
      </c>
      <c r="D149" s="104">
        <v>42317</v>
      </c>
      <c r="E149" s="416" t="str">
        <f>IF(Table2[[#This Row],[UBActualReceived]]&gt;1,"Received","Pending")</f>
        <v>Received</v>
      </c>
      <c r="F149" s="132">
        <f>INDEX(LoadMaster!$CU:$CU,MATCH(B149,LoadMaster!$C:$C,0))</f>
        <v>450</v>
      </c>
      <c r="G149" s="132">
        <f>INDEX(LoadMaster!$CX:$CX,MATCH(B149,LoadMaster!$C:$C,0))</f>
        <v>441</v>
      </c>
      <c r="H149" s="132">
        <f>INDEX(LoadMaster!$CW:$CW,MATCH(B149,LoadMaster!$C:$C,0))</f>
        <v>400</v>
      </c>
      <c r="I149" s="330">
        <v>441</v>
      </c>
      <c r="J149" s="525">
        <v>400</v>
      </c>
      <c r="K149" s="134" t="str">
        <f t="shared" si="10"/>
        <v>Full</v>
      </c>
      <c r="L149" s="134">
        <f>INDEX(LoadMaster!$CT:$CT,MATCH(Table2[[#This Row],[BrokerConfNo]],LoadMaster!$C:$C,0))</f>
        <v>25</v>
      </c>
      <c r="M149" s="416" t="str">
        <f>INDEX(LoadMaster!$AO:$AO,MATCH(Table2[[#This Row],[BrokerConfNo]],LoadMaster!$C:$C,0))</f>
        <v>Albel</v>
      </c>
      <c r="N149" s="104">
        <f t="shared" si="11"/>
        <v>42314</v>
      </c>
      <c r="O149" s="135">
        <f t="shared" si="12"/>
        <v>42328</v>
      </c>
      <c r="P149" s="104">
        <f>INDEX(LoadMaster!$M:$M,MATCH(B149,LoadMaster!$C:$C,0))</f>
        <v>42310</v>
      </c>
      <c r="Q149" s="416" t="str">
        <f>INDEX(LoadMaster!$P:$P,MATCH(B149,LoadMaster!$C:$C,0))</f>
        <v>Woodland</v>
      </c>
      <c r="R149" s="416" t="str">
        <f>INDEX(LoadMaster!$AH:$AH,MATCH(B149,LoadMaster!$C:$C,0))</f>
        <v>Grass Valley</v>
      </c>
      <c r="S149" s="416" t="str">
        <f>INDEX(LoadMaster!$DC:$DC,MATCH(B149,LoadMaster!$C:$C,0))</f>
        <v>Sunny</v>
      </c>
      <c r="T149" s="136">
        <f>INDEX(LoadMaster!$DA:$DA,MATCH(B149,LoadMaster!$C:$C,0))</f>
        <v>41</v>
      </c>
      <c r="U149" s="137">
        <f>Table2[[#This Row],[WeekEndingDate]]+7</f>
        <v>42321</v>
      </c>
      <c r="V149" s="15">
        <f t="shared" si="13"/>
        <v>11</v>
      </c>
      <c r="W149" s="416">
        <f t="shared" si="14"/>
        <v>2015</v>
      </c>
    </row>
    <row r="150" spans="1:23" s="68" customFormat="1">
      <c r="A150" s="15" t="str">
        <f>INDEX(LoadMaster!$A:$A,MATCH(B150,LoadMaster!$C:$C,0))</f>
        <v>59iank88</v>
      </c>
      <c r="B150" s="81">
        <v>185215859</v>
      </c>
      <c r="C150" s="416" t="str">
        <f>VLOOKUP(Table2[[#This Row],[BrokerConfNo]],LoadMaster!C:D,2,FALSE)</f>
        <v>Ch Robinson</v>
      </c>
      <c r="D150" s="104">
        <v>42319</v>
      </c>
      <c r="E150" s="416" t="str">
        <f>IF(Table2[[#This Row],[UBActualReceived]]&gt;1,"Received","Pending")</f>
        <v>Received</v>
      </c>
      <c r="F150" s="132">
        <f>INDEX(LoadMaster!$CU:$CU,MATCH(B150,LoadMaster!$C:$C,0))</f>
        <v>700</v>
      </c>
      <c r="G150" s="132">
        <f>INDEX(LoadMaster!$CX:$CX,MATCH(B150,LoadMaster!$C:$C,0))</f>
        <v>686</v>
      </c>
      <c r="H150" s="132">
        <f>INDEX(LoadMaster!$CW:$CW,MATCH(B150,LoadMaster!$C:$C,0))</f>
        <v>651</v>
      </c>
      <c r="I150" s="330">
        <v>686</v>
      </c>
      <c r="J150" s="525">
        <v>651</v>
      </c>
      <c r="K150" s="134" t="str">
        <f t="shared" si="10"/>
        <v>Full</v>
      </c>
      <c r="L150" s="134">
        <f>INDEX(LoadMaster!$CT:$CT,MATCH(Table2[[#This Row],[BrokerConfNo]],LoadMaster!$C:$C,0))</f>
        <v>0</v>
      </c>
      <c r="M150" s="416" t="str">
        <f>INDEX(LoadMaster!$AO:$AO,MATCH(Table2[[#This Row],[BrokerConfNo]],LoadMaster!$C:$C,0))</f>
        <v>Wesley</v>
      </c>
      <c r="N150" s="104">
        <f t="shared" si="11"/>
        <v>42314</v>
      </c>
      <c r="O150" s="135">
        <f t="shared" si="12"/>
        <v>42321</v>
      </c>
      <c r="P150" s="104">
        <f>INDEX(LoadMaster!$M:$M,MATCH(B150,LoadMaster!$C:$C,0))</f>
        <v>42310</v>
      </c>
      <c r="Q150" s="416" t="str">
        <f>INDEX(LoadMaster!$P:$P,MATCH(B150,LoadMaster!$C:$C,0))</f>
        <v>Woodland</v>
      </c>
      <c r="R150" s="416" t="str">
        <f>INDEX(LoadMaster!$AH:$AH,MATCH(B150,LoadMaster!$C:$C,0))</f>
        <v>Santa Maria</v>
      </c>
      <c r="S150" s="416" t="str">
        <f>INDEX(LoadMaster!$DC:$DC,MATCH(B150,LoadMaster!$C:$C,0))</f>
        <v>Sunny</v>
      </c>
      <c r="T150" s="136">
        <f>INDEX(LoadMaster!$DA:$DA,MATCH(B150,LoadMaster!$C:$C,0))</f>
        <v>35</v>
      </c>
      <c r="U150" s="137">
        <f>Table2[[#This Row],[WeekEndingDate]]+7</f>
        <v>42321</v>
      </c>
      <c r="V150" s="15">
        <f t="shared" si="13"/>
        <v>11</v>
      </c>
      <c r="W150" s="416">
        <f t="shared" si="14"/>
        <v>2015</v>
      </c>
    </row>
    <row r="151" spans="1:23" s="68" customFormat="1">
      <c r="A151" s="15" t="str">
        <f>INDEX(LoadMaster!$A:$A,MATCH(B151,LoadMaster!$C:$C,0))</f>
        <v>19wnne88</v>
      </c>
      <c r="B151" s="81">
        <v>185426319</v>
      </c>
      <c r="C151" s="416" t="str">
        <f>VLOOKUP(Table2[[#This Row],[BrokerConfNo]],LoadMaster!C:D,2,FALSE)</f>
        <v>Ch Robinson</v>
      </c>
      <c r="D151" s="104">
        <v>42324</v>
      </c>
      <c r="E151" s="416" t="str">
        <f>IF(Table2[[#This Row],[UBActualReceived]]&gt;1,"Received","Pending")</f>
        <v>Received</v>
      </c>
      <c r="F151" s="132">
        <f>INDEX(LoadMaster!$CU:$CU,MATCH(B151,LoadMaster!$C:$C,0))</f>
        <v>825</v>
      </c>
      <c r="G151" s="132">
        <f>INDEX(LoadMaster!$CX:$CX,MATCH(B151,LoadMaster!$C:$C,0))</f>
        <v>808.5</v>
      </c>
      <c r="H151" s="132">
        <f>INDEX(LoadMaster!$CW:$CW,MATCH(B151,LoadMaster!$C:$C,0))</f>
        <v>767.25</v>
      </c>
      <c r="I151" s="330">
        <v>808.5</v>
      </c>
      <c r="J151" s="525">
        <v>767.25</v>
      </c>
      <c r="K151" s="134" t="str">
        <f t="shared" si="10"/>
        <v>Full</v>
      </c>
      <c r="L151" s="134">
        <f>INDEX(LoadMaster!$CT:$CT,MATCH(Table2[[#This Row],[BrokerConfNo]],LoadMaster!$C:$C,0))</f>
        <v>0</v>
      </c>
      <c r="M151" s="416" t="str">
        <f>INDEX(LoadMaster!$AO:$AO,MATCH(Table2[[#This Row],[BrokerConfNo]],LoadMaster!$C:$C,0))</f>
        <v>Wesley</v>
      </c>
      <c r="N151" s="104">
        <f t="shared" si="11"/>
        <v>42314</v>
      </c>
      <c r="O151" s="135">
        <f t="shared" si="12"/>
        <v>42321</v>
      </c>
      <c r="P151" s="104">
        <f>INDEX(LoadMaster!$M:$M,MATCH(B151,LoadMaster!$C:$C,0))</f>
        <v>42311</v>
      </c>
      <c r="Q151" s="416" t="str">
        <f>INDEX(LoadMaster!$P:$P,MATCH(B151,LoadMaster!$C:$C,0))</f>
        <v>Ontario</v>
      </c>
      <c r="R151" s="416" t="str">
        <f>INDEX(LoadMaster!$AH:$AH,MATCH(B151,LoadMaster!$C:$C,0))</f>
        <v>Hayward</v>
      </c>
      <c r="S151" s="416" t="str">
        <f>INDEX(LoadMaster!$DC:$DC,MATCH(B151,LoadMaster!$C:$C,0))</f>
        <v>Sunny</v>
      </c>
      <c r="T151" s="136">
        <f>INDEX(LoadMaster!$DA:$DA,MATCH(B151,LoadMaster!$C:$C,0))</f>
        <v>41.25</v>
      </c>
      <c r="U151" s="137">
        <f>Table2[[#This Row],[WeekEndingDate]]+7</f>
        <v>42321</v>
      </c>
      <c r="V151" s="15">
        <f t="shared" si="13"/>
        <v>11</v>
      </c>
      <c r="W151" s="416">
        <f t="shared" si="14"/>
        <v>2015</v>
      </c>
    </row>
    <row r="152" spans="1:23" s="18" customFormat="1">
      <c r="A152" s="15" t="str">
        <f>INDEX(LoadMaster!$A:$A,MATCH(B152,LoadMaster!$C:$C,0))</f>
        <v>84447149</v>
      </c>
      <c r="B152" s="55">
        <v>1574884</v>
      </c>
      <c r="C152" s="18" t="str">
        <f>VLOOKUP(Table2[[#This Row],[BrokerConfNo]],LoadMaster!C:D,2,FALSE)</f>
        <v>Interstate Distributor Co</v>
      </c>
      <c r="D152" s="26">
        <v>42315</v>
      </c>
      <c r="E152" s="18" t="str">
        <f>IF(Table2[[#This Row],[UBActualReceived]]&gt;1,"Received","Pending")</f>
        <v>Received</v>
      </c>
      <c r="F152" s="21">
        <f>INDEX(LoadMaster!$CU:$CU,MATCH(B152,LoadMaster!$C:$C,0))</f>
        <v>600</v>
      </c>
      <c r="G152" s="132">
        <f>INDEX(LoadMaster!$CX:$CX,MATCH(B152,LoadMaster!$C:$C,0))</f>
        <v>591</v>
      </c>
      <c r="H152" s="132">
        <f>INDEX(LoadMaster!$CW:$CW,MATCH(B152,LoadMaster!$C:$C,0))</f>
        <v>550</v>
      </c>
      <c r="I152" s="331">
        <v>591</v>
      </c>
      <c r="J152" s="526">
        <v>550</v>
      </c>
      <c r="K152" s="27" t="str">
        <f t="shared" si="10"/>
        <v>Full</v>
      </c>
      <c r="L152" s="27">
        <f>INDEX(LoadMaster!$CT:$CT,MATCH(Table2[[#This Row],[BrokerConfNo]],LoadMaster!$C:$C,0))</f>
        <v>0</v>
      </c>
      <c r="M152" s="18" t="str">
        <f>INDEX(LoadMaster!$AO:$AO,MATCH(Table2[[#This Row],[BrokerConfNo]],LoadMaster!$C:$C,0))</f>
        <v>Albel</v>
      </c>
      <c r="N152" s="26">
        <f t="shared" si="11"/>
        <v>42314</v>
      </c>
      <c r="O152" s="109">
        <f t="shared" si="12"/>
        <v>42328</v>
      </c>
      <c r="P152" s="26">
        <f>INDEX(LoadMaster!$M:$M,MATCH(B152,LoadMaster!$C:$C,0))</f>
        <v>42311</v>
      </c>
      <c r="Q152" s="18" t="str">
        <f>INDEX(LoadMaster!$P:$P,MATCH(B152,LoadMaster!$C:$C,0))</f>
        <v>Paso Robles</v>
      </c>
      <c r="R152" s="18" t="str">
        <f>INDEX(LoadMaster!$AH:$AH,MATCH(B152,LoadMaster!$C:$C,0))</f>
        <v>Union City</v>
      </c>
      <c r="S152" s="416" t="str">
        <f>INDEX(LoadMaster!$DC:$DC,MATCH(B152,LoadMaster!$C:$C,0))</f>
        <v>Sunny</v>
      </c>
      <c r="T152" s="48">
        <f>INDEX(LoadMaster!$DA:$DA,MATCH(B152,LoadMaster!$C:$C,0))</f>
        <v>41</v>
      </c>
      <c r="U152" s="110">
        <f>Table2[[#This Row],[WeekEndingDate]]+7</f>
        <v>42321</v>
      </c>
      <c r="V152" s="14">
        <f t="shared" si="13"/>
        <v>11</v>
      </c>
      <c r="W152" s="18">
        <f t="shared" si="14"/>
        <v>2015</v>
      </c>
    </row>
    <row r="153" spans="1:23" s="18" customFormat="1">
      <c r="A153" s="15" t="str">
        <f>INDEX(LoadMaster!$A:$A,MATCH(B153,LoadMaster!$C:$C,0))</f>
        <v>70252549</v>
      </c>
      <c r="B153" s="81">
        <v>185415770</v>
      </c>
      <c r="C153" s="416" t="str">
        <f>VLOOKUP(Table2[[#This Row],[BrokerConfNo]],LoadMaster!C:D,2,FALSE)</f>
        <v>Ch Robinson</v>
      </c>
      <c r="D153" s="104">
        <v>42326</v>
      </c>
      <c r="E153" s="416" t="str">
        <f>IF(Table2[[#This Row],[UBActualReceived]]&gt;1,"Received","Pending")</f>
        <v>Received</v>
      </c>
      <c r="F153" s="132">
        <f>INDEX(LoadMaster!$CU:$CU,MATCH(B153,LoadMaster!$C:$C,0))</f>
        <v>400</v>
      </c>
      <c r="G153" s="132">
        <f>INDEX(LoadMaster!$CX:$CX,MATCH(B153,LoadMaster!$C:$C,0))</f>
        <v>392</v>
      </c>
      <c r="H153" s="132">
        <f>INDEX(LoadMaster!$CW:$CW,MATCH(B153,LoadMaster!$C:$C,0))</f>
        <v>350</v>
      </c>
      <c r="I153" s="330">
        <v>392</v>
      </c>
      <c r="J153" s="525">
        <v>350</v>
      </c>
      <c r="K153" s="134" t="str">
        <f t="shared" si="10"/>
        <v>Full</v>
      </c>
      <c r="L153" s="134">
        <f>INDEX(LoadMaster!$CT:$CT,MATCH(Table2[[#This Row],[BrokerConfNo]],LoadMaster!$C:$C,0))</f>
        <v>0</v>
      </c>
      <c r="M153" s="416" t="str">
        <f>INDEX(LoadMaster!$AO:$AO,MATCH(Table2[[#This Row],[BrokerConfNo]],LoadMaster!$C:$C,0))</f>
        <v>Albel</v>
      </c>
      <c r="N153" s="104">
        <f t="shared" si="11"/>
        <v>42314</v>
      </c>
      <c r="O153" s="135">
        <f t="shared" si="12"/>
        <v>42328</v>
      </c>
      <c r="P153" s="104">
        <f>INDEX(LoadMaster!$M:$M,MATCH(B153,LoadMaster!$C:$C,0))</f>
        <v>42312</v>
      </c>
      <c r="Q153" s="416" t="str">
        <f>INDEX(LoadMaster!$P:$P,MATCH(B153,LoadMaster!$C:$C,0))</f>
        <v>Gilroy</v>
      </c>
      <c r="R153" s="416" t="str">
        <f>INDEX(LoadMaster!$AH:$AH,MATCH(B153,LoadMaster!$C:$C,0))</f>
        <v>Woodland</v>
      </c>
      <c r="S153" s="416" t="str">
        <f>INDEX(LoadMaster!$DC:$DC,MATCH(B153,LoadMaster!$C:$C,0))</f>
        <v>Sunny</v>
      </c>
      <c r="T153" s="136">
        <f>INDEX(LoadMaster!$DA:$DA,MATCH(B153,LoadMaster!$C:$C,0))</f>
        <v>42</v>
      </c>
      <c r="U153" s="137">
        <f>Table2[[#This Row],[WeekEndingDate]]+7</f>
        <v>42321</v>
      </c>
      <c r="V153" s="15">
        <f t="shared" si="13"/>
        <v>11</v>
      </c>
      <c r="W153" s="416">
        <f t="shared" si="14"/>
        <v>2015</v>
      </c>
    </row>
    <row r="154" spans="1:23" s="68" customFormat="1">
      <c r="A154" s="15" t="str">
        <f>INDEX(LoadMaster!$A:$A,MATCH(B154,LoadMaster!$C:$C,0))</f>
        <v>93nkne88</v>
      </c>
      <c r="B154" s="55">
        <v>6239293</v>
      </c>
      <c r="C154" s="18" t="str">
        <f>VLOOKUP(Table2[[#This Row],[BrokerConfNo]],LoadMaster!C:D,2,FALSE)</f>
        <v>Tql</v>
      </c>
      <c r="D154" s="26">
        <v>42319</v>
      </c>
      <c r="E154" s="18" t="str">
        <f>IF(Table2[[#This Row],[UBActualReceived]]&gt;1,"Received","Pending")</f>
        <v>Received</v>
      </c>
      <c r="F154" s="21">
        <f>INDEX(LoadMaster!$CU:$CU,MATCH(B154,LoadMaster!$C:$C,0))</f>
        <v>450</v>
      </c>
      <c r="G154" s="132">
        <f>INDEX(LoadMaster!$CX:$CX,MATCH(B154,LoadMaster!$C:$C,0))</f>
        <v>436.5</v>
      </c>
      <c r="H154" s="132">
        <f>INDEX(LoadMaster!$CW:$CW,MATCH(B154,LoadMaster!$C:$C,0))</f>
        <v>418.5</v>
      </c>
      <c r="I154" s="331">
        <v>436.5</v>
      </c>
      <c r="J154" s="526">
        <v>418.5</v>
      </c>
      <c r="K154" s="27" t="str">
        <f t="shared" si="10"/>
        <v>Full</v>
      </c>
      <c r="L154" s="27">
        <f>INDEX(LoadMaster!$CT:$CT,MATCH(Table2[[#This Row],[BrokerConfNo]],LoadMaster!$C:$C,0))</f>
        <v>0</v>
      </c>
      <c r="M154" s="18" t="str">
        <f>INDEX(LoadMaster!$AO:$AO,MATCH(Table2[[#This Row],[BrokerConfNo]],LoadMaster!$C:$C,0))</f>
        <v>Wesley</v>
      </c>
      <c r="N154" s="26">
        <f t="shared" si="11"/>
        <v>42314</v>
      </c>
      <c r="O154" s="109">
        <f t="shared" si="12"/>
        <v>42321</v>
      </c>
      <c r="P154" s="26">
        <f>INDEX(LoadMaster!$M:$M,MATCH(B154,LoadMaster!$C:$C,0))</f>
        <v>42312</v>
      </c>
      <c r="Q154" s="18" t="str">
        <f>INDEX(LoadMaster!$P:$P,MATCH(B154,LoadMaster!$C:$C,0))</f>
        <v>Cotati</v>
      </c>
      <c r="R154" s="18" t="str">
        <f>INDEX(LoadMaster!$AH:$AH,MATCH(B154,LoadMaster!$C:$C,0))</f>
        <v>Tracy</v>
      </c>
      <c r="S154" s="416" t="str">
        <f>INDEX(LoadMaster!$DC:$DC,MATCH(B154,LoadMaster!$C:$C,0))</f>
        <v>Sunny</v>
      </c>
      <c r="T154" s="48">
        <f>INDEX(LoadMaster!$DA:$DA,MATCH(B154,LoadMaster!$C:$C,0))</f>
        <v>18</v>
      </c>
      <c r="U154" s="110">
        <f>Table2[[#This Row],[WeekEndingDate]]+7</f>
        <v>42321</v>
      </c>
      <c r="V154" s="14">
        <f t="shared" si="13"/>
        <v>11</v>
      </c>
      <c r="W154" s="18">
        <f t="shared" si="14"/>
        <v>2015</v>
      </c>
    </row>
    <row r="155" spans="1:23" s="68" customFormat="1">
      <c r="A155" s="15" t="str">
        <f>INDEX(LoadMaster!$A:$A,MATCH(B155,LoadMaster!$C:$C,0))</f>
        <v>32Cane88</v>
      </c>
      <c r="B155" s="81">
        <v>185326732</v>
      </c>
      <c r="C155" s="416" t="str">
        <f>VLOOKUP(Table2[[#This Row],[BrokerConfNo]],LoadMaster!C:D,2,FALSE)</f>
        <v>Ch Robinson</v>
      </c>
      <c r="D155" s="104">
        <v>42324</v>
      </c>
      <c r="E155" s="416" t="str">
        <f>IF(Table2[[#This Row],[UBActualReceived]]&gt;1,"Received","Pending")</f>
        <v>Received</v>
      </c>
      <c r="F155" s="132">
        <f>INDEX(LoadMaster!$CU:$CU,MATCH(B155,LoadMaster!$C:$C,0))</f>
        <v>450</v>
      </c>
      <c r="G155" s="132">
        <f>INDEX(LoadMaster!$CX:$CX,MATCH(B155,LoadMaster!$C:$C,0))</f>
        <v>441</v>
      </c>
      <c r="H155" s="132">
        <f>INDEX(LoadMaster!$CW:$CW,MATCH(B155,LoadMaster!$C:$C,0))</f>
        <v>418.5</v>
      </c>
      <c r="I155" s="330">
        <v>441</v>
      </c>
      <c r="J155" s="525">
        <v>418.5</v>
      </c>
      <c r="K155" s="134" t="str">
        <f t="shared" si="10"/>
        <v>Full</v>
      </c>
      <c r="L155" s="134">
        <f>INDEX(LoadMaster!$CT:$CT,MATCH(Table2[[#This Row],[BrokerConfNo]],LoadMaster!$C:$C,0))</f>
        <v>0</v>
      </c>
      <c r="M155" s="416" t="str">
        <f>INDEX(LoadMaster!$AO:$AO,MATCH(Table2[[#This Row],[BrokerConfNo]],LoadMaster!$C:$C,0))</f>
        <v>Wesley</v>
      </c>
      <c r="N155" s="104">
        <f t="shared" si="11"/>
        <v>42314</v>
      </c>
      <c r="O155" s="135">
        <f t="shared" si="12"/>
        <v>42321</v>
      </c>
      <c r="P155" s="104">
        <f>INDEX(LoadMaster!$M:$M,MATCH(B155,LoadMaster!$C:$C,0))</f>
        <v>42313</v>
      </c>
      <c r="Q155" s="416" t="str">
        <f>INDEX(LoadMaster!$P:$P,MATCH(B155,LoadMaster!$C:$C,0))</f>
        <v>Modesto</v>
      </c>
      <c r="R155" s="416" t="str">
        <f>INDEX(LoadMaster!$AH:$AH,MATCH(B155,LoadMaster!$C:$C,0))</f>
        <v>King City</v>
      </c>
      <c r="S155" s="416" t="str">
        <f>INDEX(LoadMaster!$DC:$DC,MATCH(B155,LoadMaster!$C:$C,0))</f>
        <v>Sunny</v>
      </c>
      <c r="T155" s="136">
        <f>INDEX(LoadMaster!$DA:$DA,MATCH(B155,LoadMaster!$C:$C,0))</f>
        <v>22.5</v>
      </c>
      <c r="U155" s="137">
        <f>Table2[[#This Row],[WeekEndingDate]]+7</f>
        <v>42321</v>
      </c>
      <c r="V155" s="15">
        <f t="shared" si="13"/>
        <v>11</v>
      </c>
      <c r="W155" s="416">
        <f t="shared" si="14"/>
        <v>2015</v>
      </c>
    </row>
    <row r="156" spans="1:23" s="68" customFormat="1">
      <c r="A156" s="15" t="str">
        <f>INDEX(LoadMaster!$A:$A,MATCH(B156,LoadMaster!$C:$C,0))</f>
        <v>75adad49</v>
      </c>
      <c r="B156" s="81">
        <v>185500975</v>
      </c>
      <c r="C156" s="416" t="str">
        <f>VLOOKUP(Table2[[#This Row],[BrokerConfNo]],LoadMaster!C:D,2,FALSE)</f>
        <v>Ch Robinson</v>
      </c>
      <c r="D156" s="104">
        <v>42324</v>
      </c>
      <c r="E156" s="416" t="str">
        <f>IF(Table2[[#This Row],[UBActualReceived]]&gt;1,"Received","Pending")</f>
        <v>Received</v>
      </c>
      <c r="F156" s="132">
        <f>INDEX(LoadMaster!$CU:$CU,MATCH(B156,LoadMaster!$C:$C,0))</f>
        <v>450</v>
      </c>
      <c r="G156" s="132">
        <f>INDEX(LoadMaster!$CX:$CX,MATCH(B156,LoadMaster!$C:$C,0))</f>
        <v>441</v>
      </c>
      <c r="H156" s="132">
        <f>INDEX(LoadMaster!$CW:$CW,MATCH(B156,LoadMaster!$C:$C,0))</f>
        <v>400</v>
      </c>
      <c r="I156" s="330">
        <v>441</v>
      </c>
      <c r="J156" s="525">
        <v>400</v>
      </c>
      <c r="K156" s="134" t="str">
        <f t="shared" si="10"/>
        <v>Full</v>
      </c>
      <c r="L156" s="134">
        <f>INDEX(LoadMaster!$CT:$CT,MATCH(Table2[[#This Row],[BrokerConfNo]],LoadMaster!$C:$C,0))</f>
        <v>0</v>
      </c>
      <c r="M156" s="416" t="str">
        <f>INDEX(LoadMaster!$AO:$AO,MATCH(Table2[[#This Row],[BrokerConfNo]],LoadMaster!$C:$C,0))</f>
        <v>Albel</v>
      </c>
      <c r="N156" s="104">
        <f t="shared" si="11"/>
        <v>42314</v>
      </c>
      <c r="O156" s="135">
        <f t="shared" si="12"/>
        <v>42328</v>
      </c>
      <c r="P156" s="104">
        <f>INDEX(LoadMaster!$M:$M,MATCH(B156,LoadMaster!$C:$C,0))</f>
        <v>42314</v>
      </c>
      <c r="Q156" s="416" t="str">
        <f>INDEX(LoadMaster!$P:$P,MATCH(B156,LoadMaster!$C:$C,0))</f>
        <v>Modesto</v>
      </c>
      <c r="R156" s="416" t="str">
        <f>INDEX(LoadMaster!$AH:$AH,MATCH(B156,LoadMaster!$C:$C,0))</f>
        <v>King City</v>
      </c>
      <c r="S156" s="416" t="str">
        <f>INDEX(LoadMaster!$DC:$DC,MATCH(B156,LoadMaster!$C:$C,0))</f>
        <v>Sunny</v>
      </c>
      <c r="T156" s="136">
        <f>INDEX(LoadMaster!$DA:$DA,MATCH(B156,LoadMaster!$C:$C,0))</f>
        <v>41</v>
      </c>
      <c r="U156" s="137">
        <f>Table2[[#This Row],[WeekEndingDate]]+7</f>
        <v>42321</v>
      </c>
      <c r="V156" s="15">
        <f t="shared" si="13"/>
        <v>11</v>
      </c>
      <c r="W156" s="416">
        <f t="shared" si="14"/>
        <v>2015</v>
      </c>
    </row>
    <row r="157" spans="1:23" s="68" customFormat="1">
      <c r="A157" s="15" t="str">
        <f>INDEX(LoadMaster!$A:$A,MATCH(B157,LoadMaster!$C:$C,0))</f>
        <v>84wnne88</v>
      </c>
      <c r="B157" s="81">
        <v>185663584</v>
      </c>
      <c r="C157" s="416" t="str">
        <f>VLOOKUP(Table2[[#This Row],[BrokerConfNo]],LoadMaster!C:D,2,FALSE)</f>
        <v>Ch Robinson</v>
      </c>
      <c r="D157" s="104">
        <v>42324</v>
      </c>
      <c r="E157" s="416" t="str">
        <f>IF(Table2[[#This Row],[UBActualReceived]]&gt;1,"Received","Pending")</f>
        <v>Received</v>
      </c>
      <c r="F157" s="132">
        <f>INDEX(LoadMaster!$CU:$CU,MATCH(B157,LoadMaster!$C:$C,0))</f>
        <v>375</v>
      </c>
      <c r="G157" s="132">
        <f>INDEX(LoadMaster!$CX:$CX,MATCH(B157,LoadMaster!$C:$C,0))</f>
        <v>367.5</v>
      </c>
      <c r="H157" s="132">
        <f>INDEX(LoadMaster!$CW:$CW,MATCH(B157,LoadMaster!$C:$C,0))</f>
        <v>348.75</v>
      </c>
      <c r="I157" s="330">
        <v>367.5</v>
      </c>
      <c r="J157" s="525">
        <v>348.75</v>
      </c>
      <c r="K157" s="134" t="str">
        <f t="shared" si="10"/>
        <v>Full</v>
      </c>
      <c r="L157" s="134">
        <f>INDEX(LoadMaster!$CT:$CT,MATCH(Table2[[#This Row],[BrokerConfNo]],LoadMaster!$C:$C,0))</f>
        <v>0</v>
      </c>
      <c r="M157" s="416" t="str">
        <f>INDEX(LoadMaster!$AO:$AO,MATCH(Table2[[#This Row],[BrokerConfNo]],LoadMaster!$C:$C,0))</f>
        <v>Wesley</v>
      </c>
      <c r="N157" s="104">
        <f t="shared" si="11"/>
        <v>42314</v>
      </c>
      <c r="O157" s="135">
        <f t="shared" si="12"/>
        <v>42321</v>
      </c>
      <c r="P157" s="104">
        <f>INDEX(LoadMaster!$M:$M,MATCH(B157,LoadMaster!$C:$C,0))</f>
        <v>42314</v>
      </c>
      <c r="Q157" s="416" t="str">
        <f>INDEX(LoadMaster!$P:$P,MATCH(B157,LoadMaster!$C:$C,0))</f>
        <v>South San Francisco</v>
      </c>
      <c r="R157" s="416" t="str">
        <f>INDEX(LoadMaster!$AH:$AH,MATCH(B157,LoadMaster!$C:$C,0))</f>
        <v xml:space="preserve">Vacaville </v>
      </c>
      <c r="S157" s="416" t="str">
        <f>INDEX(LoadMaster!$DC:$DC,MATCH(B157,LoadMaster!$C:$C,0))</f>
        <v>Sunny</v>
      </c>
      <c r="T157" s="136">
        <f>INDEX(LoadMaster!$DA:$DA,MATCH(B157,LoadMaster!$C:$C,0))</f>
        <v>18.75</v>
      </c>
      <c r="U157" s="137">
        <f>Table2[[#This Row],[WeekEndingDate]]+7</f>
        <v>42321</v>
      </c>
      <c r="V157" s="15">
        <f t="shared" si="13"/>
        <v>11</v>
      </c>
      <c r="W157" s="416">
        <f t="shared" si="14"/>
        <v>2015</v>
      </c>
    </row>
    <row r="158" spans="1:23" s="68" customFormat="1">
      <c r="A158" s="15" t="str">
        <f>INDEX(LoadMaster!$A:$A,MATCH(B158,LoadMaster!$C:$C,0))</f>
        <v>72esne49</v>
      </c>
      <c r="B158" s="81">
        <v>185780972</v>
      </c>
      <c r="C158" s="416" t="str">
        <f>VLOOKUP(Table2[[#This Row],[BrokerConfNo]],LoadMaster!C:D,2,FALSE)</f>
        <v>Ch Robinson</v>
      </c>
      <c r="D158" s="104">
        <v>42324</v>
      </c>
      <c r="E158" s="416" t="str">
        <f>IF(Table2[[#This Row],[UBActualReceived]]&gt;1,"Received","Pending")</f>
        <v>Received</v>
      </c>
      <c r="F158" s="132">
        <f>INDEX(LoadMaster!$CU:$CU,MATCH(B158,LoadMaster!$C:$C,0))</f>
        <v>795</v>
      </c>
      <c r="G158" s="132">
        <f>INDEX(LoadMaster!$CX:$CX,MATCH(B158,LoadMaster!$C:$C,0))</f>
        <v>779.1</v>
      </c>
      <c r="H158" s="132">
        <f>INDEX(LoadMaster!$CW:$CW,MATCH(B158,LoadMaster!$C:$C,0))</f>
        <v>745</v>
      </c>
      <c r="I158" s="330">
        <v>779.1</v>
      </c>
      <c r="J158" s="525">
        <v>745</v>
      </c>
      <c r="K158" s="134" t="str">
        <f t="shared" si="10"/>
        <v>Full</v>
      </c>
      <c r="L158" s="134">
        <f>INDEX(LoadMaster!$CT:$CT,MATCH(Table2[[#This Row],[BrokerConfNo]],LoadMaster!$C:$C,0))</f>
        <v>70</v>
      </c>
      <c r="M158" s="416" t="str">
        <f>INDEX(LoadMaster!$AO:$AO,MATCH(Table2[[#This Row],[BrokerConfNo]],LoadMaster!$C:$C,0))</f>
        <v>Albel</v>
      </c>
      <c r="N158" s="104">
        <f t="shared" si="11"/>
        <v>42321</v>
      </c>
      <c r="O158" s="135">
        <f t="shared" si="12"/>
        <v>42335</v>
      </c>
      <c r="P158" s="104">
        <f>INDEX(LoadMaster!$M:$M,MATCH(B158,LoadMaster!$C:$C,0))</f>
        <v>42317</v>
      </c>
      <c r="Q158" s="416" t="str">
        <f>INDEX(LoadMaster!$P:$P,MATCH(B158,LoadMaster!$C:$C,0))</f>
        <v>Woodland</v>
      </c>
      <c r="R158" s="416" t="str">
        <f>INDEX(LoadMaster!$AH:$AH,MATCH(B158,LoadMaster!$C:$C,0))</f>
        <v>Paso Robles</v>
      </c>
      <c r="S158" s="416" t="str">
        <f>INDEX(LoadMaster!$DC:$DC,MATCH(B158,LoadMaster!$C:$C,0))</f>
        <v>Harman</v>
      </c>
      <c r="T158" s="136">
        <f>INDEX(LoadMaster!$DA:$DA,MATCH(B158,LoadMaster!$C:$C,0))</f>
        <v>34.1</v>
      </c>
      <c r="U158" s="137">
        <f>Table2[[#This Row],[WeekEndingDate]]+7</f>
        <v>42328</v>
      </c>
      <c r="V158" s="15">
        <f t="shared" si="13"/>
        <v>11</v>
      </c>
      <c r="W158" s="416">
        <f t="shared" si="14"/>
        <v>2015</v>
      </c>
    </row>
    <row r="159" spans="1:23" s="68" customFormat="1">
      <c r="A159" s="15" t="str">
        <f>INDEX(LoadMaster!$A:$A,MATCH(B159,LoadMaster!$C:$C,0))</f>
        <v>60esnk88</v>
      </c>
      <c r="B159" s="81">
        <v>185780860</v>
      </c>
      <c r="C159" s="416" t="str">
        <f>VLOOKUP(Table2[[#This Row],[BrokerConfNo]],LoadMaster!C:D,2,FALSE)</f>
        <v>Ch Robinson</v>
      </c>
      <c r="D159" s="104">
        <v>42327</v>
      </c>
      <c r="E159" s="416" t="str">
        <f>IF(Table2[[#This Row],[UBActualReceived]]&gt;1,"Received","Pending")</f>
        <v>Received</v>
      </c>
      <c r="F159" s="132">
        <f>INDEX(LoadMaster!$CU:$CU,MATCH(B159,LoadMaster!$C:$C,0))</f>
        <v>795</v>
      </c>
      <c r="G159" s="132">
        <f>INDEX(LoadMaster!$CX:$CX,MATCH(B159,LoadMaster!$C:$C,0))</f>
        <v>779.1</v>
      </c>
      <c r="H159" s="132">
        <f>INDEX(LoadMaster!$CW:$CW,MATCH(B159,LoadMaster!$C:$C,0))</f>
        <v>744.25</v>
      </c>
      <c r="I159" s="330">
        <v>779.1</v>
      </c>
      <c r="J159" s="525">
        <v>744.25</v>
      </c>
      <c r="K159" s="134" t="str">
        <f t="shared" si="10"/>
        <v>Full</v>
      </c>
      <c r="L159" s="134">
        <f>INDEX(LoadMaster!$CT:$CT,MATCH(Table2[[#This Row],[BrokerConfNo]],LoadMaster!$C:$C,0))</f>
        <v>70</v>
      </c>
      <c r="M159" s="416" t="str">
        <f>INDEX(LoadMaster!$AO:$AO,MATCH(Table2[[#This Row],[BrokerConfNo]],LoadMaster!$C:$C,0))</f>
        <v>Wesley</v>
      </c>
      <c r="N159" s="104">
        <f t="shared" si="11"/>
        <v>42321</v>
      </c>
      <c r="O159" s="135">
        <f t="shared" si="12"/>
        <v>42328</v>
      </c>
      <c r="P159" s="104">
        <f>INDEX(LoadMaster!$M:$M,MATCH(B159,LoadMaster!$C:$C,0))</f>
        <v>42317</v>
      </c>
      <c r="Q159" s="416" t="str">
        <f>INDEX(LoadMaster!$P:$P,MATCH(B159,LoadMaster!$C:$C,0))</f>
        <v>Woodland</v>
      </c>
      <c r="R159" s="416" t="str">
        <f>INDEX(LoadMaster!$AH:$AH,MATCH(B159,LoadMaster!$C:$C,0))</f>
        <v>Paso Robles</v>
      </c>
      <c r="S159" s="416" t="str">
        <f>INDEX(LoadMaster!$DC:$DC,MATCH(B159,LoadMaster!$C:$C,0))</f>
        <v>Harman</v>
      </c>
      <c r="T159" s="136">
        <f>INDEX(LoadMaster!$DA:$DA,MATCH(B159,LoadMaster!$C:$C,0))</f>
        <v>34.85</v>
      </c>
      <c r="U159" s="137">
        <f>Table2[[#This Row],[WeekEndingDate]]+7</f>
        <v>42328</v>
      </c>
      <c r="V159" s="15">
        <f t="shared" si="13"/>
        <v>11</v>
      </c>
      <c r="W159" s="416">
        <f t="shared" si="14"/>
        <v>2015</v>
      </c>
    </row>
    <row r="160" spans="1:23" s="68" customFormat="1">
      <c r="A160" s="15" t="str">
        <f>INDEX(LoadMaster!$A:$A,MATCH(B160,LoadMaster!$C:$C,0))</f>
        <v>74074849</v>
      </c>
      <c r="B160" s="81">
        <v>185601274</v>
      </c>
      <c r="C160" s="416" t="str">
        <f>VLOOKUP(Table2[[#This Row],[BrokerConfNo]],LoadMaster!C:D,2,FALSE)</f>
        <v>Ch Robinson</v>
      </c>
      <c r="D160" s="104">
        <v>42327</v>
      </c>
      <c r="E160" s="416" t="str">
        <f>IF(Table2[[#This Row],[UBActualReceived]]&gt;1,"Received","Pending")</f>
        <v>Received</v>
      </c>
      <c r="F160" s="132">
        <f>INDEX(LoadMaster!$CU:$CU,MATCH(B160,LoadMaster!$C:$C,0))</f>
        <v>710</v>
      </c>
      <c r="G160" s="132">
        <f>INDEX(LoadMaster!$CX:$CX,MATCH(B160,LoadMaster!$C:$C,0))</f>
        <v>695.8</v>
      </c>
      <c r="H160" s="132">
        <f>INDEX(LoadMaster!$CW:$CW,MATCH(B160,LoadMaster!$C:$C,0))</f>
        <v>660</v>
      </c>
      <c r="I160" s="330">
        <v>695.8</v>
      </c>
      <c r="J160" s="525">
        <v>660</v>
      </c>
      <c r="K160" s="134" t="str">
        <f t="shared" si="10"/>
        <v>Full</v>
      </c>
      <c r="L160" s="134">
        <f>INDEX(LoadMaster!$CT:$CT,MATCH(Table2[[#This Row],[BrokerConfNo]],LoadMaster!$C:$C,0))</f>
        <v>35</v>
      </c>
      <c r="M160" s="416" t="str">
        <f>INDEX(LoadMaster!$AO:$AO,MATCH(Table2[[#This Row],[BrokerConfNo]],LoadMaster!$C:$C,0))</f>
        <v>Albel</v>
      </c>
      <c r="N160" s="104">
        <f t="shared" si="11"/>
        <v>42321</v>
      </c>
      <c r="O160" s="135">
        <f t="shared" si="12"/>
        <v>42335</v>
      </c>
      <c r="P160" s="104">
        <f>INDEX(LoadMaster!$M:$M,MATCH(B160,LoadMaster!$C:$C,0))</f>
        <v>42318</v>
      </c>
      <c r="Q160" s="416" t="str">
        <f>INDEX(LoadMaster!$P:$P,MATCH(B160,LoadMaster!$C:$C,0))</f>
        <v>Paso Robles</v>
      </c>
      <c r="R160" s="416" t="str">
        <f>INDEX(LoadMaster!$AH:$AH,MATCH(B160,LoadMaster!$C:$C,0))</f>
        <v>Stockton</v>
      </c>
      <c r="S160" s="416" t="str">
        <f>INDEX(LoadMaster!$DC:$DC,MATCH(B160,LoadMaster!$C:$C,0))</f>
        <v>Harman</v>
      </c>
      <c r="T160" s="136">
        <f>INDEX(LoadMaster!$DA:$DA,MATCH(B160,LoadMaster!$C:$C,0))</f>
        <v>35.799999999999997</v>
      </c>
      <c r="U160" s="137">
        <f>Table2[[#This Row],[WeekEndingDate]]+7</f>
        <v>42328</v>
      </c>
      <c r="V160" s="15">
        <f t="shared" si="13"/>
        <v>11</v>
      </c>
      <c r="W160" s="416">
        <f t="shared" si="14"/>
        <v>2015</v>
      </c>
    </row>
    <row r="161" spans="1:23" s="68" customFormat="1">
      <c r="A161" s="15" t="str">
        <f>INDEX(LoadMaster!$A:$A,MATCH(B161,LoadMaster!$C:$C,0))</f>
        <v>62nkne88</v>
      </c>
      <c r="B161" s="81">
        <v>185821062</v>
      </c>
      <c r="C161" s="416" t="str">
        <f>VLOOKUP(Table2[[#This Row],[BrokerConfNo]],LoadMaster!C:D,2,FALSE)</f>
        <v>Ch Robinson</v>
      </c>
      <c r="D161" s="104">
        <v>42327</v>
      </c>
      <c r="E161" s="416" t="str">
        <f>IF(Table2[[#This Row],[UBActualReceived]]&gt;1,"Received","Pending")</f>
        <v>Received</v>
      </c>
      <c r="F161" s="132">
        <f>INDEX(LoadMaster!$CU:$CU,MATCH(B161,LoadMaster!$C:$C,0))</f>
        <v>350</v>
      </c>
      <c r="G161" s="132">
        <f>INDEX(LoadMaster!$CX:$CX,MATCH(B161,LoadMaster!$C:$C,0))</f>
        <v>343</v>
      </c>
      <c r="H161" s="132">
        <f>INDEX(LoadMaster!$CW:$CW,MATCH(B161,LoadMaster!$C:$C,0))</f>
        <v>325.5</v>
      </c>
      <c r="I161" s="330">
        <v>343</v>
      </c>
      <c r="J161" s="525">
        <v>325.5</v>
      </c>
      <c r="K161" s="134" t="str">
        <f t="shared" si="10"/>
        <v>Full</v>
      </c>
      <c r="L161" s="134">
        <f>INDEX(LoadMaster!$CT:$CT,MATCH(Table2[[#This Row],[BrokerConfNo]],LoadMaster!$C:$C,0))</f>
        <v>0</v>
      </c>
      <c r="M161" s="416" t="str">
        <f>INDEX(LoadMaster!$AO:$AO,MATCH(Table2[[#This Row],[BrokerConfNo]],LoadMaster!$C:$C,0))</f>
        <v>Wesley</v>
      </c>
      <c r="N161" s="104">
        <f t="shared" si="11"/>
        <v>42321</v>
      </c>
      <c r="O161" s="135">
        <f t="shared" si="12"/>
        <v>42328</v>
      </c>
      <c r="P161" s="104">
        <f>INDEX(LoadMaster!$M:$M,MATCH(B161,LoadMaster!$C:$C,0))</f>
        <v>42318</v>
      </c>
      <c r="Q161" s="416" t="str">
        <f>INDEX(LoadMaster!$P:$P,MATCH(B161,LoadMaster!$C:$C,0))</f>
        <v>Santa Maria</v>
      </c>
      <c r="R161" s="416" t="str">
        <f>INDEX(LoadMaster!$AH:$AH,MATCH(B161,LoadMaster!$C:$C,0))</f>
        <v>Irvine</v>
      </c>
      <c r="S161" s="416" t="str">
        <f>INDEX(LoadMaster!$DC:$DC,MATCH(B161,LoadMaster!$C:$C,0))</f>
        <v>Harman</v>
      </c>
      <c r="T161" s="136">
        <f>INDEX(LoadMaster!$DA:$DA,MATCH(B161,LoadMaster!$C:$C,0))</f>
        <v>17.5</v>
      </c>
      <c r="U161" s="137">
        <f>Table2[[#This Row],[WeekEndingDate]]+7</f>
        <v>42328</v>
      </c>
      <c r="V161" s="15">
        <f t="shared" si="13"/>
        <v>11</v>
      </c>
      <c r="W161" s="416">
        <f t="shared" si="14"/>
        <v>2015</v>
      </c>
    </row>
    <row r="162" spans="1:23" s="68" customFormat="1">
      <c r="A162" s="15" t="str">
        <f>INDEX(LoadMaster!$A:$A,MATCH(B162,LoadMaster!$C:$C,0))</f>
        <v>37nenk88</v>
      </c>
      <c r="B162" s="81">
        <v>185904137</v>
      </c>
      <c r="C162" s="416" t="str">
        <f>VLOOKUP(Table2[[#This Row],[BrokerConfNo]],LoadMaster!C:D,2,FALSE)</f>
        <v>Ch Robinson</v>
      </c>
      <c r="D162" s="104">
        <v>42333</v>
      </c>
      <c r="E162" s="416" t="str">
        <f>IF(Table2[[#This Row],[UBActualReceived]]&gt;1,"Received","Pending")</f>
        <v>Received</v>
      </c>
      <c r="F162" s="132">
        <f>INDEX(LoadMaster!$CU:$CU,MATCH(B162,LoadMaster!$C:$C,0))</f>
        <v>750</v>
      </c>
      <c r="G162" s="132">
        <f>INDEX(LoadMaster!$CX:$CX,MATCH(B162,LoadMaster!$C:$C,0))</f>
        <v>735</v>
      </c>
      <c r="H162" s="132">
        <f>INDEX(LoadMaster!$CW:$CW,MATCH(B162,LoadMaster!$C:$C,0))</f>
        <v>697.5</v>
      </c>
      <c r="I162" s="330">
        <v>735</v>
      </c>
      <c r="J162" s="525">
        <v>697.5</v>
      </c>
      <c r="K162" s="134" t="str">
        <f t="shared" si="10"/>
        <v>Full</v>
      </c>
      <c r="L162" s="134">
        <f>INDEX(LoadMaster!$CT:$CT,MATCH(Table2[[#This Row],[BrokerConfNo]],LoadMaster!$C:$C,0))</f>
        <v>0</v>
      </c>
      <c r="M162" s="416" t="str">
        <f>INDEX(LoadMaster!$AO:$AO,MATCH(Table2[[#This Row],[BrokerConfNo]],LoadMaster!$C:$C,0))</f>
        <v>Wesley</v>
      </c>
      <c r="N162" s="104">
        <f t="shared" si="11"/>
        <v>42321</v>
      </c>
      <c r="O162" s="135">
        <f t="shared" si="12"/>
        <v>42328</v>
      </c>
      <c r="P162" s="104">
        <f>INDEX(LoadMaster!$M:$M,MATCH(B162,LoadMaster!$C:$C,0))</f>
        <v>42319</v>
      </c>
      <c r="Q162" s="416" t="str">
        <f>INDEX(LoadMaster!$P:$P,MATCH(B162,LoadMaster!$C:$C,0))</f>
        <v>Van Nuys</v>
      </c>
      <c r="R162" s="416" t="str">
        <f>INDEX(LoadMaster!$AH:$AH,MATCH(B162,LoadMaster!$C:$C,0))</f>
        <v>Brentwood</v>
      </c>
      <c r="S162" s="416" t="str">
        <f>INDEX(LoadMaster!$DC:$DC,MATCH(B162,LoadMaster!$C:$C,0))</f>
        <v>Harman</v>
      </c>
      <c r="T162" s="136">
        <f>INDEX(LoadMaster!$DA:$DA,MATCH(B162,LoadMaster!$C:$C,0))</f>
        <v>37.5</v>
      </c>
      <c r="U162" s="137">
        <f>Table2[[#This Row],[WeekEndingDate]]+7</f>
        <v>42328</v>
      </c>
      <c r="V162" s="15">
        <f t="shared" si="13"/>
        <v>11</v>
      </c>
      <c r="W162" s="416">
        <f t="shared" si="14"/>
        <v>2015</v>
      </c>
    </row>
    <row r="163" spans="1:23" s="68" customFormat="1">
      <c r="A163" s="15" t="str">
        <f>INDEX(LoadMaster!$A:$A,MATCH(B163,LoadMaster!$C:$C,0))</f>
        <v>51adto49</v>
      </c>
      <c r="B163" s="81">
        <v>186108551</v>
      </c>
      <c r="C163" s="416" t="str">
        <f>VLOOKUP(Table2[[#This Row],[BrokerConfNo]],LoadMaster!C:D,2,FALSE)</f>
        <v>Ch Robinson</v>
      </c>
      <c r="D163" s="104">
        <v>42328</v>
      </c>
      <c r="E163" s="416" t="str">
        <f>IF(Table2[[#This Row],[UBActualReceived]]&gt;1,"Received","Pending")</f>
        <v>Received</v>
      </c>
      <c r="F163" s="132">
        <f>INDEX(LoadMaster!$CU:$CU,MATCH(B163,LoadMaster!$C:$C,0))</f>
        <v>450</v>
      </c>
      <c r="G163" s="132">
        <f>INDEX(LoadMaster!$CX:$CX,MATCH(B163,LoadMaster!$C:$C,0))</f>
        <v>441</v>
      </c>
      <c r="H163" s="132">
        <f>INDEX(LoadMaster!$CW:$CW,MATCH(B163,LoadMaster!$C:$C,0))</f>
        <v>400</v>
      </c>
      <c r="I163" s="330">
        <v>441</v>
      </c>
      <c r="J163" s="525">
        <v>400</v>
      </c>
      <c r="K163" s="134" t="str">
        <f t="shared" si="10"/>
        <v>Full</v>
      </c>
      <c r="L163" s="134">
        <f>INDEX(LoadMaster!$CT:$CT,MATCH(Table2[[#This Row],[BrokerConfNo]],LoadMaster!$C:$C,0))</f>
        <v>0</v>
      </c>
      <c r="M163" s="416" t="str">
        <f>INDEX(LoadMaster!$AO:$AO,MATCH(Table2[[#This Row],[BrokerConfNo]],LoadMaster!$C:$C,0))</f>
        <v>Albel</v>
      </c>
      <c r="N163" s="104">
        <f t="shared" si="11"/>
        <v>42321</v>
      </c>
      <c r="O163" s="135">
        <f t="shared" si="12"/>
        <v>42335</v>
      </c>
      <c r="P163" s="104">
        <f>INDEX(LoadMaster!$M:$M,MATCH(B163,LoadMaster!$C:$C,0))</f>
        <v>42320</v>
      </c>
      <c r="Q163" s="416" t="str">
        <f>INDEX(LoadMaster!$P:$P,MATCH(B163,LoadMaster!$C:$C,0))</f>
        <v>Modesto</v>
      </c>
      <c r="R163" s="416" t="str">
        <f>INDEX(LoadMaster!$AH:$AH,MATCH(B163,LoadMaster!$C:$C,0))</f>
        <v>King City</v>
      </c>
      <c r="S163" s="416" t="str">
        <f>INDEX(LoadMaster!$DC:$DC,MATCH(B163,LoadMaster!$C:$C,0))</f>
        <v>Harman</v>
      </c>
      <c r="T163" s="136">
        <f>INDEX(LoadMaster!$DA:$DA,MATCH(B163,LoadMaster!$C:$C,0))</f>
        <v>41</v>
      </c>
      <c r="U163" s="137">
        <f>Table2[[#This Row],[WeekEndingDate]]+7</f>
        <v>42328</v>
      </c>
      <c r="V163" s="15">
        <f t="shared" si="13"/>
        <v>11</v>
      </c>
      <c r="W163" s="416">
        <f t="shared" si="14"/>
        <v>2015</v>
      </c>
    </row>
    <row r="164" spans="1:23" s="68" customFormat="1">
      <c r="A164" s="15" t="str">
        <f>INDEX(LoadMaster!$A:$A,MATCH(B164,LoadMaster!$C:$C,0))</f>
        <v>05ngne88</v>
      </c>
      <c r="B164" s="81">
        <v>186116005</v>
      </c>
      <c r="C164" s="416" t="str">
        <f>VLOOKUP(Table2[[#This Row],[BrokerConfNo]],LoadMaster!C:D,2,FALSE)</f>
        <v>Ch Robinson</v>
      </c>
      <c r="D164" s="104">
        <v>42333</v>
      </c>
      <c r="E164" s="416" t="str">
        <f>IF(Table2[[#This Row],[UBActualReceived]]&gt;1,"Received","Pending")</f>
        <v>Received</v>
      </c>
      <c r="F164" s="132">
        <f>INDEX(LoadMaster!$CU:$CU,MATCH(B164,LoadMaster!$C:$C,0))</f>
        <v>875</v>
      </c>
      <c r="G164" s="132">
        <f>INDEX(LoadMaster!$CX:$CX,MATCH(B164,LoadMaster!$C:$C,0))</f>
        <v>857.5</v>
      </c>
      <c r="H164" s="132">
        <f>INDEX(LoadMaster!$CW:$CW,MATCH(B164,LoadMaster!$C:$C,0))</f>
        <v>822.5</v>
      </c>
      <c r="I164" s="330">
        <v>859</v>
      </c>
      <c r="J164" s="525">
        <v>822.5</v>
      </c>
      <c r="K164" s="134" t="str">
        <f t="shared" si="10"/>
        <v>Full</v>
      </c>
      <c r="L164" s="134">
        <f>INDEX(LoadMaster!$CT:$CT,MATCH(Table2[[#This Row],[BrokerConfNo]],LoadMaster!$C:$C,0))</f>
        <v>125</v>
      </c>
      <c r="M164" s="416" t="str">
        <f>INDEX(LoadMaster!$AO:$AO,MATCH(Table2[[#This Row],[BrokerConfNo]],LoadMaster!$C:$C,0))</f>
        <v>Wesley</v>
      </c>
      <c r="N164" s="104">
        <f t="shared" si="11"/>
        <v>42321</v>
      </c>
      <c r="O164" s="135">
        <f t="shared" si="12"/>
        <v>42328</v>
      </c>
      <c r="P164" s="104">
        <f>INDEX(LoadMaster!$M:$M,MATCH(B164,LoadMaster!$C:$C,0))</f>
        <v>42320</v>
      </c>
      <c r="Q164" s="416" t="str">
        <f>INDEX(LoadMaster!$P:$P,MATCH(B164,LoadMaster!$C:$C,0))</f>
        <v>Woodland</v>
      </c>
      <c r="R164" s="416" t="str">
        <f>INDEX(LoadMaster!$AH:$AH,MATCH(B164,LoadMaster!$C:$C,0))</f>
        <v>San Simeon</v>
      </c>
      <c r="S164" s="416" t="str">
        <f>INDEX(LoadMaster!$DC:$DC,MATCH(B164,LoadMaster!$C:$C,0))</f>
        <v>Harman</v>
      </c>
      <c r="T164" s="136">
        <f>INDEX(LoadMaster!$DA:$DA,MATCH(B164,LoadMaster!$C:$C,0))</f>
        <v>35</v>
      </c>
      <c r="U164" s="137">
        <f>Table2[[#This Row],[WeekEndingDate]]+7</f>
        <v>42328</v>
      </c>
      <c r="V164" s="15">
        <f t="shared" si="13"/>
        <v>11</v>
      </c>
      <c r="W164" s="416">
        <f t="shared" si="14"/>
        <v>2015</v>
      </c>
    </row>
    <row r="165" spans="1:23" s="18" customFormat="1">
      <c r="A165" s="15" t="str">
        <f>INDEX(LoadMaster!$A:$A,MATCH(B165,LoadMaster!$C:$C,0))</f>
        <v>5216nk49</v>
      </c>
      <c r="B165" s="55">
        <v>1582352</v>
      </c>
      <c r="C165" s="18" t="str">
        <f>VLOOKUP(Table2[[#This Row],[BrokerConfNo]],LoadMaster!C:D,2,FALSE)</f>
        <v>Interstate Distributor Co</v>
      </c>
      <c r="D165" s="26">
        <v>42326</v>
      </c>
      <c r="E165" s="18" t="str">
        <f>IF(Table2[[#This Row],[UBActualReceived]]&gt;1,"Received","Pending")</f>
        <v>Received</v>
      </c>
      <c r="F165" s="21">
        <f>INDEX(LoadMaster!$CU:$CU,MATCH(B165,LoadMaster!$C:$C,0))</f>
        <v>625</v>
      </c>
      <c r="G165" s="132">
        <f>INDEX(LoadMaster!$CX:$CX,MATCH(B165,LoadMaster!$C:$C,0))</f>
        <v>615.625</v>
      </c>
      <c r="H165" s="132">
        <f>INDEX(LoadMaster!$CW:$CW,MATCH(B165,LoadMaster!$C:$C,0))</f>
        <v>575</v>
      </c>
      <c r="I165" s="331">
        <v>615.63</v>
      </c>
      <c r="J165" s="526">
        <v>575</v>
      </c>
      <c r="K165" s="27" t="str">
        <f t="shared" si="10"/>
        <v>Full</v>
      </c>
      <c r="L165" s="27">
        <f>INDEX(LoadMaster!$CT:$CT,MATCH(Table2[[#This Row],[BrokerConfNo]],LoadMaster!$C:$C,0))</f>
        <v>0</v>
      </c>
      <c r="M165" s="18" t="str">
        <f>INDEX(LoadMaster!$AO:$AO,MATCH(Table2[[#This Row],[BrokerConfNo]],LoadMaster!$C:$C,0))</f>
        <v>Albel</v>
      </c>
      <c r="N165" s="26">
        <f t="shared" si="11"/>
        <v>42321</v>
      </c>
      <c r="O165" s="109">
        <f t="shared" si="12"/>
        <v>42335</v>
      </c>
      <c r="P165" s="26">
        <f>INDEX(LoadMaster!$M:$M,MATCH(B165,LoadMaster!$C:$C,0))</f>
        <v>42320</v>
      </c>
      <c r="Q165" s="18" t="str">
        <f>INDEX(LoadMaster!$P:$P,MATCH(B165,LoadMaster!$C:$C,0))</f>
        <v>Paso Robles</v>
      </c>
      <c r="R165" s="18" t="str">
        <f>INDEX(LoadMaster!$AH:$AH,MATCH(B165,LoadMaster!$C:$C,0))</f>
        <v>Union City</v>
      </c>
      <c r="S165" s="416" t="str">
        <f>INDEX(LoadMaster!$DC:$DC,MATCH(B165,LoadMaster!$C:$C,0))</f>
        <v>Harman</v>
      </c>
      <c r="T165" s="48">
        <f>INDEX(LoadMaster!$DA:$DA,MATCH(B165,LoadMaster!$C:$C,0))</f>
        <v>40.625</v>
      </c>
      <c r="U165" s="110">
        <f>Table2[[#This Row],[WeekEndingDate]]+7</f>
        <v>42328</v>
      </c>
      <c r="V165" s="14">
        <f t="shared" si="13"/>
        <v>11</v>
      </c>
      <c r="W165" s="18">
        <f t="shared" si="14"/>
        <v>2015</v>
      </c>
    </row>
    <row r="166" spans="1:23" s="68" customFormat="1">
      <c r="A166" s="15" t="str">
        <f>INDEX(LoadMaster!$A:$A,MATCH(B166,LoadMaster!$C:$C,0))</f>
        <v>05nkng49</v>
      </c>
      <c r="B166" s="81">
        <v>186150705</v>
      </c>
      <c r="C166" s="416" t="str">
        <f>VLOOKUP(Table2[[#This Row],[BrokerConfNo]],LoadMaster!C:D,2,FALSE)</f>
        <v>Ch Robinson</v>
      </c>
      <c r="D166" s="104">
        <v>42333</v>
      </c>
      <c r="E166" s="416" t="str">
        <f>IF(Table2[[#This Row],[UBActualReceived]]&gt;1,"Received","Pending")</f>
        <v>Received</v>
      </c>
      <c r="F166" s="132">
        <f>INDEX(LoadMaster!$CU:$CU,MATCH(B166,LoadMaster!$C:$C,0))</f>
        <v>450</v>
      </c>
      <c r="G166" s="132">
        <f>INDEX(LoadMaster!$CX:$CX,MATCH(B166,LoadMaster!$C:$C,0))</f>
        <v>441</v>
      </c>
      <c r="H166" s="132">
        <f>INDEX(LoadMaster!$CW:$CW,MATCH(B166,LoadMaster!$C:$C,0))</f>
        <v>400</v>
      </c>
      <c r="I166" s="330">
        <v>441</v>
      </c>
      <c r="J166" s="525">
        <v>400</v>
      </c>
      <c r="K166" s="134" t="str">
        <f t="shared" si="10"/>
        <v>Full</v>
      </c>
      <c r="L166" s="134">
        <f>INDEX(LoadMaster!$CT:$CT,MATCH(Table2[[#This Row],[BrokerConfNo]],LoadMaster!$C:$C,0))</f>
        <v>0</v>
      </c>
      <c r="M166" s="416" t="str">
        <f>INDEX(LoadMaster!$AO:$AO,MATCH(Table2[[#This Row],[BrokerConfNo]],LoadMaster!$C:$C,0))</f>
        <v>Albel</v>
      </c>
      <c r="N166" s="104">
        <f t="shared" si="11"/>
        <v>42321</v>
      </c>
      <c r="O166" s="135">
        <f t="shared" si="12"/>
        <v>42335</v>
      </c>
      <c r="P166" s="104">
        <f>INDEX(LoadMaster!$M:$M,MATCH(B166,LoadMaster!$C:$C,0))</f>
        <v>42321</v>
      </c>
      <c r="Q166" s="416" t="str">
        <f>INDEX(LoadMaster!$P:$P,MATCH(B166,LoadMaster!$C:$C,0))</f>
        <v>Union City</v>
      </c>
      <c r="R166" s="416" t="str">
        <f>INDEX(LoadMaster!$AH:$AH,MATCH(B166,LoadMaster!$C:$C,0))</f>
        <v>Benicia</v>
      </c>
      <c r="S166" s="416" t="str">
        <f>INDEX(LoadMaster!$DC:$DC,MATCH(B166,LoadMaster!$C:$C,0))</f>
        <v>Harman</v>
      </c>
      <c r="T166" s="136">
        <f>INDEX(LoadMaster!$DA:$DA,MATCH(B166,LoadMaster!$C:$C,0))</f>
        <v>41</v>
      </c>
      <c r="U166" s="137">
        <f>Table2[[#This Row],[WeekEndingDate]]+7</f>
        <v>42328</v>
      </c>
      <c r="V166" s="15">
        <f t="shared" si="13"/>
        <v>11</v>
      </c>
      <c r="W166" s="416">
        <f t="shared" si="14"/>
        <v>2015</v>
      </c>
    </row>
    <row r="167" spans="1:23" s="68" customFormat="1">
      <c r="A167" s="15" t="str">
        <f>INDEX(LoadMaster!$A:$A,MATCH(B167,LoadMaster!$C:$C,0))</f>
        <v>96842088</v>
      </c>
      <c r="B167" s="81">
        <v>185716896</v>
      </c>
      <c r="C167" s="416" t="str">
        <f>VLOOKUP(Table2[[#This Row],[BrokerConfNo]],LoadMaster!C:D,2,FALSE)</f>
        <v>Ch Robinson</v>
      </c>
      <c r="D167" s="104">
        <v>42333</v>
      </c>
      <c r="E167" s="416" t="str">
        <f>IF(Table2[[#This Row],[UBActualReceived]]&gt;1,"Received","Pending")</f>
        <v>Received</v>
      </c>
      <c r="F167" s="132">
        <f>INDEX(LoadMaster!$CU:$CU,MATCH(B167,LoadMaster!$C:$C,0))</f>
        <v>1100</v>
      </c>
      <c r="G167" s="132">
        <f>INDEX(LoadMaster!$CX:$CX,MATCH(B167,LoadMaster!$C:$C,0))</f>
        <v>1078</v>
      </c>
      <c r="H167" s="132">
        <f>INDEX(LoadMaster!$CW:$CW,MATCH(B167,LoadMaster!$C:$C,0))</f>
        <v>1023</v>
      </c>
      <c r="I167" s="330">
        <v>1078</v>
      </c>
      <c r="J167" s="525">
        <v>1023</v>
      </c>
      <c r="K167" s="134" t="str">
        <f t="shared" si="10"/>
        <v>Full</v>
      </c>
      <c r="L167" s="134">
        <f>INDEX(LoadMaster!$CT:$CT,MATCH(Table2[[#This Row],[BrokerConfNo]],LoadMaster!$C:$C,0))</f>
        <v>0</v>
      </c>
      <c r="M167" s="416" t="str">
        <f>INDEX(LoadMaster!$AO:$AO,MATCH(Table2[[#This Row],[BrokerConfNo]],LoadMaster!$C:$C,0))</f>
        <v>Wesley</v>
      </c>
      <c r="N167" s="104">
        <f t="shared" si="11"/>
        <v>42321</v>
      </c>
      <c r="O167" s="135">
        <f t="shared" si="12"/>
        <v>42328</v>
      </c>
      <c r="P167" s="104">
        <f>INDEX(LoadMaster!$M:$M,MATCH(B167,LoadMaster!$C:$C,0))</f>
        <v>42321</v>
      </c>
      <c r="Q167" s="416" t="str">
        <f>INDEX(LoadMaster!$P:$P,MATCH(B167,LoadMaster!$C:$C,0))</f>
        <v>Cabazon</v>
      </c>
      <c r="R167" s="416" t="str">
        <f>INDEX(LoadMaster!$AH:$AH,MATCH(B167,LoadMaster!$C:$C,0))</f>
        <v>Tracy</v>
      </c>
      <c r="S167" s="416" t="str">
        <f>INDEX(LoadMaster!$DC:$DC,MATCH(B167,LoadMaster!$C:$C,0))</f>
        <v>Harman</v>
      </c>
      <c r="T167" s="136">
        <f>INDEX(LoadMaster!$DA:$DA,MATCH(B167,LoadMaster!$C:$C,0))</f>
        <v>55</v>
      </c>
      <c r="U167" s="137">
        <f>Table2[[#This Row],[WeekEndingDate]]+7</f>
        <v>42328</v>
      </c>
      <c r="V167" s="15">
        <f t="shared" si="13"/>
        <v>11</v>
      </c>
      <c r="W167" s="416">
        <f t="shared" si="14"/>
        <v>2015</v>
      </c>
    </row>
    <row r="168" spans="1:23" s="68" customFormat="1">
      <c r="A168" s="15" t="str">
        <f>INDEX(LoadMaster!$A:$A,MATCH(B168,LoadMaster!$C:$C,0))</f>
        <v>76nu2388</v>
      </c>
      <c r="B168" s="81">
        <v>186195876</v>
      </c>
      <c r="C168" s="416" t="str">
        <f>VLOOKUP(Table2[[#This Row],[BrokerConfNo]],LoadMaster!C:D,2,FALSE)</f>
        <v>Ch Robinson</v>
      </c>
      <c r="D168" s="104">
        <v>42349</v>
      </c>
      <c r="E168" s="416" t="str">
        <f>IF(Table2[[#This Row],[UBActualReceived]]&gt;1,"Received","Pending")</f>
        <v>Received</v>
      </c>
      <c r="F168" s="132">
        <f>INDEX(LoadMaster!$CU:$CU,MATCH(B168,LoadMaster!$C:$C,0))</f>
        <v>150</v>
      </c>
      <c r="G168" s="132">
        <f>INDEX(LoadMaster!$CX:$CX,MATCH(B168,LoadMaster!$C:$C,0))</f>
        <v>147</v>
      </c>
      <c r="H168" s="132">
        <f>INDEX(LoadMaster!$CW:$CW,MATCH(B168,LoadMaster!$C:$C,0))</f>
        <v>125</v>
      </c>
      <c r="I168" s="330">
        <v>147</v>
      </c>
      <c r="J168" s="525">
        <v>125</v>
      </c>
      <c r="K168" s="134" t="str">
        <f t="shared" si="10"/>
        <v>Full</v>
      </c>
      <c r="L168" s="134">
        <f>INDEX(LoadMaster!$CT:$CT,MATCH(Table2[[#This Row],[BrokerConfNo]],LoadMaster!$C:$C,0))</f>
        <v>0</v>
      </c>
      <c r="M168" s="416" t="str">
        <f>INDEX(LoadMaster!$AO:$AO,MATCH(Table2[[#This Row],[BrokerConfNo]],LoadMaster!$C:$C,0))</f>
        <v>Wesley</v>
      </c>
      <c r="N168" s="104">
        <f t="shared" si="11"/>
        <v>42321</v>
      </c>
      <c r="O168" s="135">
        <f t="shared" si="12"/>
        <v>42328</v>
      </c>
      <c r="P168" s="104">
        <f>INDEX(LoadMaster!$M:$M,MATCH(B168,LoadMaster!$C:$C,0))</f>
        <v>42321</v>
      </c>
      <c r="Q168" s="416" t="str">
        <f>INDEX(LoadMaster!$P:$P,MATCH(B168,LoadMaster!$C:$C,0))</f>
        <v>Santa Maria</v>
      </c>
      <c r="R168" s="416" t="str">
        <f>INDEX(LoadMaster!$AH:$AH,MATCH(B168,LoadMaster!$C:$C,0))</f>
        <v>Riverside</v>
      </c>
      <c r="S168" s="416" t="str">
        <f>INDEX(LoadMaster!$DC:$DC,MATCH(B168,LoadMaster!$C:$C,0))</f>
        <v>Harman</v>
      </c>
      <c r="T168" s="136">
        <f>INDEX(LoadMaster!$DA:$DA,MATCH(B168,LoadMaster!$C:$C,0))</f>
        <v>22</v>
      </c>
      <c r="U168" s="137">
        <f>Table2[[#This Row],[WeekEndingDate]]+7</f>
        <v>42328</v>
      </c>
      <c r="V168" s="15">
        <f t="shared" si="13"/>
        <v>11</v>
      </c>
      <c r="W168" s="416">
        <f t="shared" si="14"/>
        <v>2015</v>
      </c>
    </row>
    <row r="169" spans="1:23" s="68" customFormat="1">
      <c r="A169" s="15" t="str">
        <f>INDEX(LoadMaster!$A:$A,MATCH(B169,LoadMaster!$C:$C,0))</f>
        <v>36640449</v>
      </c>
      <c r="B169" s="81">
        <v>185634136</v>
      </c>
      <c r="C169" s="416" t="str">
        <f>VLOOKUP(Table2[[#This Row],[BrokerConfNo]],LoadMaster!C:D,2,FALSE)</f>
        <v>Ch Robinson</v>
      </c>
      <c r="D169" s="104">
        <v>42332</v>
      </c>
      <c r="E169" s="416" t="str">
        <f>IF(Table2[[#This Row],[UBActualReceived]]&gt;1,"Received","Pending")</f>
        <v>Received</v>
      </c>
      <c r="F169" s="132">
        <f>INDEX(LoadMaster!$CU:$CU,MATCH(B169,LoadMaster!$C:$C,0))</f>
        <v>750</v>
      </c>
      <c r="G169" s="132">
        <f>INDEX(LoadMaster!$CX:$CX,MATCH(B169,LoadMaster!$C:$C,0))</f>
        <v>735</v>
      </c>
      <c r="H169" s="132">
        <f>INDEX(LoadMaster!$CW:$CW,MATCH(B169,LoadMaster!$C:$C,0))</f>
        <v>700</v>
      </c>
      <c r="I169" s="330">
        <v>735</v>
      </c>
      <c r="J169" s="525">
        <v>700</v>
      </c>
      <c r="K169" s="134" t="str">
        <f t="shared" si="10"/>
        <v>Full</v>
      </c>
      <c r="L169" s="134">
        <f>INDEX(LoadMaster!$CT:$CT,MATCH(Table2[[#This Row],[BrokerConfNo]],LoadMaster!$C:$C,0))</f>
        <v>0</v>
      </c>
      <c r="M169" s="416" t="str">
        <f>INDEX(LoadMaster!$AO:$AO,MATCH(Table2[[#This Row],[BrokerConfNo]],LoadMaster!$C:$C,0))</f>
        <v>Albel</v>
      </c>
      <c r="N169" s="104">
        <f t="shared" si="11"/>
        <v>42328</v>
      </c>
      <c r="O169" s="135">
        <f t="shared" si="12"/>
        <v>42342</v>
      </c>
      <c r="P169" s="104">
        <f>INDEX(LoadMaster!$M:$M,MATCH(B169,LoadMaster!$C:$C,0))</f>
        <v>42324</v>
      </c>
      <c r="Q169" s="416" t="str">
        <f>INDEX(LoadMaster!$P:$P,MATCH(B169,LoadMaster!$C:$C,0))</f>
        <v>Watsonville</v>
      </c>
      <c r="R169" s="416" t="str">
        <f>INDEX(LoadMaster!$AH:$AH,MATCH(B169,LoadMaster!$C:$C,0))</f>
        <v>Red Bluff</v>
      </c>
      <c r="S169" s="416" t="str">
        <f>INDEX(LoadMaster!$DC:$DC,MATCH(B169,LoadMaster!$C:$C,0))</f>
        <v>Harman</v>
      </c>
      <c r="T169" s="136">
        <f>INDEX(LoadMaster!$DA:$DA,MATCH(B169,LoadMaster!$C:$C,0))</f>
        <v>35</v>
      </c>
      <c r="U169" s="137">
        <f>Table2[[#This Row],[WeekEndingDate]]+7</f>
        <v>42335</v>
      </c>
      <c r="V169" s="15">
        <f t="shared" si="13"/>
        <v>11</v>
      </c>
      <c r="W169" s="416">
        <f t="shared" si="14"/>
        <v>2015</v>
      </c>
    </row>
    <row r="170" spans="1:23" s="68" customFormat="1">
      <c r="A170" s="15" t="str">
        <f>INDEX(LoadMaster!$A:$A,MATCH(B170,LoadMaster!$C:$C,0))</f>
        <v>89nkne88</v>
      </c>
      <c r="B170" s="81">
        <v>186427289</v>
      </c>
      <c r="C170" s="416" t="str">
        <f>VLOOKUP(Table2[[#This Row],[BrokerConfNo]],LoadMaster!C:D,2,FALSE)</f>
        <v>Ch Robinson</v>
      </c>
      <c r="D170" s="104">
        <v>42338</v>
      </c>
      <c r="E170" s="416" t="str">
        <f>IF(Table2[[#This Row],[UBActualReceived]]&gt;1,"Received","Pending")</f>
        <v>Received</v>
      </c>
      <c r="F170" s="132">
        <f>INDEX(LoadMaster!$CU:$CU,MATCH(B170,LoadMaster!$C:$C,0))</f>
        <v>575</v>
      </c>
      <c r="G170" s="132">
        <f>INDEX(LoadMaster!$CX:$CX,MATCH(B170,LoadMaster!$C:$C,0))</f>
        <v>563.5</v>
      </c>
      <c r="H170" s="132">
        <f>INDEX(LoadMaster!$CW:$CW,MATCH(B170,LoadMaster!$C:$C,0))</f>
        <v>534.75</v>
      </c>
      <c r="I170" s="330">
        <v>563.5</v>
      </c>
      <c r="J170" s="525">
        <v>534.75</v>
      </c>
      <c r="K170" s="134" t="str">
        <f t="shared" si="10"/>
        <v>Full</v>
      </c>
      <c r="L170" s="134">
        <f>INDEX(LoadMaster!$CT:$CT,MATCH(Table2[[#This Row],[BrokerConfNo]],LoadMaster!$C:$C,0))</f>
        <v>0</v>
      </c>
      <c r="M170" s="416" t="str">
        <f>INDEX(LoadMaster!$AO:$AO,MATCH(Table2[[#This Row],[BrokerConfNo]],LoadMaster!$C:$C,0))</f>
        <v>Wesley</v>
      </c>
      <c r="N170" s="104">
        <f t="shared" si="11"/>
        <v>42328</v>
      </c>
      <c r="O170" s="135">
        <f t="shared" si="12"/>
        <v>42335</v>
      </c>
      <c r="P170" s="104">
        <f>INDEX(LoadMaster!$M:$M,MATCH(B170,LoadMaster!$C:$C,0))</f>
        <v>42325</v>
      </c>
      <c r="Q170" s="416" t="str">
        <f>INDEX(LoadMaster!$P:$P,MATCH(B170,LoadMaster!$C:$C,0))</f>
        <v>Woodland</v>
      </c>
      <c r="R170" s="416" t="str">
        <f>INDEX(LoadMaster!$AH:$AH,MATCH(B170,LoadMaster!$C:$C,0))</f>
        <v>San Jose</v>
      </c>
      <c r="S170" s="416" t="str">
        <f>INDEX(LoadMaster!$DC:$DC,MATCH(B170,LoadMaster!$C:$C,0))</f>
        <v>Harman</v>
      </c>
      <c r="T170" s="136">
        <f>INDEX(LoadMaster!$DA:$DA,MATCH(B170,LoadMaster!$C:$C,0))</f>
        <v>28.75</v>
      </c>
      <c r="U170" s="137">
        <f>Table2[[#This Row],[WeekEndingDate]]+7</f>
        <v>42335</v>
      </c>
      <c r="V170" s="15">
        <f t="shared" si="13"/>
        <v>11</v>
      </c>
      <c r="W170" s="416">
        <f t="shared" si="14"/>
        <v>2015</v>
      </c>
    </row>
    <row r="171" spans="1:23" s="68" customFormat="1">
      <c r="A171" s="15" t="str">
        <f>INDEX(LoadMaster!$A:$A,MATCH(B171,LoadMaster!$C:$C,0))</f>
        <v>37neng49</v>
      </c>
      <c r="B171" s="81">
        <v>186426437</v>
      </c>
      <c r="C171" s="416" t="str">
        <f>VLOOKUP(Table2[[#This Row],[BrokerConfNo]],LoadMaster!C:D,2,FALSE)</f>
        <v>Ch Robinson</v>
      </c>
      <c r="D171" s="104">
        <v>42338</v>
      </c>
      <c r="E171" s="416" t="str">
        <f>IF(Table2[[#This Row],[UBActualReceived]]&gt;1,"Received","Pending")</f>
        <v>Received</v>
      </c>
      <c r="F171" s="132">
        <f>INDEX(LoadMaster!$CU:$CU,MATCH(B171,LoadMaster!$C:$C,0))</f>
        <v>400</v>
      </c>
      <c r="G171" s="132">
        <f>INDEX(LoadMaster!$CX:$CX,MATCH(B171,LoadMaster!$C:$C,0))</f>
        <v>392</v>
      </c>
      <c r="H171" s="132">
        <f>INDEX(LoadMaster!$CW:$CW,MATCH(B171,LoadMaster!$C:$C,0))</f>
        <v>350</v>
      </c>
      <c r="I171" s="330">
        <v>392</v>
      </c>
      <c r="J171" s="525">
        <v>350</v>
      </c>
      <c r="K171" s="134" t="str">
        <f t="shared" si="10"/>
        <v>Full</v>
      </c>
      <c r="L171" s="134">
        <f>INDEX(LoadMaster!$CT:$CT,MATCH(Table2[[#This Row],[BrokerConfNo]],LoadMaster!$C:$C,0))</f>
        <v>0</v>
      </c>
      <c r="M171" s="416" t="str">
        <f>INDEX(LoadMaster!$AO:$AO,MATCH(Table2[[#This Row],[BrokerConfNo]],LoadMaster!$C:$C,0))</f>
        <v>Albel</v>
      </c>
      <c r="N171" s="104">
        <f t="shared" si="11"/>
        <v>42328</v>
      </c>
      <c r="O171" s="135">
        <f t="shared" si="12"/>
        <v>42342</v>
      </c>
      <c r="P171" s="104">
        <f>INDEX(LoadMaster!$M:$M,MATCH(B171,LoadMaster!$C:$C,0))</f>
        <v>42325</v>
      </c>
      <c r="Q171" s="416" t="str">
        <f>INDEX(LoadMaster!$P:$P,MATCH(B171,LoadMaster!$C:$C,0))</f>
        <v>Woodland</v>
      </c>
      <c r="R171" s="416" t="str">
        <f>INDEX(LoadMaster!$AH:$AH,MATCH(B171,LoadMaster!$C:$C,0))</f>
        <v>Petaluma</v>
      </c>
      <c r="S171" s="416" t="str">
        <f>INDEX(LoadMaster!$DC:$DC,MATCH(B171,LoadMaster!$C:$C,0))</f>
        <v>Harman</v>
      </c>
      <c r="T171" s="136">
        <f>INDEX(LoadMaster!$DA:$DA,MATCH(B171,LoadMaster!$C:$C,0))</f>
        <v>42</v>
      </c>
      <c r="U171" s="137">
        <f>Table2[[#This Row],[WeekEndingDate]]+7</f>
        <v>42335</v>
      </c>
      <c r="V171" s="15">
        <f t="shared" si="13"/>
        <v>11</v>
      </c>
      <c r="W171" s="416">
        <f t="shared" si="14"/>
        <v>2015</v>
      </c>
    </row>
    <row r="172" spans="1:23" s="68" customFormat="1">
      <c r="A172" s="15" t="str">
        <f>INDEX(LoadMaster!$A:$A,MATCH(B172,LoadMaster!$C:$C,0))</f>
        <v>121149</v>
      </c>
      <c r="B172" s="81">
        <v>186527812</v>
      </c>
      <c r="C172" s="416" t="str">
        <f>VLOOKUP(Table2[[#This Row],[BrokerConfNo]],LoadMaster!C:D,2,FALSE)</f>
        <v>Ch Robinson</v>
      </c>
      <c r="D172" s="104">
        <v>42354</v>
      </c>
      <c r="E172" s="416" t="str">
        <f>IF(Table2[[#This Row],[UBActualReceived]]&gt;1,"Received","Pending")</f>
        <v>Received</v>
      </c>
      <c r="F172" s="132">
        <f>INDEX(LoadMaster!$CU:$CU,MATCH(B172,LoadMaster!$C:$C,0))</f>
        <v>500</v>
      </c>
      <c r="G172" s="132">
        <f>INDEX(LoadMaster!$CX:$CX,MATCH(B172,LoadMaster!$C:$C,0))</f>
        <v>490</v>
      </c>
      <c r="H172" s="132">
        <f>INDEX(LoadMaster!$CW:$CW,MATCH(B172,LoadMaster!$C:$C,0))</f>
        <v>450</v>
      </c>
      <c r="I172" s="330">
        <v>490</v>
      </c>
      <c r="J172" s="525">
        <v>450</v>
      </c>
      <c r="K172" s="134" t="str">
        <f t="shared" si="10"/>
        <v>Full</v>
      </c>
      <c r="L172" s="134">
        <f>INDEX(LoadMaster!$CT:$CT,MATCH(Table2[[#This Row],[BrokerConfNo]],LoadMaster!$C:$C,0))</f>
        <v>0</v>
      </c>
      <c r="M172" s="416" t="str">
        <f>INDEX(LoadMaster!$AO:$AO,MATCH(Table2[[#This Row],[BrokerConfNo]],LoadMaster!$C:$C,0))</f>
        <v>Albel</v>
      </c>
      <c r="N172" s="104">
        <f t="shared" si="11"/>
        <v>42328</v>
      </c>
      <c r="O172" s="135">
        <f t="shared" si="12"/>
        <v>42342</v>
      </c>
      <c r="P172" s="104">
        <f>INDEX(LoadMaster!$M:$M,MATCH(B172,LoadMaster!$C:$C,0))</f>
        <v>42326</v>
      </c>
      <c r="Q172" s="416" t="str">
        <f>INDEX(LoadMaster!$P:$P,MATCH(B172,LoadMaster!$C:$C,0))</f>
        <v>Sebastopol,
Larkfield</v>
      </c>
      <c r="R172" s="416" t="str">
        <f>INDEX(LoadMaster!$AH:$AH,MATCH(B172,LoadMaster!$C:$C,0))</f>
        <v>Tracy</v>
      </c>
      <c r="S172" s="416" t="str">
        <f>INDEX(LoadMaster!$DC:$DC,MATCH(B172,LoadMaster!$C:$C,0))</f>
        <v>Harman</v>
      </c>
      <c r="T172" s="136">
        <f>INDEX(LoadMaster!$DA:$DA,MATCH(B172,LoadMaster!$C:$C,0))</f>
        <v>40</v>
      </c>
      <c r="U172" s="137">
        <f>Table2[[#This Row],[WeekEndingDate]]+7</f>
        <v>42335</v>
      </c>
      <c r="V172" s="15">
        <f t="shared" si="13"/>
        <v>11</v>
      </c>
      <c r="W172" s="416">
        <f t="shared" si="14"/>
        <v>2015</v>
      </c>
    </row>
    <row r="173" spans="1:23" s="68" customFormat="1">
      <c r="A173" s="15" t="str">
        <f>INDEX(LoadMaster!$A:$A,MATCH(B173,LoadMaster!$C:$C,0))</f>
        <v>39ngne49</v>
      </c>
      <c r="B173" s="81">
        <v>186641639</v>
      </c>
      <c r="C173" s="416" t="str">
        <f>VLOOKUP(Table2[[#This Row],[BrokerConfNo]],LoadMaster!C:D,2,FALSE)</f>
        <v>Ch Robinson</v>
      </c>
      <c r="D173" s="104">
        <v>42340</v>
      </c>
      <c r="E173" s="416" t="str">
        <f>IF(Table2[[#This Row],[UBActualReceived]]&gt;1,"Received","Pending")</f>
        <v>Received</v>
      </c>
      <c r="F173" s="132">
        <f>INDEX(LoadMaster!$CU:$CU,MATCH(B173,LoadMaster!$C:$C,0))</f>
        <v>500</v>
      </c>
      <c r="G173" s="132">
        <f>INDEX(LoadMaster!$CX:$CX,MATCH(B173,LoadMaster!$C:$C,0))</f>
        <v>490</v>
      </c>
      <c r="H173" s="132">
        <f>INDEX(LoadMaster!$CW:$CW,MATCH(B173,LoadMaster!$C:$C,0))</f>
        <v>450</v>
      </c>
      <c r="I173" s="330">
        <v>490</v>
      </c>
      <c r="J173" s="525">
        <v>450</v>
      </c>
      <c r="K173" s="134" t="str">
        <f t="shared" si="10"/>
        <v>Full</v>
      </c>
      <c r="L173" s="134">
        <f>INDEX(LoadMaster!$CT:$CT,MATCH(Table2[[#This Row],[BrokerConfNo]],LoadMaster!$C:$C,0))</f>
        <v>0</v>
      </c>
      <c r="M173" s="416" t="str">
        <f>INDEX(LoadMaster!$AO:$AO,MATCH(Table2[[#This Row],[BrokerConfNo]],LoadMaster!$C:$C,0))</f>
        <v>Albel</v>
      </c>
      <c r="N173" s="104">
        <f t="shared" si="11"/>
        <v>42328</v>
      </c>
      <c r="O173" s="135">
        <f t="shared" si="12"/>
        <v>42342</v>
      </c>
      <c r="P173" s="104">
        <f>INDEX(LoadMaster!$M:$M,MATCH(B173,LoadMaster!$C:$C,0))</f>
        <v>42327</v>
      </c>
      <c r="Q173" s="416" t="str">
        <f>INDEX(LoadMaster!$P:$P,MATCH(B173,LoadMaster!$C:$C,0))</f>
        <v>Woodland</v>
      </c>
      <c r="R173" s="416" t="str">
        <f>INDEX(LoadMaster!$AH:$AH,MATCH(B173,LoadMaster!$C:$C,0))</f>
        <v>Los Banos</v>
      </c>
      <c r="S173" s="416" t="str">
        <f>INDEX(LoadMaster!$DC:$DC,MATCH(B173,LoadMaster!$C:$C,0))</f>
        <v>Harman</v>
      </c>
      <c r="T173" s="136">
        <f>INDEX(LoadMaster!$DA:$DA,MATCH(B173,LoadMaster!$C:$C,0))</f>
        <v>40</v>
      </c>
      <c r="U173" s="137">
        <f>Table2[[#This Row],[WeekEndingDate]]+7</f>
        <v>42335</v>
      </c>
      <c r="V173" s="15">
        <f t="shared" si="13"/>
        <v>11</v>
      </c>
      <c r="W173" s="416">
        <f t="shared" si="14"/>
        <v>2015</v>
      </c>
    </row>
    <row r="174" spans="1:23" s="68" customFormat="1">
      <c r="A174" s="15" t="str">
        <f>INDEX(LoadMaster!$A:$A,MATCH(B174,LoadMaster!$C:$C,0))</f>
        <v>02350088</v>
      </c>
      <c r="B174" s="81">
        <v>186546602</v>
      </c>
      <c r="C174" s="416" t="str">
        <f>VLOOKUP(Table2[[#This Row],[BrokerConfNo]],LoadMaster!C:D,2,FALSE)</f>
        <v>Ch Robinson</v>
      </c>
      <c r="D174" s="104">
        <v>42342</v>
      </c>
      <c r="E174" s="416" t="str">
        <f>IF(Table2[[#This Row],[UBActualReceived]]&gt;1,"Received","Pending")</f>
        <v>Received</v>
      </c>
      <c r="F174" s="132">
        <f>INDEX(LoadMaster!$CU:$CU,MATCH(B174,LoadMaster!$C:$C,0))</f>
        <v>2100</v>
      </c>
      <c r="G174" s="132">
        <f>INDEX(LoadMaster!$CX:$CX,MATCH(B174,LoadMaster!$C:$C,0))</f>
        <v>2058</v>
      </c>
      <c r="H174" s="132">
        <f>INDEX(LoadMaster!$CW:$CW,MATCH(B174,LoadMaster!$C:$C,0))</f>
        <v>1953</v>
      </c>
      <c r="I174" s="330">
        <v>2058</v>
      </c>
      <c r="J174" s="525">
        <v>1953</v>
      </c>
      <c r="K174" s="134" t="str">
        <f t="shared" si="10"/>
        <v>Full</v>
      </c>
      <c r="L174" s="134">
        <f>INDEX(LoadMaster!$CT:$CT,MATCH(Table2[[#This Row],[BrokerConfNo]],LoadMaster!$C:$C,0))</f>
        <v>0</v>
      </c>
      <c r="M174" s="416" t="str">
        <f>INDEX(LoadMaster!$AO:$AO,MATCH(Table2[[#This Row],[BrokerConfNo]],LoadMaster!$C:$C,0))</f>
        <v>Wesley</v>
      </c>
      <c r="N174" s="104">
        <f t="shared" si="11"/>
        <v>42328</v>
      </c>
      <c r="O174" s="135">
        <f t="shared" si="12"/>
        <v>42335</v>
      </c>
      <c r="P174" s="104">
        <f>INDEX(LoadMaster!$M:$M,MATCH(B174,LoadMaster!$C:$C,0))</f>
        <v>42327</v>
      </c>
      <c r="Q174" s="416" t="str">
        <f>INDEX(LoadMaster!$P:$P,MATCH(B174,LoadMaster!$C:$C,0))</f>
        <v>Kingsburg</v>
      </c>
      <c r="R174" s="416" t="str">
        <f>INDEX(LoadMaster!$AH:$AH,MATCH(B174,LoadMaster!$C:$C,0))</f>
        <v>Las Vegas
Reno</v>
      </c>
      <c r="S174" s="416" t="str">
        <f>INDEX(LoadMaster!$DC:$DC,MATCH(B174,LoadMaster!$C:$C,0))</f>
        <v>Harman</v>
      </c>
      <c r="T174" s="136">
        <f>INDEX(LoadMaster!$DA:$DA,MATCH(B174,LoadMaster!$C:$C,0))</f>
        <v>105</v>
      </c>
      <c r="U174" s="137">
        <f>Table2[[#This Row],[WeekEndingDate]]+7</f>
        <v>42335</v>
      </c>
      <c r="V174" s="15">
        <f t="shared" si="13"/>
        <v>11</v>
      </c>
      <c r="W174" s="416">
        <f t="shared" si="14"/>
        <v>2015</v>
      </c>
    </row>
    <row r="175" spans="1:23" s="68" customFormat="1">
      <c r="A175" s="15" t="str">
        <f>INDEX(LoadMaster!$A:$A,MATCH(B175,LoadMaster!$C:$C,0))</f>
        <v>13nkwn49</v>
      </c>
      <c r="B175" s="81">
        <v>186810213</v>
      </c>
      <c r="C175" s="416" t="str">
        <f>VLOOKUP(Table2[[#This Row],[BrokerConfNo]],LoadMaster!C:D,2,FALSE)</f>
        <v>Ch Robinson</v>
      </c>
      <c r="D175" s="104">
        <v>42342</v>
      </c>
      <c r="E175" s="416" t="str">
        <f>IF(Table2[[#This Row],[UBActualReceived]]&gt;1,"Received","Pending")</f>
        <v>Received</v>
      </c>
      <c r="F175" s="132">
        <f>INDEX(LoadMaster!$CU:$CU,MATCH(B175,LoadMaster!$C:$C,0))</f>
        <v>800</v>
      </c>
      <c r="G175" s="132">
        <f>INDEX(LoadMaster!$CX:$CX,MATCH(B175,LoadMaster!$C:$C,0))</f>
        <v>784</v>
      </c>
      <c r="H175" s="132">
        <f>INDEX(LoadMaster!$CW:$CW,MATCH(B175,LoadMaster!$C:$C,0))</f>
        <v>750</v>
      </c>
      <c r="I175" s="330">
        <v>785</v>
      </c>
      <c r="J175" s="525">
        <v>750</v>
      </c>
      <c r="K175" s="134" t="str">
        <f t="shared" si="10"/>
        <v>Full</v>
      </c>
      <c r="L175" s="134">
        <f>INDEX(LoadMaster!$CT:$CT,MATCH(Table2[[#This Row],[BrokerConfNo]],LoadMaster!$C:$C,0))</f>
        <v>50</v>
      </c>
      <c r="M175" s="416" t="str">
        <f>INDEX(LoadMaster!$AO:$AO,MATCH(Table2[[#This Row],[BrokerConfNo]],LoadMaster!$C:$C,0))</f>
        <v>Albel</v>
      </c>
      <c r="N175" s="104">
        <f t="shared" si="11"/>
        <v>42335</v>
      </c>
      <c r="O175" s="135">
        <f t="shared" si="12"/>
        <v>42349</v>
      </c>
      <c r="P175" s="104">
        <f>INDEX(LoadMaster!$M:$M,MATCH(B175,LoadMaster!$C:$C,0))</f>
        <v>42331</v>
      </c>
      <c r="Q175" s="416" t="str">
        <f>INDEX(LoadMaster!$P:$P,MATCH(B175,LoadMaster!$C:$C,0))</f>
        <v>Woodland</v>
      </c>
      <c r="R175" s="416" t="str">
        <f>INDEX(LoadMaster!$AH:$AH,MATCH(B175,LoadMaster!$C:$C,0))</f>
        <v>Los Angeles
San Clemente</v>
      </c>
      <c r="S175" s="416" t="str">
        <f>INDEX(LoadMaster!$DC:$DC,MATCH(B175,LoadMaster!$C:$C,0))</f>
        <v>Harman</v>
      </c>
      <c r="T175" s="136">
        <f>INDEX(LoadMaster!$DA:$DA,MATCH(B175,LoadMaster!$C:$C,0))</f>
        <v>34</v>
      </c>
      <c r="U175" s="137">
        <f>Table2[[#This Row],[WeekEndingDate]]+7</f>
        <v>42342</v>
      </c>
      <c r="V175" s="15">
        <f t="shared" si="13"/>
        <v>11</v>
      </c>
      <c r="W175" s="416">
        <f t="shared" si="14"/>
        <v>2015</v>
      </c>
    </row>
    <row r="176" spans="1:23" s="68" customFormat="1">
      <c r="A176" s="15" t="str">
        <f>INDEX(LoadMaster!$A:$A,MATCH(B176,LoadMaster!$C:$C,0))</f>
        <v>73029888</v>
      </c>
      <c r="B176" s="81">
        <v>186701373</v>
      </c>
      <c r="C176" s="416" t="str">
        <f>VLOOKUP(Table2[[#This Row],[BrokerConfNo]],LoadMaster!C:D,2,FALSE)</f>
        <v>Ch Robinson</v>
      </c>
      <c r="D176" s="104">
        <v>42345</v>
      </c>
      <c r="E176" s="416" t="str">
        <f>IF(Table2[[#This Row],[UBActualReceived]]&gt;1,"Received","Pending")</f>
        <v>Received</v>
      </c>
      <c r="F176" s="132">
        <f>INDEX(LoadMaster!$CU:$CU,MATCH(B176,LoadMaster!$C:$C,0))</f>
        <v>580</v>
      </c>
      <c r="G176" s="132">
        <f>INDEX(LoadMaster!$CX:$CX,MATCH(B176,LoadMaster!$C:$C,0))</f>
        <v>568.4</v>
      </c>
      <c r="H176" s="132">
        <f>INDEX(LoadMaster!$CW:$CW,MATCH(B176,LoadMaster!$C:$C,0))</f>
        <v>539.4</v>
      </c>
      <c r="I176" s="330">
        <v>568.4</v>
      </c>
      <c r="J176" s="525">
        <v>539.4</v>
      </c>
      <c r="K176" s="134" t="str">
        <f t="shared" si="10"/>
        <v>Full</v>
      </c>
      <c r="L176" s="134">
        <f>INDEX(LoadMaster!$CT:$CT,MATCH(Table2[[#This Row],[BrokerConfNo]],LoadMaster!$C:$C,0))</f>
        <v>80</v>
      </c>
      <c r="M176" s="416" t="str">
        <f>INDEX(LoadMaster!$AO:$AO,MATCH(Table2[[#This Row],[BrokerConfNo]],LoadMaster!$C:$C,0))</f>
        <v>Wesley</v>
      </c>
      <c r="N176" s="104">
        <f t="shared" si="11"/>
        <v>42335</v>
      </c>
      <c r="O176" s="135">
        <f t="shared" si="12"/>
        <v>42342</v>
      </c>
      <c r="P176" s="104">
        <f>INDEX(LoadMaster!$M:$M,MATCH(B176,LoadMaster!$C:$C,0))</f>
        <v>42331</v>
      </c>
      <c r="Q176" s="416" t="str">
        <f>INDEX(LoadMaster!$P:$P,MATCH(B176,LoadMaster!$C:$C,0))</f>
        <v>Minden</v>
      </c>
      <c r="R176" s="416" t="str">
        <f>INDEX(LoadMaster!$AH:$AH,MATCH(B176,LoadMaster!$C:$C,0))</f>
        <v>Stockton</v>
      </c>
      <c r="S176" s="416" t="str">
        <f>INDEX(LoadMaster!$DC:$DC,MATCH(B176,LoadMaster!$C:$C,0))</f>
        <v>Harman</v>
      </c>
      <c r="T176" s="136">
        <f>INDEX(LoadMaster!$DA:$DA,MATCH(B176,LoadMaster!$C:$C,0))</f>
        <v>29.000000000000021</v>
      </c>
      <c r="U176" s="137">
        <f>Table2[[#This Row],[WeekEndingDate]]+7</f>
        <v>42342</v>
      </c>
      <c r="V176" s="15">
        <f t="shared" si="13"/>
        <v>11</v>
      </c>
      <c r="W176" s="416">
        <f t="shared" si="14"/>
        <v>2015</v>
      </c>
    </row>
    <row r="177" spans="1:23" s="68" customFormat="1">
      <c r="A177" s="15" t="str">
        <f>INDEX(LoadMaster!$A:$A,MATCH(B177,LoadMaster!$C:$C,0))</f>
        <v>79667149</v>
      </c>
      <c r="B177" s="81">
        <v>186658379</v>
      </c>
      <c r="C177" s="416" t="str">
        <f>VLOOKUP(Table2[[#This Row],[BrokerConfNo]],LoadMaster!C:D,2,FALSE)</f>
        <v>Ch Robinson</v>
      </c>
      <c r="D177" s="104">
        <v>42345</v>
      </c>
      <c r="E177" s="416" t="str">
        <f>IF(Table2[[#This Row],[UBActualReceived]]&gt;1,"Received","Pending")</f>
        <v>Received</v>
      </c>
      <c r="F177" s="132">
        <f>INDEX(LoadMaster!$CU:$CU,MATCH(B177,LoadMaster!$C:$C,0))</f>
        <v>1030</v>
      </c>
      <c r="G177" s="132">
        <f>INDEX(LoadMaster!$CX:$CX,MATCH(B177,LoadMaster!$C:$C,0))</f>
        <v>1009.4</v>
      </c>
      <c r="H177" s="132">
        <f>INDEX(LoadMaster!$CW:$CW,MATCH(B177,LoadMaster!$C:$C,0))</f>
        <v>980</v>
      </c>
      <c r="I177" s="330">
        <v>1009.4</v>
      </c>
      <c r="J177" s="525">
        <v>980</v>
      </c>
      <c r="K177" s="134" t="str">
        <f t="shared" si="10"/>
        <v>Full</v>
      </c>
      <c r="L177" s="134">
        <f>INDEX(LoadMaster!$CT:$CT,MATCH(Table2[[#This Row],[BrokerConfNo]],LoadMaster!$C:$C,0))</f>
        <v>180</v>
      </c>
      <c r="M177" s="416" t="str">
        <f>INDEX(LoadMaster!$AO:$AO,MATCH(Table2[[#This Row],[BrokerConfNo]],LoadMaster!$C:$C,0))</f>
        <v>Albel</v>
      </c>
      <c r="N177" s="104">
        <f t="shared" si="11"/>
        <v>42335</v>
      </c>
      <c r="O177" s="135">
        <f t="shared" si="12"/>
        <v>42349</v>
      </c>
      <c r="P177" s="104">
        <f>INDEX(LoadMaster!$M:$M,MATCH(B177,LoadMaster!$C:$C,0))</f>
        <v>42332</v>
      </c>
      <c r="Q177" s="416" t="str">
        <f>INDEX(LoadMaster!$P:$P,MATCH(B177,LoadMaster!$C:$C,0))</f>
        <v>Chino</v>
      </c>
      <c r="R177" s="416" t="str">
        <f>INDEX(LoadMaster!$AH:$AH,MATCH(B177,LoadMaster!$C:$C,0))</f>
        <v>Brisbane</v>
      </c>
      <c r="S177" s="416" t="str">
        <f>INDEX(LoadMaster!$DC:$DC,MATCH(B177,LoadMaster!$C:$C,0))</f>
        <v>Harman</v>
      </c>
      <c r="T177" s="136">
        <f>INDEX(LoadMaster!$DA:$DA,MATCH(B177,LoadMaster!$C:$C,0))</f>
        <v>29.4</v>
      </c>
      <c r="U177" s="137">
        <f>Table2[[#This Row],[WeekEndingDate]]+7</f>
        <v>42342</v>
      </c>
      <c r="V177" s="15">
        <f t="shared" si="13"/>
        <v>11</v>
      </c>
      <c r="W177" s="416">
        <f t="shared" si="14"/>
        <v>2015</v>
      </c>
    </row>
    <row r="178" spans="1:23" s="68" customFormat="1">
      <c r="A178" s="15" t="str">
        <f>INDEX(LoadMaster!$A:$A,MATCH(B178,LoadMaster!$C:$C,0))</f>
        <v>72313119</v>
      </c>
      <c r="B178" s="81">
        <v>186955072</v>
      </c>
      <c r="C178" s="416" t="str">
        <f>VLOOKUP(Table2[[#This Row],[BrokerConfNo]],LoadMaster!C:D,2,FALSE)</f>
        <v>Ch Robinson</v>
      </c>
      <c r="D178" s="104">
        <v>42349</v>
      </c>
      <c r="E178" s="416" t="str">
        <f>IF(Table2[[#This Row],[UBActualReceived]]&gt;1,"Received","Pending")</f>
        <v>Received</v>
      </c>
      <c r="F178" s="132">
        <f>INDEX(LoadMaster!$CU:$CU,MATCH(B178,LoadMaster!$C:$C,0))</f>
        <v>775</v>
      </c>
      <c r="G178" s="132">
        <f>INDEX(LoadMaster!$CX:$CX,MATCH(B178,LoadMaster!$C:$C,0))</f>
        <v>759.5</v>
      </c>
      <c r="H178" s="132">
        <f>INDEX(LoadMaster!$CW:$CW,MATCH(B178,LoadMaster!$C:$C,0))</f>
        <v>720.75</v>
      </c>
      <c r="I178" s="330">
        <v>759.5</v>
      </c>
      <c r="J178" s="525">
        <v>720.75</v>
      </c>
      <c r="K178" s="134" t="str">
        <f t="shared" si="10"/>
        <v>Full</v>
      </c>
      <c r="L178" s="134">
        <f>INDEX(LoadMaster!$CT:$CT,MATCH(Table2[[#This Row],[BrokerConfNo]],LoadMaster!$C:$C,0))</f>
        <v>0</v>
      </c>
      <c r="M178" s="416" t="str">
        <f>INDEX(LoadMaster!$AO:$AO,MATCH(Table2[[#This Row],[BrokerConfNo]],LoadMaster!$C:$C,0))</f>
        <v>Miguel Jaime</v>
      </c>
      <c r="N178" s="104">
        <f t="shared" si="11"/>
        <v>42342</v>
      </c>
      <c r="O178" s="135">
        <f t="shared" si="12"/>
        <v>42349</v>
      </c>
      <c r="P178" s="104">
        <f>INDEX(LoadMaster!$M:$M,MATCH(B178,LoadMaster!$C:$C,0))</f>
        <v>42338</v>
      </c>
      <c r="Q178" s="416" t="str">
        <f>INDEX(LoadMaster!$P:$P,MATCH(B178,LoadMaster!$C:$C,0))</f>
        <v>Fairfield</v>
      </c>
      <c r="R178" s="416" t="str">
        <f>INDEX(LoadMaster!$AH:$AH,MATCH(B178,LoadMaster!$C:$C,0))</f>
        <v>Reno</v>
      </c>
      <c r="S178" s="416" t="str">
        <f>INDEX(LoadMaster!$DC:$DC,MATCH(B178,LoadMaster!$C:$C,0))</f>
        <v>Harman</v>
      </c>
      <c r="T178" s="136">
        <f>INDEX(LoadMaster!$DA:$DA,MATCH(B178,LoadMaster!$C:$C,0))</f>
        <v>38.75</v>
      </c>
      <c r="U178" s="137">
        <f>Table2[[#This Row],[WeekEndingDate]]+7</f>
        <v>42349</v>
      </c>
      <c r="V178" s="15">
        <f t="shared" si="13"/>
        <v>11</v>
      </c>
      <c r="W178" s="416">
        <f t="shared" si="14"/>
        <v>2015</v>
      </c>
    </row>
    <row r="179" spans="1:23" s="68" customFormat="1">
      <c r="A179" s="15" t="str">
        <f>INDEX(LoadMaster!$A:$A,MATCH(B179,LoadMaster!$C:$C,0))</f>
        <v>57484888</v>
      </c>
      <c r="B179" s="81">
        <v>186992957</v>
      </c>
      <c r="C179" s="416" t="str">
        <f>VLOOKUP(Table2[[#This Row],[BrokerConfNo]],LoadMaster!C:D,2,FALSE)</f>
        <v>Ch Robinson</v>
      </c>
      <c r="D179" s="104">
        <v>42349</v>
      </c>
      <c r="E179" s="416" t="str">
        <f>IF(Table2[[#This Row],[UBActualReceived]]&gt;1,"Received","Pending")</f>
        <v>Received</v>
      </c>
      <c r="F179" s="132">
        <f>INDEX(LoadMaster!$CU:$CU,MATCH(B179,LoadMaster!$C:$C,0))</f>
        <v>600</v>
      </c>
      <c r="G179" s="132">
        <f>INDEX(LoadMaster!$CX:$CX,MATCH(B179,LoadMaster!$C:$C,0))</f>
        <v>588</v>
      </c>
      <c r="H179" s="132">
        <f>INDEX(LoadMaster!$CW:$CW,MATCH(B179,LoadMaster!$C:$C,0))</f>
        <v>558</v>
      </c>
      <c r="I179" s="330">
        <v>588</v>
      </c>
      <c r="J179" s="525">
        <v>558</v>
      </c>
      <c r="K179" s="134" t="str">
        <f t="shared" si="10"/>
        <v>Full</v>
      </c>
      <c r="L179" s="134">
        <f>INDEX(LoadMaster!$CT:$CT,MATCH(Table2[[#This Row],[BrokerConfNo]],LoadMaster!$C:$C,0))</f>
        <v>0</v>
      </c>
      <c r="M179" s="416" t="str">
        <f>INDEX(LoadMaster!$AO:$AO,MATCH(Table2[[#This Row],[BrokerConfNo]],LoadMaster!$C:$C,0))</f>
        <v>Wesley</v>
      </c>
      <c r="N179" s="104">
        <f t="shared" si="11"/>
        <v>42342</v>
      </c>
      <c r="O179" s="135">
        <f t="shared" si="12"/>
        <v>42349</v>
      </c>
      <c r="P179" s="104">
        <f>INDEX(LoadMaster!$M:$M,MATCH(B179,LoadMaster!$C:$C,0))</f>
        <v>42338</v>
      </c>
      <c r="Q179" s="416" t="str">
        <f>INDEX(LoadMaster!$P:$P,MATCH(B179,LoadMaster!$C:$C,0))</f>
        <v>Woodland</v>
      </c>
      <c r="R179" s="416" t="str">
        <f>INDEX(LoadMaster!$AH:$AH,MATCH(B179,LoadMaster!$C:$C,0))</f>
        <v>Sparks</v>
      </c>
      <c r="S179" s="416" t="str">
        <f>INDEX(LoadMaster!$DC:$DC,MATCH(B179,LoadMaster!$C:$C,0))</f>
        <v>Harman</v>
      </c>
      <c r="T179" s="136">
        <f>INDEX(LoadMaster!$DA:$DA,MATCH(B179,LoadMaster!$C:$C,0))</f>
        <v>30</v>
      </c>
      <c r="U179" s="137">
        <f>Table2[[#This Row],[WeekEndingDate]]+7</f>
        <v>42349</v>
      </c>
      <c r="V179" s="15">
        <f t="shared" si="13"/>
        <v>11</v>
      </c>
      <c r="W179" s="416">
        <f t="shared" si="14"/>
        <v>2015</v>
      </c>
    </row>
    <row r="180" spans="1:23" s="68" customFormat="1">
      <c r="A180" s="15" t="str">
        <f>INDEX(LoadMaster!$A:$A,MATCH(B180,LoadMaster!$C:$C,0))</f>
        <v>03bd9349</v>
      </c>
      <c r="B180" s="81">
        <v>187258103</v>
      </c>
      <c r="C180" s="416" t="str">
        <f>VLOOKUP(Table2[[#This Row],[BrokerConfNo]],LoadMaster!C:D,2,FALSE)</f>
        <v>Ch Robinson</v>
      </c>
      <c r="D180" s="104">
        <v>42347</v>
      </c>
      <c r="E180" s="416" t="str">
        <f>IF(Table2[[#This Row],[UBActualReceived]]&gt;1,"Received","Pending")</f>
        <v>Received</v>
      </c>
      <c r="F180" s="132">
        <f>INDEX(LoadMaster!$CU:$CU,MATCH(B180,LoadMaster!$C:$C,0))</f>
        <v>661</v>
      </c>
      <c r="G180" s="132">
        <f>INDEX(LoadMaster!$CX:$CX,MATCH(B180,LoadMaster!$C:$C,0))</f>
        <v>647.78</v>
      </c>
      <c r="H180" s="132">
        <f>INDEX(LoadMaster!$CW:$CW,MATCH(B180,LoadMaster!$C:$C,0))</f>
        <v>611</v>
      </c>
      <c r="I180" s="330">
        <v>647.78</v>
      </c>
      <c r="J180" s="525">
        <v>611</v>
      </c>
      <c r="K180" s="134" t="str">
        <f t="shared" si="10"/>
        <v>Full</v>
      </c>
      <c r="L180" s="134">
        <f>INDEX(LoadMaster!$CT:$CT,MATCH(Table2[[#This Row],[BrokerConfNo]],LoadMaster!$C:$C,0))</f>
        <v>61</v>
      </c>
      <c r="M180" s="416" t="str">
        <f>INDEX(LoadMaster!$AO:$AO,MATCH(Table2[[#This Row],[BrokerConfNo]],LoadMaster!$C:$C,0))</f>
        <v>Albel</v>
      </c>
      <c r="N180" s="104">
        <f t="shared" si="11"/>
        <v>42342</v>
      </c>
      <c r="O180" s="135">
        <f t="shared" si="12"/>
        <v>42356</v>
      </c>
      <c r="P180" s="104">
        <f>INDEX(LoadMaster!$M:$M,MATCH(B180,LoadMaster!$C:$C,0))</f>
        <v>42338</v>
      </c>
      <c r="Q180" s="416" t="str">
        <f>INDEX(LoadMaster!$P:$P,MATCH(B180,LoadMaster!$C:$C,0))</f>
        <v>Hopland</v>
      </c>
      <c r="R180" s="416" t="str">
        <f>INDEX(LoadMaster!$AH:$AH,MATCH(B180,LoadMaster!$C:$C,0))</f>
        <v>Tracy</v>
      </c>
      <c r="S180" s="416" t="str">
        <f>INDEX(LoadMaster!$DC:$DC,MATCH(B180,LoadMaster!$C:$C,0))</f>
        <v>Harman</v>
      </c>
      <c r="T180" s="136">
        <f>INDEX(LoadMaster!$DA:$DA,MATCH(B180,LoadMaster!$C:$C,0))</f>
        <v>36.78</v>
      </c>
      <c r="U180" s="137">
        <f>Table2[[#This Row],[WeekEndingDate]]+7</f>
        <v>42349</v>
      </c>
      <c r="V180" s="15">
        <f t="shared" si="13"/>
        <v>11</v>
      </c>
      <c r="W180" s="416">
        <f t="shared" si="14"/>
        <v>2015</v>
      </c>
    </row>
    <row r="181" spans="1:23" s="68" customFormat="1">
      <c r="A181" s="15" t="str">
        <f>INDEX(LoadMaster!$A:$A,MATCH(B181,LoadMaster!$C:$C,0))</f>
        <v>47117088</v>
      </c>
      <c r="B181" s="81">
        <v>186680547</v>
      </c>
      <c r="C181" s="416" t="str">
        <f>VLOOKUP(Table2[[#This Row],[BrokerConfNo]],LoadMaster!C:D,2,FALSE)</f>
        <v>Ch Robinson</v>
      </c>
      <c r="D181" s="104">
        <v>42349</v>
      </c>
      <c r="E181" s="416" t="str">
        <f>IF(Table2[[#This Row],[UBActualReceived]]&gt;1,"Received","Pending")</f>
        <v>Received</v>
      </c>
      <c r="F181" s="132">
        <f>INDEX(LoadMaster!$CU:$CU,MATCH(B181,LoadMaster!$C:$C,0))</f>
        <v>485</v>
      </c>
      <c r="G181" s="132">
        <f>INDEX(LoadMaster!$CX:$CX,MATCH(B181,LoadMaster!$C:$C,0))</f>
        <v>475.3</v>
      </c>
      <c r="H181" s="132">
        <f>INDEX(LoadMaster!$CW:$CW,MATCH(B181,LoadMaster!$C:$C,0))</f>
        <v>451.05</v>
      </c>
      <c r="I181" s="330">
        <v>475.3</v>
      </c>
      <c r="J181" s="525">
        <v>451.05</v>
      </c>
      <c r="K181" s="134" t="str">
        <f t="shared" si="10"/>
        <v>Full</v>
      </c>
      <c r="L181" s="134">
        <f>INDEX(LoadMaster!$CT:$CT,MATCH(Table2[[#This Row],[BrokerConfNo]],LoadMaster!$C:$C,0))</f>
        <v>-15</v>
      </c>
      <c r="M181" s="416" t="str">
        <f>INDEX(LoadMaster!$AO:$AO,MATCH(Table2[[#This Row],[BrokerConfNo]],LoadMaster!$C:$C,0))</f>
        <v>Wesley</v>
      </c>
      <c r="N181" s="104">
        <f t="shared" si="11"/>
        <v>42342</v>
      </c>
      <c r="O181" s="135">
        <f t="shared" si="12"/>
        <v>42349</v>
      </c>
      <c r="P181" s="104">
        <f>INDEX(LoadMaster!$M:$M,MATCH(B181,LoadMaster!$C:$C,0))</f>
        <v>42339</v>
      </c>
      <c r="Q181" s="416" t="str">
        <f>INDEX(LoadMaster!$P:$P,MATCH(B181,LoadMaster!$C:$C,0))</f>
        <v>Sparks</v>
      </c>
      <c r="R181" s="416" t="str">
        <f>INDEX(LoadMaster!$AH:$AH,MATCH(B181,LoadMaster!$C:$C,0))</f>
        <v>Tracy</v>
      </c>
      <c r="S181" s="416" t="str">
        <f>INDEX(LoadMaster!$DC:$DC,MATCH(B181,LoadMaster!$C:$C,0))</f>
        <v>Harman</v>
      </c>
      <c r="T181" s="136">
        <f>INDEX(LoadMaster!$DA:$DA,MATCH(B181,LoadMaster!$C:$C,0))</f>
        <v>24.249999999999986</v>
      </c>
      <c r="U181" s="137">
        <f>Table2[[#This Row],[WeekEndingDate]]+7</f>
        <v>42349</v>
      </c>
      <c r="V181" s="15">
        <f t="shared" si="13"/>
        <v>12</v>
      </c>
      <c r="W181" s="416">
        <f t="shared" si="14"/>
        <v>2015</v>
      </c>
    </row>
    <row r="182" spans="1:23" s="68" customFormat="1">
      <c r="A182" s="15" t="str">
        <f>INDEX(LoadMaster!$A:$A,MATCH(B182,LoadMaster!$C:$C,0))</f>
        <v>1575ne19</v>
      </c>
      <c r="B182" s="81">
        <v>187292015</v>
      </c>
      <c r="C182" s="416" t="str">
        <f>VLOOKUP(Table2[[#This Row],[BrokerConfNo]],LoadMaster!C:D,2,FALSE)</f>
        <v>Ch Robinson</v>
      </c>
      <c r="D182" s="104">
        <v>42349</v>
      </c>
      <c r="E182" s="416" t="str">
        <f>IF(Table2[[#This Row],[UBActualReceived]]&gt;1,"Received","Pending")</f>
        <v>Received</v>
      </c>
      <c r="F182" s="132">
        <f>INDEX(LoadMaster!$CU:$CU,MATCH(B182,LoadMaster!$C:$C,0))</f>
        <v>575</v>
      </c>
      <c r="G182" s="132">
        <f>INDEX(LoadMaster!$CX:$CX,MATCH(B182,LoadMaster!$C:$C,0))</f>
        <v>563.5</v>
      </c>
      <c r="H182" s="132">
        <f>INDEX(LoadMaster!$CW:$CW,MATCH(B182,LoadMaster!$C:$C,0))</f>
        <v>534.75</v>
      </c>
      <c r="I182" s="330">
        <v>563.5</v>
      </c>
      <c r="J182" s="525">
        <v>534.75</v>
      </c>
      <c r="K182" s="134" t="str">
        <f t="shared" si="10"/>
        <v>Full</v>
      </c>
      <c r="L182" s="134">
        <f>INDEX(LoadMaster!$CT:$CT,MATCH(Table2[[#This Row],[BrokerConfNo]],LoadMaster!$C:$C,0))</f>
        <v>0</v>
      </c>
      <c r="M182" s="416" t="str">
        <f>INDEX(LoadMaster!$AO:$AO,MATCH(Table2[[#This Row],[BrokerConfNo]],LoadMaster!$C:$C,0))</f>
        <v>Miguel Jaime</v>
      </c>
      <c r="N182" s="104">
        <f t="shared" si="11"/>
        <v>42342</v>
      </c>
      <c r="O182" s="135">
        <f t="shared" si="12"/>
        <v>42349</v>
      </c>
      <c r="P182" s="104">
        <f>INDEX(LoadMaster!$M:$M,MATCH(B182,LoadMaster!$C:$C,0))</f>
        <v>42339</v>
      </c>
      <c r="Q182" s="416" t="str">
        <f>INDEX(LoadMaster!$P:$P,MATCH(B182,LoadMaster!$C:$C,0))</f>
        <v>Fernley</v>
      </c>
      <c r="R182" s="416" t="str">
        <f>INDEX(LoadMaster!$AH:$AH,MATCH(B182,LoadMaster!$C:$C,0))</f>
        <v>West Sacramento</v>
      </c>
      <c r="S182" s="416" t="str">
        <f>INDEX(LoadMaster!$DC:$DC,MATCH(B182,LoadMaster!$C:$C,0))</f>
        <v>Harman</v>
      </c>
      <c r="T182" s="136">
        <f>INDEX(LoadMaster!$DA:$DA,MATCH(B182,LoadMaster!$C:$C,0))</f>
        <v>28.75</v>
      </c>
      <c r="U182" s="137">
        <f>Table2[[#This Row],[WeekEndingDate]]+7</f>
        <v>42349</v>
      </c>
      <c r="V182" s="15">
        <f t="shared" si="13"/>
        <v>12</v>
      </c>
      <c r="W182" s="416">
        <f t="shared" si="14"/>
        <v>2015</v>
      </c>
    </row>
    <row r="183" spans="1:23" s="68" customFormat="1">
      <c r="A183" s="15" t="str">
        <f>INDEX(LoadMaster!$A:$A,MATCH(B183,LoadMaster!$C:$C,0))</f>
        <v>79nkng49</v>
      </c>
      <c r="B183" s="81">
        <v>187317879</v>
      </c>
      <c r="C183" s="416" t="str">
        <f>VLOOKUP(Table2[[#This Row],[BrokerConfNo]],LoadMaster!C:D,2,FALSE)</f>
        <v>Ch Robinson</v>
      </c>
      <c r="D183" s="104">
        <v>42345</v>
      </c>
      <c r="E183" s="416" t="str">
        <f>IF(Table2[[#This Row],[UBActualReceived]]&gt;1,"Received","Pending")</f>
        <v>Received</v>
      </c>
      <c r="F183" s="132">
        <f>INDEX(LoadMaster!$CU:$CU,MATCH(B183,LoadMaster!$C:$C,0))</f>
        <v>850</v>
      </c>
      <c r="G183" s="132">
        <f>INDEX(LoadMaster!$CX:$CX,MATCH(B183,LoadMaster!$C:$C,0))</f>
        <v>833</v>
      </c>
      <c r="H183" s="132">
        <f>INDEX(LoadMaster!$CW:$CW,MATCH(B183,LoadMaster!$C:$C,0))</f>
        <v>800</v>
      </c>
      <c r="I183" s="330">
        <v>833</v>
      </c>
      <c r="J183" s="525">
        <v>800</v>
      </c>
      <c r="K183" s="134" t="str">
        <f t="shared" si="10"/>
        <v>Full</v>
      </c>
      <c r="L183" s="134">
        <f>INDEX(LoadMaster!$CT:$CT,MATCH(Table2[[#This Row],[BrokerConfNo]],LoadMaster!$C:$C,0))</f>
        <v>100</v>
      </c>
      <c r="M183" s="416" t="str">
        <f>INDEX(LoadMaster!$AO:$AO,MATCH(Table2[[#This Row],[BrokerConfNo]],LoadMaster!$C:$C,0))</f>
        <v>Albel</v>
      </c>
      <c r="N183" s="104">
        <f t="shared" si="11"/>
        <v>42342</v>
      </c>
      <c r="O183" s="135">
        <f t="shared" si="12"/>
        <v>42356</v>
      </c>
      <c r="P183" s="104">
        <f>INDEX(LoadMaster!$M:$M,MATCH(B183,LoadMaster!$C:$C,0))</f>
        <v>42339</v>
      </c>
      <c r="Q183" s="416" t="str">
        <f>INDEX(LoadMaster!$P:$P,MATCH(B183,LoadMaster!$C:$C,0))</f>
        <v>Woodland</v>
      </c>
      <c r="R183" s="416" t="str">
        <f>INDEX(LoadMaster!$AH:$AH,MATCH(B183,LoadMaster!$C:$C,0))</f>
        <v>San Jose,
San Simeon</v>
      </c>
      <c r="S183" s="416" t="str">
        <f>INDEX(LoadMaster!$DC:$DC,MATCH(B183,LoadMaster!$C:$C,0))</f>
        <v>Harman</v>
      </c>
      <c r="T183" s="136">
        <f>INDEX(LoadMaster!$DA:$DA,MATCH(B183,LoadMaster!$C:$C,0))</f>
        <v>33</v>
      </c>
      <c r="U183" s="137">
        <f>Table2[[#This Row],[WeekEndingDate]]+7</f>
        <v>42349</v>
      </c>
      <c r="V183" s="15">
        <f t="shared" si="13"/>
        <v>12</v>
      </c>
      <c r="W183" s="416">
        <f t="shared" si="14"/>
        <v>2015</v>
      </c>
    </row>
    <row r="184" spans="1:23" s="68" customFormat="1">
      <c r="A184" s="15" t="str">
        <f>INDEX(LoadMaster!$A:$A,MATCH(B184,LoadMaster!$C:$C,0))</f>
        <v>11nenk19</v>
      </c>
      <c r="B184" s="81">
        <v>187454111</v>
      </c>
      <c r="C184" s="416" t="str">
        <f>VLOOKUP(Table2[[#This Row],[BrokerConfNo]],LoadMaster!C:D,2,FALSE)</f>
        <v>Ch Robinson</v>
      </c>
      <c r="D184" s="104">
        <v>42360</v>
      </c>
      <c r="E184" s="416" t="str">
        <f>IF(Table2[[#This Row],[UBActualReceived]]&gt;1,"Received","Pending")</f>
        <v>Received</v>
      </c>
      <c r="F184" s="132">
        <f>INDEX(LoadMaster!$CU:$CU,MATCH(B184,LoadMaster!$C:$C,0))</f>
        <v>600</v>
      </c>
      <c r="G184" s="132">
        <f>INDEX(LoadMaster!$CX:$CX,MATCH(B184,LoadMaster!$C:$C,0))</f>
        <v>588</v>
      </c>
      <c r="H184" s="132">
        <f>INDEX(LoadMaster!$CW:$CW,MATCH(B184,LoadMaster!$C:$C,0))</f>
        <v>558</v>
      </c>
      <c r="I184" s="330">
        <v>588</v>
      </c>
      <c r="J184" s="525">
        <v>558</v>
      </c>
      <c r="K184" s="134" t="str">
        <f t="shared" si="10"/>
        <v>Full</v>
      </c>
      <c r="L184" s="134">
        <f>INDEX(LoadMaster!$CT:$CT,MATCH(Table2[[#This Row],[BrokerConfNo]],LoadMaster!$C:$C,0))</f>
        <v>0</v>
      </c>
      <c r="M184" s="416" t="str">
        <f>INDEX(LoadMaster!$AO:$AO,MATCH(Table2[[#This Row],[BrokerConfNo]],LoadMaster!$C:$C,0))</f>
        <v>Miguel Jaime</v>
      </c>
      <c r="N184" s="104">
        <f t="shared" si="11"/>
        <v>42342</v>
      </c>
      <c r="O184" s="135">
        <f t="shared" si="12"/>
        <v>42349</v>
      </c>
      <c r="P184" s="104">
        <f>INDEX(LoadMaster!$M:$M,MATCH(B184,LoadMaster!$C:$C,0))</f>
        <v>42340</v>
      </c>
      <c r="Q184" s="416" t="str">
        <f>INDEX(LoadMaster!$P:$P,MATCH(B184,LoadMaster!$C:$C,0))</f>
        <v>Woodland</v>
      </c>
      <c r="R184" s="416" t="str">
        <f>INDEX(LoadMaster!$AH:$AH,MATCH(B184,LoadMaster!$C:$C,0))</f>
        <v>Anaheim</v>
      </c>
      <c r="S184" s="416" t="str">
        <f>INDEX(LoadMaster!$DC:$DC,MATCH(B184,LoadMaster!$C:$C,0))</f>
        <v>Harman</v>
      </c>
      <c r="T184" s="136">
        <f>INDEX(LoadMaster!$DA:$DA,MATCH(B184,LoadMaster!$C:$C,0))</f>
        <v>30</v>
      </c>
      <c r="U184" s="137">
        <f>Table2[[#This Row],[WeekEndingDate]]+7</f>
        <v>42349</v>
      </c>
      <c r="V184" s="15">
        <f t="shared" si="13"/>
        <v>12</v>
      </c>
      <c r="W184" s="416">
        <f t="shared" si="14"/>
        <v>2015</v>
      </c>
    </row>
    <row r="185" spans="1:23" s="68" customFormat="1">
      <c r="A185" s="15" t="str">
        <f>INDEX(LoadMaster!$A:$A,MATCH(B185,LoadMaster!$C:$C,0))</f>
        <v>35d2nk49</v>
      </c>
      <c r="B185" s="81">
        <v>187423435</v>
      </c>
      <c r="C185" s="416" t="str">
        <f>VLOOKUP(Table2[[#This Row],[BrokerConfNo]],LoadMaster!C:D,2,FALSE)</f>
        <v>Ch Robinson</v>
      </c>
      <c r="D185" s="104">
        <v>42345</v>
      </c>
      <c r="E185" s="416" t="str">
        <f>IF(Table2[[#This Row],[UBActualReceived]]&gt;1,"Received","Pending")</f>
        <v>Received</v>
      </c>
      <c r="F185" s="132">
        <f>INDEX(LoadMaster!$CU:$CU,MATCH(B185,LoadMaster!$C:$C,0))</f>
        <v>500</v>
      </c>
      <c r="G185" s="132">
        <f>INDEX(LoadMaster!$CX:$CX,MATCH(B185,LoadMaster!$C:$C,0))</f>
        <v>490</v>
      </c>
      <c r="H185" s="132">
        <f>INDEX(LoadMaster!$CW:$CW,MATCH(B185,LoadMaster!$C:$C,0))</f>
        <v>465</v>
      </c>
      <c r="I185" s="330">
        <v>490</v>
      </c>
      <c r="J185" s="525">
        <v>465</v>
      </c>
      <c r="K185" s="134" t="str">
        <f t="shared" si="10"/>
        <v>Full</v>
      </c>
      <c r="L185" s="134">
        <f>INDEX(LoadMaster!$CT:$CT,MATCH(Table2[[#This Row],[BrokerConfNo]],LoadMaster!$C:$C,0))</f>
        <v>0</v>
      </c>
      <c r="M185" s="416" t="str">
        <f>INDEX(LoadMaster!$AO:$AO,MATCH(Table2[[#This Row],[BrokerConfNo]],LoadMaster!$C:$C,0))</f>
        <v>Albel</v>
      </c>
      <c r="N185" s="104">
        <f t="shared" si="11"/>
        <v>42342</v>
      </c>
      <c r="O185" s="135">
        <f t="shared" si="12"/>
        <v>42356</v>
      </c>
      <c r="P185" s="104">
        <f>INDEX(LoadMaster!$M:$M,MATCH(B185,LoadMaster!$C:$C,0))</f>
        <v>42340</v>
      </c>
      <c r="Q185" s="416" t="str">
        <f>INDEX(LoadMaster!$P:$P,MATCH(B185,LoadMaster!$C:$C,0))</f>
        <v>Lemoore</v>
      </c>
      <c r="R185" s="416" t="str">
        <f>INDEX(LoadMaster!$AH:$AH,MATCH(B185,LoadMaster!$C:$C,0))</f>
        <v>Woodland</v>
      </c>
      <c r="S185" s="416" t="str">
        <f>INDEX(LoadMaster!$DC:$DC,MATCH(B185,LoadMaster!$C:$C,0))</f>
        <v>Harman</v>
      </c>
      <c r="T185" s="136">
        <f>INDEX(LoadMaster!$DA:$DA,MATCH(B185,LoadMaster!$C:$C,0))</f>
        <v>25</v>
      </c>
      <c r="U185" s="137">
        <f>Table2[[#This Row],[WeekEndingDate]]+7</f>
        <v>42349</v>
      </c>
      <c r="V185" s="15">
        <f t="shared" si="13"/>
        <v>12</v>
      </c>
      <c r="W185" s="416">
        <f t="shared" si="14"/>
        <v>2015</v>
      </c>
    </row>
    <row r="186" spans="1:23" s="68" customFormat="1">
      <c r="A186" s="15" t="str">
        <f>INDEX(LoadMaster!$A:$A,MATCH(B186,LoadMaster!$C:$C,0))</f>
        <v>28394488</v>
      </c>
      <c r="B186" s="81">
        <v>187118128</v>
      </c>
      <c r="C186" s="416" t="str">
        <f>VLOOKUP(Table2[[#This Row],[BrokerConfNo]],LoadMaster!C:D,2,FALSE)</f>
        <v>Ch Robinson</v>
      </c>
      <c r="D186" s="104">
        <v>42360</v>
      </c>
      <c r="E186" s="416" t="str">
        <f>IF(Table2[[#This Row],[UBActualReceived]]&gt;1,"Received","Pending")</f>
        <v>Received</v>
      </c>
      <c r="F186" s="132">
        <f>INDEX(LoadMaster!$CU:$CU,MATCH(B186,LoadMaster!$C:$C,0))</f>
        <v>600</v>
      </c>
      <c r="G186" s="132">
        <f>INDEX(LoadMaster!$CX:$CX,MATCH(B186,LoadMaster!$C:$C,0))</f>
        <v>588</v>
      </c>
      <c r="H186" s="132">
        <f>INDEX(LoadMaster!$CW:$CW,MATCH(B186,LoadMaster!$C:$C,0))</f>
        <v>558</v>
      </c>
      <c r="I186" s="330">
        <v>588</v>
      </c>
      <c r="J186" s="525">
        <v>558</v>
      </c>
      <c r="K186" s="134" t="str">
        <f t="shared" si="10"/>
        <v>Full</v>
      </c>
      <c r="L186" s="134">
        <f>INDEX(LoadMaster!$CT:$CT,MATCH(Table2[[#This Row],[BrokerConfNo]],LoadMaster!$C:$C,0))</f>
        <v>0</v>
      </c>
      <c r="M186" s="416" t="str">
        <f>INDEX(LoadMaster!$AO:$AO,MATCH(Table2[[#This Row],[BrokerConfNo]],LoadMaster!$C:$C,0))</f>
        <v>Wesley</v>
      </c>
      <c r="N186" s="104">
        <f t="shared" si="11"/>
        <v>42342</v>
      </c>
      <c r="O186" s="135">
        <f t="shared" si="12"/>
        <v>42349</v>
      </c>
      <c r="P186" s="104">
        <f>INDEX(LoadMaster!$M:$M,MATCH(B186,LoadMaster!$C:$C,0))</f>
        <v>42340</v>
      </c>
      <c r="Q186" s="416" t="str">
        <f>INDEX(LoadMaster!$P:$P,MATCH(B186,LoadMaster!$C:$C,0))</f>
        <v>Jamestown</v>
      </c>
      <c r="R186" s="416" t="str">
        <f>INDEX(LoadMaster!$AH:$AH,MATCH(B186,LoadMaster!$C:$C,0))</f>
        <v>Ripon,
Minden</v>
      </c>
      <c r="S186" s="416" t="str">
        <f>INDEX(LoadMaster!$DC:$DC,MATCH(B186,LoadMaster!$C:$C,0))</f>
        <v>Harman</v>
      </c>
      <c r="T186" s="136">
        <f>INDEX(LoadMaster!$DA:$DA,MATCH(B186,LoadMaster!$C:$C,0))</f>
        <v>30</v>
      </c>
      <c r="U186" s="137">
        <f>Table2[[#This Row],[WeekEndingDate]]+7</f>
        <v>42349</v>
      </c>
      <c r="V186" s="15">
        <f t="shared" si="13"/>
        <v>12</v>
      </c>
      <c r="W186" s="416">
        <f t="shared" si="14"/>
        <v>2015</v>
      </c>
    </row>
    <row r="187" spans="1:23" s="68" customFormat="1">
      <c r="A187" s="15" t="str">
        <f>INDEX(LoadMaster!$A:$A,MATCH(B187,LoadMaster!$C:$C,0))</f>
        <v>05309719</v>
      </c>
      <c r="B187" s="81">
        <v>187375205</v>
      </c>
      <c r="C187" s="416" t="str">
        <f>VLOOKUP(Table2[[#This Row],[BrokerConfNo]],LoadMaster!C:D,2,FALSE)</f>
        <v>Ch Robinson</v>
      </c>
      <c r="D187" s="104">
        <v>42354</v>
      </c>
      <c r="E187" s="416" t="str">
        <f>IF(Table2[[#This Row],[UBActualReceived]]&gt;1,"Received","Pending")</f>
        <v>Received</v>
      </c>
      <c r="F187" s="132">
        <f>INDEX(LoadMaster!$CU:$CU,MATCH(B187,LoadMaster!$C:$C,0))</f>
        <v>885</v>
      </c>
      <c r="G187" s="132">
        <f>INDEX(LoadMaster!$CX:$CX,MATCH(B187,LoadMaster!$C:$C,0))</f>
        <v>867.3</v>
      </c>
      <c r="H187" s="132">
        <f>INDEX(LoadMaster!$CW:$CW,MATCH(B187,LoadMaster!$C:$C,0))</f>
        <v>837</v>
      </c>
      <c r="I187" s="330">
        <v>867.3</v>
      </c>
      <c r="J187" s="525">
        <v>837</v>
      </c>
      <c r="K187" s="134" t="str">
        <f t="shared" si="10"/>
        <v>Full</v>
      </c>
      <c r="L187" s="134">
        <f>INDEX(LoadMaster!$CT:$CT,MATCH(Table2[[#This Row],[BrokerConfNo]],LoadMaster!$C:$C,0))</f>
        <v>0</v>
      </c>
      <c r="M187" s="416" t="str">
        <f>INDEX(LoadMaster!$AO:$AO,MATCH(Table2[[#This Row],[BrokerConfNo]],LoadMaster!$C:$C,0))</f>
        <v>Miguel Jaime</v>
      </c>
      <c r="N187" s="104">
        <f t="shared" si="11"/>
        <v>42342</v>
      </c>
      <c r="O187" s="135">
        <f t="shared" si="12"/>
        <v>42349</v>
      </c>
      <c r="P187" s="104">
        <f>INDEX(LoadMaster!$M:$M,MATCH(B187,LoadMaster!$C:$C,0))</f>
        <v>42341</v>
      </c>
      <c r="Q187" s="416" t="str">
        <f>INDEX(LoadMaster!$P:$P,MATCH(B187,LoadMaster!$C:$C,0))</f>
        <v>San Bernardino</v>
      </c>
      <c r="R187" s="416" t="str">
        <f>INDEX(LoadMaster!$AH:$AH,MATCH(B187,LoadMaster!$C:$C,0))</f>
        <v>Fremont</v>
      </c>
      <c r="S187" s="416" t="str">
        <f>INDEX(LoadMaster!$DC:$DC,MATCH(B187,LoadMaster!$C:$C,0))</f>
        <v>Harman</v>
      </c>
      <c r="T187" s="136">
        <f>INDEX(LoadMaster!$DA:$DA,MATCH(B187,LoadMaster!$C:$C,0))</f>
        <v>30.3</v>
      </c>
      <c r="U187" s="137">
        <f>Table2[[#This Row],[WeekEndingDate]]+7</f>
        <v>42349</v>
      </c>
      <c r="V187" s="15">
        <f t="shared" si="13"/>
        <v>12</v>
      </c>
      <c r="W187" s="416">
        <f t="shared" si="14"/>
        <v>2015</v>
      </c>
    </row>
    <row r="188" spans="1:23" s="68" customFormat="1">
      <c r="A188" s="15" t="str">
        <f>INDEX(LoadMaster!$A:$A,MATCH(B188,LoadMaster!$C:$C,0))</f>
        <v>7764rs88</v>
      </c>
      <c r="B188" s="81">
        <v>186998577</v>
      </c>
      <c r="C188" s="416" t="str">
        <f>VLOOKUP(Table2[[#This Row],[BrokerConfNo]],LoadMaster!C:D,2,FALSE)</f>
        <v>Ch Robinson</v>
      </c>
      <c r="D188" s="104">
        <v>42349</v>
      </c>
      <c r="E188" s="416" t="str">
        <f>IF(Table2[[#This Row],[UBActualReceived]]&gt;1,"Received","Pending")</f>
        <v>Received</v>
      </c>
      <c r="F188" s="132">
        <f>INDEX(LoadMaster!$CU:$CU,MATCH(B188,LoadMaster!$C:$C,0))</f>
        <v>540</v>
      </c>
      <c r="G188" s="132">
        <f>INDEX(LoadMaster!$CX:$CX,MATCH(B188,LoadMaster!$C:$C,0))</f>
        <v>529.20000000000005</v>
      </c>
      <c r="H188" s="132">
        <f>INDEX(LoadMaster!$CW:$CW,MATCH(B188,LoadMaster!$C:$C,0))</f>
        <v>502.2</v>
      </c>
      <c r="I188" s="330">
        <v>490</v>
      </c>
      <c r="J188" s="525">
        <v>502.2</v>
      </c>
      <c r="K188" s="134" t="str">
        <f t="shared" si="10"/>
        <v>Less</v>
      </c>
      <c r="L188" s="134">
        <f>INDEX(LoadMaster!$CT:$CT,MATCH(Table2[[#This Row],[BrokerConfNo]],LoadMaster!$C:$C,0))</f>
        <v>40</v>
      </c>
      <c r="M188" s="416" t="str">
        <f>INDEX(LoadMaster!$AO:$AO,MATCH(Table2[[#This Row],[BrokerConfNo]],LoadMaster!$C:$C,0))</f>
        <v>Wesley</v>
      </c>
      <c r="N188" s="104">
        <f t="shared" si="11"/>
        <v>42342</v>
      </c>
      <c r="O188" s="135">
        <f t="shared" si="12"/>
        <v>42349</v>
      </c>
      <c r="P188" s="104">
        <f>INDEX(LoadMaster!$M:$M,MATCH(B188,LoadMaster!$C:$C,0))</f>
        <v>42341</v>
      </c>
      <c r="Q188" s="416" t="str">
        <f>INDEX(LoadMaster!$P:$P,MATCH(B188,LoadMaster!$C:$C,0))</f>
        <v>Reno</v>
      </c>
      <c r="R188" s="416" t="str">
        <f>INDEX(LoadMaster!$AH:$AH,MATCH(B188,LoadMaster!$C:$C,0))</f>
        <v>Oakland</v>
      </c>
      <c r="S188" s="416" t="str">
        <f>INDEX(LoadMaster!$DC:$DC,MATCH(B188,LoadMaster!$C:$C,0))</f>
        <v>Harman</v>
      </c>
      <c r="T188" s="136">
        <f>INDEX(LoadMaster!$DA:$DA,MATCH(B188,LoadMaster!$C:$C,0))</f>
        <v>27.000000000000011</v>
      </c>
      <c r="U188" s="137">
        <f>Table2[[#This Row],[WeekEndingDate]]+7</f>
        <v>42349</v>
      </c>
      <c r="V188" s="15">
        <f t="shared" si="13"/>
        <v>12</v>
      </c>
      <c r="W188" s="416">
        <f t="shared" si="14"/>
        <v>2015</v>
      </c>
    </row>
    <row r="189" spans="1:23" s="68" customFormat="1">
      <c r="A189" s="15" t="str">
        <f>INDEX(LoadMaster!$A:$A,MATCH(B189,LoadMaster!$C:$C,0))</f>
        <v>7994ne49</v>
      </c>
      <c r="B189" s="81">
        <v>187554779</v>
      </c>
      <c r="C189" s="416" t="str">
        <f>VLOOKUP(Table2[[#This Row],[BrokerConfNo]],LoadMaster!C:D,2,FALSE)</f>
        <v>Ch Robinson</v>
      </c>
      <c r="D189" s="104">
        <v>42349</v>
      </c>
      <c r="E189" s="416" t="str">
        <f>IF(Table2[[#This Row],[UBActualReceived]]&gt;1,"Received","Pending")</f>
        <v>Received</v>
      </c>
      <c r="F189" s="132">
        <f>INDEX(LoadMaster!$CU:$CU,MATCH(B189,LoadMaster!$C:$C,0))</f>
        <v>450</v>
      </c>
      <c r="G189" s="132">
        <f>INDEX(LoadMaster!$CX:$CX,MATCH(B189,LoadMaster!$C:$C,0))</f>
        <v>441</v>
      </c>
      <c r="H189" s="132">
        <f>INDEX(LoadMaster!$CW:$CW,MATCH(B189,LoadMaster!$C:$C,0))</f>
        <v>400</v>
      </c>
      <c r="I189" s="330">
        <v>441</v>
      </c>
      <c r="J189" s="525">
        <v>400</v>
      </c>
      <c r="K189" s="134" t="str">
        <f t="shared" si="10"/>
        <v>Full</v>
      </c>
      <c r="L189" s="134">
        <f>INDEX(LoadMaster!$CT:$CT,MATCH(Table2[[#This Row],[BrokerConfNo]],LoadMaster!$C:$C,0))</f>
        <v>0</v>
      </c>
      <c r="M189" s="416" t="str">
        <f>INDEX(LoadMaster!$AO:$AO,MATCH(Table2[[#This Row],[BrokerConfNo]],LoadMaster!$C:$C,0))</f>
        <v>Albel</v>
      </c>
      <c r="N189" s="104">
        <f t="shared" si="11"/>
        <v>42342</v>
      </c>
      <c r="O189" s="135">
        <f t="shared" si="12"/>
        <v>42356</v>
      </c>
      <c r="P189" s="104">
        <f>INDEX(LoadMaster!$M:$M,MATCH(B189,LoadMaster!$C:$C,0))</f>
        <v>42342</v>
      </c>
      <c r="Q189" s="416" t="str">
        <f>INDEX(LoadMaster!$P:$P,MATCH(B189,LoadMaster!$C:$C,0))</f>
        <v>Stockton</v>
      </c>
      <c r="R189" s="416" t="str">
        <f>INDEX(LoadMaster!$AH:$AH,MATCH(B189,LoadMaster!$C:$C,0))</f>
        <v>Salinas</v>
      </c>
      <c r="S189" s="416" t="str">
        <f>INDEX(LoadMaster!$DC:$DC,MATCH(B189,LoadMaster!$C:$C,0))</f>
        <v>Harman</v>
      </c>
      <c r="T189" s="136">
        <f>INDEX(LoadMaster!$DA:$DA,MATCH(B189,LoadMaster!$C:$C,0))</f>
        <v>41</v>
      </c>
      <c r="U189" s="137">
        <f>Table2[[#This Row],[WeekEndingDate]]+7</f>
        <v>42349</v>
      </c>
      <c r="V189" s="15">
        <f t="shared" si="13"/>
        <v>12</v>
      </c>
      <c r="W189" s="416">
        <f t="shared" si="14"/>
        <v>2015</v>
      </c>
    </row>
    <row r="190" spans="1:23" s="68" customFormat="1">
      <c r="A190" s="15" t="str">
        <f>INDEX(LoadMaster!$A:$A,MATCH(B190,LoadMaster!$C:$C,0))</f>
        <v>59591288</v>
      </c>
      <c r="B190" s="81">
        <v>187300759</v>
      </c>
      <c r="C190" s="416" t="str">
        <f>VLOOKUP(Table2[[#This Row],[BrokerConfNo]],LoadMaster!C:D,2,FALSE)</f>
        <v>Ch Robinson</v>
      </c>
      <c r="D190" s="104">
        <v>42353</v>
      </c>
      <c r="E190" s="416" t="str">
        <f>IF(Table2[[#This Row],[UBActualReceived]]&gt;1,"Received","Pending")</f>
        <v>Received</v>
      </c>
      <c r="F190" s="132">
        <f>INDEX(LoadMaster!$CU:$CU,MATCH(B190,LoadMaster!$C:$C,0))</f>
        <v>350</v>
      </c>
      <c r="G190" s="132">
        <f>INDEX(LoadMaster!$CX:$CX,MATCH(B190,LoadMaster!$C:$C,0))</f>
        <v>343</v>
      </c>
      <c r="H190" s="132">
        <f>INDEX(LoadMaster!$CW:$CW,MATCH(B190,LoadMaster!$C:$C,0))</f>
        <v>400</v>
      </c>
      <c r="I190" s="330">
        <v>343</v>
      </c>
      <c r="J190" s="525">
        <v>400</v>
      </c>
      <c r="K190" s="134" t="str">
        <f t="shared" si="10"/>
        <v>Full</v>
      </c>
      <c r="L190" s="134">
        <f>INDEX(LoadMaster!$CT:$CT,MATCH(Table2[[#This Row],[BrokerConfNo]],LoadMaster!$C:$C,0))</f>
        <v>0</v>
      </c>
      <c r="M190" s="416" t="str">
        <f>INDEX(LoadMaster!$AO:$AO,MATCH(Table2[[#This Row],[BrokerConfNo]],LoadMaster!$C:$C,0))</f>
        <v>Wesley</v>
      </c>
      <c r="N190" s="104">
        <f t="shared" si="11"/>
        <v>42342</v>
      </c>
      <c r="O190" s="135">
        <f t="shared" si="12"/>
        <v>42349</v>
      </c>
      <c r="P190" s="104">
        <f>INDEX(LoadMaster!$M:$M,MATCH(B190,LoadMaster!$C:$C,0))</f>
        <v>42342</v>
      </c>
      <c r="Q190" s="416" t="str">
        <f>INDEX(LoadMaster!$P:$P,MATCH(B190,LoadMaster!$C:$C,0))</f>
        <v>Tracy</v>
      </c>
      <c r="R190" s="416" t="str">
        <f>INDEX(LoadMaster!$AH:$AH,MATCH(B190,LoadMaster!$C:$C,0))</f>
        <v>Richmond</v>
      </c>
      <c r="S190" s="416" t="str">
        <f>INDEX(LoadMaster!$DC:$DC,MATCH(B190,LoadMaster!$C:$C,0))</f>
        <v>Harman</v>
      </c>
      <c r="T190" s="136">
        <f>INDEX(LoadMaster!$DA:$DA,MATCH(B190,LoadMaster!$C:$C,0))</f>
        <v>-57</v>
      </c>
      <c r="U190" s="137">
        <f>Table2[[#This Row],[WeekEndingDate]]+7</f>
        <v>42349</v>
      </c>
      <c r="V190" s="15">
        <f t="shared" si="13"/>
        <v>12</v>
      </c>
      <c r="W190" s="416">
        <f t="shared" si="14"/>
        <v>2015</v>
      </c>
    </row>
    <row r="191" spans="1:23" s="68" customFormat="1">
      <c r="A191" s="15" t="str">
        <f>INDEX(LoadMaster!$A:$A,MATCH(B191,LoadMaster!$C:$C,0))</f>
        <v>56rank88</v>
      </c>
      <c r="B191" s="81">
        <v>187804256</v>
      </c>
      <c r="C191" s="416" t="str">
        <f>VLOOKUP(Table2[[#This Row],[BrokerConfNo]],LoadMaster!C:D,2,FALSE)</f>
        <v>Ch Robinson</v>
      </c>
      <c r="D191" s="104">
        <v>42354</v>
      </c>
      <c r="E191" s="416" t="str">
        <f>IF(Table2[[#This Row],[UBActualReceived]]&gt;1,"Received","Pending")</f>
        <v>Received</v>
      </c>
      <c r="F191" s="132">
        <f>INDEX(LoadMaster!$CU:$CU,MATCH(B191,LoadMaster!$C:$C,0))</f>
        <v>660</v>
      </c>
      <c r="G191" s="132">
        <f>INDEX(LoadMaster!$CX:$CX,MATCH(B191,LoadMaster!$C:$C,0))</f>
        <v>646.79999999999995</v>
      </c>
      <c r="H191" s="132">
        <f>INDEX(LoadMaster!$CW:$CW,MATCH(B191,LoadMaster!$C:$C,0))</f>
        <v>655.8</v>
      </c>
      <c r="I191" s="330">
        <v>646.79999999999995</v>
      </c>
      <c r="J191" s="525">
        <v>655.8</v>
      </c>
      <c r="K191" s="134" t="str">
        <f t="shared" si="10"/>
        <v>Full</v>
      </c>
      <c r="L191" s="134">
        <f>INDEX(LoadMaster!$CT:$CT,MATCH(Table2[[#This Row],[BrokerConfNo]],LoadMaster!$C:$C,0))</f>
        <v>60</v>
      </c>
      <c r="M191" s="416" t="str">
        <f>INDEX(LoadMaster!$AO:$AO,MATCH(Table2[[#This Row],[BrokerConfNo]],LoadMaster!$C:$C,0))</f>
        <v>Wesley</v>
      </c>
      <c r="N191" s="104">
        <f t="shared" si="11"/>
        <v>42349</v>
      </c>
      <c r="O191" s="135">
        <f t="shared" si="12"/>
        <v>42356</v>
      </c>
      <c r="P191" s="104">
        <f>INDEX(LoadMaster!$M:$M,MATCH(B191,LoadMaster!$C:$C,0))</f>
        <v>42345</v>
      </c>
      <c r="Q191" s="416" t="str">
        <f>INDEX(LoadMaster!$P:$P,MATCH(B191,LoadMaster!$C:$C,0))</f>
        <v>Woodland</v>
      </c>
      <c r="R191" s="416" t="str">
        <f>INDEX(LoadMaster!$AH:$AH,MATCH(B191,LoadMaster!$C:$C,0))</f>
        <v>Santa Barbara</v>
      </c>
      <c r="S191" s="416" t="str">
        <f>INDEX(LoadMaster!$DC:$DC,MATCH(B191,LoadMaster!$C:$C,0))</f>
        <v>Harman</v>
      </c>
      <c r="T191" s="136">
        <f>INDEX(LoadMaster!$DA:$DA,MATCH(B191,LoadMaster!$C:$C,0))</f>
        <v>-8.9999999999999556</v>
      </c>
      <c r="U191" s="137">
        <f>Table2[[#This Row],[WeekEndingDate]]+7</f>
        <v>42356</v>
      </c>
      <c r="V191" s="15">
        <f t="shared" si="13"/>
        <v>12</v>
      </c>
      <c r="W191" s="416">
        <f t="shared" si="14"/>
        <v>2015</v>
      </c>
    </row>
    <row r="192" spans="1:23" s="68" customFormat="1">
      <c r="A192" s="15" t="str">
        <f>INDEX(LoadMaster!$A:$A,MATCH(B192,LoadMaster!$C:$C,0))</f>
        <v>82sene49</v>
      </c>
      <c r="B192" s="81">
        <v>187803982</v>
      </c>
      <c r="C192" s="416" t="str">
        <f>VLOOKUP(Table2[[#This Row],[BrokerConfNo]],LoadMaster!C:D,2,FALSE)</f>
        <v>Ch Robinson</v>
      </c>
      <c r="D192" s="104">
        <v>42353</v>
      </c>
      <c r="E192" s="416" t="str">
        <f>IF(Table2[[#This Row],[UBActualReceived]]&gt;1,"Received","Pending")</f>
        <v>Received</v>
      </c>
      <c r="F192" s="132">
        <f>INDEX(LoadMaster!$CU:$CU,MATCH(B192,LoadMaster!$C:$C,0))</f>
        <v>465</v>
      </c>
      <c r="G192" s="132">
        <f>INDEX(LoadMaster!$CX:$CX,MATCH(B192,LoadMaster!$C:$C,0))</f>
        <v>455.7</v>
      </c>
      <c r="H192" s="132">
        <f>INDEX(LoadMaster!$CW:$CW,MATCH(B192,LoadMaster!$C:$C,0))</f>
        <v>415</v>
      </c>
      <c r="I192" s="330">
        <v>455.7</v>
      </c>
      <c r="J192" s="525">
        <v>415</v>
      </c>
      <c r="K192" s="134" t="str">
        <f t="shared" si="10"/>
        <v>Full</v>
      </c>
      <c r="L192" s="134">
        <f>INDEX(LoadMaster!$CT:$CT,MATCH(Table2[[#This Row],[BrokerConfNo]],LoadMaster!$C:$C,0))</f>
        <v>65</v>
      </c>
      <c r="M192" s="416" t="str">
        <f>INDEX(LoadMaster!$AO:$AO,MATCH(Table2[[#This Row],[BrokerConfNo]],LoadMaster!$C:$C,0))</f>
        <v>Albel</v>
      </c>
      <c r="N192" s="104">
        <f t="shared" si="11"/>
        <v>42349</v>
      </c>
      <c r="O192" s="135">
        <f t="shared" si="12"/>
        <v>42363</v>
      </c>
      <c r="P192" s="104">
        <f>INDEX(LoadMaster!$M:$M,MATCH(B192,LoadMaster!$C:$C,0))</f>
        <v>42345</v>
      </c>
      <c r="Q192" s="416" t="str">
        <f>INDEX(LoadMaster!$P:$P,MATCH(B192,LoadMaster!$C:$C,0))</f>
        <v>Woodland</v>
      </c>
      <c r="R192" s="416" t="str">
        <f>INDEX(LoadMaster!$AH:$AH,MATCH(B192,LoadMaster!$C:$C,0))</f>
        <v>Sanjose</v>
      </c>
      <c r="S192" s="416" t="str">
        <f>INDEX(LoadMaster!$DC:$DC,MATCH(B192,LoadMaster!$C:$C,0))</f>
        <v>Harman</v>
      </c>
      <c r="T192" s="136">
        <f>INDEX(LoadMaster!$DA:$DA,MATCH(B192,LoadMaster!$C:$C,0))</f>
        <v>40.700000000000003</v>
      </c>
      <c r="U192" s="137">
        <f>Table2[[#This Row],[WeekEndingDate]]+7</f>
        <v>42356</v>
      </c>
      <c r="V192" s="15">
        <f t="shared" si="13"/>
        <v>12</v>
      </c>
      <c r="W192" s="416">
        <f t="shared" si="14"/>
        <v>2015</v>
      </c>
    </row>
    <row r="193" spans="1:23" s="68" customFormat="1">
      <c r="A193" s="15" t="str">
        <f>INDEX(LoadMaster!$A:$A,MATCH(B193,LoadMaster!$C:$C,0))</f>
        <v>58222288</v>
      </c>
      <c r="B193" s="81">
        <v>187614058</v>
      </c>
      <c r="C193" s="416" t="str">
        <f>VLOOKUP(Table2[[#This Row],[BrokerConfNo]],LoadMaster!C:D,2,FALSE)</f>
        <v>Ch Robinson</v>
      </c>
      <c r="D193" s="104">
        <v>42354</v>
      </c>
      <c r="E193" s="416" t="str">
        <f>IF(Table2[[#This Row],[UBActualReceived]]&gt;1,"Received","Pending")</f>
        <v>Received</v>
      </c>
      <c r="F193" s="132">
        <f>INDEX(LoadMaster!$CU:$CU,MATCH(B193,LoadMaster!$C:$C,0))</f>
        <v>800</v>
      </c>
      <c r="G193" s="132">
        <f>INDEX(LoadMaster!$CX:$CX,MATCH(B193,LoadMaster!$C:$C,0))</f>
        <v>784</v>
      </c>
      <c r="H193" s="132">
        <f>INDEX(LoadMaster!$CW:$CW,MATCH(B193,LoadMaster!$C:$C,0))</f>
        <v>744</v>
      </c>
      <c r="I193" s="330">
        <v>784</v>
      </c>
      <c r="J193" s="525">
        <v>744</v>
      </c>
      <c r="K193" s="134" t="str">
        <f t="shared" si="10"/>
        <v>Full</v>
      </c>
      <c r="L193" s="134">
        <f>INDEX(LoadMaster!$CT:$CT,MATCH(Table2[[#This Row],[BrokerConfNo]],LoadMaster!$C:$C,0))</f>
        <v>0</v>
      </c>
      <c r="M193" s="416" t="str">
        <f>INDEX(LoadMaster!$AO:$AO,MATCH(Table2[[#This Row],[BrokerConfNo]],LoadMaster!$C:$C,0))</f>
        <v>Wesley</v>
      </c>
      <c r="N193" s="104">
        <f t="shared" si="11"/>
        <v>42349</v>
      </c>
      <c r="O193" s="135">
        <f t="shared" si="12"/>
        <v>42356</v>
      </c>
      <c r="P193" s="104">
        <f>INDEX(LoadMaster!$M:$M,MATCH(B193,LoadMaster!$C:$C,0))</f>
        <v>42346</v>
      </c>
      <c r="Q193" s="416" t="str">
        <f>INDEX(LoadMaster!$P:$P,MATCH(B193,LoadMaster!$C:$C,0))</f>
        <v>Van Nuys</v>
      </c>
      <c r="R193" s="416" t="str">
        <f>INDEX(LoadMaster!$AH:$AH,MATCH(B193,LoadMaster!$C:$C,0))</f>
        <v>Sacramento</v>
      </c>
      <c r="S193" s="416" t="str">
        <f>INDEX(LoadMaster!$DC:$DC,MATCH(B193,LoadMaster!$C:$C,0))</f>
        <v>Harman</v>
      </c>
      <c r="T193" s="136">
        <f>INDEX(LoadMaster!$DA:$DA,MATCH(B193,LoadMaster!$C:$C,0))</f>
        <v>40</v>
      </c>
      <c r="U193" s="137">
        <f>Table2[[#This Row],[WeekEndingDate]]+7</f>
        <v>42356</v>
      </c>
      <c r="V193" s="15">
        <f t="shared" si="13"/>
        <v>12</v>
      </c>
      <c r="W193" s="416">
        <f t="shared" si="14"/>
        <v>2015</v>
      </c>
    </row>
    <row r="194" spans="1:23" s="68" customFormat="1">
      <c r="A194" s="15" t="str">
        <f>INDEX(LoadMaster!$A:$A,MATCH(B194,LoadMaster!$C:$C,0))</f>
        <v>00nkwn49</v>
      </c>
      <c r="B194" s="81">
        <v>187880400</v>
      </c>
      <c r="C194" s="416" t="str">
        <f>VLOOKUP(Table2[[#This Row],[BrokerConfNo]],LoadMaster!C:D,2,FALSE)</f>
        <v>Ch Robinson</v>
      </c>
      <c r="D194" s="104">
        <v>42356</v>
      </c>
      <c r="E194" s="416" t="str">
        <f>IF(Table2[[#This Row],[UBActualReceived]]&gt;1,"Received","Pending")</f>
        <v>Received</v>
      </c>
      <c r="F194" s="132">
        <f>INDEX(LoadMaster!$CU:$CU,MATCH(B194,LoadMaster!$C:$C,0))</f>
        <v>300</v>
      </c>
      <c r="G194" s="132">
        <f>INDEX(LoadMaster!$CX:$CX,MATCH(B194,LoadMaster!$C:$C,0))</f>
        <v>294</v>
      </c>
      <c r="H194" s="132">
        <f>INDEX(LoadMaster!$CW:$CW,MATCH(B194,LoadMaster!$C:$C,0))</f>
        <v>275</v>
      </c>
      <c r="I194" s="330">
        <v>294</v>
      </c>
      <c r="J194" s="525">
        <v>275</v>
      </c>
      <c r="K194" s="134" t="str">
        <f t="shared" ref="K194:K257" si="15">IF(I194&lt;G194, "Less", "Full")</f>
        <v>Full</v>
      </c>
      <c r="L194" s="134">
        <f>INDEX(LoadMaster!$CT:$CT,MATCH(Table2[[#This Row],[BrokerConfNo]],LoadMaster!$C:$C,0))</f>
        <v>0</v>
      </c>
      <c r="M194" s="416" t="str">
        <f>INDEX(LoadMaster!$AO:$AO,MATCH(Table2[[#This Row],[BrokerConfNo]],LoadMaster!$C:$C,0))</f>
        <v>Albel</v>
      </c>
      <c r="N194" s="104">
        <f t="shared" ref="N194:N257" si="16">(5-WEEKDAY(P194,2))+P194</f>
        <v>42349</v>
      </c>
      <c r="O194" s="135">
        <f t="shared" ref="O194:O257" si="17">IF(M194="Albel",((5-WEEKDAY(P194,2))+P194)+14,(((5-WEEKDAY(P194,2))+P194)+7))</f>
        <v>42363</v>
      </c>
      <c r="P194" s="104">
        <f>INDEX(LoadMaster!$M:$M,MATCH(B194,LoadMaster!$C:$C,0))</f>
        <v>42346</v>
      </c>
      <c r="Q194" s="416" t="str">
        <f>INDEX(LoadMaster!$P:$P,MATCH(B194,LoadMaster!$C:$C,0))</f>
        <v>Santa Clara</v>
      </c>
      <c r="R194" s="416" t="str">
        <f>INDEX(LoadMaster!$AH:$AH,MATCH(B194,LoadMaster!$C:$C,0))</f>
        <v>South San Francisco</v>
      </c>
      <c r="S194" s="416" t="str">
        <f>INDEX(LoadMaster!$DC:$DC,MATCH(B194,LoadMaster!$C:$C,0))</f>
        <v>Harman</v>
      </c>
      <c r="T194" s="136">
        <f>INDEX(LoadMaster!$DA:$DA,MATCH(B194,LoadMaster!$C:$C,0))</f>
        <v>19</v>
      </c>
      <c r="U194" s="137">
        <f>Table2[[#This Row],[WeekEndingDate]]+7</f>
        <v>42356</v>
      </c>
      <c r="V194" s="15">
        <f t="shared" ref="V194:V257" si="18">MONTH(P194)</f>
        <v>12</v>
      </c>
      <c r="W194" s="416">
        <f t="shared" ref="W194:W257" si="19">YEAR(P194)</f>
        <v>2015</v>
      </c>
    </row>
    <row r="195" spans="1:23" s="68" customFormat="1">
      <c r="A195" s="15" t="str">
        <f>INDEX(LoadMaster!$A:$A,MATCH(B195,LoadMaster!$C:$C,0))</f>
        <v>4298ne19</v>
      </c>
      <c r="B195" s="81">
        <v>187750542</v>
      </c>
      <c r="C195" s="416" t="str">
        <f>VLOOKUP(Table2[[#This Row],[BrokerConfNo]],LoadMaster!C:D,2,FALSE)</f>
        <v>Ch Robinson</v>
      </c>
      <c r="D195" s="104">
        <v>42354</v>
      </c>
      <c r="E195" s="416" t="str">
        <f>IF(Table2[[#This Row],[UBActualReceived]]&gt;1,"Received","Pending")</f>
        <v>Received</v>
      </c>
      <c r="F195" s="132">
        <f>INDEX(LoadMaster!$CU:$CU,MATCH(B195,LoadMaster!$C:$C,0))</f>
        <v>450</v>
      </c>
      <c r="G195" s="132">
        <f>INDEX(LoadMaster!$CX:$CX,MATCH(B195,LoadMaster!$C:$C,0))</f>
        <v>441</v>
      </c>
      <c r="H195" s="132">
        <f>INDEX(LoadMaster!$CW:$CW,MATCH(B195,LoadMaster!$C:$C,0))</f>
        <v>418.5</v>
      </c>
      <c r="I195" s="330">
        <v>441</v>
      </c>
      <c r="J195" s="525">
        <v>418.5</v>
      </c>
      <c r="K195" s="134" t="str">
        <f t="shared" si="15"/>
        <v>Full</v>
      </c>
      <c r="L195" s="134">
        <f>INDEX(LoadMaster!$CT:$CT,MATCH(Table2[[#This Row],[BrokerConfNo]],LoadMaster!$C:$C,0))</f>
        <v>0</v>
      </c>
      <c r="M195" s="416" t="str">
        <f>INDEX(LoadMaster!$AO:$AO,MATCH(Table2[[#This Row],[BrokerConfNo]],LoadMaster!$C:$C,0))</f>
        <v>Miguel Jaime</v>
      </c>
      <c r="N195" s="104">
        <f t="shared" si="16"/>
        <v>42349</v>
      </c>
      <c r="O195" s="135">
        <f t="shared" si="17"/>
        <v>42356</v>
      </c>
      <c r="P195" s="104">
        <f>INDEX(LoadMaster!$M:$M,MATCH(B195,LoadMaster!$C:$C,0))</f>
        <v>42346</v>
      </c>
      <c r="Q195" s="416" t="str">
        <f>INDEX(LoadMaster!$P:$P,MATCH(B195,LoadMaster!$C:$C,0))</f>
        <v>Stockton</v>
      </c>
      <c r="R195" s="416" t="str">
        <f>INDEX(LoadMaster!$AH:$AH,MATCH(B195,LoadMaster!$C:$C,0))</f>
        <v>Salinas</v>
      </c>
      <c r="S195" s="416" t="str">
        <f>INDEX(LoadMaster!$DC:$DC,MATCH(B195,LoadMaster!$C:$C,0))</f>
        <v>Harman</v>
      </c>
      <c r="T195" s="136">
        <f>INDEX(LoadMaster!$DA:$DA,MATCH(B195,LoadMaster!$C:$C,0))</f>
        <v>22.5</v>
      </c>
      <c r="U195" s="137">
        <f>Table2[[#This Row],[WeekEndingDate]]+7</f>
        <v>42356</v>
      </c>
      <c r="V195" s="15">
        <f t="shared" si="18"/>
        <v>12</v>
      </c>
      <c r="W195" s="416">
        <f t="shared" si="19"/>
        <v>2015</v>
      </c>
    </row>
    <row r="196" spans="1:23" s="18" customFormat="1">
      <c r="A196" s="15" t="str">
        <f>INDEX(LoadMaster!$A:$A,MATCH(B196,LoadMaster!$C:$C,0))</f>
        <v>89newn49</v>
      </c>
      <c r="B196" s="55">
        <v>6269789</v>
      </c>
      <c r="C196" s="18" t="str">
        <f>VLOOKUP(Table2[[#This Row],[BrokerConfNo]],LoadMaster!C:D,2,FALSE)</f>
        <v>Tql</v>
      </c>
      <c r="D196" s="26">
        <v>42360</v>
      </c>
      <c r="E196" s="18" t="str">
        <f>IF(Table2[[#This Row],[UBActualReceived]]&gt;1,"Received","Pending")</f>
        <v>Received</v>
      </c>
      <c r="F196" s="21">
        <f>INDEX(LoadMaster!$CU:$CU,MATCH(B196,LoadMaster!$C:$C,0))</f>
        <v>475</v>
      </c>
      <c r="G196" s="132">
        <f>INDEX(LoadMaster!$CX:$CX,MATCH(B196,LoadMaster!$C:$C,0))</f>
        <v>460.75</v>
      </c>
      <c r="H196" s="132">
        <f>INDEX(LoadMaster!$CW:$CW,MATCH(B196,LoadMaster!$C:$C,0))</f>
        <v>425</v>
      </c>
      <c r="I196" s="331">
        <v>460.75</v>
      </c>
      <c r="J196" s="526">
        <v>425</v>
      </c>
      <c r="K196" s="27" t="str">
        <f t="shared" si="15"/>
        <v>Full</v>
      </c>
      <c r="L196" s="27">
        <f>INDEX(LoadMaster!$CT:$CT,MATCH(Table2[[#This Row],[BrokerConfNo]],LoadMaster!$C:$C,0))</f>
        <v>0</v>
      </c>
      <c r="M196" s="18" t="str">
        <f>INDEX(LoadMaster!$AO:$AO,MATCH(Table2[[#This Row],[BrokerConfNo]],LoadMaster!$C:$C,0))</f>
        <v>Albel</v>
      </c>
      <c r="N196" s="26">
        <f t="shared" si="16"/>
        <v>42349</v>
      </c>
      <c r="O196" s="109">
        <f t="shared" si="17"/>
        <v>42363</v>
      </c>
      <c r="P196" s="26">
        <f>INDEX(LoadMaster!$M:$M,MATCH(B196,LoadMaster!$C:$C,0))</f>
        <v>42346</v>
      </c>
      <c r="Q196" s="18" t="str">
        <f>INDEX(LoadMaster!$P:$P,MATCH(B196,LoadMaster!$C:$C,0))</f>
        <v>South San Francisco</v>
      </c>
      <c r="R196" s="18" t="str">
        <f>INDEX(LoadMaster!$AH:$AH,MATCH(B196,LoadMaster!$C:$C,0))</f>
        <v>Napa
Calistoga</v>
      </c>
      <c r="S196" s="416" t="str">
        <f>INDEX(LoadMaster!$DC:$DC,MATCH(B196,LoadMaster!$C:$C,0))</f>
        <v>Harman</v>
      </c>
      <c r="T196" s="48">
        <f>INDEX(LoadMaster!$DA:$DA,MATCH(B196,LoadMaster!$C:$C,0))</f>
        <v>35.75</v>
      </c>
      <c r="U196" s="110">
        <f>Table2[[#This Row],[WeekEndingDate]]+7</f>
        <v>42356</v>
      </c>
      <c r="V196" s="14">
        <f t="shared" si="18"/>
        <v>12</v>
      </c>
      <c r="W196" s="18">
        <f t="shared" si="19"/>
        <v>2015</v>
      </c>
    </row>
    <row r="197" spans="1:23" s="18" customFormat="1">
      <c r="A197" s="15" t="str">
        <f>INDEX(LoadMaster!$A:$A,MATCH(B197,LoadMaster!$C:$C,0))</f>
        <v>34newn49</v>
      </c>
      <c r="B197" s="55">
        <v>6388434</v>
      </c>
      <c r="C197" s="18" t="str">
        <f>VLOOKUP(Table2[[#This Row],[BrokerConfNo]],LoadMaster!C:D,2,FALSE)</f>
        <v>Tql</v>
      </c>
      <c r="D197" s="26">
        <v>42360</v>
      </c>
      <c r="E197" s="18" t="str">
        <f>IF(Table2[[#This Row],[UBActualReceived]]&gt;1,"Received","Pending")</f>
        <v>Received</v>
      </c>
      <c r="F197" s="21">
        <f>INDEX(LoadMaster!$CU:$CU,MATCH(B197,LoadMaster!$C:$C,0))</f>
        <v>200</v>
      </c>
      <c r="G197" s="132">
        <f>INDEX(LoadMaster!$CX:$CX,MATCH(B197,LoadMaster!$C:$C,0))</f>
        <v>194</v>
      </c>
      <c r="H197" s="132">
        <f>INDEX(LoadMaster!$CW:$CW,MATCH(B197,LoadMaster!$C:$C,0))</f>
        <v>200</v>
      </c>
      <c r="I197" s="331">
        <v>197</v>
      </c>
      <c r="J197" s="526">
        <v>200</v>
      </c>
      <c r="K197" s="27" t="str">
        <f t="shared" si="15"/>
        <v>Full</v>
      </c>
      <c r="L197" s="27">
        <f>INDEX(LoadMaster!$CT:$CT,MATCH(Table2[[#This Row],[BrokerConfNo]],LoadMaster!$C:$C,0))</f>
        <v>200</v>
      </c>
      <c r="M197" s="18" t="str">
        <f>INDEX(LoadMaster!$AO:$AO,MATCH(Table2[[#This Row],[BrokerConfNo]],LoadMaster!$C:$C,0))</f>
        <v>Albel</v>
      </c>
      <c r="N197" s="26">
        <f t="shared" si="16"/>
        <v>42349</v>
      </c>
      <c r="O197" s="109">
        <f t="shared" si="17"/>
        <v>42363</v>
      </c>
      <c r="P197" s="26">
        <f>INDEX(LoadMaster!$M:$M,MATCH(B197,LoadMaster!$C:$C,0))</f>
        <v>42346</v>
      </c>
      <c r="Q197" s="18" t="str">
        <f>INDEX(LoadMaster!$P:$P,MATCH(B197,LoadMaster!$C:$C,0))</f>
        <v>South San Francisco</v>
      </c>
      <c r="R197" s="18" t="str">
        <f>INDEX(LoadMaster!$AH:$AH,MATCH(B197,LoadMaster!$C:$C,0))</f>
        <v>Napa
Calistoga</v>
      </c>
      <c r="S197" s="416" t="str">
        <f>INDEX(LoadMaster!$DC:$DC,MATCH(B197,LoadMaster!$C:$C,0))</f>
        <v>Harman</v>
      </c>
      <c r="T197" s="48">
        <f>INDEX(LoadMaster!$DA:$DA,MATCH(B197,LoadMaster!$C:$C,0))</f>
        <v>-6</v>
      </c>
      <c r="U197" s="110">
        <f>Table2[[#This Row],[WeekEndingDate]]+7</f>
        <v>42356</v>
      </c>
      <c r="V197" s="14">
        <f t="shared" si="18"/>
        <v>12</v>
      </c>
      <c r="W197" s="18">
        <f t="shared" si="19"/>
        <v>2015</v>
      </c>
    </row>
    <row r="198" spans="1:23" s="68" customFormat="1">
      <c r="A198" s="15" t="str">
        <f>INDEX(LoadMaster!$A:$A,MATCH(B198,LoadMaster!$C:$C,0))</f>
        <v>75463588</v>
      </c>
      <c r="B198" s="81">
        <v>187996675</v>
      </c>
      <c r="C198" s="416" t="str">
        <f>VLOOKUP(Table2[[#This Row],[BrokerConfNo]],LoadMaster!C:D,2,FALSE)</f>
        <v>Ch Robinson</v>
      </c>
      <c r="D198" s="104">
        <v>42360</v>
      </c>
      <c r="E198" s="416" t="str">
        <f>IF(Table2[[#This Row],[UBActualReceived]]&gt;1,"Received","Pending")</f>
        <v>Received</v>
      </c>
      <c r="F198" s="132">
        <f>INDEX(LoadMaster!$CU:$CU,MATCH(B198,LoadMaster!$C:$C,0))</f>
        <v>750</v>
      </c>
      <c r="G198" s="132">
        <f>INDEX(LoadMaster!$CX:$CX,MATCH(B198,LoadMaster!$C:$C,0))</f>
        <v>735</v>
      </c>
      <c r="H198" s="132">
        <f>INDEX(LoadMaster!$CW:$CW,MATCH(B198,LoadMaster!$C:$C,0))</f>
        <v>697.5</v>
      </c>
      <c r="I198" s="330">
        <v>735</v>
      </c>
      <c r="J198" s="525">
        <v>697.5</v>
      </c>
      <c r="K198" s="134" t="str">
        <f t="shared" si="15"/>
        <v>Full</v>
      </c>
      <c r="L198" s="134">
        <f>INDEX(LoadMaster!$CT:$CT,MATCH(Table2[[#This Row],[BrokerConfNo]],LoadMaster!$C:$C,0))</f>
        <v>0</v>
      </c>
      <c r="M198" s="416" t="str">
        <f>INDEX(LoadMaster!$AO:$AO,MATCH(Table2[[#This Row],[BrokerConfNo]],LoadMaster!$C:$C,0))</f>
        <v>Wesley</v>
      </c>
      <c r="N198" s="104">
        <f t="shared" si="16"/>
        <v>42349</v>
      </c>
      <c r="O198" s="135">
        <f t="shared" si="17"/>
        <v>42356</v>
      </c>
      <c r="P198" s="104">
        <f>INDEX(LoadMaster!$M:$M,MATCH(B198,LoadMaster!$C:$C,0))</f>
        <v>42347</v>
      </c>
      <c r="Q198" s="416" t="str">
        <f>INDEX(LoadMaster!$P:$P,MATCH(B198,LoadMaster!$C:$C,0))</f>
        <v>San Lorenzo</v>
      </c>
      <c r="R198" s="416" t="str">
        <f>INDEX(LoadMaster!$AH:$AH,MATCH(B198,LoadMaster!$C:$C,0))</f>
        <v>Reno
Reno</v>
      </c>
      <c r="S198" s="416" t="str">
        <f>INDEX(LoadMaster!$DC:$DC,MATCH(B198,LoadMaster!$C:$C,0))</f>
        <v>Harman</v>
      </c>
      <c r="T198" s="136">
        <f>INDEX(LoadMaster!$DA:$DA,MATCH(B198,LoadMaster!$C:$C,0))</f>
        <v>37.5</v>
      </c>
      <c r="U198" s="137">
        <f>Table2[[#This Row],[WeekEndingDate]]+7</f>
        <v>42356</v>
      </c>
      <c r="V198" s="15">
        <f t="shared" si="18"/>
        <v>12</v>
      </c>
      <c r="W198" s="416">
        <f t="shared" si="19"/>
        <v>2015</v>
      </c>
    </row>
    <row r="199" spans="1:23" s="68" customFormat="1">
      <c r="A199" s="15" t="str">
        <f>INDEX(LoadMaster!$A:$A,MATCH(B199,LoadMaster!$C:$C,0))</f>
        <v>51nenk19</v>
      </c>
      <c r="B199" s="81">
        <v>188067751</v>
      </c>
      <c r="C199" s="416" t="str">
        <f>VLOOKUP(Table2[[#This Row],[BrokerConfNo]],LoadMaster!C:D,2,FALSE)</f>
        <v>Ch Robinson</v>
      </c>
      <c r="D199" s="104">
        <v>42359</v>
      </c>
      <c r="E199" s="416" t="str">
        <f>IF(Table2[[#This Row],[UBActualReceived]]&gt;1,"Received","Pending")</f>
        <v>Received</v>
      </c>
      <c r="F199" s="132">
        <f>INDEX(LoadMaster!$CU:$CU,MATCH(B199,LoadMaster!$C:$C,0))</f>
        <v>700</v>
      </c>
      <c r="G199" s="132">
        <f>INDEX(LoadMaster!$CX:$CX,MATCH(B199,LoadMaster!$C:$C,0))</f>
        <v>686</v>
      </c>
      <c r="H199" s="132">
        <f>INDEX(LoadMaster!$CW:$CW,MATCH(B199,LoadMaster!$C:$C,0))</f>
        <v>651</v>
      </c>
      <c r="I199" s="330">
        <v>686</v>
      </c>
      <c r="J199" s="525">
        <v>651</v>
      </c>
      <c r="K199" s="134" t="str">
        <f t="shared" si="15"/>
        <v>Full</v>
      </c>
      <c r="L199" s="134">
        <f>INDEX(LoadMaster!$CT:$CT,MATCH(Table2[[#This Row],[BrokerConfNo]],LoadMaster!$C:$C,0))</f>
        <v>0</v>
      </c>
      <c r="M199" s="416" t="str">
        <f>INDEX(LoadMaster!$AO:$AO,MATCH(Table2[[#This Row],[BrokerConfNo]],LoadMaster!$C:$C,0))</f>
        <v>Miguel Jaime</v>
      </c>
      <c r="N199" s="104">
        <f t="shared" si="16"/>
        <v>42349</v>
      </c>
      <c r="O199" s="135">
        <f t="shared" si="17"/>
        <v>42356</v>
      </c>
      <c r="P199" s="104">
        <f>INDEX(LoadMaster!$M:$M,MATCH(B199,LoadMaster!$C:$C,0))</f>
        <v>42347</v>
      </c>
      <c r="Q199" s="416" t="str">
        <f>INDEX(LoadMaster!$P:$P,MATCH(B199,LoadMaster!$C:$C,0))</f>
        <v>Madera</v>
      </c>
      <c r="R199" s="416" t="str">
        <f>INDEX(LoadMaster!$AH:$AH,MATCH(B199,LoadMaster!$C:$C,0))</f>
        <v>Reno</v>
      </c>
      <c r="S199" s="416" t="str">
        <f>INDEX(LoadMaster!$DC:$DC,MATCH(B199,LoadMaster!$C:$C,0))</f>
        <v>Harman</v>
      </c>
      <c r="T199" s="136">
        <f>INDEX(LoadMaster!$DA:$DA,MATCH(B199,LoadMaster!$C:$C,0))</f>
        <v>35</v>
      </c>
      <c r="U199" s="137">
        <f>Table2[[#This Row],[WeekEndingDate]]+7</f>
        <v>42356</v>
      </c>
      <c r="V199" s="15">
        <f t="shared" si="18"/>
        <v>12</v>
      </c>
      <c r="W199" s="416">
        <f t="shared" si="19"/>
        <v>2015</v>
      </c>
    </row>
    <row r="200" spans="1:23" s="68" customFormat="1">
      <c r="A200" s="15" t="str">
        <f>INDEX(LoadMaster!$A:$A,MATCH(B200,LoadMaster!$C:$C,0))</f>
        <v>47nkwn19</v>
      </c>
      <c r="B200" s="81">
        <v>188058247</v>
      </c>
      <c r="C200" s="416" t="str">
        <f>VLOOKUP(Table2[[#This Row],[BrokerConfNo]],LoadMaster!C:D,2,FALSE)</f>
        <v>Ch Robinson</v>
      </c>
      <c r="D200" s="104">
        <v>42359</v>
      </c>
      <c r="E200" s="416" t="str">
        <f>IF(Table2[[#This Row],[UBActualReceived]]&gt;1,"Received","Pending")</f>
        <v>Received</v>
      </c>
      <c r="F200" s="132">
        <f>INDEX(LoadMaster!$CU:$CU,MATCH(B200,LoadMaster!$C:$C,0))</f>
        <v>600</v>
      </c>
      <c r="G200" s="132">
        <f>INDEX(LoadMaster!$CX:$CX,MATCH(B200,LoadMaster!$C:$C,0))</f>
        <v>588</v>
      </c>
      <c r="H200" s="132">
        <f>INDEX(LoadMaster!$CW:$CW,MATCH(B200,LoadMaster!$C:$C,0))</f>
        <v>558</v>
      </c>
      <c r="I200" s="330">
        <v>588</v>
      </c>
      <c r="J200" s="525">
        <v>558</v>
      </c>
      <c r="K200" s="134" t="str">
        <f t="shared" si="15"/>
        <v>Full</v>
      </c>
      <c r="L200" s="134">
        <f>INDEX(LoadMaster!$CT:$CT,MATCH(Table2[[#This Row],[BrokerConfNo]],LoadMaster!$C:$C,0))</f>
        <v>0</v>
      </c>
      <c r="M200" s="416" t="str">
        <f>INDEX(LoadMaster!$AO:$AO,MATCH(Table2[[#This Row],[BrokerConfNo]],LoadMaster!$C:$C,0))</f>
        <v>Miguel Jaime</v>
      </c>
      <c r="N200" s="104">
        <f t="shared" si="16"/>
        <v>42349</v>
      </c>
      <c r="O200" s="135">
        <f t="shared" si="17"/>
        <v>42356</v>
      </c>
      <c r="P200" s="104">
        <f>INDEX(LoadMaster!$M:$M,MATCH(B200,LoadMaster!$C:$C,0))</f>
        <v>42348</v>
      </c>
      <c r="Q200" s="416" t="str">
        <f>INDEX(LoadMaster!$P:$P,MATCH(B200,LoadMaster!$C:$C,0))</f>
        <v>Reno</v>
      </c>
      <c r="R200" s="416" t="str">
        <f>INDEX(LoadMaster!$AH:$AH,MATCH(B200,LoadMaster!$C:$C,0))</f>
        <v>Red Bluff</v>
      </c>
      <c r="S200" s="416" t="str">
        <f>INDEX(LoadMaster!$DC:$DC,MATCH(B200,LoadMaster!$C:$C,0))</f>
        <v>Harman</v>
      </c>
      <c r="T200" s="136">
        <f>INDEX(LoadMaster!$DA:$DA,MATCH(B200,LoadMaster!$C:$C,0))</f>
        <v>30</v>
      </c>
      <c r="U200" s="137">
        <f>Table2[[#This Row],[WeekEndingDate]]+7</f>
        <v>42356</v>
      </c>
      <c r="V200" s="15">
        <f t="shared" si="18"/>
        <v>12</v>
      </c>
      <c r="W200" s="416">
        <f t="shared" si="19"/>
        <v>2015</v>
      </c>
    </row>
    <row r="201" spans="1:23" s="68" customFormat="1">
      <c r="A201" s="15" t="str">
        <f>INDEX(LoadMaster!$A:$A,MATCH(B201,LoadMaster!$C:$C,0))</f>
        <v>70newn88</v>
      </c>
      <c r="B201" s="81">
        <v>188087070</v>
      </c>
      <c r="C201" s="416" t="str">
        <f>VLOOKUP(Table2[[#This Row],[BrokerConfNo]],LoadMaster!C:D,2,FALSE)</f>
        <v>Ch Robinson</v>
      </c>
      <c r="D201" s="104">
        <v>42359</v>
      </c>
      <c r="E201" s="416" t="str">
        <f>IF(Table2[[#This Row],[UBActualReceived]]&gt;1,"Received","Pending")</f>
        <v>Received</v>
      </c>
      <c r="F201" s="132">
        <f>INDEX(LoadMaster!$CU:$CU,MATCH(B201,LoadMaster!$C:$C,0))</f>
        <v>550</v>
      </c>
      <c r="G201" s="132">
        <f>INDEX(LoadMaster!$CX:$CX,MATCH(B201,LoadMaster!$C:$C,0))</f>
        <v>539</v>
      </c>
      <c r="H201" s="132">
        <f>INDEX(LoadMaster!$CW:$CW,MATCH(B201,LoadMaster!$C:$C,0))</f>
        <v>511.5</v>
      </c>
      <c r="I201" s="330">
        <v>539</v>
      </c>
      <c r="J201" s="525">
        <v>511.5</v>
      </c>
      <c r="K201" s="134" t="str">
        <f t="shared" si="15"/>
        <v>Full</v>
      </c>
      <c r="L201" s="134">
        <f>INDEX(LoadMaster!$CT:$CT,MATCH(Table2[[#This Row],[BrokerConfNo]],LoadMaster!$C:$C,0))</f>
        <v>0</v>
      </c>
      <c r="M201" s="416" t="str">
        <f>INDEX(LoadMaster!$AO:$AO,MATCH(Table2[[#This Row],[BrokerConfNo]],LoadMaster!$C:$C,0))</f>
        <v>Wesley</v>
      </c>
      <c r="N201" s="104">
        <f t="shared" si="16"/>
        <v>42349</v>
      </c>
      <c r="O201" s="135">
        <f t="shared" si="17"/>
        <v>42356</v>
      </c>
      <c r="P201" s="104">
        <f>INDEX(LoadMaster!$M:$M,MATCH(B201,LoadMaster!$C:$C,0))</f>
        <v>42348</v>
      </c>
      <c r="Q201" s="416" t="str">
        <f>INDEX(LoadMaster!$P:$P,MATCH(B201,LoadMaster!$C:$C,0))</f>
        <v>Sparks</v>
      </c>
      <c r="R201" s="416" t="str">
        <f>INDEX(LoadMaster!$AH:$AH,MATCH(B201,LoadMaster!$C:$C,0))</f>
        <v>South Sanfrancisco</v>
      </c>
      <c r="S201" s="416" t="str">
        <f>INDEX(LoadMaster!$DC:$DC,MATCH(B201,LoadMaster!$C:$C,0))</f>
        <v>Harman</v>
      </c>
      <c r="T201" s="136">
        <f>INDEX(LoadMaster!$DA:$DA,MATCH(B201,LoadMaster!$C:$C,0))</f>
        <v>27.5</v>
      </c>
      <c r="U201" s="137">
        <f>Table2[[#This Row],[WeekEndingDate]]+7</f>
        <v>42356</v>
      </c>
      <c r="V201" s="15">
        <f t="shared" si="18"/>
        <v>12</v>
      </c>
      <c r="W201" s="416">
        <f t="shared" si="19"/>
        <v>2015</v>
      </c>
    </row>
    <row r="202" spans="1:23" s="68" customFormat="1">
      <c r="A202" s="15" t="str">
        <f>INDEX(LoadMaster!$A:$A,MATCH(B202,LoadMaster!$C:$C,0))</f>
        <v>2201ne19</v>
      </c>
      <c r="B202" s="81">
        <v>187523122</v>
      </c>
      <c r="C202" s="416" t="str">
        <f>VLOOKUP(Table2[[#This Row],[BrokerConfNo]],LoadMaster!C:D,2,FALSE)</f>
        <v>Ch Robinson</v>
      </c>
      <c r="D202" s="104">
        <v>42359</v>
      </c>
      <c r="E202" s="416" t="str">
        <f>IF(Table2[[#This Row],[UBActualReceived]]&gt;1,"Received","Pending")</f>
        <v>Received</v>
      </c>
      <c r="F202" s="132">
        <f>INDEX(LoadMaster!$CU:$CU,MATCH(B202,LoadMaster!$C:$C,0))</f>
        <v>710</v>
      </c>
      <c r="G202" s="132">
        <f>INDEX(LoadMaster!$CX:$CX,MATCH(B202,LoadMaster!$C:$C,0))</f>
        <v>695.8</v>
      </c>
      <c r="H202" s="132">
        <f>INDEX(LoadMaster!$CW:$CW,MATCH(B202,LoadMaster!$C:$C,0))</f>
        <v>660.3</v>
      </c>
      <c r="I202" s="330">
        <v>695.8</v>
      </c>
      <c r="J202" s="525">
        <v>660.3</v>
      </c>
      <c r="K202" s="134" t="str">
        <f t="shared" si="15"/>
        <v>Full</v>
      </c>
      <c r="L202" s="134">
        <f>INDEX(LoadMaster!$CT:$CT,MATCH(Table2[[#This Row],[BrokerConfNo]],LoadMaster!$C:$C,0))</f>
        <v>160</v>
      </c>
      <c r="M202" s="416" t="str">
        <f>INDEX(LoadMaster!$AO:$AO,MATCH(Table2[[#This Row],[BrokerConfNo]],LoadMaster!$C:$C,0))</f>
        <v>Miguel Jaime</v>
      </c>
      <c r="N202" s="104">
        <f t="shared" si="16"/>
        <v>42349</v>
      </c>
      <c r="O202" s="135">
        <f t="shared" si="17"/>
        <v>42356</v>
      </c>
      <c r="P202" s="104">
        <f>INDEX(LoadMaster!$M:$M,MATCH(B202,LoadMaster!$C:$C,0))</f>
        <v>42349</v>
      </c>
      <c r="Q202" s="416" t="str">
        <f>INDEX(LoadMaster!$P:$P,MATCH(B202,LoadMaster!$C:$C,0))</f>
        <v>Redding</v>
      </c>
      <c r="R202" s="416" t="str">
        <f>INDEX(LoadMaster!$AH:$AH,MATCH(B202,LoadMaster!$C:$C,0))</f>
        <v>Fremont</v>
      </c>
      <c r="S202" s="416" t="str">
        <f>INDEX(LoadMaster!$DC:$DC,MATCH(B202,LoadMaster!$C:$C,0))</f>
        <v>Harman</v>
      </c>
      <c r="T202" s="136">
        <f>INDEX(LoadMaster!$DA:$DA,MATCH(B202,LoadMaster!$C:$C,0))</f>
        <v>35.500000000000043</v>
      </c>
      <c r="U202" s="137">
        <f>Table2[[#This Row],[WeekEndingDate]]+7</f>
        <v>42356</v>
      </c>
      <c r="V202" s="15">
        <f t="shared" si="18"/>
        <v>12</v>
      </c>
      <c r="W202" s="416">
        <f t="shared" si="19"/>
        <v>2015</v>
      </c>
    </row>
    <row r="203" spans="1:23" s="68" customFormat="1">
      <c r="A203" s="15" t="str">
        <f>INDEX(LoadMaster!$A:$A,MATCH(B203,LoadMaster!$C:$C,0))</f>
        <v>76nkwy49</v>
      </c>
      <c r="B203" s="81">
        <v>188194876</v>
      </c>
      <c r="C203" s="416" t="str">
        <f>VLOOKUP(Table2[[#This Row],[BrokerConfNo]],LoadMaster!C:D,2,FALSE)</f>
        <v>Ch Robinson</v>
      </c>
      <c r="D203" s="104">
        <v>42359</v>
      </c>
      <c r="E203" s="416" t="str">
        <f>IF(Table2[[#This Row],[UBActualReceived]]&gt;1,"Received","Pending")</f>
        <v>Received</v>
      </c>
      <c r="F203" s="132">
        <f>INDEX(LoadMaster!$CU:$CU,MATCH(B203,LoadMaster!$C:$C,0))</f>
        <v>600</v>
      </c>
      <c r="G203" s="132">
        <f>INDEX(LoadMaster!$CX:$CX,MATCH(B203,LoadMaster!$C:$C,0))</f>
        <v>588</v>
      </c>
      <c r="H203" s="132">
        <f>INDEX(LoadMaster!$CW:$CW,MATCH(B203,LoadMaster!$C:$C,0))</f>
        <v>550</v>
      </c>
      <c r="I203" s="330">
        <v>588</v>
      </c>
      <c r="J203" s="525">
        <v>550</v>
      </c>
      <c r="K203" s="134" t="str">
        <f t="shared" si="15"/>
        <v>Full</v>
      </c>
      <c r="L203" s="134">
        <f>INDEX(LoadMaster!$CT:$CT,MATCH(Table2[[#This Row],[BrokerConfNo]],LoadMaster!$C:$C,0))</f>
        <v>0</v>
      </c>
      <c r="M203" s="416" t="str">
        <f>INDEX(LoadMaster!$AO:$AO,MATCH(Table2[[#This Row],[BrokerConfNo]],LoadMaster!$C:$C,0))</f>
        <v>Albel</v>
      </c>
      <c r="N203" s="104">
        <f t="shared" si="16"/>
        <v>42349</v>
      </c>
      <c r="O203" s="135">
        <f t="shared" si="17"/>
        <v>42363</v>
      </c>
      <c r="P203" s="104">
        <f>INDEX(LoadMaster!$M:$M,MATCH(B203,LoadMaster!$C:$C,0))</f>
        <v>42349</v>
      </c>
      <c r="Q203" s="416" t="str">
        <f>INDEX(LoadMaster!$P:$P,MATCH(B203,LoadMaster!$C:$C,0))</f>
        <v>American Canyon</v>
      </c>
      <c r="R203" s="416" t="str">
        <f>INDEX(LoadMaster!$AH:$AH,MATCH(B203,LoadMaster!$C:$C,0))</f>
        <v>Santa Maria</v>
      </c>
      <c r="S203" s="416" t="str">
        <f>INDEX(LoadMaster!$DC:$DC,MATCH(B203,LoadMaster!$C:$C,0))</f>
        <v>Harman</v>
      </c>
      <c r="T203" s="136">
        <f>INDEX(LoadMaster!$DA:$DA,MATCH(B203,LoadMaster!$C:$C,0))</f>
        <v>38</v>
      </c>
      <c r="U203" s="137">
        <f>Table2[[#This Row],[WeekEndingDate]]+7</f>
        <v>42356</v>
      </c>
      <c r="V203" s="15">
        <f t="shared" si="18"/>
        <v>12</v>
      </c>
      <c r="W203" s="416">
        <f t="shared" si="19"/>
        <v>2015</v>
      </c>
    </row>
    <row r="204" spans="1:23" s="68" customFormat="1">
      <c r="A204" s="15" t="str">
        <f>INDEX(LoadMaster!$A:$A,MATCH(B204,LoadMaster!$C:$C,0))</f>
        <v>522319</v>
      </c>
      <c r="B204" s="81">
        <v>188356852</v>
      </c>
      <c r="C204" s="416" t="str">
        <f>VLOOKUP(Table2[[#This Row],[BrokerConfNo]],LoadMaster!C:D,2,FALSE)</f>
        <v>Ch Robinson</v>
      </c>
      <c r="D204" s="104">
        <v>42367</v>
      </c>
      <c r="E204" s="416" t="str">
        <f>IF(Table2[[#This Row],[UBActualReceived]]&gt;1,"Received","Pending")</f>
        <v>Received</v>
      </c>
      <c r="F204" s="132">
        <f>INDEX(LoadMaster!$CU:$CU,MATCH(B204,LoadMaster!$C:$C,0))</f>
        <v>1100</v>
      </c>
      <c r="G204" s="132">
        <f>INDEX(LoadMaster!$CX:$CX,MATCH(B204,LoadMaster!$C:$C,0))</f>
        <v>1078</v>
      </c>
      <c r="H204" s="132">
        <f>INDEX(LoadMaster!$CW:$CW,MATCH(B204,LoadMaster!$C:$C,0))</f>
        <v>1023</v>
      </c>
      <c r="I204" s="330">
        <v>1078</v>
      </c>
      <c r="J204" s="525">
        <v>1023</v>
      </c>
      <c r="K204" s="134" t="str">
        <f t="shared" si="15"/>
        <v>Full</v>
      </c>
      <c r="L204" s="134">
        <f>INDEX(LoadMaster!$CT:$CT,MATCH(Table2[[#This Row],[BrokerConfNo]],LoadMaster!$C:$C,0))</f>
        <v>0</v>
      </c>
      <c r="M204" s="416" t="str">
        <f>INDEX(LoadMaster!$AO:$AO,MATCH(Table2[[#This Row],[BrokerConfNo]],LoadMaster!$C:$C,0))</f>
        <v>Miguel Jaime</v>
      </c>
      <c r="N204" s="104">
        <f t="shared" si="16"/>
        <v>42356</v>
      </c>
      <c r="O204" s="135">
        <f t="shared" si="17"/>
        <v>42363</v>
      </c>
      <c r="P204" s="104">
        <f>INDEX(LoadMaster!$M:$M,MATCH(B204,LoadMaster!$C:$C,0))</f>
        <v>42352</v>
      </c>
      <c r="Q204" s="416" t="str">
        <f>INDEX(LoadMaster!$P:$P,MATCH(B204,LoadMaster!$C:$C,0))</f>
        <v>Fairfield</v>
      </c>
      <c r="R204" s="416" t="str">
        <f>INDEX(LoadMaster!$AH:$AH,MATCH(B204,LoadMaster!$C:$C,0))</f>
        <v>Las Vegas</v>
      </c>
      <c r="S204" s="416" t="str">
        <f>INDEX(LoadMaster!$DC:$DC,MATCH(B204,LoadMaster!$C:$C,0))</f>
        <v>Harman</v>
      </c>
      <c r="T204" s="136">
        <f>INDEX(LoadMaster!$DA:$DA,MATCH(B204,LoadMaster!$C:$C,0))</f>
        <v>55</v>
      </c>
      <c r="U204" s="137">
        <f>Table2[[#This Row],[WeekEndingDate]]+7</f>
        <v>42363</v>
      </c>
      <c r="V204" s="15">
        <f t="shared" si="18"/>
        <v>12</v>
      </c>
      <c r="W204" s="416">
        <f t="shared" si="19"/>
        <v>2015</v>
      </c>
    </row>
    <row r="205" spans="1:23" s="68" customFormat="1">
      <c r="A205" s="15" t="str">
        <f>INDEX(LoadMaster!$A:$A,MATCH(B205,LoadMaster!$C:$C,0))</f>
        <v>44493849</v>
      </c>
      <c r="B205" s="81">
        <v>187860544</v>
      </c>
      <c r="C205" s="416" t="str">
        <f>VLOOKUP(Table2[[#This Row],[BrokerConfNo]],LoadMaster!C:D,2,FALSE)</f>
        <v>Ch Robinson</v>
      </c>
      <c r="D205" s="104">
        <v>42359</v>
      </c>
      <c r="E205" s="416" t="str">
        <f>IF(Table2[[#This Row],[UBActualReceived]]&gt;1,"Received","Pending")</f>
        <v>Received</v>
      </c>
      <c r="F205" s="132">
        <f>INDEX(LoadMaster!$CU:$CU,MATCH(B205,LoadMaster!$C:$C,0))</f>
        <v>700</v>
      </c>
      <c r="G205" s="132">
        <f>INDEX(LoadMaster!$CX:$CX,MATCH(B205,LoadMaster!$C:$C,0))</f>
        <v>686</v>
      </c>
      <c r="H205" s="132">
        <f>INDEX(LoadMaster!$CW:$CW,MATCH(B205,LoadMaster!$C:$C,0))</f>
        <v>650</v>
      </c>
      <c r="I205" s="330">
        <v>686</v>
      </c>
      <c r="J205" s="525">
        <v>650</v>
      </c>
      <c r="K205" s="134" t="str">
        <f t="shared" si="15"/>
        <v>Full</v>
      </c>
      <c r="L205" s="134">
        <f>INDEX(LoadMaster!$CT:$CT,MATCH(Table2[[#This Row],[BrokerConfNo]],LoadMaster!$C:$C,0))</f>
        <v>0</v>
      </c>
      <c r="M205" s="416" t="str">
        <f>INDEX(LoadMaster!$AO:$AO,MATCH(Table2[[#This Row],[BrokerConfNo]],LoadMaster!$C:$C,0))</f>
        <v>Albel</v>
      </c>
      <c r="N205" s="104">
        <f t="shared" si="16"/>
        <v>42356</v>
      </c>
      <c r="O205" s="135">
        <f t="shared" si="17"/>
        <v>42370</v>
      </c>
      <c r="P205" s="104">
        <f>INDEX(LoadMaster!$M:$M,MATCH(B205,LoadMaster!$C:$C,0))</f>
        <v>42352</v>
      </c>
      <c r="Q205" s="416" t="str">
        <f>INDEX(LoadMaster!$P:$P,MATCH(B205,LoadMaster!$C:$C,0))</f>
        <v>Oxnard</v>
      </c>
      <c r="R205" s="416" t="str">
        <f>INDEX(LoadMaster!$AH:$AH,MATCH(B205,LoadMaster!$C:$C,0))</f>
        <v>French Camp</v>
      </c>
      <c r="S205" s="416" t="str">
        <f>INDEX(LoadMaster!$DC:$DC,MATCH(B205,LoadMaster!$C:$C,0))</f>
        <v>Harman</v>
      </c>
      <c r="T205" s="136">
        <f>INDEX(LoadMaster!$DA:$DA,MATCH(B205,LoadMaster!$C:$C,0))</f>
        <v>36</v>
      </c>
      <c r="U205" s="137">
        <f>Table2[[#This Row],[WeekEndingDate]]+7</f>
        <v>42363</v>
      </c>
      <c r="V205" s="15">
        <f t="shared" si="18"/>
        <v>12</v>
      </c>
      <c r="W205" s="416">
        <f t="shared" si="19"/>
        <v>2015</v>
      </c>
    </row>
    <row r="206" spans="1:23" s="68" customFormat="1">
      <c r="A206" s="15" t="str">
        <f>INDEX(LoadMaster!$A:$A,MATCH(B206,LoadMaster!$C:$C,0))</f>
        <v>87wnnk88</v>
      </c>
      <c r="B206" s="81">
        <v>188387487</v>
      </c>
      <c r="C206" s="416" t="str">
        <f>VLOOKUP(Table2[[#This Row],[BrokerConfNo]],LoadMaster!C:D,2,FALSE)</f>
        <v>Ch Robinson</v>
      </c>
      <c r="D206" s="104">
        <v>42359</v>
      </c>
      <c r="E206" s="416" t="str">
        <f>IF(Table2[[#This Row],[UBActualReceived]]&gt;1,"Received","Pending")</f>
        <v>Received</v>
      </c>
      <c r="F206" s="132">
        <f>INDEX(LoadMaster!$CU:$CU,MATCH(B206,LoadMaster!$C:$C,0))</f>
        <v>550</v>
      </c>
      <c r="G206" s="132">
        <f>INDEX(LoadMaster!$CX:$CX,MATCH(B206,LoadMaster!$C:$C,0))</f>
        <v>539</v>
      </c>
      <c r="H206" s="132">
        <f>INDEX(LoadMaster!$CW:$CW,MATCH(B206,LoadMaster!$C:$C,0))</f>
        <v>511.5</v>
      </c>
      <c r="I206" s="330">
        <v>539</v>
      </c>
      <c r="J206" s="525">
        <v>511.5</v>
      </c>
      <c r="K206" s="134" t="str">
        <f t="shared" si="15"/>
        <v>Full</v>
      </c>
      <c r="L206" s="134">
        <f>INDEX(LoadMaster!$CT:$CT,MATCH(Table2[[#This Row],[BrokerConfNo]],LoadMaster!$C:$C,0))</f>
        <v>0</v>
      </c>
      <c r="M206" s="416" t="str">
        <f>INDEX(LoadMaster!$AO:$AO,MATCH(Table2[[#This Row],[BrokerConfNo]],LoadMaster!$C:$C,0))</f>
        <v>Wesley</v>
      </c>
      <c r="N206" s="104">
        <f t="shared" si="16"/>
        <v>42356</v>
      </c>
      <c r="O206" s="135">
        <f t="shared" si="17"/>
        <v>42363</v>
      </c>
      <c r="P206" s="104">
        <f>INDEX(LoadMaster!$M:$M,MATCH(B206,LoadMaster!$C:$C,0))</f>
        <v>42352</v>
      </c>
      <c r="Q206" s="416" t="str">
        <f>INDEX(LoadMaster!$P:$P,MATCH(B206,LoadMaster!$C:$C,0))</f>
        <v>Woodland</v>
      </c>
      <c r="R206" s="416" t="str">
        <f>INDEX(LoadMaster!$AH:$AH,MATCH(B206,LoadMaster!$C:$C,0))</f>
        <v>Pacheco
San Carlos
San Jose</v>
      </c>
      <c r="S206" s="416" t="str">
        <f>INDEX(LoadMaster!$DC:$DC,MATCH(B206,LoadMaster!$C:$C,0))</f>
        <v>Harman</v>
      </c>
      <c r="T206" s="136">
        <f>INDEX(LoadMaster!$DA:$DA,MATCH(B206,LoadMaster!$C:$C,0))</f>
        <v>27.5</v>
      </c>
      <c r="U206" s="137">
        <f>Table2[[#This Row],[WeekEndingDate]]+7</f>
        <v>42363</v>
      </c>
      <c r="V206" s="15">
        <f t="shared" si="18"/>
        <v>12</v>
      </c>
      <c r="W206" s="416">
        <f t="shared" si="19"/>
        <v>2015</v>
      </c>
    </row>
    <row r="207" spans="1:23" s="68" customFormat="1">
      <c r="A207" s="15" t="str">
        <f>INDEX(LoadMaster!$A:$A,MATCH(B207,LoadMaster!$C:$C,0))</f>
        <v>38nkne49</v>
      </c>
      <c r="B207" s="81">
        <v>188512438</v>
      </c>
      <c r="C207" s="416" t="str">
        <f>VLOOKUP(Table2[[#This Row],[BrokerConfNo]],LoadMaster!C:D,2,FALSE)</f>
        <v>Ch Robinson</v>
      </c>
      <c r="D207" s="104">
        <v>42367</v>
      </c>
      <c r="E207" s="416" t="str">
        <f>IF(Table2[[#This Row],[UBActualReceived]]&gt;1,"Received","Pending")</f>
        <v>Received</v>
      </c>
      <c r="F207" s="132">
        <f>INDEX(LoadMaster!$CU:$CU,MATCH(B207,LoadMaster!$C:$C,0))</f>
        <v>400</v>
      </c>
      <c r="G207" s="132">
        <f>INDEX(LoadMaster!$CX:$CX,MATCH(B207,LoadMaster!$C:$C,0))</f>
        <v>392</v>
      </c>
      <c r="H207" s="132">
        <f>INDEX(LoadMaster!$CW:$CW,MATCH(B207,LoadMaster!$C:$C,0))</f>
        <v>350</v>
      </c>
      <c r="I207" s="330">
        <v>392</v>
      </c>
      <c r="J207" s="525">
        <v>350</v>
      </c>
      <c r="K207" s="134" t="str">
        <f t="shared" si="15"/>
        <v>Full</v>
      </c>
      <c r="L207" s="134">
        <f>INDEX(LoadMaster!$CT:$CT,MATCH(Table2[[#This Row],[BrokerConfNo]],LoadMaster!$C:$C,0))</f>
        <v>0</v>
      </c>
      <c r="M207" s="416" t="str">
        <f>INDEX(LoadMaster!$AO:$AO,MATCH(Table2[[#This Row],[BrokerConfNo]],LoadMaster!$C:$C,0))</f>
        <v>Albel</v>
      </c>
      <c r="N207" s="104">
        <f t="shared" si="16"/>
        <v>42356</v>
      </c>
      <c r="O207" s="135">
        <f t="shared" si="17"/>
        <v>42370</v>
      </c>
      <c r="P207" s="104">
        <f>INDEX(LoadMaster!$M:$M,MATCH(B207,LoadMaster!$C:$C,0))</f>
        <v>42354</v>
      </c>
      <c r="Q207" s="416" t="str">
        <f>INDEX(LoadMaster!$P:$P,MATCH(B207,LoadMaster!$C:$C,0))</f>
        <v>Woodland</v>
      </c>
      <c r="R207" s="416" t="str">
        <f>INDEX(LoadMaster!$AH:$AH,MATCH(B207,LoadMaster!$C:$C,0))</f>
        <v>San Jose</v>
      </c>
      <c r="S207" s="416" t="str">
        <f>INDEX(LoadMaster!$DC:$DC,MATCH(B207,LoadMaster!$C:$C,0))</f>
        <v>Harman</v>
      </c>
      <c r="T207" s="136">
        <f>INDEX(LoadMaster!$DA:$DA,MATCH(B207,LoadMaster!$C:$C,0))</f>
        <v>42</v>
      </c>
      <c r="U207" s="137">
        <f>Table2[[#This Row],[WeekEndingDate]]+7</f>
        <v>42363</v>
      </c>
      <c r="V207" s="15">
        <f t="shared" si="18"/>
        <v>12</v>
      </c>
      <c r="W207" s="416">
        <f t="shared" si="19"/>
        <v>2015</v>
      </c>
    </row>
    <row r="208" spans="1:23" s="68" customFormat="1">
      <c r="A208" s="15" t="str">
        <f>INDEX(LoadMaster!$A:$A,MATCH(B208,LoadMaster!$C:$C,0))</f>
        <v>56nkne19</v>
      </c>
      <c r="B208" s="81">
        <v>188657256</v>
      </c>
      <c r="C208" s="416" t="str">
        <f>VLOOKUP(Table2[[#This Row],[BrokerConfNo]],LoadMaster!C:D,2,FALSE)</f>
        <v>Ch Robinson</v>
      </c>
      <c r="D208" s="104">
        <v>42367</v>
      </c>
      <c r="E208" s="416" t="str">
        <f>IF(Table2[[#This Row],[UBActualReceived]]&gt;1,"Received","Pending")</f>
        <v>Received</v>
      </c>
      <c r="F208" s="132">
        <f>INDEX(LoadMaster!$CU:$CU,MATCH(B208,LoadMaster!$C:$C,0))</f>
        <v>350</v>
      </c>
      <c r="G208" s="132">
        <f>INDEX(LoadMaster!$CX:$CX,MATCH(B208,LoadMaster!$C:$C,0))</f>
        <v>343</v>
      </c>
      <c r="H208" s="132">
        <f>INDEX(LoadMaster!$CW:$CW,MATCH(B208,LoadMaster!$C:$C,0))</f>
        <v>325.5</v>
      </c>
      <c r="I208" s="330">
        <v>343</v>
      </c>
      <c r="J208" s="525">
        <v>325.5</v>
      </c>
      <c r="K208" s="134" t="str">
        <f t="shared" si="15"/>
        <v>Full</v>
      </c>
      <c r="L208" s="134">
        <f>INDEX(LoadMaster!$CT:$CT,MATCH(Table2[[#This Row],[BrokerConfNo]],LoadMaster!$C:$C,0))</f>
        <v>0</v>
      </c>
      <c r="M208" s="416" t="str">
        <f>INDEX(LoadMaster!$AO:$AO,MATCH(Table2[[#This Row],[BrokerConfNo]],LoadMaster!$C:$C,0))</f>
        <v>Miguel Jaime</v>
      </c>
      <c r="N208" s="104">
        <f t="shared" si="16"/>
        <v>42356</v>
      </c>
      <c r="O208" s="135">
        <f t="shared" si="17"/>
        <v>42363</v>
      </c>
      <c r="P208" s="104">
        <f>INDEX(LoadMaster!$M:$M,MATCH(B208,LoadMaster!$C:$C,0))</f>
        <v>42354</v>
      </c>
      <c r="Q208" s="416" t="str">
        <f>INDEX(LoadMaster!$P:$P,MATCH(B208,LoadMaster!$C:$C,0))</f>
        <v>North Las Vegas</v>
      </c>
      <c r="R208" s="416" t="str">
        <f>INDEX(LoadMaster!$AH:$AH,MATCH(B208,LoadMaster!$C:$C,0))</f>
        <v>Norwalk</v>
      </c>
      <c r="S208" s="416" t="str">
        <f>INDEX(LoadMaster!$DC:$DC,MATCH(B208,LoadMaster!$C:$C,0))</f>
        <v>Harman</v>
      </c>
      <c r="T208" s="136">
        <f>INDEX(LoadMaster!$DA:$DA,MATCH(B208,LoadMaster!$C:$C,0))</f>
        <v>17.5</v>
      </c>
      <c r="U208" s="137">
        <f>Table2[[#This Row],[WeekEndingDate]]+7</f>
        <v>42363</v>
      </c>
      <c r="V208" s="15">
        <f t="shared" si="18"/>
        <v>12</v>
      </c>
      <c r="W208" s="416">
        <f t="shared" si="19"/>
        <v>2015</v>
      </c>
    </row>
    <row r="209" spans="1:23" s="68" customFormat="1">
      <c r="A209" s="15" t="str">
        <f>INDEX(LoadMaster!$A:$A,MATCH(B209,LoadMaster!$C:$C,0))</f>
        <v>48575488</v>
      </c>
      <c r="B209" s="81">
        <v>188590148</v>
      </c>
      <c r="C209" s="416" t="str">
        <f>VLOOKUP(Table2[[#This Row],[BrokerConfNo]],LoadMaster!C:D,2,FALSE)</f>
        <v>Ch Robinson</v>
      </c>
      <c r="D209" s="104">
        <v>42367</v>
      </c>
      <c r="E209" s="416" t="str">
        <f>IF(Table2[[#This Row],[UBActualReceived]]&gt;1,"Received","Pending")</f>
        <v>Received</v>
      </c>
      <c r="F209" s="132">
        <f>INDEX(LoadMaster!$CU:$CU,MATCH(B209,LoadMaster!$C:$C,0))</f>
        <v>650</v>
      </c>
      <c r="G209" s="132">
        <f>INDEX(LoadMaster!$CX:$CX,MATCH(B209,LoadMaster!$C:$C,0))</f>
        <v>637</v>
      </c>
      <c r="H209" s="132">
        <f>INDEX(LoadMaster!$CW:$CW,MATCH(B209,LoadMaster!$C:$C,0))</f>
        <v>604.5</v>
      </c>
      <c r="I209" s="330">
        <v>637</v>
      </c>
      <c r="J209" s="525">
        <v>604.5</v>
      </c>
      <c r="K209" s="134" t="str">
        <f t="shared" si="15"/>
        <v>Full</v>
      </c>
      <c r="L209" s="134">
        <f>INDEX(LoadMaster!$CT:$CT,MATCH(Table2[[#This Row],[BrokerConfNo]],LoadMaster!$C:$C,0))</f>
        <v>0</v>
      </c>
      <c r="M209" s="416" t="str">
        <f>INDEX(LoadMaster!$AO:$AO,MATCH(Table2[[#This Row],[BrokerConfNo]],LoadMaster!$C:$C,0))</f>
        <v>Wesley</v>
      </c>
      <c r="N209" s="104">
        <f t="shared" si="16"/>
        <v>42356</v>
      </c>
      <c r="O209" s="135">
        <f t="shared" si="17"/>
        <v>42363</v>
      </c>
      <c r="P209" s="104">
        <f>INDEX(LoadMaster!$M:$M,MATCH(B209,LoadMaster!$C:$C,0))</f>
        <v>42354</v>
      </c>
      <c r="Q209" s="416" t="str">
        <f>INDEX(LoadMaster!$P:$P,MATCH(B209,LoadMaster!$C:$C,0))</f>
        <v>San Lorenzo</v>
      </c>
      <c r="R209" s="416" t="str">
        <f>INDEX(LoadMaster!$AH:$AH,MATCH(B209,LoadMaster!$C:$C,0))</f>
        <v>Reno</v>
      </c>
      <c r="S209" s="416" t="str">
        <f>INDEX(LoadMaster!$DC:$DC,MATCH(B209,LoadMaster!$C:$C,0))</f>
        <v>Harman</v>
      </c>
      <c r="T209" s="136">
        <f>INDEX(LoadMaster!$DA:$DA,MATCH(B209,LoadMaster!$C:$C,0))</f>
        <v>32.5</v>
      </c>
      <c r="U209" s="137">
        <f>Table2[[#This Row],[WeekEndingDate]]+7</f>
        <v>42363</v>
      </c>
      <c r="V209" s="15">
        <f t="shared" si="18"/>
        <v>12</v>
      </c>
      <c r="W209" s="416">
        <f t="shared" si="19"/>
        <v>2015</v>
      </c>
    </row>
    <row r="210" spans="1:23" s="68" customFormat="1">
      <c r="A210" s="15" t="str">
        <f>INDEX(LoadMaster!$A:$A,MATCH(B210,LoadMaster!$C:$C,0))</f>
        <v>22ne8419</v>
      </c>
      <c r="B210" s="81">
        <v>187820722</v>
      </c>
      <c r="C210" s="416" t="str">
        <f>VLOOKUP(Table2[[#This Row],[BrokerConfNo]],LoadMaster!C:D,2,FALSE)</f>
        <v>Ch Robinson</v>
      </c>
      <c r="D210" s="104">
        <v>42367</v>
      </c>
      <c r="E210" s="416" t="str">
        <f>IF(Table2[[#This Row],[UBActualReceived]]&gt;1,"Received","Pending")</f>
        <v>Received</v>
      </c>
      <c r="F210" s="132">
        <f>INDEX(LoadMaster!$CU:$CU,MATCH(B210,LoadMaster!$C:$C,0))</f>
        <v>800</v>
      </c>
      <c r="G210" s="132">
        <f>INDEX(LoadMaster!$CX:$CX,MATCH(B210,LoadMaster!$C:$C,0))</f>
        <v>784</v>
      </c>
      <c r="H210" s="132">
        <f>INDEX(LoadMaster!$CW:$CW,MATCH(B210,LoadMaster!$C:$C,0))</f>
        <v>744</v>
      </c>
      <c r="I210" s="330">
        <v>784</v>
      </c>
      <c r="J210" s="525">
        <v>744</v>
      </c>
      <c r="K210" s="134" t="str">
        <f t="shared" si="15"/>
        <v>Full</v>
      </c>
      <c r="L210" s="134">
        <f>INDEX(LoadMaster!$CT:$CT,MATCH(Table2[[#This Row],[BrokerConfNo]],LoadMaster!$C:$C,0))</f>
        <v>0</v>
      </c>
      <c r="M210" s="416" t="str">
        <f>INDEX(LoadMaster!$AO:$AO,MATCH(Table2[[#This Row],[BrokerConfNo]],LoadMaster!$C:$C,0))</f>
        <v>Miguel Jaime</v>
      </c>
      <c r="N210" s="104">
        <f t="shared" si="16"/>
        <v>42356</v>
      </c>
      <c r="O210" s="135">
        <f t="shared" si="17"/>
        <v>42363</v>
      </c>
      <c r="P210" s="104">
        <f>INDEX(LoadMaster!$M:$M,MATCH(B210,LoadMaster!$C:$C,0))</f>
        <v>42355</v>
      </c>
      <c r="Q210" s="416" t="str">
        <f>INDEX(LoadMaster!$P:$P,MATCH(B210,LoadMaster!$C:$C,0))</f>
        <v>Fontana</v>
      </c>
      <c r="R210" s="416" t="str">
        <f>INDEX(LoadMaster!$AH:$AH,MATCH(B210,LoadMaster!$C:$C,0))</f>
        <v>Sacramento</v>
      </c>
      <c r="S210" s="416" t="str">
        <f>INDEX(LoadMaster!$DC:$DC,MATCH(B210,LoadMaster!$C:$C,0))</f>
        <v>Harman</v>
      </c>
      <c r="T210" s="136">
        <f>INDEX(LoadMaster!$DA:$DA,MATCH(B210,LoadMaster!$C:$C,0))</f>
        <v>40</v>
      </c>
      <c r="U210" s="137">
        <f>Table2[[#This Row],[WeekEndingDate]]+7</f>
        <v>42363</v>
      </c>
      <c r="V210" s="15">
        <f t="shared" si="18"/>
        <v>12</v>
      </c>
      <c r="W210" s="416">
        <f t="shared" si="19"/>
        <v>2015</v>
      </c>
    </row>
    <row r="211" spans="1:23" s="18" customFormat="1">
      <c r="A211" s="15" t="str">
        <f>INDEX(LoadMaster!$A:$A,MATCH(B211,LoadMaster!$C:$C,0))</f>
        <v>32onwn49</v>
      </c>
      <c r="B211" s="81">
        <v>187978132</v>
      </c>
      <c r="C211" s="416" t="str">
        <f>VLOOKUP(Table2[[#This Row],[BrokerConfNo]],LoadMaster!C:D,2,FALSE)</f>
        <v>Ch Robinson</v>
      </c>
      <c r="D211" s="104">
        <v>42367</v>
      </c>
      <c r="E211" s="416" t="str">
        <f>IF(Table2[[#This Row],[UBActualReceived]]&gt;1,"Received","Pending")</f>
        <v>Received</v>
      </c>
      <c r="F211" s="132">
        <f>INDEX(LoadMaster!$CU:$CU,MATCH(B211,LoadMaster!$C:$C,0))</f>
        <v>250</v>
      </c>
      <c r="G211" s="132">
        <f>INDEX(LoadMaster!$CX:$CX,MATCH(B211,LoadMaster!$C:$C,0))</f>
        <v>245</v>
      </c>
      <c r="H211" s="132">
        <f>INDEX(LoadMaster!$CW:$CW,MATCH(B211,LoadMaster!$C:$C,0))</f>
        <v>225</v>
      </c>
      <c r="I211" s="330">
        <v>245</v>
      </c>
      <c r="J211" s="525">
        <v>225</v>
      </c>
      <c r="K211" s="134" t="str">
        <f t="shared" si="15"/>
        <v>Full</v>
      </c>
      <c r="L211" s="134">
        <f>INDEX(LoadMaster!$CT:$CT,MATCH(Table2[[#This Row],[BrokerConfNo]],LoadMaster!$C:$C,0))</f>
        <v>0</v>
      </c>
      <c r="M211" s="416" t="str">
        <f>INDEX(LoadMaster!$AO:$AO,MATCH(Table2[[#This Row],[BrokerConfNo]],LoadMaster!$C:$C,0))</f>
        <v>Albel</v>
      </c>
      <c r="N211" s="104">
        <f t="shared" si="16"/>
        <v>42356</v>
      </c>
      <c r="O211" s="135">
        <f t="shared" si="17"/>
        <v>42370</v>
      </c>
      <c r="P211" s="104">
        <f>INDEX(LoadMaster!$M:$M,MATCH(B211,LoadMaster!$C:$C,0))</f>
        <v>42355</v>
      </c>
      <c r="Q211" s="416" t="str">
        <f>INDEX(LoadMaster!$P:$P,MATCH(B211,LoadMaster!$C:$C,0))</f>
        <v>San Leandro</v>
      </c>
      <c r="R211" s="416" t="str">
        <f>INDEX(LoadMaster!$AH:$AH,MATCH(B211,LoadMaster!$C:$C,0))</f>
        <v>Richmond</v>
      </c>
      <c r="S211" s="416" t="str">
        <f>INDEX(LoadMaster!$DC:$DC,MATCH(B211,LoadMaster!$C:$C,0))</f>
        <v>Harman</v>
      </c>
      <c r="T211" s="136">
        <f>INDEX(LoadMaster!$DA:$DA,MATCH(B211,LoadMaster!$C:$C,0))</f>
        <v>20</v>
      </c>
      <c r="U211" s="137">
        <f>Table2[[#This Row],[WeekEndingDate]]+7</f>
        <v>42363</v>
      </c>
      <c r="V211" s="15">
        <f t="shared" si="18"/>
        <v>12</v>
      </c>
      <c r="W211" s="416">
        <f t="shared" si="19"/>
        <v>2015</v>
      </c>
    </row>
    <row r="212" spans="1:23" s="68" customFormat="1">
      <c r="A212" s="15" t="str">
        <f>INDEX(LoadMaster!$A:$A,MATCH(B212,LoadMaster!$C:$C,0))</f>
        <v>47971288</v>
      </c>
      <c r="B212" s="81">
        <v>188750847</v>
      </c>
      <c r="C212" s="416" t="str">
        <f>VLOOKUP(Table2[[#This Row],[BrokerConfNo]],LoadMaster!C:D,2,FALSE)</f>
        <v>Ch Robinson</v>
      </c>
      <c r="D212" s="104">
        <v>42368</v>
      </c>
      <c r="E212" s="416" t="str">
        <f>IF(Table2[[#This Row],[UBActualReceived]]&gt;1,"Received","Pending")</f>
        <v>Received</v>
      </c>
      <c r="F212" s="132">
        <f>INDEX(LoadMaster!$CU:$CU,MATCH(B212,LoadMaster!$C:$C,0))</f>
        <v>450</v>
      </c>
      <c r="G212" s="132">
        <f>INDEX(LoadMaster!$CX:$CX,MATCH(B212,LoadMaster!$C:$C,0))</f>
        <v>441</v>
      </c>
      <c r="H212" s="132">
        <f>INDEX(LoadMaster!$CW:$CW,MATCH(B212,LoadMaster!$C:$C,0))</f>
        <v>418.5</v>
      </c>
      <c r="I212" s="330">
        <v>441</v>
      </c>
      <c r="J212" s="525">
        <v>418.5</v>
      </c>
      <c r="K212" s="134" t="str">
        <f t="shared" si="15"/>
        <v>Full</v>
      </c>
      <c r="L212" s="134">
        <f>INDEX(LoadMaster!$CT:$CT,MATCH(Table2[[#This Row],[BrokerConfNo]],LoadMaster!$C:$C,0))</f>
        <v>0</v>
      </c>
      <c r="M212" s="416" t="str">
        <f>INDEX(LoadMaster!$AO:$AO,MATCH(Table2[[#This Row],[BrokerConfNo]],LoadMaster!$C:$C,0))</f>
        <v>Wesley</v>
      </c>
      <c r="N212" s="104">
        <f t="shared" si="16"/>
        <v>42356</v>
      </c>
      <c r="O212" s="135">
        <f t="shared" si="17"/>
        <v>42363</v>
      </c>
      <c r="P212" s="104">
        <f>INDEX(LoadMaster!$M:$M,MATCH(B212,LoadMaster!$C:$C,0))</f>
        <v>42355</v>
      </c>
      <c r="Q212" s="416" t="str">
        <f>INDEX(LoadMaster!$P:$P,MATCH(B212,LoadMaster!$C:$C,0))</f>
        <v>Reno</v>
      </c>
      <c r="R212" s="416" t="str">
        <f>INDEX(LoadMaster!$AH:$AH,MATCH(B212,LoadMaster!$C:$C,0))</f>
        <v>Tracy</v>
      </c>
      <c r="S212" s="416" t="str">
        <f>INDEX(LoadMaster!$DC:$DC,MATCH(B212,LoadMaster!$C:$C,0))</f>
        <v>Harman</v>
      </c>
      <c r="T212" s="136">
        <f>INDEX(LoadMaster!$DA:$DA,MATCH(B212,LoadMaster!$C:$C,0))</f>
        <v>22.5</v>
      </c>
      <c r="U212" s="137">
        <f>Table2[[#This Row],[WeekEndingDate]]+7</f>
        <v>42363</v>
      </c>
      <c r="V212" s="15">
        <f t="shared" si="18"/>
        <v>12</v>
      </c>
      <c r="W212" s="416">
        <f t="shared" si="19"/>
        <v>2015</v>
      </c>
    </row>
    <row r="213" spans="1:23" s="68" customFormat="1">
      <c r="A213" s="15" t="str">
        <f>INDEX(LoadMaster!$A:$A,MATCH(B213,LoadMaster!$C:$C,0))</f>
        <v>99474749</v>
      </c>
      <c r="B213" s="55">
        <v>111499</v>
      </c>
      <c r="C213" s="18" t="str">
        <f>VLOOKUP(Table2[[#This Row],[BrokerConfNo]],LoadMaster!C:D,2,FALSE)</f>
        <v>Pepsi Logistics Company Inc</v>
      </c>
      <c r="D213" s="26">
        <v>42373</v>
      </c>
      <c r="E213" s="18" t="str">
        <f>IF(Table2[[#This Row],[UBActualReceived]]&gt;1,"Received","Pending")</f>
        <v>Received</v>
      </c>
      <c r="F213" s="21">
        <f>INDEX(LoadMaster!$CU:$CU,MATCH(B213,LoadMaster!$C:$C,0))</f>
        <v>373</v>
      </c>
      <c r="G213" s="132">
        <f>INDEX(LoadMaster!$CX:$CX,MATCH(B213,LoadMaster!$C:$C,0))</f>
        <v>363.67500000000001</v>
      </c>
      <c r="H213" s="132">
        <f>INDEX(LoadMaster!$CW:$CW,MATCH(B213,LoadMaster!$C:$C,0))</f>
        <v>323</v>
      </c>
      <c r="I213" s="331">
        <v>363.68</v>
      </c>
      <c r="J213" s="526">
        <v>323</v>
      </c>
      <c r="K213" s="27" t="str">
        <f t="shared" si="15"/>
        <v>Full</v>
      </c>
      <c r="L213" s="27">
        <f>INDEX(LoadMaster!$CT:$CT,MATCH(Table2[[#This Row],[BrokerConfNo]],LoadMaster!$C:$C,0))</f>
        <v>0</v>
      </c>
      <c r="M213" s="18" t="str">
        <f>INDEX(LoadMaster!$AO:$AO,MATCH(Table2[[#This Row],[BrokerConfNo]],LoadMaster!$C:$C,0))</f>
        <v>Albel</v>
      </c>
      <c r="N213" s="26">
        <f t="shared" si="16"/>
        <v>42356</v>
      </c>
      <c r="O213" s="109">
        <f t="shared" si="17"/>
        <v>42370</v>
      </c>
      <c r="P213" s="26">
        <f>INDEX(LoadMaster!$M:$M,MATCH(B213,LoadMaster!$C:$C,0))</f>
        <v>42355</v>
      </c>
      <c r="Q213" s="18" t="str">
        <f>INDEX(LoadMaster!$P:$P,MATCH(B213,LoadMaster!$C:$C,0))</f>
        <v>Antioch</v>
      </c>
      <c r="R213" s="18" t="str">
        <f>INDEX(LoadMaster!$AH:$AH,MATCH(B213,LoadMaster!$C:$C,0))</f>
        <v>Hayward</v>
      </c>
      <c r="S213" s="416" t="str">
        <f>INDEX(LoadMaster!$DC:$DC,MATCH(B213,LoadMaster!$C:$C,0))</f>
        <v>Harman</v>
      </c>
      <c r="T213" s="48">
        <f>INDEX(LoadMaster!$DA:$DA,MATCH(B213,LoadMaster!$C:$C,0))</f>
        <v>40.674999999999997</v>
      </c>
      <c r="U213" s="110">
        <f>Table2[[#This Row],[WeekEndingDate]]+7</f>
        <v>42363</v>
      </c>
      <c r="V213" s="14">
        <f t="shared" si="18"/>
        <v>12</v>
      </c>
      <c r="W213" s="18">
        <f t="shared" si="19"/>
        <v>2015</v>
      </c>
    </row>
    <row r="214" spans="1:23" s="68" customFormat="1">
      <c r="A214" s="15" t="str">
        <f>INDEX(LoadMaster!$A:$A,MATCH(B214,LoadMaster!$C:$C,0))</f>
        <v>19nkne88</v>
      </c>
      <c r="B214" s="81">
        <v>188862019</v>
      </c>
      <c r="C214" s="416" t="str">
        <f>VLOOKUP(Table2[[#This Row],[BrokerConfNo]],LoadMaster!C:D,2,FALSE)</f>
        <v>Ch Robinson</v>
      </c>
      <c r="D214" s="104">
        <v>42374</v>
      </c>
      <c r="E214" s="416" t="str">
        <f>IF(Table2[[#This Row],[UBActualReceived]]&gt;1,"Received","Pending")</f>
        <v>Received</v>
      </c>
      <c r="F214" s="132">
        <f>INDEX(LoadMaster!$CU:$CU,MATCH(B214,LoadMaster!$C:$C,0))</f>
        <v>550</v>
      </c>
      <c r="G214" s="132">
        <f>INDEX(LoadMaster!$CX:$CX,MATCH(B214,LoadMaster!$C:$C,0))</f>
        <v>539</v>
      </c>
      <c r="H214" s="132">
        <f>INDEX(LoadMaster!$CW:$CW,MATCH(B214,LoadMaster!$C:$C,0))</f>
        <v>511.5</v>
      </c>
      <c r="I214" s="330">
        <v>539</v>
      </c>
      <c r="J214" s="525">
        <v>511.5</v>
      </c>
      <c r="K214" s="134" t="str">
        <f t="shared" si="15"/>
        <v>Full</v>
      </c>
      <c r="L214" s="134">
        <f>INDEX(LoadMaster!$CT:$CT,MATCH(Table2[[#This Row],[BrokerConfNo]],LoadMaster!$C:$C,0))</f>
        <v>0</v>
      </c>
      <c r="M214" s="416" t="str">
        <f>INDEX(LoadMaster!$AO:$AO,MATCH(Table2[[#This Row],[BrokerConfNo]],LoadMaster!$C:$C,0))</f>
        <v>Wesley</v>
      </c>
      <c r="N214" s="104">
        <f t="shared" si="16"/>
        <v>42363</v>
      </c>
      <c r="O214" s="135">
        <f t="shared" si="17"/>
        <v>42370</v>
      </c>
      <c r="P214" s="104">
        <f>INDEX(LoadMaster!$M:$M,MATCH(B214,LoadMaster!$C:$C,0))</f>
        <v>42359</v>
      </c>
      <c r="Q214" s="416" t="str">
        <f>INDEX(LoadMaster!$P:$P,MATCH(B214,LoadMaster!$C:$C,0))</f>
        <v>Woodland</v>
      </c>
      <c r="R214" s="416" t="str">
        <f>INDEX(LoadMaster!$AH:$AH,MATCH(B214,LoadMaster!$C:$C,0))</f>
        <v>Rancho Santa Margarita</v>
      </c>
      <c r="S214" s="416" t="str">
        <f>INDEX(LoadMaster!$DC:$DC,MATCH(B214,LoadMaster!$C:$C,0))</f>
        <v>Harman</v>
      </c>
      <c r="T214" s="136">
        <f>INDEX(LoadMaster!$DA:$DA,MATCH(B214,LoadMaster!$C:$C,0))</f>
        <v>27.5</v>
      </c>
      <c r="U214" s="137">
        <f>Table2[[#This Row],[WeekEndingDate]]+7</f>
        <v>42370</v>
      </c>
      <c r="V214" s="15">
        <f t="shared" si="18"/>
        <v>12</v>
      </c>
      <c r="W214" s="416">
        <f t="shared" si="19"/>
        <v>2015</v>
      </c>
    </row>
    <row r="215" spans="1:23" s="18" customFormat="1">
      <c r="A215" s="15" t="str">
        <f>INDEX(LoadMaster!$A:$A,MATCH(B215,LoadMaster!$C:$C,0))</f>
        <v>302Q-249</v>
      </c>
      <c r="B215" s="55">
        <v>6397830</v>
      </c>
      <c r="C215" s="18" t="str">
        <f>VLOOKUP(Table2[[#This Row],[BrokerConfNo]],LoadMaster!C:D,2,FALSE)</f>
        <v>Tql</v>
      </c>
      <c r="D215" s="26">
        <v>42369</v>
      </c>
      <c r="E215" s="18" t="str">
        <f>IF(Table2[[#This Row],[UBActualReceived]]&gt;1,"Received","Pending")</f>
        <v>Received</v>
      </c>
      <c r="F215" s="21">
        <f>INDEX(LoadMaster!$CU:$CU,MATCH(B215,LoadMaster!$C:$C,0))</f>
        <v>725</v>
      </c>
      <c r="G215" s="132">
        <f>INDEX(LoadMaster!$CX:$CX,MATCH(B215,LoadMaster!$C:$C,0))</f>
        <v>703.25</v>
      </c>
      <c r="H215" s="132">
        <f>INDEX(LoadMaster!$CW:$CW,MATCH(B215,LoadMaster!$C:$C,0))</f>
        <v>675</v>
      </c>
      <c r="I215" s="331">
        <v>703.25</v>
      </c>
      <c r="J215" s="526">
        <v>675</v>
      </c>
      <c r="K215" s="27" t="str">
        <f t="shared" si="15"/>
        <v>Full</v>
      </c>
      <c r="L215" s="27">
        <f>INDEX(LoadMaster!$CT:$CT,MATCH(Table2[[#This Row],[BrokerConfNo]],LoadMaster!$C:$C,0))</f>
        <v>0</v>
      </c>
      <c r="M215" s="18" t="str">
        <f>INDEX(LoadMaster!$AO:$AO,MATCH(Table2[[#This Row],[BrokerConfNo]],LoadMaster!$C:$C,0))</f>
        <v>Albel</v>
      </c>
      <c r="N215" s="26">
        <f t="shared" si="16"/>
        <v>42363</v>
      </c>
      <c r="O215" s="109">
        <f t="shared" si="17"/>
        <v>42377</v>
      </c>
      <c r="P215" s="26">
        <f>INDEX(LoadMaster!$M:$M,MATCH(B215,LoadMaster!$C:$C,0))</f>
        <v>42359</v>
      </c>
      <c r="Q215" s="18" t="str">
        <f>INDEX(LoadMaster!$P:$P,MATCH(B215,LoadMaster!$C:$C,0))</f>
        <v>West Sacramento</v>
      </c>
      <c r="R215" s="18" t="str">
        <f>INDEX(LoadMaster!$AH:$AH,MATCH(B215,LoadMaster!$C:$C,0))</f>
        <v>Richmond
Santa Maria</v>
      </c>
      <c r="S215" s="416" t="str">
        <f>INDEX(LoadMaster!$DC:$DC,MATCH(B215,LoadMaster!$C:$C,0))</f>
        <v>Harman</v>
      </c>
      <c r="T215" s="48">
        <f>INDEX(LoadMaster!$DA:$DA,MATCH(B215,LoadMaster!$C:$C,0))</f>
        <v>28.25</v>
      </c>
      <c r="U215" s="110">
        <f>Table2[[#This Row],[WeekEndingDate]]+7</f>
        <v>42370</v>
      </c>
      <c r="V215" s="14">
        <f t="shared" si="18"/>
        <v>12</v>
      </c>
      <c r="W215" s="18">
        <f t="shared" si="19"/>
        <v>2015</v>
      </c>
    </row>
    <row r="216" spans="1:23" s="68" customFormat="1">
      <c r="A216" s="15" t="str">
        <f>INDEX(LoadMaster!$A:$A,MATCH(B216,LoadMaster!$C:$C,0))</f>
        <v>39167249</v>
      </c>
      <c r="B216" s="81">
        <v>188142939</v>
      </c>
      <c r="C216" s="416" t="str">
        <f>VLOOKUP(Table2[[#This Row],[BrokerConfNo]],LoadMaster!C:D,2,FALSE)</f>
        <v>Ch Robinson</v>
      </c>
      <c r="D216" s="104">
        <v>42009</v>
      </c>
      <c r="E216" s="416" t="str">
        <f>IF(Table2[[#This Row],[UBActualReceived]]&gt;1,"Received","Pending")</f>
        <v>Received</v>
      </c>
      <c r="F216" s="132">
        <f>INDEX(LoadMaster!$CU:$CU,MATCH(B216,LoadMaster!$C:$C,0))</f>
        <v>850</v>
      </c>
      <c r="G216" s="132">
        <f>INDEX(LoadMaster!$CX:$CX,MATCH(B216,LoadMaster!$C:$C,0))</f>
        <v>833</v>
      </c>
      <c r="H216" s="132">
        <f>INDEX(LoadMaster!$CW:$CW,MATCH(B216,LoadMaster!$C:$C,0))</f>
        <v>800</v>
      </c>
      <c r="I216" s="330">
        <v>833</v>
      </c>
      <c r="J216" s="525">
        <v>800</v>
      </c>
      <c r="K216" s="134" t="str">
        <f t="shared" si="15"/>
        <v>Full</v>
      </c>
      <c r="L216" s="134">
        <f>INDEX(LoadMaster!$CT:$CT,MATCH(Table2[[#This Row],[BrokerConfNo]],LoadMaster!$C:$C,0))</f>
        <v>150</v>
      </c>
      <c r="M216" s="416" t="str">
        <f>INDEX(LoadMaster!$AO:$AO,MATCH(Table2[[#This Row],[BrokerConfNo]],LoadMaster!$C:$C,0))</f>
        <v>Albel</v>
      </c>
      <c r="N216" s="104">
        <f t="shared" si="16"/>
        <v>42363</v>
      </c>
      <c r="O216" s="135">
        <f t="shared" si="17"/>
        <v>42377</v>
      </c>
      <c r="P216" s="104">
        <f>INDEX(LoadMaster!$M:$M,MATCH(B216,LoadMaster!$C:$C,0))</f>
        <v>42360</v>
      </c>
      <c r="Q216" s="416" t="str">
        <f>INDEX(LoadMaster!$P:$P,MATCH(B216,LoadMaster!$C:$C,0))</f>
        <v>Oxnard</v>
      </c>
      <c r="R216" s="416" t="str">
        <f>INDEX(LoadMaster!$AH:$AH,MATCH(B216,LoadMaster!$C:$C,0))</f>
        <v>Stockton</v>
      </c>
      <c r="S216" s="416" t="str">
        <f>INDEX(LoadMaster!$DC:$DC,MATCH(B216,LoadMaster!$C:$C,0))</f>
        <v>Harman</v>
      </c>
      <c r="T216" s="136">
        <f>INDEX(LoadMaster!$DA:$DA,MATCH(B216,LoadMaster!$C:$C,0))</f>
        <v>33</v>
      </c>
      <c r="U216" s="137">
        <f>Table2[[#This Row],[WeekEndingDate]]+7</f>
        <v>42370</v>
      </c>
      <c r="V216" s="15">
        <f t="shared" si="18"/>
        <v>12</v>
      </c>
      <c r="W216" s="416">
        <f t="shared" si="19"/>
        <v>2015</v>
      </c>
    </row>
    <row r="217" spans="1:23" s="68" customFormat="1">
      <c r="A217" s="15" t="str">
        <f>INDEX(LoadMaster!$A:$A,MATCH(B217,LoadMaster!$C:$C,0))</f>
        <v>97616119</v>
      </c>
      <c r="B217" s="81">
        <v>189047697</v>
      </c>
      <c r="C217" s="416" t="str">
        <f>VLOOKUP(Table2[[#This Row],[BrokerConfNo]],LoadMaster!C:D,2,FALSE)</f>
        <v>Ch Robinson</v>
      </c>
      <c r="D217" s="104">
        <v>42373</v>
      </c>
      <c r="E217" s="416" t="str">
        <f>IF(Table2[[#This Row],[UBActualReceived]]&gt;1,"Received","Pending")</f>
        <v>Received</v>
      </c>
      <c r="F217" s="132">
        <f>INDEX(LoadMaster!$CU:$CU,MATCH(B217,LoadMaster!$C:$C,0))</f>
        <v>900</v>
      </c>
      <c r="G217" s="132">
        <f>INDEX(LoadMaster!$CX:$CX,MATCH(B217,LoadMaster!$C:$C,0))</f>
        <v>882</v>
      </c>
      <c r="H217" s="132">
        <f>INDEX(LoadMaster!$CW:$CW,MATCH(B217,LoadMaster!$C:$C,0))</f>
        <v>837</v>
      </c>
      <c r="I217" s="330">
        <v>882</v>
      </c>
      <c r="J217" s="525">
        <v>837</v>
      </c>
      <c r="K217" s="134" t="str">
        <f t="shared" si="15"/>
        <v>Full</v>
      </c>
      <c r="L217" s="134">
        <f>INDEX(LoadMaster!$CT:$CT,MATCH(Table2[[#This Row],[BrokerConfNo]],LoadMaster!$C:$C,0))</f>
        <v>0</v>
      </c>
      <c r="M217" s="416" t="str">
        <f>INDEX(LoadMaster!$AO:$AO,MATCH(Table2[[#This Row],[BrokerConfNo]],LoadMaster!$C:$C,0))</f>
        <v>Miguel Jaime</v>
      </c>
      <c r="N217" s="104">
        <f t="shared" si="16"/>
        <v>42363</v>
      </c>
      <c r="O217" s="135">
        <f t="shared" si="17"/>
        <v>42370</v>
      </c>
      <c r="P217" s="104">
        <f>INDEX(LoadMaster!$M:$M,MATCH(B217,LoadMaster!$C:$C,0))</f>
        <v>42360</v>
      </c>
      <c r="Q217" s="416" t="str">
        <f>INDEX(LoadMaster!$P:$P,MATCH(B217,LoadMaster!$C:$C,0))</f>
        <v>Lathrop</v>
      </c>
      <c r="R217" s="416" t="str">
        <f>INDEX(LoadMaster!$AH:$AH,MATCH(B217,LoadMaster!$C:$C,0))</f>
        <v>Sparks</v>
      </c>
      <c r="S217" s="416" t="str">
        <f>INDEX(LoadMaster!$DC:$DC,MATCH(B217,LoadMaster!$C:$C,0))</f>
        <v>Harman</v>
      </c>
      <c r="T217" s="136">
        <f>INDEX(LoadMaster!$DA:$DA,MATCH(B217,LoadMaster!$C:$C,0))</f>
        <v>45</v>
      </c>
      <c r="U217" s="137">
        <f>Table2[[#This Row],[WeekEndingDate]]+7</f>
        <v>42370</v>
      </c>
      <c r="V217" s="15">
        <f t="shared" si="18"/>
        <v>12</v>
      </c>
      <c r="W217" s="416">
        <f t="shared" si="19"/>
        <v>2015</v>
      </c>
    </row>
    <row r="218" spans="1:23" s="18" customFormat="1">
      <c r="A218" s="15" t="str">
        <f>INDEX(LoadMaster!$A:$A,MATCH(B218,LoadMaster!$C:$C,0))</f>
        <v>77-7wn19</v>
      </c>
      <c r="B218" s="55">
        <v>2359677</v>
      </c>
      <c r="C218" s="18" t="str">
        <f>VLOOKUP(Table2[[#This Row],[BrokerConfNo]],LoadMaster!C:D,2,FALSE)</f>
        <v>Matson Logistics</v>
      </c>
      <c r="D218" s="26">
        <v>42398</v>
      </c>
      <c r="E218" s="18" t="str">
        <f>IF(Table2[[#This Row],[UBActualReceived]]&gt;1,"Received","Pending")</f>
        <v>Received</v>
      </c>
      <c r="F218" s="21">
        <f>INDEX(LoadMaster!$CU:$CU,MATCH(B218,LoadMaster!$C:$C,0))</f>
        <v>600</v>
      </c>
      <c r="G218" s="132">
        <f>INDEX(LoadMaster!$CX:$CX,MATCH(B218,LoadMaster!$C:$C,0))</f>
        <v>600</v>
      </c>
      <c r="H218" s="132">
        <f>INDEX(LoadMaster!$CW:$CW,MATCH(B218,LoadMaster!$C:$C,0))</f>
        <v>558</v>
      </c>
      <c r="I218" s="331">
        <v>600</v>
      </c>
      <c r="J218" s="526">
        <v>558</v>
      </c>
      <c r="K218" s="27" t="str">
        <f t="shared" si="15"/>
        <v>Full</v>
      </c>
      <c r="L218" s="27">
        <f>INDEX(LoadMaster!$CT:$CT,MATCH(Table2[[#This Row],[BrokerConfNo]],LoadMaster!$C:$C,0))</f>
        <v>0</v>
      </c>
      <c r="M218" s="18" t="str">
        <f>INDEX(LoadMaster!$AO:$AO,MATCH(Table2[[#This Row],[BrokerConfNo]],LoadMaster!$C:$C,0))</f>
        <v>Miguel Jaime</v>
      </c>
      <c r="N218" s="26">
        <f t="shared" si="16"/>
        <v>42363</v>
      </c>
      <c r="O218" s="109">
        <f t="shared" si="17"/>
        <v>42370</v>
      </c>
      <c r="P218" s="26">
        <f>INDEX(LoadMaster!$M:$M,MATCH(B218,LoadMaster!$C:$C,0))</f>
        <v>42361</v>
      </c>
      <c r="Q218" s="18" t="str">
        <f>INDEX(LoadMaster!$P:$P,MATCH(B218,LoadMaster!$C:$C,0))</f>
        <v>Mound House</v>
      </c>
      <c r="R218" s="18" t="str">
        <f>INDEX(LoadMaster!$AH:$AH,MATCH(B218,LoadMaster!$C:$C,0))</f>
        <v>Hanford</v>
      </c>
      <c r="S218" s="416" t="str">
        <f>INDEX(LoadMaster!$DC:$DC,MATCH(B218,LoadMaster!$C:$C,0))</f>
        <v>Harman</v>
      </c>
      <c r="T218" s="48">
        <f>INDEX(LoadMaster!$DA:$DA,MATCH(B218,LoadMaster!$C:$C,0))</f>
        <v>42</v>
      </c>
      <c r="U218" s="110">
        <f>Table2[[#This Row],[WeekEndingDate]]+7</f>
        <v>42370</v>
      </c>
      <c r="V218" s="14">
        <f t="shared" si="18"/>
        <v>12</v>
      </c>
      <c r="W218" s="18">
        <f t="shared" si="19"/>
        <v>2015</v>
      </c>
    </row>
    <row r="219" spans="1:23" s="68" customFormat="1">
      <c r="A219" s="15" t="str">
        <f>INDEX(LoadMaster!$A:$A,MATCH(B219,LoadMaster!$C:$C,0))</f>
        <v>33959549</v>
      </c>
      <c r="B219" s="81">
        <v>189282833</v>
      </c>
      <c r="C219" s="416" t="str">
        <f>VLOOKUP(Table2[[#This Row],[BrokerConfNo]],LoadMaster!C:D,2,FALSE)</f>
        <v>Ch Robinson</v>
      </c>
      <c r="D219" s="104">
        <v>42009</v>
      </c>
      <c r="E219" s="416" t="str">
        <f>IF(Table2[[#This Row],[UBActualReceived]]&gt;1,"Received","Pending")</f>
        <v>Received</v>
      </c>
      <c r="F219" s="132">
        <f>INDEX(LoadMaster!$CU:$CU,MATCH(B219,LoadMaster!$C:$C,0))</f>
        <v>750</v>
      </c>
      <c r="G219" s="132">
        <f>INDEX(LoadMaster!$CX:$CX,MATCH(B219,LoadMaster!$C:$C,0))</f>
        <v>735</v>
      </c>
      <c r="H219" s="132">
        <f>INDEX(LoadMaster!$CW:$CW,MATCH(B219,LoadMaster!$C:$C,0))</f>
        <v>700</v>
      </c>
      <c r="I219" s="330">
        <v>735</v>
      </c>
      <c r="J219" s="525">
        <v>700</v>
      </c>
      <c r="K219" s="134" t="str">
        <f t="shared" si="15"/>
        <v>Full</v>
      </c>
      <c r="L219" s="134">
        <f>INDEX(LoadMaster!$CT:$CT,MATCH(Table2[[#This Row],[BrokerConfNo]],LoadMaster!$C:$C,0))</f>
        <v>50</v>
      </c>
      <c r="M219" s="416" t="str">
        <f>INDEX(LoadMaster!$AO:$AO,MATCH(Table2[[#This Row],[BrokerConfNo]],LoadMaster!$C:$C,0))</f>
        <v>Albel</v>
      </c>
      <c r="N219" s="104">
        <f t="shared" si="16"/>
        <v>42370</v>
      </c>
      <c r="O219" s="135">
        <f t="shared" si="17"/>
        <v>42384</v>
      </c>
      <c r="P219" s="104">
        <f>INDEX(LoadMaster!$M:$M,MATCH(B219,LoadMaster!$C:$C,0))</f>
        <v>42366</v>
      </c>
      <c r="Q219" s="416" t="str">
        <f>INDEX(LoadMaster!$P:$P,MATCH(B219,LoadMaster!$C:$C,0))</f>
        <v>Woodland</v>
      </c>
      <c r="R219" s="416" t="str">
        <f>INDEX(LoadMaster!$AH:$AH,MATCH(B219,LoadMaster!$C:$C,0))</f>
        <v>Holister
Santa Maria</v>
      </c>
      <c r="S219" s="416" t="str">
        <f>INDEX(LoadMaster!$DC:$DC,MATCH(B219,LoadMaster!$C:$C,0))</f>
        <v>Harman</v>
      </c>
      <c r="T219" s="136">
        <f>INDEX(LoadMaster!$DA:$DA,MATCH(B219,LoadMaster!$C:$C,0))</f>
        <v>35</v>
      </c>
      <c r="U219" s="137">
        <f>Table2[[#This Row],[WeekEndingDate]]+7</f>
        <v>42377</v>
      </c>
      <c r="V219" s="15">
        <f t="shared" si="18"/>
        <v>12</v>
      </c>
      <c r="W219" s="416">
        <f t="shared" si="19"/>
        <v>2015</v>
      </c>
    </row>
    <row r="220" spans="1:23" s="68" customFormat="1">
      <c r="A220" s="15" t="str">
        <f>INDEX(LoadMaster!$A:$A,MATCH(B220,LoadMaster!$C:$C,0))</f>
        <v>27999988</v>
      </c>
      <c r="B220" s="81">
        <v>187950527</v>
      </c>
      <c r="C220" s="416" t="str">
        <f>VLOOKUP(Table2[[#This Row],[BrokerConfNo]],LoadMaster!C:D,2,FALSE)</f>
        <v>Ch Robinson</v>
      </c>
      <c r="D220" s="104">
        <v>42009</v>
      </c>
      <c r="E220" s="416" t="str">
        <f>IF(Table2[[#This Row],[UBActualReceived]]&gt;1,"Received","Pending")</f>
        <v>Received</v>
      </c>
      <c r="F220" s="132">
        <f>INDEX(LoadMaster!$CU:$CU,MATCH(B220,LoadMaster!$C:$C,0))</f>
        <v>850</v>
      </c>
      <c r="G220" s="132">
        <f>INDEX(LoadMaster!$CX:$CX,MATCH(B220,LoadMaster!$C:$C,0))</f>
        <v>833</v>
      </c>
      <c r="H220" s="132">
        <f>INDEX(LoadMaster!$CW:$CW,MATCH(B220,LoadMaster!$C:$C,0))</f>
        <v>790.5</v>
      </c>
      <c r="I220" s="330">
        <v>833</v>
      </c>
      <c r="J220" s="525">
        <v>790.5</v>
      </c>
      <c r="K220" s="134" t="str">
        <f t="shared" si="15"/>
        <v>Full</v>
      </c>
      <c r="L220" s="134">
        <f>INDEX(LoadMaster!$CT:$CT,MATCH(Table2[[#This Row],[BrokerConfNo]],LoadMaster!$C:$C,0))</f>
        <v>0</v>
      </c>
      <c r="M220" s="416" t="str">
        <f>INDEX(LoadMaster!$AO:$AO,MATCH(Table2[[#This Row],[BrokerConfNo]],LoadMaster!$C:$C,0))</f>
        <v>Wesley</v>
      </c>
      <c r="N220" s="104">
        <f t="shared" si="16"/>
        <v>42370</v>
      </c>
      <c r="O220" s="135">
        <f t="shared" si="17"/>
        <v>42377</v>
      </c>
      <c r="P220" s="104">
        <f>INDEX(LoadMaster!$M:$M,MATCH(B220,LoadMaster!$C:$C,0))</f>
        <v>42366</v>
      </c>
      <c r="Q220" s="416" t="str">
        <f>INDEX(LoadMaster!$P:$P,MATCH(B220,LoadMaster!$C:$C,0))</f>
        <v>Fontana</v>
      </c>
      <c r="R220" s="416" t="str">
        <f>INDEX(LoadMaster!$AH:$AH,MATCH(B220,LoadMaster!$C:$C,0))</f>
        <v>Tracy</v>
      </c>
      <c r="S220" s="416" t="str">
        <f>INDEX(LoadMaster!$DC:$DC,MATCH(B220,LoadMaster!$C:$C,0))</f>
        <v>Harman</v>
      </c>
      <c r="T220" s="136">
        <f>INDEX(LoadMaster!$DA:$DA,MATCH(B220,LoadMaster!$C:$C,0))</f>
        <v>42.5</v>
      </c>
      <c r="U220" s="137">
        <f>Table2[[#This Row],[WeekEndingDate]]+7</f>
        <v>42377</v>
      </c>
      <c r="V220" s="15">
        <f t="shared" si="18"/>
        <v>12</v>
      </c>
      <c r="W220" s="416">
        <f t="shared" si="19"/>
        <v>2015</v>
      </c>
    </row>
    <row r="221" spans="1:23" s="68" customFormat="1">
      <c r="A221" s="15" t="str">
        <f>INDEX(LoadMaster!$A:$A,MATCH(B221,LoadMaster!$C:$C,0))</f>
        <v>6233ne19</v>
      </c>
      <c r="B221" s="81">
        <v>189399862</v>
      </c>
      <c r="C221" s="416" t="str">
        <f>VLOOKUP(Table2[[#This Row],[BrokerConfNo]],LoadMaster!C:D,2,FALSE)</f>
        <v>Ch Robinson</v>
      </c>
      <c r="D221" s="104">
        <v>42009</v>
      </c>
      <c r="E221" s="416" t="str">
        <f>IF(Table2[[#This Row],[UBActualReceived]]&gt;1,"Received","Pending")</f>
        <v>Received</v>
      </c>
      <c r="F221" s="132">
        <f>INDEX(LoadMaster!$CU:$CU,MATCH(B221,LoadMaster!$C:$C,0))</f>
        <v>700</v>
      </c>
      <c r="G221" s="132">
        <f>INDEX(LoadMaster!$CX:$CX,MATCH(B221,LoadMaster!$C:$C,0))</f>
        <v>686</v>
      </c>
      <c r="H221" s="132">
        <f>INDEX(LoadMaster!$CW:$CW,MATCH(B221,LoadMaster!$C:$C,0))</f>
        <v>651</v>
      </c>
      <c r="I221" s="330">
        <v>686</v>
      </c>
      <c r="J221" s="525">
        <v>651</v>
      </c>
      <c r="K221" s="134" t="str">
        <f t="shared" si="15"/>
        <v>Full</v>
      </c>
      <c r="L221" s="134">
        <f>INDEX(LoadMaster!$CT:$CT,MATCH(Table2[[#This Row],[BrokerConfNo]],LoadMaster!$C:$C,0))</f>
        <v>0</v>
      </c>
      <c r="M221" s="416" t="str">
        <f>INDEX(LoadMaster!$AO:$AO,MATCH(Table2[[#This Row],[BrokerConfNo]],LoadMaster!$C:$C,0))</f>
        <v>Miguel Jaime</v>
      </c>
      <c r="N221" s="104">
        <f t="shared" si="16"/>
        <v>42370</v>
      </c>
      <c r="O221" s="135">
        <f t="shared" si="17"/>
        <v>42377</v>
      </c>
      <c r="P221" s="104">
        <f>INDEX(LoadMaster!$M:$M,MATCH(B221,LoadMaster!$C:$C,0))</f>
        <v>42366</v>
      </c>
      <c r="Q221" s="416" t="str">
        <f>INDEX(LoadMaster!$P:$P,MATCH(B221,LoadMaster!$C:$C,0))</f>
        <v>Madera</v>
      </c>
      <c r="R221" s="416" t="str">
        <f>INDEX(LoadMaster!$AH:$AH,MATCH(B221,LoadMaster!$C:$C,0))</f>
        <v>Reno</v>
      </c>
      <c r="S221" s="416" t="str">
        <f>INDEX(LoadMaster!$DC:$DC,MATCH(B221,LoadMaster!$C:$C,0))</f>
        <v>Harman</v>
      </c>
      <c r="T221" s="136">
        <f>INDEX(LoadMaster!$DA:$DA,MATCH(B221,LoadMaster!$C:$C,0))</f>
        <v>35</v>
      </c>
      <c r="U221" s="137">
        <f>Table2[[#This Row],[WeekEndingDate]]+7</f>
        <v>42377</v>
      </c>
      <c r="V221" s="15">
        <f t="shared" si="18"/>
        <v>12</v>
      </c>
      <c r="W221" s="416">
        <f t="shared" si="19"/>
        <v>2015</v>
      </c>
    </row>
    <row r="222" spans="1:23" s="68" customFormat="1">
      <c r="A222" s="15" t="str">
        <f>INDEX(LoadMaster!$A:$A,MATCH(B222,LoadMaster!$C:$C,0))</f>
        <v>17826388</v>
      </c>
      <c r="B222" s="81">
        <v>189424917</v>
      </c>
      <c r="C222" s="416" t="str">
        <f>VLOOKUP(Table2[[#This Row],[BrokerConfNo]],LoadMaster!C:D,2,FALSE)</f>
        <v>Ch Robinson</v>
      </c>
      <c r="D222" s="104">
        <v>42384</v>
      </c>
      <c r="E222" s="416" t="str">
        <f>IF(Table2[[#This Row],[UBActualReceived]]&gt;1,"Received","Pending")</f>
        <v>Received</v>
      </c>
      <c r="F222" s="132">
        <f>INDEX(LoadMaster!$CU:$CU,MATCH(B222,LoadMaster!$C:$C,0))</f>
        <v>600</v>
      </c>
      <c r="G222" s="132">
        <f>INDEX(LoadMaster!$CX:$CX,MATCH(B222,LoadMaster!$C:$C,0))</f>
        <v>588</v>
      </c>
      <c r="H222" s="132">
        <f>INDEX(LoadMaster!$CW:$CW,MATCH(B222,LoadMaster!$C:$C,0))</f>
        <v>558</v>
      </c>
      <c r="I222" s="330">
        <v>588</v>
      </c>
      <c r="J222" s="525">
        <v>558</v>
      </c>
      <c r="K222" s="134" t="str">
        <f t="shared" si="15"/>
        <v>Full</v>
      </c>
      <c r="L222" s="134">
        <f>INDEX(LoadMaster!$CT:$CT,MATCH(Table2[[#This Row],[BrokerConfNo]],LoadMaster!$C:$C,0))</f>
        <v>0</v>
      </c>
      <c r="M222" s="416" t="str">
        <f>INDEX(LoadMaster!$AO:$AO,MATCH(Table2[[#This Row],[BrokerConfNo]],LoadMaster!$C:$C,0))</f>
        <v>Wesley</v>
      </c>
      <c r="N222" s="104">
        <f t="shared" si="16"/>
        <v>42370</v>
      </c>
      <c r="O222" s="135">
        <f t="shared" si="17"/>
        <v>42377</v>
      </c>
      <c r="P222" s="104">
        <f>INDEX(LoadMaster!$M:$M,MATCH(B222,LoadMaster!$C:$C,0))</f>
        <v>42367</v>
      </c>
      <c r="Q222" s="416" t="str">
        <f>INDEX(LoadMaster!$P:$P,MATCH(B222,LoadMaster!$C:$C,0))</f>
        <v>Petaluma</v>
      </c>
      <c r="R222" s="416" t="str">
        <f>INDEX(LoadMaster!$AH:$AH,MATCH(B222,LoadMaster!$C:$C,0))</f>
        <v>Sparks</v>
      </c>
      <c r="S222" s="416" t="str">
        <f>INDEX(LoadMaster!$DC:$DC,MATCH(B222,LoadMaster!$C:$C,0))</f>
        <v>Harman</v>
      </c>
      <c r="T222" s="136">
        <f>INDEX(LoadMaster!$DA:$DA,MATCH(B222,LoadMaster!$C:$C,0))</f>
        <v>30</v>
      </c>
      <c r="U222" s="137">
        <f>Table2[[#This Row],[WeekEndingDate]]+7</f>
        <v>42377</v>
      </c>
      <c r="V222" s="15">
        <f t="shared" si="18"/>
        <v>12</v>
      </c>
      <c r="W222" s="416">
        <f t="shared" si="19"/>
        <v>2015</v>
      </c>
    </row>
    <row r="223" spans="1:23" s="68" customFormat="1">
      <c r="A223" s="15" t="str">
        <f>INDEX(LoadMaster!$A:$A,MATCH(B223,LoadMaster!$C:$C,0))</f>
        <v>4768ne19</v>
      </c>
      <c r="B223" s="81">
        <v>189434147</v>
      </c>
      <c r="C223" s="416" t="str">
        <f>VLOOKUP(Table2[[#This Row],[BrokerConfNo]],LoadMaster!C:D,2,FALSE)</f>
        <v>Ch Robinson</v>
      </c>
      <c r="D223" s="104">
        <v>42382</v>
      </c>
      <c r="E223" s="416" t="str">
        <f>IF(Table2[[#This Row],[UBActualReceived]]&gt;1,"Received","Pending")</f>
        <v>Received</v>
      </c>
      <c r="F223" s="132">
        <f>INDEX(LoadMaster!$CU:$CU,MATCH(B223,LoadMaster!$C:$C,0))</f>
        <v>650</v>
      </c>
      <c r="G223" s="132">
        <f>INDEX(LoadMaster!$CX:$CX,MATCH(B223,LoadMaster!$C:$C,0))</f>
        <v>637</v>
      </c>
      <c r="H223" s="132">
        <f>INDEX(LoadMaster!$CW:$CW,MATCH(B223,LoadMaster!$C:$C,0))</f>
        <v>604.5</v>
      </c>
      <c r="I223" s="330">
        <v>637</v>
      </c>
      <c r="J223" s="525">
        <v>604.5</v>
      </c>
      <c r="K223" s="134" t="str">
        <f t="shared" si="15"/>
        <v>Full</v>
      </c>
      <c r="L223" s="134">
        <f>INDEX(LoadMaster!$CT:$CT,MATCH(Table2[[#This Row],[BrokerConfNo]],LoadMaster!$C:$C,0))</f>
        <v>0</v>
      </c>
      <c r="M223" s="416" t="str">
        <f>INDEX(LoadMaster!$AO:$AO,MATCH(Table2[[#This Row],[BrokerConfNo]],LoadMaster!$C:$C,0))</f>
        <v>Miguel Jaime</v>
      </c>
      <c r="N223" s="104">
        <f t="shared" si="16"/>
        <v>42370</v>
      </c>
      <c r="O223" s="135">
        <f t="shared" si="17"/>
        <v>42377</v>
      </c>
      <c r="P223" s="104">
        <f>INDEX(LoadMaster!$M:$M,MATCH(B223,LoadMaster!$C:$C,0))</f>
        <v>42367</v>
      </c>
      <c r="Q223" s="416" t="str">
        <f>INDEX(LoadMaster!$P:$P,MATCH(B223,LoadMaster!$C:$C,0))</f>
        <v>Sparks</v>
      </c>
      <c r="R223" s="416" t="str">
        <f>INDEX(LoadMaster!$AH:$AH,MATCH(B223,LoadMaster!$C:$C,0))</f>
        <v>Pescadero</v>
      </c>
      <c r="S223" s="416" t="str">
        <f>INDEX(LoadMaster!$DC:$DC,MATCH(B223,LoadMaster!$C:$C,0))</f>
        <v>Harman</v>
      </c>
      <c r="T223" s="136">
        <f>INDEX(LoadMaster!$DA:$DA,MATCH(B223,LoadMaster!$C:$C,0))</f>
        <v>32.5</v>
      </c>
      <c r="U223" s="137">
        <f>Table2[[#This Row],[WeekEndingDate]]+7</f>
        <v>42377</v>
      </c>
      <c r="V223" s="15">
        <f t="shared" si="18"/>
        <v>12</v>
      </c>
      <c r="W223" s="416">
        <f t="shared" si="19"/>
        <v>2015</v>
      </c>
    </row>
    <row r="224" spans="1:23" s="68" customFormat="1">
      <c r="A224" s="15" t="str">
        <f>INDEX(LoadMaster!$A:$A,MATCH(B224,LoadMaster!$C:$C,0))</f>
        <v>97441249</v>
      </c>
      <c r="B224" s="81">
        <v>188999397</v>
      </c>
      <c r="C224" s="416" t="str">
        <f>VLOOKUP(Table2[[#This Row],[BrokerConfNo]],LoadMaster!C:D,2,FALSE)</f>
        <v>Ch Robinson</v>
      </c>
      <c r="D224" s="104">
        <v>42381</v>
      </c>
      <c r="E224" s="416" t="str">
        <f>IF(Table2[[#This Row],[UBActualReceived]]&gt;1,"Received","Pending")</f>
        <v>Received</v>
      </c>
      <c r="F224" s="132">
        <f>INDEX(LoadMaster!$CU:$CU,MATCH(B224,LoadMaster!$C:$C,0))</f>
        <v>1000</v>
      </c>
      <c r="G224" s="132">
        <f>INDEX(LoadMaster!$CX:$CX,MATCH(B224,LoadMaster!$C:$C,0))</f>
        <v>980</v>
      </c>
      <c r="H224" s="132">
        <f>INDEX(LoadMaster!$CW:$CW,MATCH(B224,LoadMaster!$C:$C,0))</f>
        <v>950</v>
      </c>
      <c r="I224" s="330">
        <v>980</v>
      </c>
      <c r="J224" s="525">
        <v>950</v>
      </c>
      <c r="K224" s="134" t="str">
        <f t="shared" si="15"/>
        <v>Full</v>
      </c>
      <c r="L224" s="134">
        <f>INDEX(LoadMaster!$CT:$CT,MATCH(Table2[[#This Row],[BrokerConfNo]],LoadMaster!$C:$C,0))</f>
        <v>0</v>
      </c>
      <c r="M224" s="416" t="str">
        <f>INDEX(LoadMaster!$AO:$AO,MATCH(Table2[[#This Row],[BrokerConfNo]],LoadMaster!$C:$C,0))</f>
        <v>Albel</v>
      </c>
      <c r="N224" s="104">
        <f t="shared" si="16"/>
        <v>42370</v>
      </c>
      <c r="O224" s="135">
        <f t="shared" si="17"/>
        <v>42384</v>
      </c>
      <c r="P224" s="104">
        <f>INDEX(LoadMaster!$M:$M,MATCH(B224,LoadMaster!$C:$C,0))</f>
        <v>42368</v>
      </c>
      <c r="Q224" s="416" t="str">
        <f>INDEX(LoadMaster!$P:$P,MATCH(B224,LoadMaster!$C:$C,0))</f>
        <v>Oxnard</v>
      </c>
      <c r="R224" s="416" t="str">
        <f>INDEX(LoadMaster!$AH:$AH,MATCH(B224,LoadMaster!$C:$C,0))</f>
        <v>Vallejo
Richmond
San Leandro</v>
      </c>
      <c r="S224" s="416" t="str">
        <f>INDEX(LoadMaster!$DC:$DC,MATCH(B224,LoadMaster!$C:$C,0))</f>
        <v>Harman</v>
      </c>
      <c r="T224" s="136">
        <f>INDEX(LoadMaster!$DA:$DA,MATCH(B224,LoadMaster!$C:$C,0))</f>
        <v>30</v>
      </c>
      <c r="U224" s="137">
        <f>Table2[[#This Row],[WeekEndingDate]]+7</f>
        <v>42377</v>
      </c>
      <c r="V224" s="15">
        <f t="shared" si="18"/>
        <v>12</v>
      </c>
      <c r="W224" s="416">
        <f t="shared" si="19"/>
        <v>2015</v>
      </c>
    </row>
    <row r="225" spans="1:23" s="68" customFormat="1">
      <c r="A225" s="15" t="str">
        <f>INDEX(LoadMaster!$A:$A,MATCH(B225,LoadMaster!$C:$C,0))</f>
        <v>73561288</v>
      </c>
      <c r="B225" s="81">
        <v>189509073</v>
      </c>
      <c r="C225" s="416" t="str">
        <f>VLOOKUP(Table2[[#This Row],[BrokerConfNo]],LoadMaster!C:D,2,FALSE)</f>
        <v>Ch Robinson</v>
      </c>
      <c r="D225" s="104">
        <v>42387</v>
      </c>
      <c r="E225" s="416" t="str">
        <f>IF(Table2[[#This Row],[UBActualReceived]]&gt;1,"Received","Pending")</f>
        <v>Received</v>
      </c>
      <c r="F225" s="132">
        <f>INDEX(LoadMaster!$CU:$CU,MATCH(B225,LoadMaster!$C:$C,0))</f>
        <v>1050</v>
      </c>
      <c r="G225" s="132">
        <f>INDEX(LoadMaster!$CX:$CX,MATCH(B225,LoadMaster!$C:$C,0))</f>
        <v>1029</v>
      </c>
      <c r="H225" s="132">
        <f>INDEX(LoadMaster!$CW:$CW,MATCH(B225,LoadMaster!$C:$C,0))</f>
        <v>976.5</v>
      </c>
      <c r="I225" s="330">
        <v>1029</v>
      </c>
      <c r="J225" s="525">
        <v>976.5</v>
      </c>
      <c r="K225" s="134" t="str">
        <f t="shared" si="15"/>
        <v>Full</v>
      </c>
      <c r="L225" s="134">
        <f>INDEX(LoadMaster!$CT:$CT,MATCH(Table2[[#This Row],[BrokerConfNo]],LoadMaster!$C:$C,0))</f>
        <v>350</v>
      </c>
      <c r="M225" s="416" t="str">
        <f>INDEX(LoadMaster!$AO:$AO,MATCH(Table2[[#This Row],[BrokerConfNo]],LoadMaster!$C:$C,0))</f>
        <v>Wesley</v>
      </c>
      <c r="N225" s="104">
        <f t="shared" si="16"/>
        <v>42370</v>
      </c>
      <c r="O225" s="135">
        <f t="shared" si="17"/>
        <v>42377</v>
      </c>
      <c r="P225" s="104">
        <f>INDEX(LoadMaster!$M:$M,MATCH(B225,LoadMaster!$C:$C,0))</f>
        <v>42368</v>
      </c>
      <c r="Q225" s="416" t="str">
        <f>INDEX(LoadMaster!$P:$P,MATCH(B225,LoadMaster!$C:$C,0))</f>
        <v>Minden</v>
      </c>
      <c r="R225" s="416" t="str">
        <f>INDEX(LoadMaster!$AH:$AH,MATCH(B225,LoadMaster!$C:$C,0))</f>
        <v>Fresno</v>
      </c>
      <c r="S225" s="416" t="str">
        <f>INDEX(LoadMaster!$DC:$DC,MATCH(B225,LoadMaster!$C:$C,0))</f>
        <v>Harman</v>
      </c>
      <c r="T225" s="136">
        <f>INDEX(LoadMaster!$DA:$DA,MATCH(B225,LoadMaster!$C:$C,0))</f>
        <v>52.5</v>
      </c>
      <c r="U225" s="137">
        <f>Table2[[#This Row],[WeekEndingDate]]+7</f>
        <v>42377</v>
      </c>
      <c r="V225" s="15">
        <f t="shared" si="18"/>
        <v>12</v>
      </c>
      <c r="W225" s="416">
        <f t="shared" si="19"/>
        <v>2015</v>
      </c>
    </row>
    <row r="226" spans="1:23" s="68" customFormat="1">
      <c r="A226" s="15" t="str">
        <f>INDEX(LoadMaster!$A:$A,MATCH(B226,LoadMaster!$C:$C,0))</f>
        <v>76131319</v>
      </c>
      <c r="B226" s="81">
        <v>189617476</v>
      </c>
      <c r="C226" s="416" t="str">
        <f>VLOOKUP(Table2[[#This Row],[BrokerConfNo]],LoadMaster!C:D,2,FALSE)</f>
        <v>Ch Robinson</v>
      </c>
      <c r="D226" s="104">
        <v>42382</v>
      </c>
      <c r="E226" s="416" t="str">
        <f>IF(Table2[[#This Row],[UBActualReceived]]&gt;1,"Received","Pending")</f>
        <v>Received</v>
      </c>
      <c r="F226" s="132">
        <f>INDEX(LoadMaster!$CU:$CU,MATCH(B226,LoadMaster!$C:$C,0))</f>
        <v>600</v>
      </c>
      <c r="G226" s="132">
        <f>INDEX(LoadMaster!$CX:$CX,MATCH(B226,LoadMaster!$C:$C,0))</f>
        <v>588</v>
      </c>
      <c r="H226" s="132">
        <f>INDEX(LoadMaster!$CW:$CW,MATCH(B226,LoadMaster!$C:$C,0))</f>
        <v>558</v>
      </c>
      <c r="I226" s="330">
        <v>588</v>
      </c>
      <c r="J226" s="525">
        <v>558</v>
      </c>
      <c r="K226" s="134" t="str">
        <f t="shared" si="15"/>
        <v>Full</v>
      </c>
      <c r="L226" s="134">
        <f>INDEX(LoadMaster!$CT:$CT,MATCH(Table2[[#This Row],[BrokerConfNo]],LoadMaster!$C:$C,0))</f>
        <v>0</v>
      </c>
      <c r="M226" s="416" t="str">
        <f>INDEX(LoadMaster!$AO:$AO,MATCH(Table2[[#This Row],[BrokerConfNo]],LoadMaster!$C:$C,0))</f>
        <v>Miguel Jaime</v>
      </c>
      <c r="N226" s="104">
        <f t="shared" si="16"/>
        <v>42377</v>
      </c>
      <c r="O226" s="135">
        <f t="shared" si="17"/>
        <v>42384</v>
      </c>
      <c r="P226" s="104">
        <f>INDEX(LoadMaster!$M:$M,MATCH(B226,LoadMaster!$C:$C,0))</f>
        <v>42373</v>
      </c>
      <c r="Q226" s="416" t="str">
        <f>INDEX(LoadMaster!$P:$P,MATCH(B226,LoadMaster!$C:$C,0))</f>
        <v>Modesto</v>
      </c>
      <c r="R226" s="416" t="str">
        <f>INDEX(LoadMaster!$AH:$AH,MATCH(B226,LoadMaster!$C:$C,0))</f>
        <v>Sparks</v>
      </c>
      <c r="S226" s="416" t="str">
        <f>INDEX(LoadMaster!$DC:$DC,MATCH(B226,LoadMaster!$C:$C,0))</f>
        <v>Sunny</v>
      </c>
      <c r="T226" s="136">
        <f>INDEX(LoadMaster!$DA:$DA,MATCH(B226,LoadMaster!$C:$C,0))</f>
        <v>30</v>
      </c>
      <c r="U226" s="137">
        <f>Table2[[#This Row],[WeekEndingDate]]+7</f>
        <v>42384</v>
      </c>
      <c r="V226" s="15">
        <f t="shared" si="18"/>
        <v>1</v>
      </c>
      <c r="W226" s="416">
        <f t="shared" si="19"/>
        <v>2016</v>
      </c>
    </row>
    <row r="227" spans="1:23" s="68" customFormat="1" ht="17.25" customHeight="1">
      <c r="A227" s="15" t="str">
        <f>INDEX(LoadMaster!$A:$A,MATCH(B227,LoadMaster!$C:$C,0))</f>
        <v>09newn88</v>
      </c>
      <c r="B227" s="81">
        <v>189633109</v>
      </c>
      <c r="C227" s="416" t="str">
        <f>VLOOKUP(Table2[[#This Row],[BrokerConfNo]],LoadMaster!C:D,2,FALSE)</f>
        <v>Ch Robinson</v>
      </c>
      <c r="D227" s="104">
        <v>42384</v>
      </c>
      <c r="E227" s="416" t="str">
        <f>IF(Table2[[#This Row],[UBActualReceived]]&gt;1,"Received","Pending")</f>
        <v>Received</v>
      </c>
      <c r="F227" s="132">
        <f>INDEX(LoadMaster!$CU:$CU,MATCH(B227,LoadMaster!$C:$C,0))</f>
        <v>650</v>
      </c>
      <c r="G227" s="132">
        <f>INDEX(LoadMaster!$CX:$CX,MATCH(B227,LoadMaster!$C:$C,0))</f>
        <v>637</v>
      </c>
      <c r="H227" s="132">
        <f>INDEX(LoadMaster!$CW:$CW,MATCH(B227,LoadMaster!$C:$C,0))</f>
        <v>604.5</v>
      </c>
      <c r="I227" s="330">
        <v>637</v>
      </c>
      <c r="J227" s="525">
        <v>604.5</v>
      </c>
      <c r="K227" s="134" t="str">
        <f t="shared" si="15"/>
        <v>Full</v>
      </c>
      <c r="L227" s="134">
        <f>INDEX(LoadMaster!$CT:$CT,MATCH(Table2[[#This Row],[BrokerConfNo]],LoadMaster!$C:$C,0))</f>
        <v>0</v>
      </c>
      <c r="M227" s="416" t="str">
        <f>INDEX(LoadMaster!$AO:$AO,MATCH(Table2[[#This Row],[BrokerConfNo]],LoadMaster!$C:$C,0))</f>
        <v>Wesley</v>
      </c>
      <c r="N227" s="104">
        <f t="shared" si="16"/>
        <v>42377</v>
      </c>
      <c r="O227" s="135">
        <f t="shared" si="17"/>
        <v>42384</v>
      </c>
      <c r="P227" s="104">
        <f>INDEX(LoadMaster!$M:$M,MATCH(B227,LoadMaster!$C:$C,0))</f>
        <v>42373</v>
      </c>
      <c r="Q227" s="416" t="str">
        <f>INDEX(LoadMaster!$P:$P,MATCH(B227,LoadMaster!$C:$C,0))</f>
        <v>Woodland</v>
      </c>
      <c r="R227" s="416" t="str">
        <f>INDEX(LoadMaster!$AH:$AH,MATCH(B227,LoadMaster!$C:$C,0))</f>
        <v>Reno</v>
      </c>
      <c r="S227" s="416" t="str">
        <f>INDEX(LoadMaster!$DC:$DC,MATCH(B227,LoadMaster!$C:$C,0))</f>
        <v>Harman</v>
      </c>
      <c r="T227" s="136">
        <f>INDEX(LoadMaster!$DA:$DA,MATCH(B227,LoadMaster!$C:$C,0))</f>
        <v>32.5</v>
      </c>
      <c r="U227" s="137">
        <f>Table2[[#This Row],[WeekEndingDate]]+7</f>
        <v>42384</v>
      </c>
      <c r="V227" s="15">
        <f t="shared" si="18"/>
        <v>1</v>
      </c>
      <c r="W227" s="416">
        <f t="shared" si="19"/>
        <v>2016</v>
      </c>
    </row>
    <row r="228" spans="1:23" s="68" customFormat="1">
      <c r="A228" s="15" t="str">
        <f>INDEX(LoadMaster!$A:$A,MATCH(B228,LoadMaster!$C:$C,0))</f>
        <v>51665119</v>
      </c>
      <c r="B228" s="81">
        <v>189514151</v>
      </c>
      <c r="C228" s="416" t="str">
        <f>VLOOKUP(Table2[[#This Row],[BrokerConfNo]],LoadMaster!C:D,2,FALSE)</f>
        <v>Ch Robinson</v>
      </c>
      <c r="D228" s="104">
        <v>42382</v>
      </c>
      <c r="E228" s="416" t="str">
        <f>IF(Table2[[#This Row],[UBActualReceived]]&gt;1,"Received","Pending")</f>
        <v>Received</v>
      </c>
      <c r="F228" s="132">
        <f>INDEX(LoadMaster!$CU:$CU,MATCH(B228,LoadMaster!$C:$C,0))</f>
        <v>650</v>
      </c>
      <c r="G228" s="132">
        <f>INDEX(LoadMaster!$CX:$CX,MATCH(B228,LoadMaster!$C:$C,0))</f>
        <v>637</v>
      </c>
      <c r="H228" s="132">
        <f>INDEX(LoadMaster!$CW:$CW,MATCH(B228,LoadMaster!$C:$C,0))</f>
        <v>604.5</v>
      </c>
      <c r="I228" s="330">
        <v>637</v>
      </c>
      <c r="J228" s="525">
        <v>604.5</v>
      </c>
      <c r="K228" s="134" t="str">
        <f t="shared" si="15"/>
        <v>Full</v>
      </c>
      <c r="L228" s="134">
        <f>INDEX(LoadMaster!$CT:$CT,MATCH(Table2[[#This Row],[BrokerConfNo]],LoadMaster!$C:$C,0))</f>
        <v>0</v>
      </c>
      <c r="M228" s="416" t="str">
        <f>INDEX(LoadMaster!$AO:$AO,MATCH(Table2[[#This Row],[BrokerConfNo]],LoadMaster!$C:$C,0))</f>
        <v>Miguel Jaime</v>
      </c>
      <c r="N228" s="104">
        <f t="shared" si="16"/>
        <v>42377</v>
      </c>
      <c r="O228" s="135">
        <f t="shared" si="17"/>
        <v>42384</v>
      </c>
      <c r="P228" s="104">
        <f>INDEX(LoadMaster!$M:$M,MATCH(B228,LoadMaster!$C:$C,0))</f>
        <v>42373</v>
      </c>
      <c r="Q228" s="416" t="str">
        <f>INDEX(LoadMaster!$P:$P,MATCH(B228,LoadMaster!$C:$C,0))</f>
        <v>Gabbs</v>
      </c>
      <c r="R228" s="416" t="str">
        <f>INDEX(LoadMaster!$AH:$AH,MATCH(B228,LoadMaster!$C:$C,0))</f>
        <v>Ripon</v>
      </c>
      <c r="S228" s="416" t="str">
        <f>INDEX(LoadMaster!$DC:$DC,MATCH(B228,LoadMaster!$C:$C,0))</f>
        <v>Sunny</v>
      </c>
      <c r="T228" s="136">
        <f>INDEX(LoadMaster!$DA:$DA,MATCH(B228,LoadMaster!$C:$C,0))</f>
        <v>32.5</v>
      </c>
      <c r="U228" s="137">
        <f>Table2[[#This Row],[WeekEndingDate]]+7</f>
        <v>42384</v>
      </c>
      <c r="V228" s="15">
        <f t="shared" si="18"/>
        <v>1</v>
      </c>
      <c r="W228" s="416">
        <f t="shared" si="19"/>
        <v>2016</v>
      </c>
    </row>
    <row r="229" spans="1:23" s="68" customFormat="1">
      <c r="A229" s="15" t="str">
        <f>INDEX(LoadMaster!$A:$A,MATCH(B229,LoadMaster!$C:$C,0))</f>
        <v>76020288</v>
      </c>
      <c r="B229" s="81">
        <v>189636676</v>
      </c>
      <c r="C229" s="416" t="str">
        <f>VLOOKUP(Table2[[#This Row],[BrokerConfNo]],LoadMaster!C:D,2,FALSE)</f>
        <v>Ch Robinson</v>
      </c>
      <c r="D229" s="104">
        <v>42384</v>
      </c>
      <c r="E229" s="416" t="str">
        <f>IF(Table2[[#This Row],[UBActualReceived]]&gt;1,"Received","Pending")</f>
        <v>Received</v>
      </c>
      <c r="F229" s="132">
        <f>INDEX(LoadMaster!$CU:$CU,MATCH(B229,LoadMaster!$C:$C,0))</f>
        <v>500</v>
      </c>
      <c r="G229" s="132">
        <f>INDEX(LoadMaster!$CX:$CX,MATCH(B229,LoadMaster!$C:$C,0))</f>
        <v>490</v>
      </c>
      <c r="H229" s="132">
        <f>INDEX(LoadMaster!$CW:$CW,MATCH(B229,LoadMaster!$C:$C,0))</f>
        <v>465</v>
      </c>
      <c r="I229" s="330">
        <v>490</v>
      </c>
      <c r="J229" s="525">
        <v>465</v>
      </c>
      <c r="K229" s="134" t="str">
        <f t="shared" si="15"/>
        <v>Full</v>
      </c>
      <c r="L229" s="134">
        <f>INDEX(LoadMaster!$CT:$CT,MATCH(Table2[[#This Row],[BrokerConfNo]],LoadMaster!$C:$C,0))</f>
        <v>0</v>
      </c>
      <c r="M229" s="416" t="str">
        <f>INDEX(LoadMaster!$AO:$AO,MATCH(Table2[[#This Row],[BrokerConfNo]],LoadMaster!$C:$C,0))</f>
        <v>Wesley</v>
      </c>
      <c r="N229" s="104">
        <f t="shared" si="16"/>
        <v>42377</v>
      </c>
      <c r="O229" s="135">
        <f t="shared" si="17"/>
        <v>42384</v>
      </c>
      <c r="P229" s="104">
        <f>INDEX(LoadMaster!$M:$M,MATCH(B229,LoadMaster!$C:$C,0))</f>
        <v>42374</v>
      </c>
      <c r="Q229" s="416" t="str">
        <f>INDEX(LoadMaster!$P:$P,MATCH(B229,LoadMaster!$C:$C,0))</f>
        <v>Sparks</v>
      </c>
      <c r="R229" s="416" t="str">
        <f>INDEX(LoadMaster!$AH:$AH,MATCH(B229,LoadMaster!$C:$C,0))</f>
        <v>Manteca</v>
      </c>
      <c r="S229" s="416" t="str">
        <f>INDEX(LoadMaster!$DC:$DC,MATCH(B229,LoadMaster!$C:$C,0))</f>
        <v>Harman</v>
      </c>
      <c r="T229" s="136">
        <f>INDEX(LoadMaster!$DA:$DA,MATCH(B229,LoadMaster!$C:$C,0))</f>
        <v>25</v>
      </c>
      <c r="U229" s="137">
        <f>Table2[[#This Row],[WeekEndingDate]]+7</f>
        <v>42384</v>
      </c>
      <c r="V229" s="15">
        <f t="shared" si="18"/>
        <v>1</v>
      </c>
      <c r="W229" s="416">
        <f t="shared" si="19"/>
        <v>2016</v>
      </c>
    </row>
    <row r="230" spans="1:23" s="68" customFormat="1">
      <c r="A230" s="15" t="str">
        <f>INDEX(LoadMaster!$A:$A,MATCH(B230,LoadMaster!$C:$C,0))</f>
        <v>270ne88</v>
      </c>
      <c r="B230" s="81">
        <v>189958627</v>
      </c>
      <c r="C230" s="416" t="str">
        <f>VLOOKUP(Table2[[#This Row],[BrokerConfNo]],LoadMaster!C:D,2,FALSE)</f>
        <v>Ch Robinson</v>
      </c>
      <c r="D230" s="104">
        <v>42390</v>
      </c>
      <c r="E230" s="416" t="str">
        <f>IF(Table2[[#This Row],[UBActualReceived]]&gt;1,"Received","Pending")</f>
        <v>Received</v>
      </c>
      <c r="F230" s="132">
        <f>INDEX(LoadMaster!$CU:$CU,MATCH(B230,LoadMaster!$C:$C,0))</f>
        <v>525</v>
      </c>
      <c r="G230" s="132">
        <f>INDEX(LoadMaster!$CX:$CX,MATCH(B230,LoadMaster!$C:$C,0))</f>
        <v>514.5</v>
      </c>
      <c r="H230" s="132">
        <f>INDEX(LoadMaster!$CW:$CW,MATCH(B230,LoadMaster!$C:$C,0))</f>
        <v>488.25</v>
      </c>
      <c r="I230" s="330">
        <v>514.5</v>
      </c>
      <c r="J230" s="525">
        <v>488.25</v>
      </c>
      <c r="K230" s="134" t="str">
        <f t="shared" si="15"/>
        <v>Full</v>
      </c>
      <c r="L230" s="134">
        <f>INDEX(LoadMaster!$CT:$CT,MATCH(Table2[[#This Row],[BrokerConfNo]],LoadMaster!$C:$C,0))</f>
        <v>0</v>
      </c>
      <c r="M230" s="416" t="str">
        <f>INDEX(LoadMaster!$AO:$AO,MATCH(Table2[[#This Row],[BrokerConfNo]],LoadMaster!$C:$C,0))</f>
        <v>Wesley</v>
      </c>
      <c r="N230" s="104">
        <f t="shared" si="16"/>
        <v>42377</v>
      </c>
      <c r="O230" s="135">
        <f t="shared" si="17"/>
        <v>42384</v>
      </c>
      <c r="P230" s="104">
        <f>INDEX(LoadMaster!$M:$M,MATCH(B230,LoadMaster!$C:$C,0))</f>
        <v>42375</v>
      </c>
      <c r="Q230" s="416" t="str">
        <f>INDEX(LoadMaster!$P:$P,MATCH(B230,LoadMaster!$C:$C,0))</f>
        <v>Woodland</v>
      </c>
      <c r="R230" s="416" t="str">
        <f>INDEX(LoadMaster!$AH:$AH,MATCH(B230,LoadMaster!$C:$C,0))</f>
        <v>Sparks</v>
      </c>
      <c r="S230" s="416" t="str">
        <f>INDEX(LoadMaster!$DC:$DC,MATCH(B230,LoadMaster!$C:$C,0))</f>
        <v>Harman</v>
      </c>
      <c r="T230" s="136">
        <f>INDEX(LoadMaster!$DA:$DA,MATCH(B230,LoadMaster!$C:$C,0))</f>
        <v>26.25</v>
      </c>
      <c r="U230" s="137">
        <f>Table2[[#This Row],[WeekEndingDate]]+7</f>
        <v>42384</v>
      </c>
      <c r="V230" s="15">
        <f t="shared" si="18"/>
        <v>1</v>
      </c>
      <c r="W230" s="416">
        <f t="shared" si="19"/>
        <v>2016</v>
      </c>
    </row>
    <row r="231" spans="1:23" s="68" customFormat="1">
      <c r="A231" s="15" t="str">
        <f>INDEX(LoadMaster!$A:$A,MATCH(B231,LoadMaster!$C:$C,0))</f>
        <v>80193319</v>
      </c>
      <c r="B231" s="81">
        <v>189618880</v>
      </c>
      <c r="C231" s="416" t="str">
        <f>VLOOKUP(Table2[[#This Row],[BrokerConfNo]],LoadMaster!C:D,2,FALSE)</f>
        <v>Ch Robinson</v>
      </c>
      <c r="D231" s="104">
        <v>42384</v>
      </c>
      <c r="E231" s="416" t="str">
        <f>IF(Table2[[#This Row],[UBActualReceived]]&gt;1,"Received","Pending")</f>
        <v>Received</v>
      </c>
      <c r="F231" s="132">
        <f>INDEX(LoadMaster!$CU:$CU,MATCH(B231,LoadMaster!$C:$C,0))</f>
        <v>600</v>
      </c>
      <c r="G231" s="132">
        <f>INDEX(LoadMaster!$CX:$CX,MATCH(B231,LoadMaster!$C:$C,0))</f>
        <v>588</v>
      </c>
      <c r="H231" s="132">
        <f>INDEX(LoadMaster!$CW:$CW,MATCH(B231,LoadMaster!$C:$C,0))</f>
        <v>558</v>
      </c>
      <c r="I231" s="330">
        <v>588</v>
      </c>
      <c r="J231" s="525">
        <v>558</v>
      </c>
      <c r="K231" s="134" t="str">
        <f t="shared" si="15"/>
        <v>Full</v>
      </c>
      <c r="L231" s="134">
        <f>INDEX(LoadMaster!$CT:$CT,MATCH(Table2[[#This Row],[BrokerConfNo]],LoadMaster!$C:$C,0))</f>
        <v>0</v>
      </c>
      <c r="M231" s="416" t="str">
        <f>INDEX(LoadMaster!$AO:$AO,MATCH(Table2[[#This Row],[BrokerConfNo]],LoadMaster!$C:$C,0))</f>
        <v>Miguel Jaime</v>
      </c>
      <c r="N231" s="104">
        <f t="shared" si="16"/>
        <v>42377</v>
      </c>
      <c r="O231" s="135">
        <f t="shared" si="17"/>
        <v>42384</v>
      </c>
      <c r="P231" s="104">
        <f>INDEX(LoadMaster!$M:$M,MATCH(B231,LoadMaster!$C:$C,0))</f>
        <v>42375</v>
      </c>
      <c r="Q231" s="416" t="str">
        <f>INDEX(LoadMaster!$P:$P,MATCH(B231,LoadMaster!$C:$C,0))</f>
        <v>Modesto</v>
      </c>
      <c r="R231" s="416" t="str">
        <f>INDEX(LoadMaster!$AH:$AH,MATCH(B231,LoadMaster!$C:$C,0))</f>
        <v>Sparks</v>
      </c>
      <c r="S231" s="416" t="str">
        <f>INDEX(LoadMaster!$DC:$DC,MATCH(B231,LoadMaster!$C:$C,0))</f>
        <v>Sunny</v>
      </c>
      <c r="T231" s="136">
        <f>INDEX(LoadMaster!$DA:$DA,MATCH(B231,LoadMaster!$C:$C,0))</f>
        <v>30</v>
      </c>
      <c r="U231" s="137">
        <f>Table2[[#This Row],[WeekEndingDate]]+7</f>
        <v>42384</v>
      </c>
      <c r="V231" s="15">
        <f t="shared" si="18"/>
        <v>1</v>
      </c>
      <c r="W231" s="416">
        <f t="shared" si="19"/>
        <v>2016</v>
      </c>
    </row>
    <row r="232" spans="1:23" s="68" customFormat="1">
      <c r="A232" s="15" t="str">
        <f>INDEX(LoadMaster!$A:$A,MATCH(B232,LoadMaster!$C:$C,0))</f>
        <v>0502wn88</v>
      </c>
      <c r="B232" s="81">
        <v>189883405</v>
      </c>
      <c r="C232" s="416" t="str">
        <f>VLOOKUP(Table2[[#This Row],[BrokerConfNo]],LoadMaster!C:D,2,FALSE)</f>
        <v>Ch Robinson</v>
      </c>
      <c r="D232" s="104">
        <v>42390</v>
      </c>
      <c r="E232" s="416" t="str">
        <f>IF(Table2[[#This Row],[UBActualReceived]]&gt;1,"Received","Pending")</f>
        <v>Received</v>
      </c>
      <c r="F232" s="132">
        <f>INDEX(LoadMaster!$CU:$CU,MATCH(B232,LoadMaster!$C:$C,0))</f>
        <v>526</v>
      </c>
      <c r="G232" s="132">
        <f>INDEX(LoadMaster!$CX:$CX,MATCH(B232,LoadMaster!$C:$C,0))</f>
        <v>515.48</v>
      </c>
      <c r="H232" s="132">
        <f>INDEX(LoadMaster!$CW:$CW,MATCH(B232,LoadMaster!$C:$C,0))</f>
        <v>489.18</v>
      </c>
      <c r="I232" s="330">
        <v>515.48</v>
      </c>
      <c r="J232" s="525">
        <v>489.18</v>
      </c>
      <c r="K232" s="134" t="str">
        <f t="shared" si="15"/>
        <v>Full</v>
      </c>
      <c r="L232" s="134">
        <f>INDEX(LoadMaster!$CT:$CT,MATCH(Table2[[#This Row],[BrokerConfNo]],LoadMaster!$C:$C,0))</f>
        <v>0</v>
      </c>
      <c r="M232" s="416" t="str">
        <f>INDEX(LoadMaster!$AO:$AO,MATCH(Table2[[#This Row],[BrokerConfNo]],LoadMaster!$C:$C,0))</f>
        <v>Wesley</v>
      </c>
      <c r="N232" s="104">
        <f t="shared" si="16"/>
        <v>42377</v>
      </c>
      <c r="O232" s="135">
        <f t="shared" si="17"/>
        <v>42384</v>
      </c>
      <c r="P232" s="104">
        <f>INDEX(LoadMaster!$M:$M,MATCH(B232,LoadMaster!$C:$C,0))</f>
        <v>42376</v>
      </c>
      <c r="Q232" s="416" t="str">
        <f>INDEX(LoadMaster!$P:$P,MATCH(B232,LoadMaster!$C:$C,0))</f>
        <v>Reno</v>
      </c>
      <c r="R232" s="416" t="str">
        <f>INDEX(LoadMaster!$AH:$AH,MATCH(B232,LoadMaster!$C:$C,0))</f>
        <v>Red Bluff</v>
      </c>
      <c r="S232" s="416" t="str">
        <f>INDEX(LoadMaster!$DC:$DC,MATCH(B232,LoadMaster!$C:$C,0))</f>
        <v>Harman</v>
      </c>
      <c r="T232" s="136">
        <f>INDEX(LoadMaster!$DA:$DA,MATCH(B232,LoadMaster!$C:$C,0))</f>
        <v>26.299999999999994</v>
      </c>
      <c r="U232" s="137">
        <f>Table2[[#This Row],[WeekEndingDate]]+7</f>
        <v>42384</v>
      </c>
      <c r="V232" s="15">
        <f t="shared" si="18"/>
        <v>1</v>
      </c>
      <c r="W232" s="416">
        <f t="shared" si="19"/>
        <v>2016</v>
      </c>
    </row>
    <row r="233" spans="1:23" s="68" customFormat="1">
      <c r="A233" s="15" t="str">
        <f>INDEX(LoadMaster!$A:$A,MATCH(B233,LoadMaster!$C:$C,0))</f>
        <v>0103ne19</v>
      </c>
      <c r="B233" s="81">
        <v>187075201</v>
      </c>
      <c r="C233" s="416" t="str">
        <f>VLOOKUP(Table2[[#This Row],[BrokerConfNo]],LoadMaster!C:D,2,FALSE)</f>
        <v>Ch Robinson</v>
      </c>
      <c r="D233" s="104">
        <v>42384</v>
      </c>
      <c r="E233" s="416" t="str">
        <f>IF(Table2[[#This Row],[UBActualReceived]]&gt;1,"Received","Pending")</f>
        <v>Received</v>
      </c>
      <c r="F233" s="132">
        <f>INDEX(LoadMaster!$CU:$CU,MATCH(B233,LoadMaster!$C:$C,0))</f>
        <v>600</v>
      </c>
      <c r="G233" s="132">
        <f>INDEX(LoadMaster!$CX:$CX,MATCH(B233,LoadMaster!$C:$C,0))</f>
        <v>588</v>
      </c>
      <c r="H233" s="132">
        <f>INDEX(LoadMaster!$CW:$CW,MATCH(B233,LoadMaster!$C:$C,0))</f>
        <v>558</v>
      </c>
      <c r="I233" s="330">
        <v>588</v>
      </c>
      <c r="J233" s="525">
        <v>558</v>
      </c>
      <c r="K233" s="134" t="str">
        <f t="shared" si="15"/>
        <v>Full</v>
      </c>
      <c r="L233" s="134">
        <f>INDEX(LoadMaster!$CT:$CT,MATCH(Table2[[#This Row],[BrokerConfNo]],LoadMaster!$C:$C,0))</f>
        <v>0</v>
      </c>
      <c r="M233" s="416" t="str">
        <f>INDEX(LoadMaster!$AO:$AO,MATCH(Table2[[#This Row],[BrokerConfNo]],LoadMaster!$C:$C,0))</f>
        <v>Miguel Jaime</v>
      </c>
      <c r="N233" s="104">
        <f t="shared" si="16"/>
        <v>42377</v>
      </c>
      <c r="O233" s="135">
        <f t="shared" si="17"/>
        <v>42384</v>
      </c>
      <c r="P233" s="104">
        <f>INDEX(LoadMaster!$M:$M,MATCH(B233,LoadMaster!$C:$C,0))</f>
        <v>42376</v>
      </c>
      <c r="Q233" s="416" t="str">
        <f>INDEX(LoadMaster!$P:$P,MATCH(B233,LoadMaster!$C:$C,0))</f>
        <v>Reno</v>
      </c>
      <c r="R233" s="416" t="str">
        <f>INDEX(LoadMaster!$AH:$AH,MATCH(B233,LoadMaster!$C:$C,0))</f>
        <v>Hollister</v>
      </c>
      <c r="S233" s="416" t="str">
        <f>INDEX(LoadMaster!$DC:$DC,MATCH(B233,LoadMaster!$C:$C,0))</f>
        <v>Sunny</v>
      </c>
      <c r="T233" s="136">
        <f>INDEX(LoadMaster!$DA:$DA,MATCH(B233,LoadMaster!$C:$C,0))</f>
        <v>30</v>
      </c>
      <c r="U233" s="137">
        <f>Table2[[#This Row],[WeekEndingDate]]+7</f>
        <v>42384</v>
      </c>
      <c r="V233" s="15">
        <f t="shared" si="18"/>
        <v>1</v>
      </c>
      <c r="W233" s="416">
        <f t="shared" si="19"/>
        <v>2016</v>
      </c>
    </row>
    <row r="234" spans="1:23" s="18" customFormat="1">
      <c r="A234" s="15" t="str">
        <f>INDEX(LoadMaster!$A:$A,MATCH(B234,LoadMaster!$C:$C,0))</f>
        <v>79wnne19</v>
      </c>
      <c r="B234" s="55">
        <v>6476479</v>
      </c>
      <c r="C234" s="18" t="str">
        <f>VLOOKUP(Table2[[#This Row],[BrokerConfNo]],LoadMaster!C:D,2,FALSE)</f>
        <v>Tql</v>
      </c>
      <c r="D234" s="26">
        <v>42382</v>
      </c>
      <c r="E234" s="18" t="str">
        <f>IF(Table2[[#This Row],[UBActualReceived]]&gt;1,"Received","Pending")</f>
        <v>Received</v>
      </c>
      <c r="F234" s="21">
        <f>INDEX(LoadMaster!$CU:$CU,MATCH(B234,LoadMaster!$C:$C,0))</f>
        <v>525</v>
      </c>
      <c r="G234" s="132">
        <f>INDEX(LoadMaster!$CX:$CX,MATCH(B234,LoadMaster!$C:$C,0))</f>
        <v>509.25</v>
      </c>
      <c r="H234" s="132">
        <f>INDEX(LoadMaster!$CW:$CW,MATCH(B234,LoadMaster!$C:$C,0))</f>
        <v>488.25</v>
      </c>
      <c r="I234" s="331">
        <v>509.25</v>
      </c>
      <c r="J234" s="526">
        <v>488.25</v>
      </c>
      <c r="K234" s="27" t="str">
        <f t="shared" si="15"/>
        <v>Full</v>
      </c>
      <c r="L234" s="27">
        <f>INDEX(LoadMaster!$CT:$CT,MATCH(Table2[[#This Row],[BrokerConfNo]],LoadMaster!$C:$C,0))</f>
        <v>0</v>
      </c>
      <c r="M234" s="18" t="str">
        <f>INDEX(LoadMaster!$AO:$AO,MATCH(Table2[[#This Row],[BrokerConfNo]],LoadMaster!$C:$C,0))</f>
        <v>Miguel Jaime</v>
      </c>
      <c r="N234" s="26">
        <f t="shared" si="16"/>
        <v>42377</v>
      </c>
      <c r="O234" s="109">
        <f t="shared" si="17"/>
        <v>42384</v>
      </c>
      <c r="P234" s="26">
        <f>INDEX(LoadMaster!$M:$M,MATCH(B234,LoadMaster!$C:$C,0))</f>
        <v>42377</v>
      </c>
      <c r="Q234" s="18" t="str">
        <f>INDEX(LoadMaster!$P:$P,MATCH(B234,LoadMaster!$C:$C,0))</f>
        <v>Brisbane</v>
      </c>
      <c r="R234" s="18" t="str">
        <f>INDEX(LoadMaster!$AH:$AH,MATCH(B234,LoadMaster!$C:$C,0))</f>
        <v>Fresno</v>
      </c>
      <c r="S234" s="416" t="str">
        <f>INDEX(LoadMaster!$DC:$DC,MATCH(B234,LoadMaster!$C:$C,0))</f>
        <v>Sunny</v>
      </c>
      <c r="T234" s="48">
        <f>INDEX(LoadMaster!$DA:$DA,MATCH(B234,LoadMaster!$C:$C,0))</f>
        <v>21</v>
      </c>
      <c r="U234" s="110">
        <f>Table2[[#This Row],[WeekEndingDate]]+7</f>
        <v>42384</v>
      </c>
      <c r="V234" s="14">
        <f t="shared" si="18"/>
        <v>1</v>
      </c>
      <c r="W234" s="18">
        <f t="shared" si="19"/>
        <v>2016</v>
      </c>
    </row>
    <row r="235" spans="1:23" s="68" customFormat="1">
      <c r="A235" s="15" t="str">
        <f>INDEX(LoadMaster!$A:$A,MATCH(B235,LoadMaster!$C:$C,0))</f>
        <v>58122419</v>
      </c>
      <c r="B235" s="81">
        <v>190122758</v>
      </c>
      <c r="C235" s="416" t="str">
        <f>VLOOKUP(Table2[[#This Row],[BrokerConfNo]],LoadMaster!C:D,2,FALSE)</f>
        <v>Ch Robinson</v>
      </c>
      <c r="D235" s="15" t="s">
        <v>3824</v>
      </c>
      <c r="E235" s="416" t="str">
        <f>IF(Table2[[#This Row],[UBActualReceived]]&gt;1,"Received","Pending")</f>
        <v>Received</v>
      </c>
      <c r="F235" s="132">
        <f>INDEX(LoadMaster!$CU:$CU,MATCH(B235,LoadMaster!$C:$C,0))</f>
        <v>700</v>
      </c>
      <c r="G235" s="132">
        <f>INDEX(LoadMaster!$CX:$CX,MATCH(B235,LoadMaster!$C:$C,0))</f>
        <v>686</v>
      </c>
      <c r="H235" s="132">
        <f>INDEX(LoadMaster!$CW:$CW,MATCH(B235,LoadMaster!$C:$C,0))</f>
        <v>651</v>
      </c>
      <c r="I235" s="330">
        <v>686</v>
      </c>
      <c r="J235" s="525">
        <v>651</v>
      </c>
      <c r="K235" s="134" t="str">
        <f t="shared" si="15"/>
        <v>Full</v>
      </c>
      <c r="L235" s="134">
        <f>INDEX(LoadMaster!$CT:$CT,MATCH(Table2[[#This Row],[BrokerConfNo]],LoadMaster!$C:$C,0))</f>
        <v>0</v>
      </c>
      <c r="M235" s="416" t="str">
        <f>INDEX(LoadMaster!$AO:$AO,MATCH(Table2[[#This Row],[BrokerConfNo]],LoadMaster!$C:$C,0))</f>
        <v>Miguel Jaime</v>
      </c>
      <c r="N235" s="104">
        <f t="shared" si="16"/>
        <v>42384</v>
      </c>
      <c r="O235" s="135">
        <f t="shared" si="17"/>
        <v>42391</v>
      </c>
      <c r="P235" s="104">
        <f>INDEX(LoadMaster!$M:$M,MATCH(B235,LoadMaster!$C:$C,0))</f>
        <v>42380</v>
      </c>
      <c r="Q235" s="416" t="str">
        <f>INDEX(LoadMaster!$P:$P,MATCH(B235,LoadMaster!$C:$C,0))</f>
        <v>Kingsburg</v>
      </c>
      <c r="R235" s="416" t="str">
        <f>INDEX(LoadMaster!$AH:$AH,MATCH(B235,LoadMaster!$C:$C,0))</f>
        <v>Las Vegas</v>
      </c>
      <c r="S235" s="416" t="str">
        <f>INDEX(LoadMaster!$DC:$DC,MATCH(B235,LoadMaster!$C:$C,0))</f>
        <v>Sunny</v>
      </c>
      <c r="T235" s="136">
        <f>INDEX(LoadMaster!$DA:$DA,MATCH(B235,LoadMaster!$C:$C,0))</f>
        <v>35</v>
      </c>
      <c r="U235" s="137">
        <f>Table2[[#This Row],[WeekEndingDate]]+7</f>
        <v>42391</v>
      </c>
      <c r="V235" s="15">
        <f t="shared" si="18"/>
        <v>1</v>
      </c>
      <c r="W235" s="416">
        <f t="shared" si="19"/>
        <v>2016</v>
      </c>
    </row>
    <row r="236" spans="1:23" s="68" customFormat="1">
      <c r="A236" s="15" t="str">
        <f>INDEX(LoadMaster!$A:$A,MATCH(B236,LoadMaster!$C:$C,0))</f>
        <v>61723549</v>
      </c>
      <c r="B236" s="81">
        <v>188905061</v>
      </c>
      <c r="C236" s="416" t="str">
        <f>VLOOKUP(Table2[[#This Row],[BrokerConfNo]],LoadMaster!C:D,2,FALSE)</f>
        <v>Ch Robinson</v>
      </c>
      <c r="D236" s="104">
        <v>42389</v>
      </c>
      <c r="E236" s="416" t="str">
        <f>IF(Table2[[#This Row],[UBActualReceived]]&gt;1,"Received","Pending")</f>
        <v>Received</v>
      </c>
      <c r="F236" s="132">
        <f>INDEX(LoadMaster!$CU:$CU,MATCH(B236,LoadMaster!$C:$C,0))</f>
        <v>545</v>
      </c>
      <c r="G236" s="132">
        <f>INDEX(LoadMaster!$CX:$CX,MATCH(B236,LoadMaster!$C:$C,0))</f>
        <v>534.1</v>
      </c>
      <c r="H236" s="132">
        <f>INDEX(LoadMaster!$CW:$CW,MATCH(B236,LoadMaster!$C:$C,0))</f>
        <v>495</v>
      </c>
      <c r="I236" s="330">
        <v>534.1</v>
      </c>
      <c r="J236" s="525">
        <v>495</v>
      </c>
      <c r="K236" s="134" t="str">
        <f t="shared" si="15"/>
        <v>Full</v>
      </c>
      <c r="L236" s="134">
        <f>INDEX(LoadMaster!$CT:$CT,MATCH(Table2[[#This Row],[BrokerConfNo]],LoadMaster!$C:$C,0))</f>
        <v>70</v>
      </c>
      <c r="M236" s="416" t="str">
        <f>INDEX(LoadMaster!$AO:$AO,MATCH(Table2[[#This Row],[BrokerConfNo]],LoadMaster!$C:$C,0))</f>
        <v>Albel</v>
      </c>
      <c r="N236" s="104">
        <f t="shared" si="16"/>
        <v>42384</v>
      </c>
      <c r="O236" s="135">
        <f t="shared" si="17"/>
        <v>42398</v>
      </c>
      <c r="P236" s="104">
        <f>INDEX(LoadMaster!$M:$M,MATCH(B236,LoadMaster!$C:$C,0))</f>
        <v>42380</v>
      </c>
      <c r="Q236" s="416" t="str">
        <f>INDEX(LoadMaster!$P:$P,MATCH(B236,LoadMaster!$C:$C,0))</f>
        <v>Watsonville</v>
      </c>
      <c r="R236" s="416" t="str">
        <f>INDEX(LoadMaster!$AH:$AH,MATCH(B236,LoadMaster!$C:$C,0))</f>
        <v>Woodland</v>
      </c>
      <c r="S236" s="416" t="str">
        <f>INDEX(LoadMaster!$DC:$DC,MATCH(B236,LoadMaster!$C:$C,0))</f>
        <v>Sunny</v>
      </c>
      <c r="T236" s="136">
        <f>INDEX(LoadMaster!$DA:$DA,MATCH(B236,LoadMaster!$C:$C,0))</f>
        <v>39.1</v>
      </c>
      <c r="U236" s="137">
        <f>Table2[[#This Row],[WeekEndingDate]]+7</f>
        <v>42391</v>
      </c>
      <c r="V236" s="15">
        <f t="shared" si="18"/>
        <v>1</v>
      </c>
      <c r="W236" s="416">
        <f t="shared" si="19"/>
        <v>2016</v>
      </c>
    </row>
    <row r="237" spans="1:23" s="68" customFormat="1">
      <c r="A237" s="15" t="str">
        <f>INDEX(LoadMaster!$A:$A,MATCH(B237,LoadMaster!$C:$C,0))</f>
        <v>91087088</v>
      </c>
      <c r="B237" s="81">
        <v>190241991</v>
      </c>
      <c r="C237" s="416" t="str">
        <f>VLOOKUP(Table2[[#This Row],[BrokerConfNo]],LoadMaster!C:D,2,FALSE)</f>
        <v>Ch Robinson</v>
      </c>
      <c r="D237" s="104">
        <v>42390</v>
      </c>
      <c r="E237" s="416" t="str">
        <f>IF(Table2[[#This Row],[UBActualReceived]]&gt;1,"Received","Pending")</f>
        <v>Received</v>
      </c>
      <c r="F237" s="132">
        <f>INDEX(LoadMaster!$CU:$CU,MATCH(B237,LoadMaster!$C:$C,0))</f>
        <v>525</v>
      </c>
      <c r="G237" s="132">
        <f>INDEX(LoadMaster!$CX:$CX,MATCH(B237,LoadMaster!$C:$C,0))</f>
        <v>514.5</v>
      </c>
      <c r="H237" s="132">
        <f>INDEX(LoadMaster!$CW:$CW,MATCH(B237,LoadMaster!$C:$C,0))</f>
        <v>488.25</v>
      </c>
      <c r="I237" s="330">
        <v>514.5</v>
      </c>
      <c r="J237" s="525">
        <v>488.25</v>
      </c>
      <c r="K237" s="134" t="str">
        <f t="shared" si="15"/>
        <v>Full</v>
      </c>
      <c r="L237" s="134">
        <f>INDEX(LoadMaster!$CT:$CT,MATCH(Table2[[#This Row],[BrokerConfNo]],LoadMaster!$C:$C,0))</f>
        <v>0</v>
      </c>
      <c r="M237" s="416" t="str">
        <f>INDEX(LoadMaster!$AO:$AO,MATCH(Table2[[#This Row],[BrokerConfNo]],LoadMaster!$C:$C,0))</f>
        <v>Wesley</v>
      </c>
      <c r="N237" s="104">
        <f t="shared" si="16"/>
        <v>42384</v>
      </c>
      <c r="O237" s="135">
        <f t="shared" si="17"/>
        <v>42391</v>
      </c>
      <c r="P237" s="104">
        <f>INDEX(LoadMaster!$M:$M,MATCH(B237,LoadMaster!$C:$C,0))</f>
        <v>42380</v>
      </c>
      <c r="Q237" s="416" t="str">
        <f>INDEX(LoadMaster!$P:$P,MATCH(B237,LoadMaster!$C:$C,0))</f>
        <v>Oakland</v>
      </c>
      <c r="R237" s="416" t="str">
        <f>INDEX(LoadMaster!$AH:$AH,MATCH(B237,LoadMaster!$C:$C,0))</f>
        <v>Santa Fe Springs</v>
      </c>
      <c r="S237" s="416" t="str">
        <f>INDEX(LoadMaster!$DC:$DC,MATCH(B237,LoadMaster!$C:$C,0))</f>
        <v>Harman</v>
      </c>
      <c r="T237" s="136">
        <f>INDEX(LoadMaster!$DA:$DA,MATCH(B237,LoadMaster!$C:$C,0))</f>
        <v>26.25</v>
      </c>
      <c r="U237" s="137">
        <f>Table2[[#This Row],[WeekEndingDate]]+7</f>
        <v>42391</v>
      </c>
      <c r="V237" s="15">
        <f t="shared" si="18"/>
        <v>1</v>
      </c>
      <c r="W237" s="416">
        <f t="shared" si="19"/>
        <v>2016</v>
      </c>
    </row>
    <row r="238" spans="1:23" s="18" customFormat="1">
      <c r="A238" s="15" t="str">
        <f>INDEX(LoadMaster!$A:$A,MATCH(B238,LoadMaster!$C:$C,0))</f>
        <v>15938088</v>
      </c>
      <c r="B238" s="81">
        <v>190016515</v>
      </c>
      <c r="C238" s="416" t="str">
        <f>VLOOKUP(Table2[[#This Row],[BrokerConfNo]],LoadMaster!C:D,2,FALSE)</f>
        <v>Ch Robinson</v>
      </c>
      <c r="D238" s="104">
        <v>42390</v>
      </c>
      <c r="E238" s="416" t="str">
        <f>IF(Table2[[#This Row],[UBActualReceived]]&gt;1,"Received","Pending")</f>
        <v>Received</v>
      </c>
      <c r="F238" s="132">
        <f>INDEX(LoadMaster!$CU:$CU,MATCH(B238,LoadMaster!$C:$C,0))</f>
        <v>785</v>
      </c>
      <c r="G238" s="132">
        <f>INDEX(LoadMaster!$CX:$CX,MATCH(B238,LoadMaster!$C:$C,0))</f>
        <v>769.3</v>
      </c>
      <c r="H238" s="132">
        <f>INDEX(LoadMaster!$CW:$CW,MATCH(B238,LoadMaster!$C:$C,0))</f>
        <v>730.05000000000007</v>
      </c>
      <c r="I238" s="330">
        <v>769.3</v>
      </c>
      <c r="J238" s="525">
        <v>730.05000000000007</v>
      </c>
      <c r="K238" s="134" t="str">
        <f t="shared" si="15"/>
        <v>Full</v>
      </c>
      <c r="L238" s="134">
        <f>INDEX(LoadMaster!$CT:$CT,MATCH(Table2[[#This Row],[BrokerConfNo]],LoadMaster!$C:$C,0))</f>
        <v>0</v>
      </c>
      <c r="M238" s="416" t="str">
        <f>INDEX(LoadMaster!$AO:$AO,MATCH(Table2[[#This Row],[BrokerConfNo]],LoadMaster!$C:$C,0))</f>
        <v>Wesley</v>
      </c>
      <c r="N238" s="104">
        <f t="shared" si="16"/>
        <v>42384</v>
      </c>
      <c r="O238" s="135">
        <f t="shared" si="17"/>
        <v>42391</v>
      </c>
      <c r="P238" s="104">
        <f>INDEX(LoadMaster!$M:$M,MATCH(B238,LoadMaster!$C:$C,0))</f>
        <v>42381</v>
      </c>
      <c r="Q238" s="416" t="str">
        <f>INDEX(LoadMaster!$P:$P,MATCH(B238,LoadMaster!$C:$C,0))</f>
        <v>Cabazon</v>
      </c>
      <c r="R238" s="416" t="str">
        <f>INDEX(LoadMaster!$AH:$AH,MATCH(B238,LoadMaster!$C:$C,0))</f>
        <v>Hayward</v>
      </c>
      <c r="S238" s="416" t="str">
        <f>INDEX(LoadMaster!$DC:$DC,MATCH(B238,LoadMaster!$C:$C,0))</f>
        <v>Harman</v>
      </c>
      <c r="T238" s="136">
        <f>INDEX(LoadMaster!$DA:$DA,MATCH(B238,LoadMaster!$C:$C,0))</f>
        <v>39.249999999999929</v>
      </c>
      <c r="U238" s="137">
        <f>Table2[[#This Row],[WeekEndingDate]]+7</f>
        <v>42391</v>
      </c>
      <c r="V238" s="15">
        <f t="shared" si="18"/>
        <v>1</v>
      </c>
      <c r="W238" s="416">
        <f t="shared" si="19"/>
        <v>2016</v>
      </c>
    </row>
    <row r="239" spans="1:23" s="68" customFormat="1">
      <c r="A239" s="15" t="str">
        <f>INDEX(LoadMaster!$A:$A,MATCH(B239,LoadMaster!$C:$C,0))</f>
        <v>70070774</v>
      </c>
      <c r="B239" s="55">
        <v>6755170</v>
      </c>
      <c r="C239" s="18" t="str">
        <f>VLOOKUP(Table2[[#This Row],[BrokerConfNo]],LoadMaster!C:D,2,FALSE)</f>
        <v>Coyote</v>
      </c>
      <c r="D239" s="26">
        <v>42383</v>
      </c>
      <c r="E239" s="18" t="str">
        <f>IF(Table2[[#This Row],[UBActualReceived]]&gt;1,"Received","Pending")</f>
        <v>Received</v>
      </c>
      <c r="F239" s="21">
        <f>INDEX(LoadMaster!$CU:$CU,MATCH(B239,LoadMaster!$C:$C,0))</f>
        <v>350</v>
      </c>
      <c r="G239" s="132">
        <f>INDEX(LoadMaster!$CX:$CX,MATCH(B239,LoadMaster!$C:$C,0))</f>
        <v>339.5</v>
      </c>
      <c r="H239" s="132">
        <f>INDEX(LoadMaster!$CW:$CW,MATCH(B239,LoadMaster!$C:$C,0))</f>
        <v>315</v>
      </c>
      <c r="I239" s="331">
        <v>339.5</v>
      </c>
      <c r="J239" s="526">
        <v>315</v>
      </c>
      <c r="K239" s="27" t="str">
        <f t="shared" si="15"/>
        <v>Full</v>
      </c>
      <c r="L239" s="27">
        <f>INDEX(LoadMaster!$CT:$CT,MATCH(Table2[[#This Row],[BrokerConfNo]],LoadMaster!$C:$C,0))</f>
        <v>0</v>
      </c>
      <c r="M239" s="18" t="str">
        <f>INDEX(LoadMaster!$AO:$AO,MATCH(Table2[[#This Row],[BrokerConfNo]],LoadMaster!$C:$C,0))</f>
        <v>Manjit</v>
      </c>
      <c r="N239" s="26">
        <f t="shared" si="16"/>
        <v>42384</v>
      </c>
      <c r="O239" s="109">
        <f t="shared" si="17"/>
        <v>42391</v>
      </c>
      <c r="P239" s="26">
        <f>INDEX(LoadMaster!$M:$M,MATCH(B239,LoadMaster!$C:$C,0))</f>
        <v>42381</v>
      </c>
      <c r="Q239" s="18" t="str">
        <f>INDEX(LoadMaster!$P:$P,MATCH(B239,LoadMaster!$C:$C,0))</f>
        <v>American Canyon</v>
      </c>
      <c r="R239" s="18" t="str">
        <f>INDEX(LoadMaster!$AH:$AH,MATCH(B239,LoadMaster!$C:$C,0))</f>
        <v>Morgan</v>
      </c>
      <c r="S239" s="416" t="str">
        <f>INDEX(LoadMaster!$DC:$DC,MATCH(B239,LoadMaster!$C:$C,0))</f>
        <v>Sunny</v>
      </c>
      <c r="T239" s="48">
        <f>INDEX(LoadMaster!$DA:$DA,MATCH(B239,LoadMaster!$C:$C,0))</f>
        <v>24.5</v>
      </c>
      <c r="U239" s="110">
        <f>Table2[[#This Row],[WeekEndingDate]]+7</f>
        <v>42391</v>
      </c>
      <c r="V239" s="14">
        <f t="shared" si="18"/>
        <v>1</v>
      </c>
      <c r="W239" s="18">
        <f t="shared" si="19"/>
        <v>2016</v>
      </c>
    </row>
    <row r="240" spans="1:23" s="18" customFormat="1">
      <c r="A240" s="15" t="str">
        <f>INDEX(LoadMaster!$A:$A,MATCH(B240,LoadMaster!$C:$C,0))</f>
        <v>4500wn19</v>
      </c>
      <c r="B240" s="55">
        <v>6487845</v>
      </c>
      <c r="C240" s="18" t="str">
        <f>VLOOKUP(Table2[[#This Row],[BrokerConfNo]],LoadMaster!C:D,2,FALSE)</f>
        <v>Tql</v>
      </c>
      <c r="D240" s="26">
        <v>42391</v>
      </c>
      <c r="E240" s="18" t="str">
        <f>IF(Table2[[#This Row],[UBActualReceived]]&gt;1,"Received","Pending")</f>
        <v>Received</v>
      </c>
      <c r="F240" s="21">
        <f>INDEX(LoadMaster!$CU:$CU,MATCH(B240,LoadMaster!$C:$C,0))</f>
        <v>651.20000000000005</v>
      </c>
      <c r="G240" s="132">
        <f>INDEX(LoadMaster!$CX:$CX,MATCH(B240,LoadMaster!$C:$C,0))</f>
        <v>631.66399999999999</v>
      </c>
      <c r="H240" s="132">
        <f>INDEX(LoadMaster!$CW:$CW,MATCH(B240,LoadMaster!$C:$C,0))</f>
        <v>605.6160000000001</v>
      </c>
      <c r="I240" s="331">
        <v>631.66999999999996</v>
      </c>
      <c r="J240" s="526">
        <v>605.6160000000001</v>
      </c>
      <c r="K240" s="27" t="str">
        <f t="shared" si="15"/>
        <v>Full</v>
      </c>
      <c r="L240" s="27">
        <f>INDEX(LoadMaster!$CT:$CT,MATCH(Table2[[#This Row],[BrokerConfNo]],LoadMaster!$C:$C,0))</f>
        <v>0</v>
      </c>
      <c r="M240" s="18" t="str">
        <f>INDEX(LoadMaster!$AO:$AO,MATCH(Table2[[#This Row],[BrokerConfNo]],LoadMaster!$C:$C,0))</f>
        <v>Miguel Jaime</v>
      </c>
      <c r="N240" s="26">
        <f t="shared" si="16"/>
        <v>42384</v>
      </c>
      <c r="O240" s="109">
        <f t="shared" si="17"/>
        <v>42391</v>
      </c>
      <c r="P240" s="26">
        <f>INDEX(LoadMaster!$M:$M,MATCH(B240,LoadMaster!$C:$C,0))</f>
        <v>42381</v>
      </c>
      <c r="Q240" s="18" t="str">
        <f>INDEX(LoadMaster!$P:$P,MATCH(B240,LoadMaster!$C:$C,0))</f>
        <v>Blue Diamond</v>
      </c>
      <c r="R240" s="18" t="str">
        <f>INDEX(LoadMaster!$AH:$AH,MATCH(B240,LoadMaster!$C:$C,0))</f>
        <v>Visalia</v>
      </c>
      <c r="S240" s="416" t="str">
        <f>INDEX(LoadMaster!$DC:$DC,MATCH(B240,LoadMaster!$C:$C,0))</f>
        <v>Sunny</v>
      </c>
      <c r="T240" s="48">
        <f>INDEX(LoadMaster!$DA:$DA,MATCH(B240,LoadMaster!$C:$C,0))</f>
        <v>26.047999999999945</v>
      </c>
      <c r="U240" s="110">
        <f>Table2[[#This Row],[WeekEndingDate]]+7</f>
        <v>42391</v>
      </c>
      <c r="V240" s="14">
        <f t="shared" si="18"/>
        <v>1</v>
      </c>
      <c r="W240" s="18">
        <f t="shared" si="19"/>
        <v>2016</v>
      </c>
    </row>
    <row r="241" spans="1:23" s="68" customFormat="1">
      <c r="A241" s="15" t="str">
        <f>INDEX(LoadMaster!$A:$A,MATCH(B241,LoadMaster!$C:$C,0))</f>
        <v>34849519</v>
      </c>
      <c r="B241" s="81">
        <v>189684534</v>
      </c>
      <c r="C241" s="416" t="str">
        <f>VLOOKUP(Table2[[#This Row],[BrokerConfNo]],LoadMaster!C:D,2,FALSE)</f>
        <v>Ch Robinson</v>
      </c>
      <c r="D241" s="104">
        <v>42390</v>
      </c>
      <c r="E241" s="416" t="str">
        <f>IF(Table2[[#This Row],[UBActualReceived]]&gt;1,"Received","Pending")</f>
        <v>Received</v>
      </c>
      <c r="F241" s="132">
        <f>INDEX(LoadMaster!$CU:$CU,MATCH(B241,LoadMaster!$C:$C,0))</f>
        <v>375</v>
      </c>
      <c r="G241" s="132">
        <f>INDEX(LoadMaster!$CX:$CX,MATCH(B241,LoadMaster!$C:$C,0))</f>
        <v>367.5</v>
      </c>
      <c r="H241" s="132">
        <f>INDEX(LoadMaster!$CW:$CW,MATCH(B241,LoadMaster!$C:$C,0))</f>
        <v>348.75</v>
      </c>
      <c r="I241" s="330">
        <v>367.5</v>
      </c>
      <c r="J241" s="525">
        <v>348.75</v>
      </c>
      <c r="K241" s="134" t="str">
        <f t="shared" si="15"/>
        <v>Full</v>
      </c>
      <c r="L241" s="134">
        <f>INDEX(LoadMaster!$CT:$CT,MATCH(Table2[[#This Row],[BrokerConfNo]],LoadMaster!$C:$C,0))</f>
        <v>0</v>
      </c>
      <c r="M241" s="416" t="str">
        <f>INDEX(LoadMaster!$AO:$AO,MATCH(Table2[[#This Row],[BrokerConfNo]],LoadMaster!$C:$C,0))</f>
        <v>Miguel Jaime</v>
      </c>
      <c r="N241" s="104">
        <f t="shared" si="16"/>
        <v>42384</v>
      </c>
      <c r="O241" s="135">
        <f t="shared" si="17"/>
        <v>42391</v>
      </c>
      <c r="P241" s="104">
        <f>INDEX(LoadMaster!$M:$M,MATCH(B241,LoadMaster!$C:$C,0))</f>
        <v>42382</v>
      </c>
      <c r="Q241" s="416" t="str">
        <f>INDEX(LoadMaster!$P:$P,MATCH(B241,LoadMaster!$C:$C,0))</f>
        <v>Tulare</v>
      </c>
      <c r="R241" s="416" t="str">
        <f>INDEX(LoadMaster!$AH:$AH,MATCH(B241,LoadMaster!$C:$C,0))</f>
        <v>Stockton</v>
      </c>
      <c r="S241" s="416" t="str">
        <f>INDEX(LoadMaster!$DC:$DC,MATCH(B241,LoadMaster!$C:$C,0))</f>
        <v>Sunny</v>
      </c>
      <c r="T241" s="136">
        <f>INDEX(LoadMaster!$DA:$DA,MATCH(B241,LoadMaster!$C:$C,0))</f>
        <v>18.75</v>
      </c>
      <c r="U241" s="137">
        <f>Table2[[#This Row],[WeekEndingDate]]+7</f>
        <v>42391</v>
      </c>
      <c r="V241" s="15">
        <f t="shared" si="18"/>
        <v>1</v>
      </c>
      <c r="W241" s="416">
        <f t="shared" si="19"/>
        <v>2016</v>
      </c>
    </row>
    <row r="242" spans="1:23" s="68" customFormat="1">
      <c r="A242" s="15" t="str">
        <f>INDEX(LoadMaster!$A:$A,MATCH(B242,LoadMaster!$C:$C,0))</f>
        <v>53860249</v>
      </c>
      <c r="B242" s="81">
        <v>190521653</v>
      </c>
      <c r="C242" s="416" t="str">
        <f>VLOOKUP(Table2[[#This Row],[BrokerConfNo]],LoadMaster!C:D,2,FALSE)</f>
        <v>Ch Robinson</v>
      </c>
      <c r="D242" s="104">
        <v>42389</v>
      </c>
      <c r="E242" s="416" t="str">
        <f>IF(Table2[[#This Row],[UBActualReceived]]&gt;1,"Received","Pending")</f>
        <v>Received</v>
      </c>
      <c r="F242" s="132">
        <f>INDEX(LoadMaster!$CU:$CU,MATCH(B242,LoadMaster!$C:$C,0))</f>
        <v>375</v>
      </c>
      <c r="G242" s="132">
        <f>INDEX(LoadMaster!$CX:$CX,MATCH(B242,LoadMaster!$C:$C,0))</f>
        <v>367.5</v>
      </c>
      <c r="H242" s="132">
        <f>INDEX(LoadMaster!$CW:$CW,MATCH(B242,LoadMaster!$C:$C,0))</f>
        <v>325</v>
      </c>
      <c r="I242" s="330">
        <v>367.5</v>
      </c>
      <c r="J242" s="525">
        <v>325</v>
      </c>
      <c r="K242" s="134" t="str">
        <f t="shared" si="15"/>
        <v>Full</v>
      </c>
      <c r="L242" s="134">
        <f>INDEX(LoadMaster!$CT:$CT,MATCH(Table2[[#This Row],[BrokerConfNo]],LoadMaster!$C:$C,0))</f>
        <v>0</v>
      </c>
      <c r="M242" s="416" t="str">
        <f>INDEX(LoadMaster!$AO:$AO,MATCH(Table2[[#This Row],[BrokerConfNo]],LoadMaster!$C:$C,0))</f>
        <v>Albel</v>
      </c>
      <c r="N242" s="104">
        <f t="shared" si="16"/>
        <v>42384</v>
      </c>
      <c r="O242" s="135">
        <f t="shared" si="17"/>
        <v>42398</v>
      </c>
      <c r="P242" s="104">
        <f>INDEX(LoadMaster!$M:$M,MATCH(B242,LoadMaster!$C:$C,0))</f>
        <v>42382</v>
      </c>
      <c r="Q242" s="416" t="str">
        <f>INDEX(LoadMaster!$P:$P,MATCH(B242,LoadMaster!$C:$C,0))</f>
        <v>Hayward</v>
      </c>
      <c r="R242" s="416" t="str">
        <f>INDEX(LoadMaster!$AH:$AH,MATCH(B242,LoadMaster!$C:$C,0))</f>
        <v>Lathrop</v>
      </c>
      <c r="S242" s="416" t="str">
        <f>INDEX(LoadMaster!$DC:$DC,MATCH(B242,LoadMaster!$C:$C,0))</f>
        <v>Sunny</v>
      </c>
      <c r="T242" s="136">
        <f>INDEX(LoadMaster!$DA:$DA,MATCH(B242,LoadMaster!$C:$C,0))</f>
        <v>42.5</v>
      </c>
      <c r="U242" s="137">
        <f>Table2[[#This Row],[WeekEndingDate]]+7</f>
        <v>42391</v>
      </c>
      <c r="V242" s="15">
        <f t="shared" si="18"/>
        <v>1</v>
      </c>
      <c r="W242" s="416">
        <f t="shared" si="19"/>
        <v>2016</v>
      </c>
    </row>
    <row r="243" spans="1:23" s="68" customFormat="1">
      <c r="A243" s="15" t="str">
        <f>INDEX(LoadMaster!$A:$A,MATCH(B243,LoadMaster!$C:$C,0))</f>
        <v>33579788</v>
      </c>
      <c r="B243" s="81">
        <v>190527533</v>
      </c>
      <c r="C243" s="416" t="str">
        <f>VLOOKUP(Table2[[#This Row],[BrokerConfNo]],LoadMaster!C:D,2,FALSE)</f>
        <v>Ch Robinson</v>
      </c>
      <c r="D243" s="104">
        <v>42390</v>
      </c>
      <c r="E243" s="416" t="str">
        <f>IF(Table2[[#This Row],[UBActualReceived]]&gt;1,"Received","Pending")</f>
        <v>Received</v>
      </c>
      <c r="F243" s="132">
        <f>INDEX(LoadMaster!$CU:$CU,MATCH(B243,LoadMaster!$C:$C,0))</f>
        <v>500</v>
      </c>
      <c r="G243" s="132">
        <f>INDEX(LoadMaster!$CX:$CX,MATCH(B243,LoadMaster!$C:$C,0))</f>
        <v>490</v>
      </c>
      <c r="H243" s="132">
        <f>INDEX(LoadMaster!$CW:$CW,MATCH(B243,LoadMaster!$C:$C,0))</f>
        <v>465</v>
      </c>
      <c r="I243" s="330">
        <v>490</v>
      </c>
      <c r="J243" s="525">
        <v>465</v>
      </c>
      <c r="K243" s="134" t="str">
        <f t="shared" si="15"/>
        <v>Full</v>
      </c>
      <c r="L243" s="134">
        <f>INDEX(LoadMaster!$CT:$CT,MATCH(Table2[[#This Row],[BrokerConfNo]],LoadMaster!$C:$C,0))</f>
        <v>0</v>
      </c>
      <c r="M243" s="416" t="str">
        <f>INDEX(LoadMaster!$AO:$AO,MATCH(Table2[[#This Row],[BrokerConfNo]],LoadMaster!$C:$C,0))</f>
        <v>Wesley</v>
      </c>
      <c r="N243" s="104">
        <f t="shared" si="16"/>
        <v>42384</v>
      </c>
      <c r="O243" s="135">
        <f t="shared" si="17"/>
        <v>42391</v>
      </c>
      <c r="P243" s="104">
        <f>INDEX(LoadMaster!$M:$M,MATCH(B243,LoadMaster!$C:$C,0))</f>
        <v>42382</v>
      </c>
      <c r="Q243" s="416" t="str">
        <f>INDEX(LoadMaster!$P:$P,MATCH(B243,LoadMaster!$C:$C,0))</f>
        <v>Santa Clara</v>
      </c>
      <c r="R243" s="416" t="str">
        <f>INDEX(LoadMaster!$AH:$AH,MATCH(B243,LoadMaster!$C:$C,0))</f>
        <v>Chico</v>
      </c>
      <c r="S243" s="416" t="str">
        <f>INDEX(LoadMaster!$DC:$DC,MATCH(B243,LoadMaster!$C:$C,0))</f>
        <v>Harman</v>
      </c>
      <c r="T243" s="136">
        <f>INDEX(LoadMaster!$DA:$DA,MATCH(B243,LoadMaster!$C:$C,0))</f>
        <v>25</v>
      </c>
      <c r="U243" s="137">
        <f>Table2[[#This Row],[WeekEndingDate]]+7</f>
        <v>42391</v>
      </c>
      <c r="V243" s="15">
        <f t="shared" si="18"/>
        <v>1</v>
      </c>
      <c r="W243" s="416">
        <f t="shared" si="19"/>
        <v>2016</v>
      </c>
    </row>
    <row r="244" spans="1:23" s="68" customFormat="1">
      <c r="A244" s="15" t="str">
        <f>INDEX(LoadMaster!$A:$A,MATCH(B244,LoadMaster!$C:$C,0))</f>
        <v>10wn1749</v>
      </c>
      <c r="B244" s="81">
        <v>190637710</v>
      </c>
      <c r="C244" s="416" t="str">
        <f>VLOOKUP(Table2[[#This Row],[BrokerConfNo]],LoadMaster!C:D,2,FALSE)</f>
        <v>Ch Robinson</v>
      </c>
      <c r="D244" s="104">
        <v>42394</v>
      </c>
      <c r="E244" s="416" t="str">
        <f>IF(Table2[[#This Row],[UBActualReceived]]&gt;1,"Received","Pending")</f>
        <v>Received</v>
      </c>
      <c r="F244" s="132">
        <f>INDEX(LoadMaster!$CU:$CU,MATCH(B244,LoadMaster!$C:$C,0))</f>
        <v>600</v>
      </c>
      <c r="G244" s="132">
        <f>INDEX(LoadMaster!$CX:$CX,MATCH(B244,LoadMaster!$C:$C,0))</f>
        <v>588</v>
      </c>
      <c r="H244" s="132">
        <f>INDEX(LoadMaster!$CW:$CW,MATCH(B244,LoadMaster!$C:$C,0))</f>
        <v>561.5</v>
      </c>
      <c r="I244" s="330">
        <v>588</v>
      </c>
      <c r="J244" s="525">
        <v>561.5</v>
      </c>
      <c r="K244" s="134" t="str">
        <f t="shared" si="15"/>
        <v>Full</v>
      </c>
      <c r="L244" s="134">
        <f>INDEX(LoadMaster!$CT:$CT,MATCH(Table2[[#This Row],[BrokerConfNo]],LoadMaster!$C:$C,0))</f>
        <v>50</v>
      </c>
      <c r="M244" s="416" t="str">
        <f>INDEX(LoadMaster!$AO:$AO,MATCH(Table2[[#This Row],[BrokerConfNo]],LoadMaster!$C:$C,0))</f>
        <v>Albel</v>
      </c>
      <c r="N244" s="104">
        <f t="shared" si="16"/>
        <v>42384</v>
      </c>
      <c r="O244" s="135">
        <f t="shared" si="17"/>
        <v>42398</v>
      </c>
      <c r="P244" s="104">
        <f>INDEX(LoadMaster!$M:$M,MATCH(B244,LoadMaster!$C:$C,0))</f>
        <v>42382</v>
      </c>
      <c r="Q244" s="416" t="str">
        <f>INDEX(LoadMaster!$P:$P,MATCH(B244,LoadMaster!$C:$C,0))</f>
        <v>Woodland</v>
      </c>
      <c r="R244" s="416" t="str">
        <f>INDEX(LoadMaster!$AH:$AH,MATCH(B244,LoadMaster!$C:$C,0))</f>
        <v>Santa Maria, San Luis Obispo</v>
      </c>
      <c r="S244" s="416" t="str">
        <f>INDEX(LoadMaster!$DC:$DC,MATCH(B244,LoadMaster!$C:$C,0))</f>
        <v>Sunny</v>
      </c>
      <c r="T244" s="136">
        <f>INDEX(LoadMaster!$DA:$DA,MATCH(B244,LoadMaster!$C:$C,0))</f>
        <v>26.5</v>
      </c>
      <c r="U244" s="137">
        <f>Table2[[#This Row],[WeekEndingDate]]+7</f>
        <v>42391</v>
      </c>
      <c r="V244" s="15">
        <f t="shared" si="18"/>
        <v>1</v>
      </c>
      <c r="W244" s="416">
        <f t="shared" si="19"/>
        <v>2016</v>
      </c>
    </row>
    <row r="245" spans="1:23" s="68" customFormat="1">
      <c r="A245" s="15" t="str">
        <f>INDEX(LoadMaster!$A:$A,MATCH(B245,LoadMaster!$C:$C,0))</f>
        <v>34wnne19</v>
      </c>
      <c r="B245" s="81">
        <v>190673234</v>
      </c>
      <c r="C245" s="416" t="str">
        <f>VLOOKUP(Table2[[#This Row],[BrokerConfNo]],LoadMaster!C:D,2,FALSE)</f>
        <v>Ch Robinson</v>
      </c>
      <c r="D245" s="104">
        <v>42390</v>
      </c>
      <c r="E245" s="416" t="str">
        <f>IF(Table2[[#This Row],[UBActualReceived]]&gt;1,"Received","Pending")</f>
        <v>Received</v>
      </c>
      <c r="F245" s="132">
        <f>INDEX(LoadMaster!$CU:$CU,MATCH(B245,LoadMaster!$C:$C,0))</f>
        <v>375</v>
      </c>
      <c r="G245" s="132">
        <f>INDEX(LoadMaster!$CX:$CX,MATCH(B245,LoadMaster!$C:$C,0))</f>
        <v>367.5</v>
      </c>
      <c r="H245" s="132">
        <f>INDEX(LoadMaster!$CW:$CW,MATCH(B245,LoadMaster!$C:$C,0))</f>
        <v>348.75</v>
      </c>
      <c r="I245" s="330">
        <v>367.5</v>
      </c>
      <c r="J245" s="525">
        <v>348.75</v>
      </c>
      <c r="K245" s="134" t="str">
        <f t="shared" si="15"/>
        <v>Full</v>
      </c>
      <c r="L245" s="134">
        <f>INDEX(LoadMaster!$CT:$CT,MATCH(Table2[[#This Row],[BrokerConfNo]],LoadMaster!$C:$C,0))</f>
        <v>25</v>
      </c>
      <c r="M245" s="416" t="str">
        <f>INDEX(LoadMaster!$AO:$AO,MATCH(Table2[[#This Row],[BrokerConfNo]],LoadMaster!$C:$C,0))</f>
        <v>Miguel Jaime</v>
      </c>
      <c r="N245" s="104">
        <f t="shared" si="16"/>
        <v>42384</v>
      </c>
      <c r="O245" s="135">
        <f t="shared" si="17"/>
        <v>42391</v>
      </c>
      <c r="P245" s="104">
        <f>INDEX(LoadMaster!$M:$M,MATCH(B245,LoadMaster!$C:$C,0))</f>
        <v>42383</v>
      </c>
      <c r="Q245" s="416" t="str">
        <f>INDEX(LoadMaster!$P:$P,MATCH(B245,LoadMaster!$C:$C,0))</f>
        <v>Woodland</v>
      </c>
      <c r="R245" s="416" t="str">
        <f>INDEX(LoadMaster!$AH:$AH,MATCH(B245,LoadMaster!$C:$C,0))</f>
        <v>San Jose</v>
      </c>
      <c r="S245" s="416" t="str">
        <f>INDEX(LoadMaster!$DC:$DC,MATCH(B245,LoadMaster!$C:$C,0))</f>
        <v>Sunny</v>
      </c>
      <c r="T245" s="136">
        <f>INDEX(LoadMaster!$DA:$DA,MATCH(B245,LoadMaster!$C:$C,0))</f>
        <v>18.75</v>
      </c>
      <c r="U245" s="137">
        <f>Table2[[#This Row],[WeekEndingDate]]+7</f>
        <v>42391</v>
      </c>
      <c r="V245" s="15">
        <f t="shared" si="18"/>
        <v>1</v>
      </c>
      <c r="W245" s="416">
        <f t="shared" si="19"/>
        <v>2016</v>
      </c>
    </row>
    <row r="246" spans="1:23" s="68" customFormat="1">
      <c r="A246" s="15" t="str">
        <f>INDEX(LoadMaster!$A:$A,MATCH(B246,LoadMaster!$C:$C,0))</f>
        <v>7102ne88</v>
      </c>
      <c r="B246" s="81">
        <v>190629371</v>
      </c>
      <c r="C246" s="416" t="str">
        <f>VLOOKUP(Table2[[#This Row],[BrokerConfNo]],LoadMaster!C:D,2,FALSE)</f>
        <v>Ch Robinson</v>
      </c>
      <c r="D246" s="104">
        <v>42390</v>
      </c>
      <c r="E246" s="416" t="str">
        <f>IF(Table2[[#This Row],[UBActualReceived]]&gt;1,"Received","Pending")</f>
        <v>Received</v>
      </c>
      <c r="F246" s="132">
        <f>INDEX(LoadMaster!$CU:$CU,MATCH(B246,LoadMaster!$C:$C,0))</f>
        <v>480</v>
      </c>
      <c r="G246" s="132">
        <f>INDEX(LoadMaster!$CX:$CX,MATCH(B246,LoadMaster!$C:$C,0))</f>
        <v>470.4</v>
      </c>
      <c r="H246" s="132">
        <f>INDEX(LoadMaster!$CW:$CW,MATCH(B246,LoadMaster!$C:$C,0))</f>
        <v>446.4</v>
      </c>
      <c r="I246" s="330">
        <v>470.4</v>
      </c>
      <c r="J246" s="525">
        <v>446.4</v>
      </c>
      <c r="K246" s="134" t="str">
        <f t="shared" si="15"/>
        <v>Full</v>
      </c>
      <c r="L246" s="134">
        <f>INDEX(LoadMaster!$CT:$CT,MATCH(Table2[[#This Row],[BrokerConfNo]],LoadMaster!$C:$C,0))</f>
        <v>30</v>
      </c>
      <c r="M246" s="416" t="str">
        <f>INDEX(LoadMaster!$AO:$AO,MATCH(Table2[[#This Row],[BrokerConfNo]],LoadMaster!$C:$C,0))</f>
        <v>Wesley</v>
      </c>
      <c r="N246" s="104">
        <f t="shared" si="16"/>
        <v>42384</v>
      </c>
      <c r="O246" s="135">
        <f t="shared" si="17"/>
        <v>42391</v>
      </c>
      <c r="P246" s="104">
        <f>INDEX(LoadMaster!$M:$M,MATCH(B246,LoadMaster!$C:$C,0))</f>
        <v>42383</v>
      </c>
      <c r="Q246" s="416" t="str">
        <f>INDEX(LoadMaster!$P:$P,MATCH(B246,LoadMaster!$C:$C,0))</f>
        <v>Chico</v>
      </c>
      <c r="R246" s="416" t="str">
        <f>INDEX(LoadMaster!$AH:$AH,MATCH(B246,LoadMaster!$C:$C,0))</f>
        <v>Cloverdale</v>
      </c>
      <c r="S246" s="416" t="str">
        <f>INDEX(LoadMaster!$DC:$DC,MATCH(B246,LoadMaster!$C:$C,0))</f>
        <v>Harman</v>
      </c>
      <c r="T246" s="136">
        <f>INDEX(LoadMaster!$DA:$DA,MATCH(B246,LoadMaster!$C:$C,0))</f>
        <v>24.000000000000021</v>
      </c>
      <c r="U246" s="137">
        <f>Table2[[#This Row],[WeekEndingDate]]+7</f>
        <v>42391</v>
      </c>
      <c r="V246" s="15">
        <f t="shared" si="18"/>
        <v>1</v>
      </c>
      <c r="W246" s="416">
        <f t="shared" si="19"/>
        <v>2016</v>
      </c>
    </row>
    <row r="247" spans="1:23" s="68" customFormat="1">
      <c r="A247" s="15" t="str">
        <f>INDEX(LoadMaster!$A:$A,MATCH(B247,LoadMaster!$C:$C,0))</f>
        <v>68171719</v>
      </c>
      <c r="B247" s="81">
        <v>190812368</v>
      </c>
      <c r="C247" s="416" t="str">
        <f>VLOOKUP(Table2[[#This Row],[BrokerConfNo]],LoadMaster!C:D,2,FALSE)</f>
        <v>Ch Robinson</v>
      </c>
      <c r="D247" s="104">
        <v>42394</v>
      </c>
      <c r="E247" s="416" t="str">
        <f>IF(Table2[[#This Row],[UBActualReceived]]&gt;1,"Received","Pending")</f>
        <v>Received</v>
      </c>
      <c r="F247" s="132">
        <f>INDEX(LoadMaster!$CU:$CU,MATCH(B247,LoadMaster!$C:$C,0))</f>
        <v>225</v>
      </c>
      <c r="G247" s="132">
        <f>INDEX(LoadMaster!$CX:$CX,MATCH(B247,LoadMaster!$C:$C,0))</f>
        <v>220.5</v>
      </c>
      <c r="H247" s="132">
        <f>INDEX(LoadMaster!$CW:$CW,MATCH(B247,LoadMaster!$C:$C,0))</f>
        <v>209.25</v>
      </c>
      <c r="I247" s="330">
        <v>220.5</v>
      </c>
      <c r="J247" s="525">
        <v>209.25</v>
      </c>
      <c r="K247" s="134" t="str">
        <f t="shared" si="15"/>
        <v>Full</v>
      </c>
      <c r="L247" s="134">
        <f>INDEX(LoadMaster!$CT:$CT,MATCH(Table2[[#This Row],[BrokerConfNo]],LoadMaster!$C:$C,0))</f>
        <v>0</v>
      </c>
      <c r="M247" s="416" t="str">
        <f>INDEX(LoadMaster!$AO:$AO,MATCH(Table2[[#This Row],[BrokerConfNo]],LoadMaster!$C:$C,0))</f>
        <v>Miguel Jaime</v>
      </c>
      <c r="N247" s="104">
        <f t="shared" si="16"/>
        <v>42384</v>
      </c>
      <c r="O247" s="135">
        <f t="shared" si="17"/>
        <v>42391</v>
      </c>
      <c r="P247" s="104">
        <f>INDEX(LoadMaster!$M:$M,MATCH(B247,LoadMaster!$C:$C,0))</f>
        <v>42383</v>
      </c>
      <c r="Q247" s="416" t="str">
        <f>INDEX(LoadMaster!$P:$P,MATCH(B247,LoadMaster!$C:$C,0))</f>
        <v>Tracy</v>
      </c>
      <c r="R247" s="416" t="str">
        <f>INDEX(LoadMaster!$AH:$AH,MATCH(B247,LoadMaster!$C:$C,0))</f>
        <v>Manteca</v>
      </c>
      <c r="S247" s="416" t="str">
        <f>INDEX(LoadMaster!$DC:$DC,MATCH(B247,LoadMaster!$C:$C,0))</f>
        <v>Sunny</v>
      </c>
      <c r="T247" s="136">
        <f>INDEX(LoadMaster!$DA:$DA,MATCH(B247,LoadMaster!$C:$C,0))</f>
        <v>11.25</v>
      </c>
      <c r="U247" s="137">
        <f>Table2[[#This Row],[WeekEndingDate]]+7</f>
        <v>42391</v>
      </c>
      <c r="V247" s="15">
        <f t="shared" si="18"/>
        <v>1</v>
      </c>
      <c r="W247" s="416">
        <f t="shared" si="19"/>
        <v>2016</v>
      </c>
    </row>
    <row r="248" spans="1:23" s="68" customFormat="1">
      <c r="A248" s="15" t="str">
        <f>INDEX(LoadMaster!$A:$A,MATCH(B248,LoadMaster!$C:$C,0))</f>
        <v>36828249</v>
      </c>
      <c r="B248" s="81">
        <v>190118136</v>
      </c>
      <c r="C248" s="416" t="str">
        <f>VLOOKUP(Table2[[#This Row],[BrokerConfNo]],LoadMaster!C:D,2,FALSE)</f>
        <v>Ch Robinson</v>
      </c>
      <c r="D248" s="104">
        <v>42401</v>
      </c>
      <c r="E248" s="416" t="str">
        <f>IF(Table2[[#This Row],[UBActualReceived]]&gt;1,"Received","Pending")</f>
        <v>Received</v>
      </c>
      <c r="F248" s="132">
        <f>INDEX(LoadMaster!$CU:$CU,MATCH(B248,LoadMaster!$C:$C,0))</f>
        <v>775</v>
      </c>
      <c r="G248" s="132">
        <f>INDEX(LoadMaster!$CX:$CX,MATCH(B248,LoadMaster!$C:$C,0))</f>
        <v>759.5</v>
      </c>
      <c r="H248" s="132">
        <f>INDEX(LoadMaster!$CW:$CW,MATCH(B248,LoadMaster!$C:$C,0))</f>
        <v>705</v>
      </c>
      <c r="I248" s="330">
        <v>759.5</v>
      </c>
      <c r="J248" s="525">
        <v>705</v>
      </c>
      <c r="K248" s="134" t="str">
        <f t="shared" si="15"/>
        <v>Full</v>
      </c>
      <c r="L248" s="134">
        <f>INDEX(LoadMaster!$CT:$CT,MATCH(Table2[[#This Row],[BrokerConfNo]],LoadMaster!$C:$C,0))</f>
        <v>0</v>
      </c>
      <c r="M248" s="416" t="str">
        <f>INDEX(LoadMaster!$AO:$AO,MATCH(Table2[[#This Row],[BrokerConfNo]],LoadMaster!$C:$C,0))</f>
        <v>Albel</v>
      </c>
      <c r="N248" s="104">
        <f t="shared" si="16"/>
        <v>42384</v>
      </c>
      <c r="O248" s="135">
        <f t="shared" si="17"/>
        <v>42398</v>
      </c>
      <c r="P248" s="104">
        <f>INDEX(LoadMaster!$M:$M,MATCH(B248,LoadMaster!$C:$C,0))</f>
        <v>42383</v>
      </c>
      <c r="Q248" s="416" t="str">
        <f>INDEX(LoadMaster!$P:$P,MATCH(B248,LoadMaster!$C:$C,0))</f>
        <v>Van Nuys</v>
      </c>
      <c r="R248" s="416" t="str">
        <f>INDEX(LoadMaster!$AH:$AH,MATCH(B248,LoadMaster!$C:$C,0))</f>
        <v>South San Francisco,</v>
      </c>
      <c r="S248" s="416" t="str">
        <f>INDEX(LoadMaster!$DC:$DC,MATCH(B248,LoadMaster!$C:$C,0))</f>
        <v>Sunny</v>
      </c>
      <c r="T248" s="136">
        <f>INDEX(LoadMaster!$DA:$DA,MATCH(B248,LoadMaster!$C:$C,0))</f>
        <v>54.5</v>
      </c>
      <c r="U248" s="137">
        <f>Table2[[#This Row],[WeekEndingDate]]+7</f>
        <v>42391</v>
      </c>
      <c r="V248" s="15">
        <f t="shared" si="18"/>
        <v>1</v>
      </c>
      <c r="W248" s="416">
        <f t="shared" si="19"/>
        <v>2016</v>
      </c>
    </row>
    <row r="249" spans="1:23" s="68" customFormat="1">
      <c r="A249" s="15" t="str">
        <f>INDEX(LoadMaster!$A:$A,MATCH(B249,LoadMaster!$C:$C,0))</f>
        <v>42979719</v>
      </c>
      <c r="B249" s="55">
        <v>46542</v>
      </c>
      <c r="C249" s="18" t="str">
        <f>VLOOKUP(Table2[[#This Row],[BrokerConfNo]],LoadMaster!C:D,2,FALSE)</f>
        <v>Cargobarn Inc.</v>
      </c>
      <c r="D249" s="26">
        <v>42396</v>
      </c>
      <c r="E249" s="18" t="str">
        <f>IF(Table2[[#This Row],[UBActualReceived]]&gt;1,"Received","Pending")</f>
        <v>Received</v>
      </c>
      <c r="F249" s="21">
        <f>INDEX(LoadMaster!$CU:$CU,MATCH(B249,LoadMaster!$C:$C,0))</f>
        <v>300</v>
      </c>
      <c r="G249" s="132">
        <f>INDEX(LoadMaster!$CX:$CX,MATCH(B249,LoadMaster!$C:$C,0))</f>
        <v>291</v>
      </c>
      <c r="H249" s="132">
        <f>INDEX(LoadMaster!$CW:$CW,MATCH(B249,LoadMaster!$C:$C,0))</f>
        <v>275</v>
      </c>
      <c r="I249" s="331">
        <v>291</v>
      </c>
      <c r="J249" s="526">
        <v>275</v>
      </c>
      <c r="K249" s="27" t="str">
        <f t="shared" si="15"/>
        <v>Full</v>
      </c>
      <c r="L249" s="27">
        <f>INDEX(LoadMaster!$CT:$CT,MATCH(Table2[[#This Row],[BrokerConfNo]],LoadMaster!$C:$C,0))</f>
        <v>0</v>
      </c>
      <c r="M249" s="18" t="str">
        <f>INDEX(LoadMaster!$AO:$AO,MATCH(Table2[[#This Row],[BrokerConfNo]],LoadMaster!$C:$C,0))</f>
        <v>Miguel Jaime</v>
      </c>
      <c r="N249" s="26">
        <f t="shared" si="16"/>
        <v>42384</v>
      </c>
      <c r="O249" s="109">
        <f t="shared" si="17"/>
        <v>42391</v>
      </c>
      <c r="P249" s="26">
        <f>INDEX(LoadMaster!$M:$M,MATCH(B249,LoadMaster!$C:$C,0))</f>
        <v>42384</v>
      </c>
      <c r="Q249" s="18" t="str">
        <f>INDEX(LoadMaster!$P:$P,MATCH(B249,LoadMaster!$C:$C,0))</f>
        <v>Stockton</v>
      </c>
      <c r="R249" s="18" t="str">
        <f>INDEX(LoadMaster!$AH:$AH,MATCH(B249,LoadMaster!$C:$C,0))</f>
        <v>Richmond</v>
      </c>
      <c r="S249" s="416" t="str">
        <f>INDEX(LoadMaster!$DC:$DC,MATCH(B249,LoadMaster!$C:$C,0))</f>
        <v>Sunny</v>
      </c>
      <c r="T249" s="48">
        <f>INDEX(LoadMaster!$DA:$DA,MATCH(B249,LoadMaster!$C:$C,0))</f>
        <v>16</v>
      </c>
      <c r="U249" s="110">
        <f>Table2[[#This Row],[WeekEndingDate]]+7</f>
        <v>42391</v>
      </c>
      <c r="V249" s="14">
        <f t="shared" si="18"/>
        <v>1</v>
      </c>
      <c r="W249" s="18">
        <f t="shared" si="19"/>
        <v>2016</v>
      </c>
    </row>
    <row r="250" spans="1:23" s="18" customFormat="1">
      <c r="A250" s="15" t="str">
        <f>INDEX(LoadMaster!$A:$A,MATCH(B250,LoadMaster!$C:$C,0))</f>
        <v>07727249</v>
      </c>
      <c r="B250" s="81">
        <v>190409007</v>
      </c>
      <c r="C250" s="416" t="str">
        <f>VLOOKUP(Table2[[#This Row],[BrokerConfNo]],LoadMaster!C:D,2,FALSE)</f>
        <v>Ch Robinson</v>
      </c>
      <c r="D250" s="104">
        <v>42401</v>
      </c>
      <c r="E250" s="416" t="str">
        <f>IF(Table2[[#This Row],[UBActualReceived]]&gt;1,"Received","Pending")</f>
        <v>Received</v>
      </c>
      <c r="F250" s="132">
        <f>INDEX(LoadMaster!$CU:$CU,MATCH(B250,LoadMaster!$C:$C,0))</f>
        <v>350</v>
      </c>
      <c r="G250" s="132">
        <f>INDEX(LoadMaster!$CX:$CX,MATCH(B250,LoadMaster!$C:$C,0))</f>
        <v>343</v>
      </c>
      <c r="H250" s="132">
        <f>INDEX(LoadMaster!$CW:$CW,MATCH(B250,LoadMaster!$C:$C,0))</f>
        <v>300</v>
      </c>
      <c r="I250" s="330">
        <v>343</v>
      </c>
      <c r="J250" s="525">
        <v>300</v>
      </c>
      <c r="K250" s="134" t="str">
        <f t="shared" si="15"/>
        <v>Full</v>
      </c>
      <c r="L250" s="134">
        <f>INDEX(LoadMaster!$CT:$CT,MATCH(Table2[[#This Row],[BrokerConfNo]],LoadMaster!$C:$C,0))</f>
        <v>0</v>
      </c>
      <c r="M250" s="416" t="str">
        <f>INDEX(LoadMaster!$AO:$AO,MATCH(Table2[[#This Row],[BrokerConfNo]],LoadMaster!$C:$C,0))</f>
        <v>Albel</v>
      </c>
      <c r="N250" s="104">
        <f t="shared" si="16"/>
        <v>42384</v>
      </c>
      <c r="O250" s="135">
        <f t="shared" si="17"/>
        <v>42398</v>
      </c>
      <c r="P250" s="104">
        <f>INDEX(LoadMaster!$M:$M,MATCH(B250,LoadMaster!$C:$C,0))</f>
        <v>42384</v>
      </c>
      <c r="Q250" s="416" t="str">
        <f>INDEX(LoadMaster!$P:$P,MATCH(B250,LoadMaster!$C:$C,0))</f>
        <v>Santa Barbara</v>
      </c>
      <c r="R250" s="416" t="str">
        <f>INDEX(LoadMaster!$AH:$AH,MATCH(B250,LoadMaster!$C:$C,0))</f>
        <v>Colton</v>
      </c>
      <c r="S250" s="416" t="str">
        <f>INDEX(LoadMaster!$DC:$DC,MATCH(B250,LoadMaster!$C:$C,0))</f>
        <v>Sunny</v>
      </c>
      <c r="T250" s="136">
        <f>INDEX(LoadMaster!$DA:$DA,MATCH(B250,LoadMaster!$C:$C,0))</f>
        <v>43</v>
      </c>
      <c r="U250" s="137">
        <f>Table2[[#This Row],[WeekEndingDate]]+7</f>
        <v>42391</v>
      </c>
      <c r="V250" s="15">
        <f t="shared" si="18"/>
        <v>1</v>
      </c>
      <c r="W250" s="416">
        <f t="shared" si="19"/>
        <v>2016</v>
      </c>
    </row>
    <row r="251" spans="1:23" s="68" customFormat="1">
      <c r="A251" s="15" t="str">
        <f>INDEX(LoadMaster!$A:$A,MATCH(B251,LoadMaster!$C:$C,0))</f>
        <v>76763149</v>
      </c>
      <c r="B251" s="81">
        <v>190735076</v>
      </c>
      <c r="C251" s="416" t="str">
        <f>VLOOKUP(Table2[[#This Row],[BrokerConfNo]],LoadMaster!C:D,2,FALSE)</f>
        <v>Ch Robinson</v>
      </c>
      <c r="D251" s="104">
        <v>42394</v>
      </c>
      <c r="E251" s="416" t="str">
        <f>IF(Table2[[#This Row],[UBActualReceived]]&gt;1,"Received","Pending")</f>
        <v>Received</v>
      </c>
      <c r="F251" s="132">
        <f>INDEX(LoadMaster!$CU:$CU,MATCH(B251,LoadMaster!$C:$C,0))</f>
        <v>375</v>
      </c>
      <c r="G251" s="132">
        <f>INDEX(LoadMaster!$CX:$CX,MATCH(B251,LoadMaster!$C:$C,0))</f>
        <v>367.5</v>
      </c>
      <c r="H251" s="132">
        <f>INDEX(LoadMaster!$CW:$CW,MATCH(B251,LoadMaster!$C:$C,0))</f>
        <v>325</v>
      </c>
      <c r="I251" s="330">
        <v>367.5</v>
      </c>
      <c r="J251" s="525">
        <v>325</v>
      </c>
      <c r="K251" s="134" t="str">
        <f t="shared" si="15"/>
        <v>Full</v>
      </c>
      <c r="L251" s="134">
        <f>INDEX(LoadMaster!$CT:$CT,MATCH(Table2[[#This Row],[BrokerConfNo]],LoadMaster!$C:$C,0))</f>
        <v>25</v>
      </c>
      <c r="M251" s="416" t="str">
        <f>INDEX(LoadMaster!$AO:$AO,MATCH(Table2[[#This Row],[BrokerConfNo]],LoadMaster!$C:$C,0))</f>
        <v>Albel</v>
      </c>
      <c r="N251" s="104">
        <f t="shared" si="16"/>
        <v>42384</v>
      </c>
      <c r="O251" s="135">
        <f t="shared" si="17"/>
        <v>42398</v>
      </c>
      <c r="P251" s="104">
        <f>INDEX(LoadMaster!$M:$M,MATCH(B251,LoadMaster!$C:$C,0))</f>
        <v>42384</v>
      </c>
      <c r="Q251" s="416" t="str">
        <f>INDEX(LoadMaster!$P:$P,MATCH(B251,LoadMaster!$C:$C,0))</f>
        <v>Tracy</v>
      </c>
      <c r="R251" s="416" t="str">
        <f>INDEX(LoadMaster!$AH:$AH,MATCH(B251,LoadMaster!$C:$C,0))</f>
        <v>Petaluma</v>
      </c>
      <c r="S251" s="416" t="str">
        <f>INDEX(LoadMaster!$DC:$DC,MATCH(B251,LoadMaster!$C:$C,0))</f>
        <v>Sunny</v>
      </c>
      <c r="T251" s="136">
        <f>INDEX(LoadMaster!$DA:$DA,MATCH(B251,LoadMaster!$C:$C,0))</f>
        <v>42.5</v>
      </c>
      <c r="U251" s="137">
        <f>Table2[[#This Row],[WeekEndingDate]]+7</f>
        <v>42391</v>
      </c>
      <c r="V251" s="15">
        <f t="shared" si="18"/>
        <v>1</v>
      </c>
      <c r="W251" s="416">
        <f t="shared" si="19"/>
        <v>2016</v>
      </c>
    </row>
    <row r="252" spans="1:23" s="18" customFormat="1">
      <c r="A252" s="15" t="str">
        <f>INDEX(LoadMaster!$A:$A,MATCH(B252,LoadMaster!$C:$C,0))</f>
        <v>68tl7119</v>
      </c>
      <c r="B252" s="55">
        <v>9468</v>
      </c>
      <c r="C252" s="18" t="str">
        <f>VLOOKUP(Table2[[#This Row],[BrokerConfNo]],LoadMaster!C:D,2,FALSE)</f>
        <v>Ntl Logistics</v>
      </c>
      <c r="D252" s="26">
        <v>42397</v>
      </c>
      <c r="E252" s="18" t="str">
        <f>IF(Table2[[#This Row],[UBActualReceived]]&gt;1,"Received","Pending")</f>
        <v>Received</v>
      </c>
      <c r="F252" s="21">
        <f>INDEX(LoadMaster!$CU:$CU,MATCH(B252,LoadMaster!$C:$C,0))</f>
        <v>375</v>
      </c>
      <c r="G252" s="132">
        <f>INDEX(LoadMaster!$CX:$CX,MATCH(B252,LoadMaster!$C:$C,0))</f>
        <v>360</v>
      </c>
      <c r="H252" s="132">
        <f>INDEX(LoadMaster!$CW:$CW,MATCH(B252,LoadMaster!$C:$C,0))</f>
        <v>348.75</v>
      </c>
      <c r="I252" s="331">
        <v>375</v>
      </c>
      <c r="J252" s="526">
        <v>348.75</v>
      </c>
      <c r="K252" s="27" t="str">
        <f t="shared" si="15"/>
        <v>Full</v>
      </c>
      <c r="L252" s="27">
        <f>INDEX(LoadMaster!$CT:$CT,MATCH(Table2[[#This Row],[BrokerConfNo]],LoadMaster!$C:$C,0))</f>
        <v>0</v>
      </c>
      <c r="M252" s="18" t="str">
        <f>INDEX(LoadMaster!$AO:$AO,MATCH(Table2[[#This Row],[BrokerConfNo]],LoadMaster!$C:$C,0))</f>
        <v>Miguel Jaime</v>
      </c>
      <c r="N252" s="26">
        <f t="shared" si="16"/>
        <v>42384</v>
      </c>
      <c r="O252" s="109">
        <f t="shared" si="17"/>
        <v>42391</v>
      </c>
      <c r="P252" s="26">
        <f>INDEX(LoadMaster!$M:$M,MATCH(B252,LoadMaster!$C:$C,0))</f>
        <v>42384</v>
      </c>
      <c r="Q252" s="18" t="str">
        <f>INDEX(LoadMaster!$P:$P,MATCH(B252,LoadMaster!$C:$C,0))</f>
        <v>Foster City</v>
      </c>
      <c r="R252" s="18" t="str">
        <f>INDEX(LoadMaster!$AH:$AH,MATCH(B252,LoadMaster!$C:$C,0))</f>
        <v>Mcclellan</v>
      </c>
      <c r="S252" s="416" t="str">
        <f>INDEX(LoadMaster!$DC:$DC,MATCH(B252,LoadMaster!$C:$C,0))</f>
        <v>Sunny</v>
      </c>
      <c r="T252" s="48">
        <f>INDEX(LoadMaster!$DA:$DA,MATCH(B252,LoadMaster!$C:$C,0))</f>
        <v>11.25</v>
      </c>
      <c r="U252" s="110">
        <f>Table2[[#This Row],[WeekEndingDate]]+7</f>
        <v>42391</v>
      </c>
      <c r="V252" s="14">
        <f t="shared" si="18"/>
        <v>1</v>
      </c>
      <c r="W252" s="18">
        <f t="shared" si="19"/>
        <v>2016</v>
      </c>
    </row>
    <row r="253" spans="1:23" s="18" customFormat="1">
      <c r="A253" s="15" t="str">
        <f>INDEX(LoadMaster!$A:$A,MATCH(B253,LoadMaster!$C:$C,0))</f>
        <v>37565688</v>
      </c>
      <c r="B253" s="81">
        <v>190869437</v>
      </c>
      <c r="C253" s="416" t="str">
        <f>VLOOKUP(Table2[[#This Row],[BrokerConfNo]],LoadMaster!C:D,2,FALSE)</f>
        <v>Ch Robinson</v>
      </c>
      <c r="D253" s="104">
        <v>42401</v>
      </c>
      <c r="E253" s="416" t="str">
        <f>IF(Table2[[#This Row],[UBActualReceived]]&gt;1,"Received","Pending")</f>
        <v>Received</v>
      </c>
      <c r="F253" s="132">
        <f>INDEX(LoadMaster!$CU:$CU,MATCH(B253,LoadMaster!$C:$C,0))</f>
        <v>1300</v>
      </c>
      <c r="G253" s="132">
        <f>INDEX(LoadMaster!$CX:$CX,MATCH(B253,LoadMaster!$C:$C,0))</f>
        <v>1274</v>
      </c>
      <c r="H253" s="132">
        <f>INDEX(LoadMaster!$CW:$CW,MATCH(B253,LoadMaster!$C:$C,0))</f>
        <v>1209</v>
      </c>
      <c r="I253" s="330">
        <v>1274</v>
      </c>
      <c r="J253" s="525">
        <v>1209</v>
      </c>
      <c r="K253" s="134" t="str">
        <f t="shared" si="15"/>
        <v>Full</v>
      </c>
      <c r="L253" s="134">
        <f>INDEX(LoadMaster!$CT:$CT,MATCH(Table2[[#This Row],[BrokerConfNo]],LoadMaster!$C:$C,0))</f>
        <v>0</v>
      </c>
      <c r="M253" s="416" t="str">
        <f>INDEX(LoadMaster!$AO:$AO,MATCH(Table2[[#This Row],[BrokerConfNo]],LoadMaster!$C:$C,0))</f>
        <v>Wesley</v>
      </c>
      <c r="N253" s="104">
        <f t="shared" si="16"/>
        <v>42391</v>
      </c>
      <c r="O253" s="135">
        <f t="shared" si="17"/>
        <v>42398</v>
      </c>
      <c r="P253" s="104">
        <f>INDEX(LoadMaster!$M:$M,MATCH(B253,LoadMaster!$C:$C,0))</f>
        <v>42387</v>
      </c>
      <c r="Q253" s="416" t="str">
        <f>INDEX(LoadMaster!$P:$P,MATCH(B253,LoadMaster!$C:$C,0))</f>
        <v>Oakland</v>
      </c>
      <c r="R253" s="416" t="str">
        <f>INDEX(LoadMaster!$AH:$AH,MATCH(B253,LoadMaster!$C:$C,0))</f>
        <v>Tolleson</v>
      </c>
      <c r="S253" s="416" t="str">
        <f>INDEX(LoadMaster!$DC:$DC,MATCH(B253,LoadMaster!$C:$C,0))</f>
        <v>Harman</v>
      </c>
      <c r="T253" s="136">
        <f>INDEX(LoadMaster!$DA:$DA,MATCH(B253,LoadMaster!$C:$C,0))</f>
        <v>65</v>
      </c>
      <c r="U253" s="137">
        <f>Table2[[#This Row],[WeekEndingDate]]+7</f>
        <v>42398</v>
      </c>
      <c r="V253" s="15">
        <f t="shared" si="18"/>
        <v>1</v>
      </c>
      <c r="W253" s="416">
        <f t="shared" si="19"/>
        <v>2016</v>
      </c>
    </row>
    <row r="254" spans="1:23" s="18" customFormat="1">
      <c r="A254" s="15" t="str">
        <f>INDEX(LoadMaster!$A:$A,MATCH(B254,LoadMaster!$C:$C,0))</f>
        <v>44620049</v>
      </c>
      <c r="B254" s="55">
        <v>117544</v>
      </c>
      <c r="C254" s="18" t="str">
        <f>VLOOKUP(Table2[[#This Row],[BrokerConfNo]],LoadMaster!C:D,2,FALSE)</f>
        <v>Pepsi Logistics Company Inc</v>
      </c>
      <c r="D254" s="26">
        <v>42403</v>
      </c>
      <c r="E254" s="18" t="str">
        <f>IF(Table2[[#This Row],[UBActualReceived]]&gt;1,"Received","Pending")</f>
        <v>Received</v>
      </c>
      <c r="F254" s="21">
        <f>INDEX(LoadMaster!$CU:$CU,MATCH(B254,LoadMaster!$C:$C,0))</f>
        <v>350</v>
      </c>
      <c r="G254" s="132">
        <f>INDEX(LoadMaster!$CX:$CX,MATCH(B254,LoadMaster!$C:$C,0))</f>
        <v>341.25</v>
      </c>
      <c r="H254" s="132">
        <f>INDEX(LoadMaster!$CW:$CW,MATCH(B254,LoadMaster!$C:$C,0))</f>
        <v>300</v>
      </c>
      <c r="I254" s="331">
        <v>341.25</v>
      </c>
      <c r="J254" s="526">
        <v>300</v>
      </c>
      <c r="K254" s="27" t="str">
        <f t="shared" si="15"/>
        <v>Full</v>
      </c>
      <c r="L254" s="27">
        <f>INDEX(LoadMaster!$CT:$CT,MATCH(Table2[[#This Row],[BrokerConfNo]],LoadMaster!$C:$C,0))</f>
        <v>0</v>
      </c>
      <c r="M254" s="18" t="str">
        <f>INDEX(LoadMaster!$AO:$AO,MATCH(Table2[[#This Row],[BrokerConfNo]],LoadMaster!$C:$C,0))</f>
        <v>Albel</v>
      </c>
      <c r="N254" s="26">
        <f t="shared" si="16"/>
        <v>42391</v>
      </c>
      <c r="O254" s="109">
        <f t="shared" si="17"/>
        <v>42405</v>
      </c>
      <c r="P254" s="26">
        <f>INDEX(LoadMaster!$M:$M,MATCH(B254,LoadMaster!$C:$C,0))</f>
        <v>42387</v>
      </c>
      <c r="Q254" s="18" t="str">
        <f>INDEX(LoadMaster!$P:$P,MATCH(B254,LoadMaster!$C:$C,0))</f>
        <v>Fairfield</v>
      </c>
      <c r="R254" s="18" t="str">
        <f>INDEX(LoadMaster!$AH:$AH,MATCH(B254,LoadMaster!$C:$C,0))</f>
        <v>Patterson</v>
      </c>
      <c r="S254" s="416" t="str">
        <f>INDEX(LoadMaster!$DC:$DC,MATCH(B254,LoadMaster!$C:$C,0))</f>
        <v>Sunny</v>
      </c>
      <c r="T254" s="48">
        <f>INDEX(LoadMaster!$DA:$DA,MATCH(B254,LoadMaster!$C:$C,0))</f>
        <v>41.25</v>
      </c>
      <c r="U254" s="110">
        <f>Table2[[#This Row],[WeekEndingDate]]+7</f>
        <v>42398</v>
      </c>
      <c r="V254" s="14">
        <f t="shared" si="18"/>
        <v>1</v>
      </c>
      <c r="W254" s="18">
        <f t="shared" si="19"/>
        <v>2016</v>
      </c>
    </row>
    <row r="255" spans="1:23" s="68" customFormat="1">
      <c r="A255" s="15" t="str">
        <f>INDEX(LoadMaster!$A:$A,MATCH(B255,LoadMaster!$C:$C,0))</f>
        <v>56000019</v>
      </c>
      <c r="B255" s="55">
        <v>6510156</v>
      </c>
      <c r="C255" s="18" t="str">
        <f>VLOOKUP(Table2[[#This Row],[BrokerConfNo]],LoadMaster!C:D,2,FALSE)</f>
        <v>Tql</v>
      </c>
      <c r="D255" s="26">
        <v>42398</v>
      </c>
      <c r="E255" s="18" t="str">
        <f>IF(Table2[[#This Row],[UBActualReceived]]&gt;1,"Received","Pending")</f>
        <v>Received</v>
      </c>
      <c r="F255" s="21">
        <f>INDEX(LoadMaster!$CU:$CU,MATCH(B255,LoadMaster!$C:$C,0))</f>
        <v>425</v>
      </c>
      <c r="G255" s="132">
        <f>INDEX(LoadMaster!$CX:$CX,MATCH(B255,LoadMaster!$C:$C,0))</f>
        <v>412.25</v>
      </c>
      <c r="H255" s="132">
        <f>INDEX(LoadMaster!$CW:$CW,MATCH(B255,LoadMaster!$C:$C,0))</f>
        <v>395.25</v>
      </c>
      <c r="I255" s="331">
        <v>412.25</v>
      </c>
      <c r="J255" s="526">
        <v>395.25</v>
      </c>
      <c r="K255" s="27" t="str">
        <f t="shared" si="15"/>
        <v>Full</v>
      </c>
      <c r="L255" s="27">
        <f>INDEX(LoadMaster!$CT:$CT,MATCH(Table2[[#This Row],[BrokerConfNo]],LoadMaster!$C:$C,0))</f>
        <v>0</v>
      </c>
      <c r="M255" s="18" t="str">
        <f>INDEX(LoadMaster!$AO:$AO,MATCH(Table2[[#This Row],[BrokerConfNo]],LoadMaster!$C:$C,0))</f>
        <v>Miguel Jaime</v>
      </c>
      <c r="N255" s="26">
        <f t="shared" si="16"/>
        <v>42391</v>
      </c>
      <c r="O255" s="109">
        <f t="shared" si="17"/>
        <v>42398</v>
      </c>
      <c r="P255" s="26">
        <f>INDEX(LoadMaster!$M:$M,MATCH(B255,LoadMaster!$C:$C,0))</f>
        <v>42387</v>
      </c>
      <c r="Q255" s="18" t="str">
        <f>INDEX(LoadMaster!$P:$P,MATCH(B255,LoadMaster!$C:$C,0))</f>
        <v>Gridley</v>
      </c>
      <c r="R255" s="18" t="str">
        <f>INDEX(LoadMaster!$AH:$AH,MATCH(B255,LoadMaster!$C:$C,0))</f>
        <v>Modesto</v>
      </c>
      <c r="S255" s="416" t="str">
        <f>INDEX(LoadMaster!$DC:$DC,MATCH(B255,LoadMaster!$C:$C,0))</f>
        <v>Harman</v>
      </c>
      <c r="T255" s="48">
        <f>INDEX(LoadMaster!$DA:$DA,MATCH(B255,LoadMaster!$C:$C,0))</f>
        <v>17</v>
      </c>
      <c r="U255" s="110">
        <f>Table2[[#This Row],[WeekEndingDate]]+7</f>
        <v>42398</v>
      </c>
      <c r="V255" s="14">
        <f t="shared" si="18"/>
        <v>1</v>
      </c>
      <c r="W255" s="18">
        <f t="shared" si="19"/>
        <v>2016</v>
      </c>
    </row>
    <row r="256" spans="1:23" s="68" customFormat="1">
      <c r="A256" s="15" t="str">
        <f>INDEX(LoadMaster!$A:$A,MATCH(B256,LoadMaster!$C:$C,0))</f>
        <v>9738ne19</v>
      </c>
      <c r="B256" s="81">
        <v>190660297</v>
      </c>
      <c r="C256" s="416" t="str">
        <f>VLOOKUP(Table2[[#This Row],[BrokerConfNo]],LoadMaster!C:D,2,FALSE)</f>
        <v>Ch Robinson</v>
      </c>
      <c r="D256" s="104">
        <v>42417</v>
      </c>
      <c r="E256" s="416" t="str">
        <f>IF(Table2[[#This Row],[UBActualReceived]]&gt;1,"Received","Pending")</f>
        <v>Received</v>
      </c>
      <c r="F256" s="132">
        <f>INDEX(LoadMaster!$CU:$CU,MATCH(B256,LoadMaster!$C:$C,0))</f>
        <v>700</v>
      </c>
      <c r="G256" s="132">
        <f>INDEX(LoadMaster!$CX:$CX,MATCH(B256,LoadMaster!$C:$C,0))</f>
        <v>686</v>
      </c>
      <c r="H256" s="132">
        <f>INDEX(LoadMaster!$CW:$CW,MATCH(B256,LoadMaster!$C:$C,0))</f>
        <v>651</v>
      </c>
      <c r="I256" s="330">
        <v>686</v>
      </c>
      <c r="J256" s="525">
        <v>651</v>
      </c>
      <c r="K256" s="134" t="str">
        <f t="shared" si="15"/>
        <v>Full</v>
      </c>
      <c r="L256" s="134">
        <f>INDEX(LoadMaster!$CT:$CT,MATCH(Table2[[#This Row],[BrokerConfNo]],LoadMaster!$C:$C,0))</f>
        <v>0</v>
      </c>
      <c r="M256" s="416" t="str">
        <f>INDEX(LoadMaster!$AO:$AO,MATCH(Table2[[#This Row],[BrokerConfNo]],LoadMaster!$C:$C,0))</f>
        <v>Miguel Jaime</v>
      </c>
      <c r="N256" s="104">
        <f t="shared" si="16"/>
        <v>42391</v>
      </c>
      <c r="O256" s="135">
        <f t="shared" si="17"/>
        <v>42398</v>
      </c>
      <c r="P256" s="104">
        <f>INDEX(LoadMaster!$M:$M,MATCH(B256,LoadMaster!$C:$C,0))</f>
        <v>42388</v>
      </c>
      <c r="Q256" s="416" t="str">
        <f>INDEX(LoadMaster!$P:$P,MATCH(B256,LoadMaster!$C:$C,0))</f>
        <v>Jamestown</v>
      </c>
      <c r="R256" s="416" t="str">
        <f>INDEX(LoadMaster!$AH:$AH,MATCH(B256,LoadMaster!$C:$C,0))</f>
        <v>Sonora,Ripon,Minden</v>
      </c>
      <c r="S256" s="416" t="str">
        <f>INDEX(LoadMaster!$DC:$DC,MATCH(B256,LoadMaster!$C:$C,0))</f>
        <v>Harman</v>
      </c>
      <c r="T256" s="136">
        <f>INDEX(LoadMaster!$DA:$DA,MATCH(B256,LoadMaster!$C:$C,0))</f>
        <v>35</v>
      </c>
      <c r="U256" s="137">
        <f>Table2[[#This Row],[WeekEndingDate]]+7</f>
        <v>42398</v>
      </c>
      <c r="V256" s="15">
        <f t="shared" si="18"/>
        <v>1</v>
      </c>
      <c r="W256" s="416">
        <f t="shared" si="19"/>
        <v>2016</v>
      </c>
    </row>
    <row r="257" spans="1:23" s="68" customFormat="1">
      <c r="A257" s="15" t="str">
        <f>INDEX(LoadMaster!$A:$A,MATCH(B257,LoadMaster!$C:$C,0))</f>
        <v>07-27288</v>
      </c>
      <c r="B257" s="81">
        <v>190223607</v>
      </c>
      <c r="C257" s="416" t="str">
        <f>VLOOKUP(Table2[[#This Row],[BrokerConfNo]],LoadMaster!C:D,2,FALSE)</f>
        <v>Ch Robinson</v>
      </c>
      <c r="D257" s="104">
        <v>42401</v>
      </c>
      <c r="E257" s="416" t="str">
        <f>IF(Table2[[#This Row],[UBActualReceived]]&gt;1,"Received","Pending")</f>
        <v>Received</v>
      </c>
      <c r="F257" s="132">
        <f>INDEX(LoadMaster!$CU:$CU,MATCH(B257,LoadMaster!$C:$C,0))</f>
        <v>400</v>
      </c>
      <c r="G257" s="132">
        <f>INDEX(LoadMaster!$CX:$CX,MATCH(B257,LoadMaster!$C:$C,0))</f>
        <v>392</v>
      </c>
      <c r="H257" s="132">
        <f>INDEX(LoadMaster!$CW:$CW,MATCH(B257,LoadMaster!$C:$C,0))</f>
        <v>372</v>
      </c>
      <c r="I257" s="330">
        <v>392</v>
      </c>
      <c r="J257" s="525">
        <v>372</v>
      </c>
      <c r="K257" s="134" t="str">
        <f t="shared" si="15"/>
        <v>Full</v>
      </c>
      <c r="L257" s="134">
        <f>INDEX(LoadMaster!$CT:$CT,MATCH(Table2[[#This Row],[BrokerConfNo]],LoadMaster!$C:$C,0))</f>
        <v>0</v>
      </c>
      <c r="M257" s="416" t="str">
        <f>INDEX(LoadMaster!$AO:$AO,MATCH(Table2[[#This Row],[BrokerConfNo]],LoadMaster!$C:$C,0))</f>
        <v>Wesley</v>
      </c>
      <c r="N257" s="104">
        <f t="shared" si="16"/>
        <v>42391</v>
      </c>
      <c r="O257" s="135">
        <f t="shared" si="17"/>
        <v>42398</v>
      </c>
      <c r="P257" s="104">
        <f>INDEX(LoadMaster!$M:$M,MATCH(B257,LoadMaster!$C:$C,0))</f>
        <v>42389</v>
      </c>
      <c r="Q257" s="416" t="str">
        <f>INDEX(LoadMaster!$P:$P,MATCH(B257,LoadMaster!$C:$C,0))</f>
        <v>Apache Junction</v>
      </c>
      <c r="R257" s="416" t="str">
        <f>INDEX(LoadMaster!$AH:$AH,MATCH(B257,LoadMaster!$C:$C,0))</f>
        <v>Compton</v>
      </c>
      <c r="S257" s="416" t="str">
        <f>INDEX(LoadMaster!$DC:$DC,MATCH(B257,LoadMaster!$C:$C,0))</f>
        <v>Harman</v>
      </c>
      <c r="T257" s="136">
        <f>INDEX(LoadMaster!$DA:$DA,MATCH(B257,LoadMaster!$C:$C,0))</f>
        <v>20</v>
      </c>
      <c r="U257" s="137">
        <f>Table2[[#This Row],[WeekEndingDate]]+7</f>
        <v>42398</v>
      </c>
      <c r="V257" s="15">
        <f t="shared" si="18"/>
        <v>1</v>
      </c>
      <c r="W257" s="416">
        <f t="shared" si="19"/>
        <v>2016</v>
      </c>
    </row>
    <row r="258" spans="1:23" s="68" customFormat="1">
      <c r="A258" s="15" t="str">
        <f>INDEX(LoadMaster!$A:$A,MATCH(B258,LoadMaster!$C:$C,0))</f>
        <v>5406ne19</v>
      </c>
      <c r="B258" s="81">
        <v>190782054</v>
      </c>
      <c r="C258" s="416" t="str">
        <f>VLOOKUP(Table2[[#This Row],[BrokerConfNo]],LoadMaster!C:D,2,FALSE)</f>
        <v>Ch Robinson</v>
      </c>
      <c r="D258" s="104">
        <v>42398</v>
      </c>
      <c r="E258" s="416" t="str">
        <f>IF(Table2[[#This Row],[UBActualReceived]]&gt;1,"Received","Pending")</f>
        <v>Received</v>
      </c>
      <c r="F258" s="132">
        <f>INDEX(LoadMaster!$CU:$CU,MATCH(B258,LoadMaster!$C:$C,0))</f>
        <v>600</v>
      </c>
      <c r="G258" s="132">
        <f>INDEX(LoadMaster!$CX:$CX,MATCH(B258,LoadMaster!$C:$C,0))</f>
        <v>588</v>
      </c>
      <c r="H258" s="132">
        <f>INDEX(LoadMaster!$CW:$CW,MATCH(B258,LoadMaster!$C:$C,0))</f>
        <v>558</v>
      </c>
      <c r="I258" s="330">
        <v>588</v>
      </c>
      <c r="J258" s="525">
        <v>558</v>
      </c>
      <c r="K258" s="134" t="str">
        <f t="shared" ref="K258:K321" si="20">IF(I258&lt;G258, "Less", "Full")</f>
        <v>Full</v>
      </c>
      <c r="L258" s="134">
        <f>INDEX(LoadMaster!$CT:$CT,MATCH(Table2[[#This Row],[BrokerConfNo]],LoadMaster!$C:$C,0))</f>
        <v>0</v>
      </c>
      <c r="M258" s="416" t="str">
        <f>INDEX(LoadMaster!$AO:$AO,MATCH(Table2[[#This Row],[BrokerConfNo]],LoadMaster!$C:$C,0))</f>
        <v>Miguel Jaime</v>
      </c>
      <c r="N258" s="104">
        <f t="shared" ref="N258:N321" si="21">(5-WEEKDAY(P258,2))+P258</f>
        <v>42391</v>
      </c>
      <c r="O258" s="135">
        <f t="shared" ref="O258:O321" si="22">IF(M258="Albel",((5-WEEKDAY(P258,2))+P258)+14,(((5-WEEKDAY(P258,2))+P258)+7))</f>
        <v>42398</v>
      </c>
      <c r="P258" s="104">
        <f>INDEX(LoadMaster!$M:$M,MATCH(B258,LoadMaster!$C:$C,0))</f>
        <v>42389</v>
      </c>
      <c r="Q258" s="416" t="str">
        <f>INDEX(LoadMaster!$P:$P,MATCH(B258,LoadMaster!$C:$C,0))</f>
        <v>Moundhouse</v>
      </c>
      <c r="R258" s="416" t="str">
        <f>INDEX(LoadMaster!$AH:$AH,MATCH(B258,LoadMaster!$C:$C,0))</f>
        <v>Campbell</v>
      </c>
      <c r="S258" s="416" t="str">
        <f>INDEX(LoadMaster!$DC:$DC,MATCH(B258,LoadMaster!$C:$C,0))</f>
        <v>Harman</v>
      </c>
      <c r="T258" s="136">
        <f>INDEX(LoadMaster!$DA:$DA,MATCH(B258,LoadMaster!$C:$C,0))</f>
        <v>30</v>
      </c>
      <c r="U258" s="137">
        <f>Table2[[#This Row],[WeekEndingDate]]+7</f>
        <v>42398</v>
      </c>
      <c r="V258" s="15">
        <f t="shared" ref="V258:V321" si="23">MONTH(P258)</f>
        <v>1</v>
      </c>
      <c r="W258" s="416">
        <f t="shared" ref="W258:W321" si="24">YEAR(P258)</f>
        <v>2016</v>
      </c>
    </row>
    <row r="259" spans="1:23" s="68" customFormat="1">
      <c r="A259" s="15" t="str">
        <f>INDEX(LoadMaster!$A:$A,MATCH(B259,LoadMaster!$C:$C,0))</f>
        <v>1171ne49</v>
      </c>
      <c r="B259" s="55">
        <v>46811</v>
      </c>
      <c r="C259" s="18" t="str">
        <f>VLOOKUP(Table2[[#This Row],[BrokerConfNo]],LoadMaster!C:D,2,FALSE)</f>
        <v>Cargobarn Inc.</v>
      </c>
      <c r="D259" s="26">
        <v>42396</v>
      </c>
      <c r="E259" s="18" t="str">
        <f>IF(Table2[[#This Row],[UBActualReceived]]&gt;1,"Received","Pending")</f>
        <v>Received</v>
      </c>
      <c r="F259" s="21">
        <f>INDEX(LoadMaster!$CU:$CU,MATCH(B259,LoadMaster!$C:$C,0))</f>
        <v>550</v>
      </c>
      <c r="G259" s="132">
        <f>INDEX(LoadMaster!$CX:$CX,MATCH(B259,LoadMaster!$C:$C,0))</f>
        <v>533.5</v>
      </c>
      <c r="H259" s="132">
        <f>INDEX(LoadMaster!$CW:$CW,MATCH(B259,LoadMaster!$C:$C,0))</f>
        <v>500</v>
      </c>
      <c r="I259" s="331">
        <v>533.5</v>
      </c>
      <c r="J259" s="526">
        <v>500</v>
      </c>
      <c r="K259" s="27" t="str">
        <f t="shared" si="20"/>
        <v>Full</v>
      </c>
      <c r="L259" s="27">
        <f>INDEX(LoadMaster!$CT:$CT,MATCH(Table2[[#This Row],[BrokerConfNo]],LoadMaster!$C:$C,0))</f>
        <v>0</v>
      </c>
      <c r="M259" s="18" t="str">
        <f>INDEX(LoadMaster!$AO:$AO,MATCH(Table2[[#This Row],[BrokerConfNo]],LoadMaster!$C:$C,0))</f>
        <v>Albel</v>
      </c>
      <c r="N259" s="26">
        <f t="shared" si="21"/>
        <v>42391</v>
      </c>
      <c r="O259" s="109">
        <f t="shared" si="22"/>
        <v>42405</v>
      </c>
      <c r="P259" s="26">
        <f>INDEX(LoadMaster!$M:$M,MATCH(B259,LoadMaster!$C:$C,0))</f>
        <v>42390</v>
      </c>
      <c r="Q259" s="18" t="str">
        <f>INDEX(LoadMaster!$P:$P,MATCH(B259,LoadMaster!$C:$C,0))</f>
        <v>Rancho Cordov</v>
      </c>
      <c r="R259" s="18" t="str">
        <f>INDEX(LoadMaster!$AH:$AH,MATCH(B259,LoadMaster!$C:$C,0))</f>
        <v>Dayton</v>
      </c>
      <c r="S259" s="416" t="str">
        <f>INDEX(LoadMaster!$DC:$DC,MATCH(B259,LoadMaster!$C:$C,0))</f>
        <v>Sunny</v>
      </c>
      <c r="T259" s="48">
        <f>INDEX(LoadMaster!$DA:$DA,MATCH(B259,LoadMaster!$C:$C,0))</f>
        <v>33.5</v>
      </c>
      <c r="U259" s="110">
        <f>Table2[[#This Row],[WeekEndingDate]]+7</f>
        <v>42398</v>
      </c>
      <c r="V259" s="14">
        <f t="shared" si="23"/>
        <v>1</v>
      </c>
      <c r="W259" s="18">
        <f t="shared" si="24"/>
        <v>2016</v>
      </c>
    </row>
    <row r="260" spans="1:23" s="18" customFormat="1">
      <c r="A260" s="15" t="str">
        <f>INDEX(LoadMaster!$A:$A,MATCH(B260,LoadMaster!$C:$C,0))</f>
        <v>63wn0688</v>
      </c>
      <c r="B260" s="81">
        <v>191099463</v>
      </c>
      <c r="C260" s="416" t="str">
        <f>VLOOKUP(Table2[[#This Row],[BrokerConfNo]],LoadMaster!C:D,2,FALSE)</f>
        <v>Ch Robinson</v>
      </c>
      <c r="D260" s="104">
        <v>42397</v>
      </c>
      <c r="E260" s="416" t="str">
        <f>IF(Table2[[#This Row],[UBActualReceived]]&gt;1,"Received","Pending")</f>
        <v>Received</v>
      </c>
      <c r="F260" s="132">
        <f>INDEX(LoadMaster!$CU:$CU,MATCH(B260,LoadMaster!$C:$C,0))</f>
        <v>800</v>
      </c>
      <c r="G260" s="132">
        <f>INDEX(LoadMaster!$CX:$CX,MATCH(B260,LoadMaster!$C:$C,0))</f>
        <v>784</v>
      </c>
      <c r="H260" s="132">
        <f>INDEX(LoadMaster!$CW:$CW,MATCH(B260,LoadMaster!$C:$C,0))</f>
        <v>744</v>
      </c>
      <c r="I260" s="330">
        <v>784</v>
      </c>
      <c r="J260" s="525">
        <v>744</v>
      </c>
      <c r="K260" s="134" t="str">
        <f t="shared" si="20"/>
        <v>Full</v>
      </c>
      <c r="L260" s="134">
        <f>INDEX(LoadMaster!$CT:$CT,MATCH(Table2[[#This Row],[BrokerConfNo]],LoadMaster!$C:$C,0))</f>
        <v>0</v>
      </c>
      <c r="M260" s="416" t="str">
        <f>INDEX(LoadMaster!$AO:$AO,MATCH(Table2[[#This Row],[BrokerConfNo]],LoadMaster!$C:$C,0))</f>
        <v>Wesley</v>
      </c>
      <c r="N260" s="104">
        <f t="shared" si="21"/>
        <v>42391</v>
      </c>
      <c r="O260" s="135">
        <f t="shared" si="22"/>
        <v>42398</v>
      </c>
      <c r="P260" s="104">
        <f>INDEX(LoadMaster!$M:$M,MATCH(B260,LoadMaster!$C:$C,0))</f>
        <v>42390</v>
      </c>
      <c r="Q260" s="416" t="str">
        <f>INDEX(LoadMaster!$P:$P,MATCH(B260,LoadMaster!$C:$C,0))</f>
        <v>Carson</v>
      </c>
      <c r="R260" s="416" t="str">
        <f>INDEX(LoadMaster!$AH:$AH,MATCH(B260,LoadMaster!$C:$C,0))</f>
        <v>Woodland</v>
      </c>
      <c r="S260" s="416" t="str">
        <f>INDEX(LoadMaster!$DC:$DC,MATCH(B260,LoadMaster!$C:$C,0))</f>
        <v>Sunny</v>
      </c>
      <c r="T260" s="136">
        <f>INDEX(LoadMaster!$DA:$DA,MATCH(B260,LoadMaster!$C:$C,0))</f>
        <v>40</v>
      </c>
      <c r="U260" s="137">
        <f>Table2[[#This Row],[WeekEndingDate]]+7</f>
        <v>42398</v>
      </c>
      <c r="V260" s="15">
        <f t="shared" si="23"/>
        <v>1</v>
      </c>
      <c r="W260" s="416">
        <f t="shared" si="24"/>
        <v>2016</v>
      </c>
    </row>
    <row r="261" spans="1:23" s="18" customFormat="1">
      <c r="A261" s="15" t="str">
        <f>INDEX(LoadMaster!$A:$A,MATCH(B261,LoadMaster!$C:$C,0))</f>
        <v>28771449</v>
      </c>
      <c r="B261" s="55">
        <v>110828</v>
      </c>
      <c r="C261" s="18" t="str">
        <f>VLOOKUP(Table2[[#This Row],[BrokerConfNo]],LoadMaster!C:D,2,FALSE)</f>
        <v>Knight Logistics Llc</v>
      </c>
      <c r="D261" s="26">
        <v>42404</v>
      </c>
      <c r="E261" s="18" t="str">
        <f>IF(Table2[[#This Row],[UBActualReceived]]&gt;1,"Received","Pending")</f>
        <v>Received</v>
      </c>
      <c r="F261" s="21">
        <f>INDEX(LoadMaster!$CU:$CU,MATCH(B261,LoadMaster!$C:$C,0))</f>
        <v>500</v>
      </c>
      <c r="G261" s="132">
        <f>INDEX(LoadMaster!$CX:$CX,MATCH(B261,LoadMaster!$C:$C,0))</f>
        <v>500</v>
      </c>
      <c r="H261" s="132">
        <f>INDEX(LoadMaster!$CW:$CW,MATCH(B261,LoadMaster!$C:$C,0))</f>
        <v>450</v>
      </c>
      <c r="I261" s="331">
        <v>500</v>
      </c>
      <c r="J261" s="526">
        <v>450</v>
      </c>
      <c r="K261" s="27" t="str">
        <f t="shared" si="20"/>
        <v>Full</v>
      </c>
      <c r="L261" s="27">
        <f>INDEX(LoadMaster!$CT:$CT,MATCH(Table2[[#This Row],[BrokerConfNo]],LoadMaster!$C:$C,0))</f>
        <v>0</v>
      </c>
      <c r="M261" s="18" t="str">
        <f>INDEX(LoadMaster!$AO:$AO,MATCH(Table2[[#This Row],[BrokerConfNo]],LoadMaster!$C:$C,0))</f>
        <v>Albel</v>
      </c>
      <c r="N261" s="26">
        <f t="shared" si="21"/>
        <v>42391</v>
      </c>
      <c r="O261" s="109">
        <f t="shared" si="22"/>
        <v>42405</v>
      </c>
      <c r="P261" s="26">
        <f>INDEX(LoadMaster!$M:$M,MATCH(B261,LoadMaster!$C:$C,0))</f>
        <v>42390</v>
      </c>
      <c r="Q261" s="18" t="str">
        <f>INDEX(LoadMaster!$P:$P,MATCH(B261,LoadMaster!$C:$C,0))</f>
        <v>Mccarran</v>
      </c>
      <c r="R261" s="18" t="str">
        <f>INDEX(LoadMaster!$AH:$AH,MATCH(B261,LoadMaster!$C:$C,0))</f>
        <v>Modesto</v>
      </c>
      <c r="S261" s="416" t="str">
        <f>INDEX(LoadMaster!$DC:$DC,MATCH(B261,LoadMaster!$C:$C,0))</f>
        <v>Sunny</v>
      </c>
      <c r="T261" s="48">
        <f>INDEX(LoadMaster!$DA:$DA,MATCH(B261,LoadMaster!$C:$C,0))</f>
        <v>50</v>
      </c>
      <c r="U261" s="110">
        <f>Table2[[#This Row],[WeekEndingDate]]+7</f>
        <v>42398</v>
      </c>
      <c r="V261" s="14">
        <f t="shared" si="23"/>
        <v>1</v>
      </c>
      <c r="W261" s="18">
        <f t="shared" si="24"/>
        <v>2016</v>
      </c>
    </row>
    <row r="262" spans="1:23" s="18" customFormat="1">
      <c r="A262" s="15" t="str">
        <f>INDEX(LoadMaster!$A:$A,MATCH(B262,LoadMaster!$C:$C,0))</f>
        <v>82629419</v>
      </c>
      <c r="B262" s="55">
        <v>46682</v>
      </c>
      <c r="C262" s="18" t="str">
        <f>VLOOKUP(Table2[[#This Row],[BrokerConfNo]],LoadMaster!C:D,2,FALSE)</f>
        <v>Cargobarn Inc.</v>
      </c>
      <c r="D262" s="26">
        <v>42396</v>
      </c>
      <c r="E262" s="18" t="str">
        <f>IF(Table2[[#This Row],[UBActualReceived]]&gt;1,"Received","Pending")</f>
        <v>Received</v>
      </c>
      <c r="F262" s="21">
        <f>INDEX(LoadMaster!$CU:$CU,MATCH(B262,LoadMaster!$C:$C,0))</f>
        <v>250</v>
      </c>
      <c r="G262" s="132">
        <f>INDEX(LoadMaster!$CX:$CX,MATCH(B262,LoadMaster!$C:$C,0))</f>
        <v>242.5</v>
      </c>
      <c r="H262" s="132">
        <f>INDEX(LoadMaster!$CW:$CW,MATCH(B262,LoadMaster!$C:$C,0))</f>
        <v>225</v>
      </c>
      <c r="I262" s="331">
        <v>242.5</v>
      </c>
      <c r="J262" s="526">
        <v>225</v>
      </c>
      <c r="K262" s="27" t="str">
        <f t="shared" si="20"/>
        <v>Full</v>
      </c>
      <c r="L262" s="27">
        <f>INDEX(LoadMaster!$CT:$CT,MATCH(Table2[[#This Row],[BrokerConfNo]],LoadMaster!$C:$C,0))</f>
        <v>0</v>
      </c>
      <c r="M262" s="18" t="str">
        <f>INDEX(LoadMaster!$AO:$AO,MATCH(Table2[[#This Row],[BrokerConfNo]],LoadMaster!$C:$C,0))</f>
        <v>Miguel Jaime</v>
      </c>
      <c r="N262" s="26">
        <f t="shared" si="21"/>
        <v>42391</v>
      </c>
      <c r="O262" s="109">
        <f t="shared" si="22"/>
        <v>42398</v>
      </c>
      <c r="P262" s="26">
        <f>INDEX(LoadMaster!$M:$M,MATCH(B262,LoadMaster!$C:$C,0))</f>
        <v>42391</v>
      </c>
      <c r="Q262" s="18" t="str">
        <f>INDEX(LoadMaster!$P:$P,MATCH(B262,LoadMaster!$C:$C,0))</f>
        <v>Stockton</v>
      </c>
      <c r="R262" s="18" t="str">
        <f>INDEX(LoadMaster!$AH:$AH,MATCH(B262,LoadMaster!$C:$C,0))</f>
        <v>Tracy</v>
      </c>
      <c r="S262" s="416" t="str">
        <f>INDEX(LoadMaster!$DC:$DC,MATCH(B262,LoadMaster!$C:$C,0))</f>
        <v>Sunny</v>
      </c>
      <c r="T262" s="48">
        <f>INDEX(LoadMaster!$DA:$DA,MATCH(B262,LoadMaster!$C:$C,0))</f>
        <v>17.5</v>
      </c>
      <c r="U262" s="110">
        <f>Table2[[#This Row],[WeekEndingDate]]+7</f>
        <v>42398</v>
      </c>
      <c r="V262" s="14">
        <f t="shared" si="23"/>
        <v>1</v>
      </c>
      <c r="W262" s="18">
        <f t="shared" si="24"/>
        <v>2016</v>
      </c>
    </row>
    <row r="263" spans="1:23" s="18" customFormat="1">
      <c r="A263" s="15" t="str">
        <f>INDEX(LoadMaster!$A:$A,MATCH(B263,LoadMaster!$C:$C,0))</f>
        <v>64151519</v>
      </c>
      <c r="B263" s="55">
        <v>46864</v>
      </c>
      <c r="C263" s="18" t="str">
        <f>VLOOKUP(Table2[[#This Row],[BrokerConfNo]],LoadMaster!C:D,2,FALSE)</f>
        <v>Cargobarn Inc.</v>
      </c>
      <c r="D263" s="26">
        <v>42396</v>
      </c>
      <c r="E263" s="18" t="str">
        <f>IF(Table2[[#This Row],[UBActualReceived]]&gt;1,"Received","Pending")</f>
        <v>Received</v>
      </c>
      <c r="F263" s="21">
        <f>INDEX(LoadMaster!$CU:$CU,MATCH(B263,LoadMaster!$C:$C,0))</f>
        <v>300</v>
      </c>
      <c r="G263" s="132">
        <f>INDEX(LoadMaster!$CX:$CX,MATCH(B263,LoadMaster!$C:$C,0))</f>
        <v>291</v>
      </c>
      <c r="H263" s="132">
        <f>INDEX(LoadMaster!$CW:$CW,MATCH(B263,LoadMaster!$C:$C,0))</f>
        <v>275</v>
      </c>
      <c r="I263" s="331">
        <v>291</v>
      </c>
      <c r="J263" s="526">
        <v>275</v>
      </c>
      <c r="K263" s="27" t="str">
        <f t="shared" si="20"/>
        <v>Full</v>
      </c>
      <c r="L263" s="27">
        <f>INDEX(LoadMaster!$CT:$CT,MATCH(Table2[[#This Row],[BrokerConfNo]],LoadMaster!$C:$C,0))</f>
        <v>0</v>
      </c>
      <c r="M263" s="18" t="str">
        <f>INDEX(LoadMaster!$AO:$AO,MATCH(Table2[[#This Row],[BrokerConfNo]],LoadMaster!$C:$C,0))</f>
        <v>Miguel Jaime</v>
      </c>
      <c r="N263" s="26">
        <f t="shared" si="21"/>
        <v>42398</v>
      </c>
      <c r="O263" s="109">
        <f t="shared" si="22"/>
        <v>42405</v>
      </c>
      <c r="P263" s="26">
        <f>INDEX(LoadMaster!$M:$M,MATCH(B263,LoadMaster!$C:$C,0))</f>
        <v>42394</v>
      </c>
      <c r="Q263" s="18" t="str">
        <f>INDEX(LoadMaster!$P:$P,MATCH(B263,LoadMaster!$C:$C,0))</f>
        <v>Stockton</v>
      </c>
      <c r="R263" s="18" t="str">
        <f>INDEX(LoadMaster!$AH:$AH,MATCH(B263,LoadMaster!$C:$C,0))</f>
        <v>Richmond</v>
      </c>
      <c r="S263" s="416" t="str">
        <f>INDEX(LoadMaster!$DC:$DC,MATCH(B263,LoadMaster!$C:$C,0))</f>
        <v>Sunny</v>
      </c>
      <c r="T263" s="48">
        <f>INDEX(LoadMaster!$DA:$DA,MATCH(B263,LoadMaster!$C:$C,0))</f>
        <v>16</v>
      </c>
      <c r="U263" s="110">
        <f>Table2[[#This Row],[WeekEndingDate]]+7</f>
        <v>42405</v>
      </c>
      <c r="V263" s="14">
        <f t="shared" si="23"/>
        <v>1</v>
      </c>
      <c r="W263" s="18">
        <f t="shared" si="24"/>
        <v>2016</v>
      </c>
    </row>
    <row r="264" spans="1:23" s="68" customFormat="1">
      <c r="A264" s="15" t="str">
        <f>INDEX(LoadMaster!$A:$A,MATCH(B264,LoadMaster!$C:$C,0))</f>
        <v>00686849</v>
      </c>
      <c r="B264" s="55">
        <v>46900</v>
      </c>
      <c r="C264" s="18" t="str">
        <f>VLOOKUP(Table2[[#This Row],[BrokerConfNo]],LoadMaster!C:D,2,FALSE)</f>
        <v>Cargobarn Inc.</v>
      </c>
      <c r="D264" s="26">
        <v>42396</v>
      </c>
      <c r="E264" s="18" t="str">
        <f>IF(Table2[[#This Row],[UBActualReceived]]&gt;1,"Received","Pending")</f>
        <v>Received</v>
      </c>
      <c r="F264" s="21">
        <f>INDEX(LoadMaster!$CU:$CU,MATCH(B264,LoadMaster!$C:$C,0))</f>
        <v>300</v>
      </c>
      <c r="G264" s="132">
        <f>INDEX(LoadMaster!$CX:$CX,MATCH(B264,LoadMaster!$C:$C,0))</f>
        <v>291</v>
      </c>
      <c r="H264" s="132">
        <f>INDEX(LoadMaster!$CW:$CW,MATCH(B264,LoadMaster!$C:$C,0))</f>
        <v>275</v>
      </c>
      <c r="I264" s="331">
        <v>291</v>
      </c>
      <c r="J264" s="526">
        <v>275</v>
      </c>
      <c r="K264" s="27" t="str">
        <f t="shared" si="20"/>
        <v>Full</v>
      </c>
      <c r="L264" s="27">
        <f>INDEX(LoadMaster!$CT:$CT,MATCH(Table2[[#This Row],[BrokerConfNo]],LoadMaster!$C:$C,0))</f>
        <v>0</v>
      </c>
      <c r="M264" s="18" t="str">
        <f>INDEX(LoadMaster!$AO:$AO,MATCH(Table2[[#This Row],[BrokerConfNo]],LoadMaster!$C:$C,0))</f>
        <v>Albel</v>
      </c>
      <c r="N264" s="26">
        <f t="shared" si="21"/>
        <v>42398</v>
      </c>
      <c r="O264" s="109">
        <f t="shared" si="22"/>
        <v>42412</v>
      </c>
      <c r="P264" s="26">
        <f>INDEX(LoadMaster!$M:$M,MATCH(B264,LoadMaster!$C:$C,0))</f>
        <v>42394</v>
      </c>
      <c r="Q264" s="18" t="str">
        <f>INDEX(LoadMaster!$P:$P,MATCH(B264,LoadMaster!$C:$C,0))</f>
        <v>Stockton</v>
      </c>
      <c r="R264" s="18" t="str">
        <f>INDEX(LoadMaster!$AH:$AH,MATCH(B264,LoadMaster!$C:$C,0))</f>
        <v>Richmond</v>
      </c>
      <c r="S264" s="416" t="str">
        <f>INDEX(LoadMaster!$DC:$DC,MATCH(B264,LoadMaster!$C:$C,0))</f>
        <v>Sunny</v>
      </c>
      <c r="T264" s="48">
        <f>INDEX(LoadMaster!$DA:$DA,MATCH(B264,LoadMaster!$C:$C,0))</f>
        <v>16</v>
      </c>
      <c r="U264" s="110">
        <f>Table2[[#This Row],[WeekEndingDate]]+7</f>
        <v>42405</v>
      </c>
      <c r="V264" s="14">
        <f t="shared" si="23"/>
        <v>1</v>
      </c>
      <c r="W264" s="18">
        <f t="shared" si="24"/>
        <v>2016</v>
      </c>
    </row>
    <row r="265" spans="1:23" s="18" customFormat="1">
      <c r="A265" s="15" t="str">
        <f>INDEX(LoadMaster!$A:$A,MATCH(B265,LoadMaster!$C:$C,0))</f>
        <v>77313188</v>
      </c>
      <c r="B265" s="81">
        <v>191468677</v>
      </c>
      <c r="C265" s="416" t="str">
        <f>VLOOKUP(Table2[[#This Row],[BrokerConfNo]],LoadMaster!C:D,2,FALSE)</f>
        <v>Ch Robinson</v>
      </c>
      <c r="D265" s="104">
        <v>42408</v>
      </c>
      <c r="E265" s="416" t="str">
        <f>IF(Table2[[#This Row],[UBActualReceived]]&gt;1,"Received","Pending")</f>
        <v>Received</v>
      </c>
      <c r="F265" s="132">
        <f>INDEX(LoadMaster!$CU:$CU,MATCH(B265,LoadMaster!$C:$C,0))</f>
        <v>380</v>
      </c>
      <c r="G265" s="132">
        <f>INDEX(LoadMaster!$CX:$CX,MATCH(B265,LoadMaster!$C:$C,0))</f>
        <v>372.4</v>
      </c>
      <c r="H265" s="132">
        <f>INDEX(LoadMaster!$CW:$CW,MATCH(B265,LoadMaster!$C:$C,0))</f>
        <v>353.4</v>
      </c>
      <c r="I265" s="330">
        <v>372.4</v>
      </c>
      <c r="J265" s="525">
        <v>353.4</v>
      </c>
      <c r="K265" s="134" t="str">
        <f t="shared" si="20"/>
        <v>Full</v>
      </c>
      <c r="L265" s="134">
        <f>INDEX(LoadMaster!$CT:$CT,MATCH(Table2[[#This Row],[BrokerConfNo]],LoadMaster!$C:$C,0))</f>
        <v>30</v>
      </c>
      <c r="M265" s="416" t="str">
        <f>INDEX(LoadMaster!$AO:$AO,MATCH(Table2[[#This Row],[BrokerConfNo]],LoadMaster!$C:$C,0))</f>
        <v>Wesley</v>
      </c>
      <c r="N265" s="104">
        <f t="shared" si="21"/>
        <v>42398</v>
      </c>
      <c r="O265" s="135">
        <f t="shared" si="22"/>
        <v>42405</v>
      </c>
      <c r="P265" s="104">
        <f>INDEX(LoadMaster!$M:$M,MATCH(B265,LoadMaster!$C:$C,0))</f>
        <v>42394</v>
      </c>
      <c r="Q265" s="416" t="str">
        <f>INDEX(LoadMaster!$P:$P,MATCH(B265,LoadMaster!$C:$C,0))</f>
        <v>Antioch</v>
      </c>
      <c r="R265" s="416" t="str">
        <f>INDEX(LoadMaster!$AH:$AH,MATCH(B265,LoadMaster!$C:$C,0))</f>
        <v>Fresno</v>
      </c>
      <c r="S265" s="416" t="str">
        <f>INDEX(LoadMaster!$DC:$DC,MATCH(B265,LoadMaster!$C:$C,0))</f>
        <v>Sunny</v>
      </c>
      <c r="T265" s="136">
        <f>INDEX(LoadMaster!$DA:$DA,MATCH(B265,LoadMaster!$C:$C,0))</f>
        <v>19.000000000000021</v>
      </c>
      <c r="U265" s="137">
        <f>Table2[[#This Row],[WeekEndingDate]]+7</f>
        <v>42405</v>
      </c>
      <c r="V265" s="15">
        <f t="shared" si="23"/>
        <v>1</v>
      </c>
      <c r="W265" s="416">
        <f t="shared" si="24"/>
        <v>2016</v>
      </c>
    </row>
    <row r="266" spans="1:23" s="68" customFormat="1">
      <c r="A266" s="15" t="str">
        <f>INDEX(LoadMaster!$A:$A,MATCH(B266,LoadMaster!$C:$C,0))</f>
        <v>65619319</v>
      </c>
      <c r="B266" s="81">
        <v>191248065</v>
      </c>
      <c r="C266" s="416" t="str">
        <f>VLOOKUP(Table2[[#This Row],[BrokerConfNo]],LoadMaster!C:D,2,FALSE)</f>
        <v>Ch Robinson</v>
      </c>
      <c r="D266" s="104">
        <v>42408</v>
      </c>
      <c r="E266" s="416" t="str">
        <f>IF(Table2[[#This Row],[UBActualReceived]]&gt;1,"Received","Pending")</f>
        <v>Received</v>
      </c>
      <c r="F266" s="132">
        <f>INDEX(LoadMaster!$CU:$CU,MATCH(B266,LoadMaster!$C:$C,0))</f>
        <v>350</v>
      </c>
      <c r="G266" s="132">
        <f>INDEX(LoadMaster!$CX:$CX,MATCH(B266,LoadMaster!$C:$C,0))</f>
        <v>343</v>
      </c>
      <c r="H266" s="132">
        <f>INDEX(LoadMaster!$CW:$CW,MATCH(B266,LoadMaster!$C:$C,0))</f>
        <v>325.5</v>
      </c>
      <c r="I266" s="330">
        <v>343</v>
      </c>
      <c r="J266" s="525">
        <v>325.5</v>
      </c>
      <c r="K266" s="134" t="str">
        <f t="shared" si="20"/>
        <v>Full</v>
      </c>
      <c r="L266" s="134">
        <f>INDEX(LoadMaster!$CT:$CT,MATCH(Table2[[#This Row],[BrokerConfNo]],LoadMaster!$C:$C,0))</f>
        <v>0</v>
      </c>
      <c r="M266" s="416" t="str">
        <f>INDEX(LoadMaster!$AO:$AO,MATCH(Table2[[#This Row],[BrokerConfNo]],LoadMaster!$C:$C,0))</f>
        <v>Miguel Jaime</v>
      </c>
      <c r="N266" s="104">
        <f t="shared" si="21"/>
        <v>42398</v>
      </c>
      <c r="O266" s="135">
        <f t="shared" si="22"/>
        <v>42405</v>
      </c>
      <c r="P266" s="104">
        <f>INDEX(LoadMaster!$M:$M,MATCH(B266,LoadMaster!$C:$C,0))</f>
        <v>42395</v>
      </c>
      <c r="Q266" s="416" t="str">
        <f>INDEX(LoadMaster!$P:$P,MATCH(B266,LoadMaster!$C:$C,0))</f>
        <v>Galt</v>
      </c>
      <c r="R266" s="416" t="str">
        <f>INDEX(LoadMaster!$AH:$AH,MATCH(B266,LoadMaster!$C:$C,0))</f>
        <v>Berkeley</v>
      </c>
      <c r="S266" s="416" t="str">
        <f>INDEX(LoadMaster!$DC:$DC,MATCH(B266,LoadMaster!$C:$C,0))</f>
        <v>Sunny</v>
      </c>
      <c r="T266" s="136">
        <f>INDEX(LoadMaster!$DA:$DA,MATCH(B266,LoadMaster!$C:$C,0))</f>
        <v>17.5</v>
      </c>
      <c r="U266" s="137">
        <f>Table2[[#This Row],[WeekEndingDate]]+7</f>
        <v>42405</v>
      </c>
      <c r="V266" s="15">
        <f t="shared" si="23"/>
        <v>1</v>
      </c>
      <c r="W266" s="416">
        <f t="shared" si="24"/>
        <v>2016</v>
      </c>
    </row>
    <row r="267" spans="1:23" s="68" customFormat="1">
      <c r="A267" s="15" t="str">
        <f>INDEX(LoadMaster!$A:$A,MATCH(B267,LoadMaster!$C:$C,0))</f>
        <v>740788</v>
      </c>
      <c r="B267" s="81">
        <v>191624574</v>
      </c>
      <c r="C267" s="416" t="str">
        <f>VLOOKUP(Table2[[#This Row],[BrokerConfNo]],LoadMaster!C:D,2,FALSE)</f>
        <v>Ch Robinson</v>
      </c>
      <c r="D267" s="104">
        <v>42408</v>
      </c>
      <c r="E267" s="416" t="str">
        <f>IF(Table2[[#This Row],[UBActualReceived]]&gt;1,"Received","Pending")</f>
        <v>Received</v>
      </c>
      <c r="F267" s="132">
        <f>INDEX(LoadMaster!$CU:$CU,MATCH(B267,LoadMaster!$C:$C,0))</f>
        <v>500</v>
      </c>
      <c r="G267" s="132">
        <f>INDEX(LoadMaster!$CX:$CX,MATCH(B267,LoadMaster!$C:$C,0))</f>
        <v>490</v>
      </c>
      <c r="H267" s="132">
        <f>INDEX(LoadMaster!$CW:$CW,MATCH(B267,LoadMaster!$C:$C,0))</f>
        <v>465</v>
      </c>
      <c r="I267" s="330">
        <v>490</v>
      </c>
      <c r="J267" s="525">
        <v>465</v>
      </c>
      <c r="K267" s="134" t="str">
        <f t="shared" si="20"/>
        <v>Full</v>
      </c>
      <c r="L267" s="134">
        <f>INDEX(LoadMaster!$CT:$CT,MATCH(Table2[[#This Row],[BrokerConfNo]],LoadMaster!$C:$C,0))</f>
        <v>0</v>
      </c>
      <c r="M267" s="416" t="str">
        <f>INDEX(LoadMaster!$AO:$AO,MATCH(Table2[[#This Row],[BrokerConfNo]],LoadMaster!$C:$C,0))</f>
        <v>Wesley</v>
      </c>
      <c r="N267" s="104">
        <f t="shared" si="21"/>
        <v>42398</v>
      </c>
      <c r="O267" s="135">
        <f t="shared" si="22"/>
        <v>42405</v>
      </c>
      <c r="P267" s="104">
        <f>INDEX(LoadMaster!$M:$M,MATCH(B267,LoadMaster!$C:$C,0))</f>
        <v>42395</v>
      </c>
      <c r="Q267" s="416" t="str">
        <f>INDEX(LoadMaster!$P:$P,MATCH(B267,LoadMaster!$C:$C,0))</f>
        <v>Fresno</v>
      </c>
      <c r="R267" s="416" t="str">
        <f>INDEX(LoadMaster!$AH:$AH,MATCH(B267,LoadMaster!$C:$C,0))</f>
        <v>Chico</v>
      </c>
      <c r="S267" s="416" t="str">
        <f>INDEX(LoadMaster!$DC:$DC,MATCH(B267,LoadMaster!$C:$C,0))</f>
        <v>Sunny</v>
      </c>
      <c r="T267" s="136">
        <f>INDEX(LoadMaster!$DA:$DA,MATCH(B267,LoadMaster!$C:$C,0))</f>
        <v>25</v>
      </c>
      <c r="U267" s="137">
        <f>Table2[[#This Row],[WeekEndingDate]]+7</f>
        <v>42405</v>
      </c>
      <c r="V267" s="15">
        <f t="shared" si="23"/>
        <v>1</v>
      </c>
      <c r="W267" s="416">
        <f t="shared" si="24"/>
        <v>2016</v>
      </c>
    </row>
    <row r="268" spans="1:23" s="68" customFormat="1">
      <c r="A268" s="15" t="str">
        <f>INDEX(LoadMaster!$A:$A,MATCH(B268,LoadMaster!$C:$C,0))</f>
        <v>69010188</v>
      </c>
      <c r="B268" s="81">
        <v>191225669</v>
      </c>
      <c r="C268" s="416" t="str">
        <f>VLOOKUP(Table2[[#This Row],[BrokerConfNo]],LoadMaster!C:D,2,FALSE)</f>
        <v>Ch Robinson</v>
      </c>
      <c r="D268" s="104">
        <v>42408</v>
      </c>
      <c r="E268" s="416" t="str">
        <f>IF(Table2[[#This Row],[UBActualReceived]]&gt;1,"Received","Pending")</f>
        <v>Received</v>
      </c>
      <c r="F268" s="132">
        <f>INDEX(LoadMaster!$CU:$CU,MATCH(B268,LoadMaster!$C:$C,0))</f>
        <v>705</v>
      </c>
      <c r="G268" s="132">
        <f>INDEX(LoadMaster!$CX:$CX,MATCH(B268,LoadMaster!$C:$C,0))</f>
        <v>690.9</v>
      </c>
      <c r="H268" s="132">
        <f>INDEX(LoadMaster!$CW:$CW,MATCH(B268,LoadMaster!$C:$C,0))</f>
        <v>655.65</v>
      </c>
      <c r="I268" s="330">
        <v>690.9</v>
      </c>
      <c r="J268" s="525">
        <v>655.65</v>
      </c>
      <c r="K268" s="134" t="str">
        <f t="shared" si="20"/>
        <v>Full</v>
      </c>
      <c r="L268" s="134">
        <f>INDEX(LoadMaster!$CT:$CT,MATCH(Table2[[#This Row],[BrokerConfNo]],LoadMaster!$C:$C,0))</f>
        <v>105</v>
      </c>
      <c r="M268" s="416" t="str">
        <f>INDEX(LoadMaster!$AO:$AO,MATCH(Table2[[#This Row],[BrokerConfNo]],LoadMaster!$C:$C,0))</f>
        <v>Wesley</v>
      </c>
      <c r="N268" s="104">
        <f t="shared" si="21"/>
        <v>42398</v>
      </c>
      <c r="O268" s="135">
        <f t="shared" si="22"/>
        <v>42405</v>
      </c>
      <c r="P268" s="104">
        <f>INDEX(LoadMaster!$M:$M,MATCH(B268,LoadMaster!$C:$C,0))</f>
        <v>42397</v>
      </c>
      <c r="Q268" s="416" t="str">
        <f>INDEX(LoadMaster!$P:$P,MATCH(B268,LoadMaster!$C:$C,0))</f>
        <v>Redding</v>
      </c>
      <c r="R268" s="416" t="str">
        <f>INDEX(LoadMaster!$AH:$AH,MATCH(B268,LoadMaster!$C:$C,0))</f>
        <v>Fremont</v>
      </c>
      <c r="S268" s="416" t="str">
        <f>INDEX(LoadMaster!$DC:$DC,MATCH(B268,LoadMaster!$C:$C,0))</f>
        <v>Sunny</v>
      </c>
      <c r="T268" s="136">
        <f>INDEX(LoadMaster!$DA:$DA,MATCH(B268,LoadMaster!$C:$C,0))</f>
        <v>35.250000000000021</v>
      </c>
      <c r="U268" s="137">
        <f>Table2[[#This Row],[WeekEndingDate]]+7</f>
        <v>42405</v>
      </c>
      <c r="V268" s="15">
        <f t="shared" si="23"/>
        <v>1</v>
      </c>
      <c r="W268" s="416">
        <f t="shared" si="24"/>
        <v>2016</v>
      </c>
    </row>
    <row r="269" spans="1:23" s="18" customFormat="1">
      <c r="A269" s="15" t="str">
        <f>INDEX(LoadMaster!$A:$A,MATCH(B269,LoadMaster!$C:$C,0))</f>
        <v>22wnwn88</v>
      </c>
      <c r="B269" s="55">
        <v>6556322</v>
      </c>
      <c r="C269" s="18" t="str">
        <f>VLOOKUP(Table2[[#This Row],[BrokerConfNo]],LoadMaster!C:D,2,FALSE)</f>
        <v>Tql</v>
      </c>
      <c r="D269" s="26">
        <v>42408</v>
      </c>
      <c r="E269" s="18" t="str">
        <f>IF(Table2[[#This Row],[UBActualReceived]]&gt;1,"Received","Pending")</f>
        <v>Received</v>
      </c>
      <c r="F269" s="21">
        <f>INDEX(LoadMaster!$CU:$CU,MATCH(B269,LoadMaster!$C:$C,0))</f>
        <v>290</v>
      </c>
      <c r="G269" s="132">
        <f>INDEX(LoadMaster!$CX:$CX,MATCH(B269,LoadMaster!$C:$C,0))</f>
        <v>281.3</v>
      </c>
      <c r="H269" s="132">
        <f>INDEX(LoadMaster!$CW:$CW,MATCH(B269,LoadMaster!$C:$C,0))</f>
        <v>269.7</v>
      </c>
      <c r="I269" s="331">
        <v>281.3</v>
      </c>
      <c r="J269" s="526">
        <v>269.7</v>
      </c>
      <c r="K269" s="27" t="str">
        <f t="shared" si="20"/>
        <v>Full</v>
      </c>
      <c r="L269" s="27">
        <f>INDEX(LoadMaster!$CT:$CT,MATCH(Table2[[#This Row],[BrokerConfNo]],LoadMaster!$C:$C,0))</f>
        <v>40</v>
      </c>
      <c r="M269" s="18" t="str">
        <f>INDEX(LoadMaster!$AO:$AO,MATCH(Table2[[#This Row],[BrokerConfNo]],LoadMaster!$C:$C,0))</f>
        <v>Wesley</v>
      </c>
      <c r="N269" s="26">
        <f t="shared" si="21"/>
        <v>42398</v>
      </c>
      <c r="O269" s="109">
        <f t="shared" si="22"/>
        <v>42405</v>
      </c>
      <c r="P269" s="26">
        <f>INDEX(LoadMaster!$M:$M,MATCH(B269,LoadMaster!$C:$C,0))</f>
        <v>42398</v>
      </c>
      <c r="Q269" s="18" t="str">
        <f>INDEX(LoadMaster!$P:$P,MATCH(B269,LoadMaster!$C:$C,0))</f>
        <v>Livermore</v>
      </c>
      <c r="R269" s="18" t="str">
        <f>INDEX(LoadMaster!$AH:$AH,MATCH(B269,LoadMaster!$C:$C,0))</f>
        <v>Woodland</v>
      </c>
      <c r="S269" s="416" t="str">
        <f>INDEX(LoadMaster!$DC:$DC,MATCH(B269,LoadMaster!$C:$C,0))</f>
        <v>Sunny</v>
      </c>
      <c r="T269" s="48">
        <f>INDEX(LoadMaster!$DA:$DA,MATCH(B269,LoadMaster!$C:$C,0))</f>
        <v>11.600000000000012</v>
      </c>
      <c r="U269" s="110">
        <f>Table2[[#This Row],[WeekEndingDate]]+7</f>
        <v>42405</v>
      </c>
      <c r="V269" s="14">
        <f t="shared" si="23"/>
        <v>1</v>
      </c>
      <c r="W269" s="18">
        <f t="shared" si="24"/>
        <v>2016</v>
      </c>
    </row>
    <row r="270" spans="1:23" s="18" customFormat="1">
      <c r="A270" s="15" t="str">
        <f>INDEX(LoadMaster!$A:$A,MATCH(B270,LoadMaster!$C:$C,0))</f>
        <v>24002488</v>
      </c>
      <c r="B270" s="55">
        <v>2764324</v>
      </c>
      <c r="C270" s="18" t="str">
        <f>VLOOKUP(Table2[[#This Row],[BrokerConfNo]],LoadMaster!C:D,2,FALSE)</f>
        <v>Us Xpress Logistics</v>
      </c>
      <c r="D270" s="26">
        <v>42432</v>
      </c>
      <c r="E270" s="18" t="str">
        <f>IF(Table2[[#This Row],[UBActualReceived]]&gt;1,"Received","Pending")</f>
        <v>Received</v>
      </c>
      <c r="F270" s="21">
        <f>INDEX(LoadMaster!$CU:$CU,MATCH(B270,LoadMaster!$C:$C,0))</f>
        <v>600</v>
      </c>
      <c r="G270" s="132">
        <f>INDEX(LoadMaster!$CX:$CX,MATCH(B270,LoadMaster!$C:$C,0))</f>
        <v>591</v>
      </c>
      <c r="H270" s="132">
        <f>INDEX(LoadMaster!$CW:$CW,MATCH(B270,LoadMaster!$C:$C,0))</f>
        <v>558</v>
      </c>
      <c r="I270" s="331">
        <v>591</v>
      </c>
      <c r="J270" s="526">
        <v>558</v>
      </c>
      <c r="K270" s="27" t="str">
        <f t="shared" si="20"/>
        <v>Full</v>
      </c>
      <c r="L270" s="27">
        <f>INDEX(LoadMaster!$CT:$CT,MATCH(Table2[[#This Row],[BrokerConfNo]],LoadMaster!$C:$C,0))</f>
        <v>0</v>
      </c>
      <c r="M270" s="18" t="str">
        <f>INDEX(LoadMaster!$AO:$AO,MATCH(Table2[[#This Row],[BrokerConfNo]],LoadMaster!$C:$C,0))</f>
        <v>Wesley</v>
      </c>
      <c r="N270" s="26">
        <f t="shared" si="21"/>
        <v>42398</v>
      </c>
      <c r="O270" s="109">
        <f t="shared" si="22"/>
        <v>42405</v>
      </c>
      <c r="P270" s="26">
        <f>INDEX(LoadMaster!$M:$M,MATCH(B270,LoadMaster!$C:$C,0))</f>
        <v>42398</v>
      </c>
      <c r="Q270" s="18" t="str">
        <f>INDEX(LoadMaster!$P:$P,MATCH(B270,LoadMaster!$C:$C,0))</f>
        <v>Martell</v>
      </c>
      <c r="R270" s="18" t="str">
        <f>INDEX(LoadMaster!$AH:$AH,MATCH(B270,LoadMaster!$C:$C,0))</f>
        <v>National City</v>
      </c>
      <c r="S270" s="416" t="str">
        <f>INDEX(LoadMaster!$DC:$DC,MATCH(B270,LoadMaster!$C:$C,0))</f>
        <v>Sunny</v>
      </c>
      <c r="T270" s="48">
        <f>INDEX(LoadMaster!$DA:$DA,MATCH(B270,LoadMaster!$C:$C,0))</f>
        <v>33</v>
      </c>
      <c r="U270" s="110">
        <f>Table2[[#This Row],[WeekEndingDate]]+7</f>
        <v>42405</v>
      </c>
      <c r="V270" s="14">
        <f t="shared" si="23"/>
        <v>1</v>
      </c>
      <c r="W270" s="18">
        <f t="shared" si="24"/>
        <v>2016</v>
      </c>
    </row>
    <row r="271" spans="1:23" s="18" customFormat="1">
      <c r="A271" s="15" t="str">
        <f>INDEX(LoadMaster!$A:$A,MATCH(B271,LoadMaster!$C:$C,0))</f>
        <v>44188688</v>
      </c>
      <c r="B271" s="55">
        <v>501844</v>
      </c>
      <c r="C271" s="18" t="str">
        <f>VLOOKUP(Table2[[#This Row],[BrokerConfNo]],LoadMaster!C:D,2,FALSE)</f>
        <v>Cavalry Logistics</v>
      </c>
      <c r="D271" s="26">
        <v>42416</v>
      </c>
      <c r="E271" s="18" t="str">
        <f>IF(Table2[[#This Row],[UBActualReceived]]&gt;1,"Received","Pending")</f>
        <v>Received</v>
      </c>
      <c r="F271" s="21">
        <f>INDEX(LoadMaster!$CU:$CU,MATCH(B271,LoadMaster!$C:$C,0))</f>
        <v>674</v>
      </c>
      <c r="G271" s="132">
        <f>INDEX(LoadMaster!$CX:$CX,MATCH(B271,LoadMaster!$C:$C,0))</f>
        <v>660.52</v>
      </c>
      <c r="H271" s="132">
        <f>INDEX(LoadMaster!$CW:$CW,MATCH(B271,LoadMaster!$C:$C,0))</f>
        <v>626.82000000000005</v>
      </c>
      <c r="I271" s="331">
        <v>660.52</v>
      </c>
      <c r="J271" s="526">
        <v>626.82000000000005</v>
      </c>
      <c r="K271" s="27" t="str">
        <f t="shared" si="20"/>
        <v>Full</v>
      </c>
      <c r="L271" s="27">
        <f>INDEX(LoadMaster!$CT:$CT,MATCH(Table2[[#This Row],[BrokerConfNo]],LoadMaster!$C:$C,0))</f>
        <v>0</v>
      </c>
      <c r="M271" s="18" t="str">
        <f>INDEX(LoadMaster!$AO:$AO,MATCH(Table2[[#This Row],[BrokerConfNo]],LoadMaster!$C:$C,0))</f>
        <v>Wesley</v>
      </c>
      <c r="N271" s="26">
        <f t="shared" si="21"/>
        <v>42405</v>
      </c>
      <c r="O271" s="109">
        <f t="shared" si="22"/>
        <v>42412</v>
      </c>
      <c r="P271" s="26">
        <f>INDEX(LoadMaster!$M:$M,MATCH(B271,LoadMaster!$C:$C,0))</f>
        <v>42401</v>
      </c>
      <c r="Q271" s="18" t="str">
        <f>INDEX(LoadMaster!$P:$P,MATCH(B271,LoadMaster!$C:$C,0))</f>
        <v>San Diego</v>
      </c>
      <c r="R271" s="18" t="str">
        <f>INDEX(LoadMaster!$AH:$AH,MATCH(B271,LoadMaster!$C:$C,0))</f>
        <v>Visalia</v>
      </c>
      <c r="S271" s="416" t="str">
        <f>INDEX(LoadMaster!$DC:$DC,MATCH(B271,LoadMaster!$C:$C,0))</f>
        <v>Sunny</v>
      </c>
      <c r="T271" s="48">
        <f>INDEX(LoadMaster!$DA:$DA,MATCH(B271,LoadMaster!$C:$C,0))</f>
        <v>33.699999999999946</v>
      </c>
      <c r="U271" s="110">
        <f>Table2[[#This Row],[WeekEndingDate]]+7</f>
        <v>42412</v>
      </c>
      <c r="V271" s="14">
        <f t="shared" si="23"/>
        <v>2</v>
      </c>
      <c r="W271" s="18">
        <f t="shared" si="24"/>
        <v>2016</v>
      </c>
    </row>
    <row r="272" spans="1:23" s="68" customFormat="1">
      <c r="A272" s="15" t="str">
        <f>INDEX(LoadMaster!$A:$A,MATCH(B272,LoadMaster!$C:$C,0))</f>
        <v>58242419</v>
      </c>
      <c r="B272" s="81">
        <v>192065758</v>
      </c>
      <c r="C272" s="416" t="str">
        <f>VLOOKUP(Table2[[#This Row],[BrokerConfNo]],LoadMaster!C:D,2,FALSE)</f>
        <v>Ch Robinson</v>
      </c>
      <c r="D272" s="104">
        <v>42411</v>
      </c>
      <c r="E272" s="416" t="str">
        <f>IF(Table2[[#This Row],[UBActualReceived]]&gt;1,"Received","Pending")</f>
        <v>Received</v>
      </c>
      <c r="F272" s="132">
        <f>INDEX(LoadMaster!$CU:$CU,MATCH(B272,LoadMaster!$C:$C,0))</f>
        <v>790</v>
      </c>
      <c r="G272" s="132">
        <f>INDEX(LoadMaster!$CX:$CX,MATCH(B272,LoadMaster!$C:$C,0))</f>
        <v>774.19999999999993</v>
      </c>
      <c r="H272" s="132">
        <f>INDEX(LoadMaster!$CW:$CW,MATCH(B272,LoadMaster!$C:$C,0))</f>
        <v>734.7</v>
      </c>
      <c r="I272" s="330">
        <v>774.2</v>
      </c>
      <c r="J272" s="525">
        <v>734.7</v>
      </c>
      <c r="K272" s="134" t="str">
        <f t="shared" si="20"/>
        <v>Full</v>
      </c>
      <c r="L272" s="134">
        <f>INDEX(LoadMaster!$CT:$CT,MATCH(Table2[[#This Row],[BrokerConfNo]],LoadMaster!$C:$C,0))</f>
        <v>340</v>
      </c>
      <c r="M272" s="416" t="str">
        <f>INDEX(LoadMaster!$AO:$AO,MATCH(Table2[[#This Row],[BrokerConfNo]],LoadMaster!$C:$C,0))</f>
        <v>Miguel Jaime</v>
      </c>
      <c r="N272" s="104">
        <f t="shared" si="21"/>
        <v>42405</v>
      </c>
      <c r="O272" s="135">
        <f t="shared" si="22"/>
        <v>42412</v>
      </c>
      <c r="P272" s="104">
        <f>INDEX(LoadMaster!$M:$M,MATCH(B272,LoadMaster!$C:$C,0))</f>
        <v>42401</v>
      </c>
      <c r="Q272" s="416" t="str">
        <f>INDEX(LoadMaster!$P:$P,MATCH(B272,LoadMaster!$C:$C,0))</f>
        <v>Tracy</v>
      </c>
      <c r="R272" s="416" t="str">
        <f>INDEX(LoadMaster!$AH:$AH,MATCH(B272,LoadMaster!$C:$C,0))</f>
        <v>Hopland</v>
      </c>
      <c r="S272" s="416" t="str">
        <f>INDEX(LoadMaster!$DC:$DC,MATCH(B272,LoadMaster!$C:$C,0))</f>
        <v>Sunny</v>
      </c>
      <c r="T272" s="136">
        <f>INDEX(LoadMaster!$DA:$DA,MATCH(B272,LoadMaster!$C:$C,0))</f>
        <v>39.499999999999957</v>
      </c>
      <c r="U272" s="137">
        <f>Table2[[#This Row],[WeekEndingDate]]+7</f>
        <v>42412</v>
      </c>
      <c r="V272" s="15">
        <f t="shared" si="23"/>
        <v>2</v>
      </c>
      <c r="W272" s="416">
        <f t="shared" si="24"/>
        <v>2016</v>
      </c>
    </row>
    <row r="273" spans="1:23" s="18" customFormat="1">
      <c r="A273" s="15" t="str">
        <f>INDEX(LoadMaster!$A:$A,MATCH(B273,LoadMaster!$C:$C,0))</f>
        <v>106B6B49</v>
      </c>
      <c r="B273" s="81">
        <v>191030510</v>
      </c>
      <c r="C273" s="416" t="str">
        <f>VLOOKUP(Table2[[#This Row],[BrokerConfNo]],LoadMaster!C:D,2,FALSE)</f>
        <v>Ch Robinson</v>
      </c>
      <c r="D273" s="104">
        <v>42411</v>
      </c>
      <c r="E273" s="416" t="str">
        <f>IF(Table2[[#This Row],[UBActualReceived]]&gt;1,"Received","Pending")</f>
        <v>Received</v>
      </c>
      <c r="F273" s="132">
        <f>INDEX(LoadMaster!$CU:$CU,MATCH(B273,LoadMaster!$C:$C,0))</f>
        <v>325</v>
      </c>
      <c r="G273" s="132">
        <f>INDEX(LoadMaster!$CX:$CX,MATCH(B273,LoadMaster!$C:$C,0))</f>
        <v>318.5</v>
      </c>
      <c r="H273" s="132">
        <f>INDEX(LoadMaster!$CW:$CW,MATCH(B273,LoadMaster!$C:$C,0))</f>
        <v>300</v>
      </c>
      <c r="I273" s="330">
        <v>318.5</v>
      </c>
      <c r="J273" s="525">
        <v>300</v>
      </c>
      <c r="K273" s="134" t="str">
        <f t="shared" si="20"/>
        <v>Full</v>
      </c>
      <c r="L273" s="134">
        <f>INDEX(LoadMaster!$CT:$CT,MATCH(Table2[[#This Row],[BrokerConfNo]],LoadMaster!$C:$C,0))</f>
        <v>0</v>
      </c>
      <c r="M273" s="416" t="str">
        <f>INDEX(LoadMaster!$AO:$AO,MATCH(Table2[[#This Row],[BrokerConfNo]],LoadMaster!$C:$C,0))</f>
        <v>Albel</v>
      </c>
      <c r="N273" s="104">
        <f t="shared" si="21"/>
        <v>42405</v>
      </c>
      <c r="O273" s="135">
        <f t="shared" si="22"/>
        <v>42419</v>
      </c>
      <c r="P273" s="104">
        <f>INDEX(LoadMaster!$M:$M,MATCH(B273,LoadMaster!$C:$C,0))</f>
        <v>42401</v>
      </c>
      <c r="Q273" s="416" t="str">
        <f>INDEX(LoadMaster!$P:$P,MATCH(B273,LoadMaster!$C:$C,0))</f>
        <v>Watsonville</v>
      </c>
      <c r="R273" s="416" t="str">
        <f>INDEX(LoadMaster!$AH:$AH,MATCH(B273,LoadMaster!$C:$C,0))</f>
        <v>Stockton</v>
      </c>
      <c r="S273" s="416" t="str">
        <f>INDEX(LoadMaster!$DC:$DC,MATCH(B273,LoadMaster!$C:$C,0))</f>
        <v>Sunny</v>
      </c>
      <c r="T273" s="136">
        <f>INDEX(LoadMaster!$DA:$DA,MATCH(B273,LoadMaster!$C:$C,0))</f>
        <v>18.5</v>
      </c>
      <c r="U273" s="137">
        <f>Table2[[#This Row],[WeekEndingDate]]+7</f>
        <v>42412</v>
      </c>
      <c r="V273" s="15">
        <f t="shared" si="23"/>
        <v>2</v>
      </c>
      <c r="W273" s="416">
        <f t="shared" si="24"/>
        <v>2016</v>
      </c>
    </row>
    <row r="274" spans="1:23" s="68" customFormat="1">
      <c r="A274" s="15" t="str">
        <f>INDEX(LoadMaster!$A:$A,MATCH(B274,LoadMaster!$C:$C,0))</f>
        <v>35wnwn49</v>
      </c>
      <c r="B274" s="55">
        <v>156835</v>
      </c>
      <c r="C274" s="18" t="str">
        <f>VLOOKUP(Table2[[#This Row],[BrokerConfNo]],LoadMaster!C:D,2,FALSE)</f>
        <v>Pinnacle Transportation Logistics</v>
      </c>
      <c r="D274" s="26">
        <v>42410</v>
      </c>
      <c r="E274" s="18" t="str">
        <f>IF(Table2[[#This Row],[UBActualReceived]]&gt;1,"Received","Pending")</f>
        <v>Received</v>
      </c>
      <c r="F274" s="21">
        <f>INDEX(LoadMaster!$CU:$CU,MATCH(B274,LoadMaster!$C:$C,0))</f>
        <v>350</v>
      </c>
      <c r="G274" s="132">
        <f>INDEX(LoadMaster!$CX:$CX,MATCH(B274,LoadMaster!$C:$C,0))</f>
        <v>332.5</v>
      </c>
      <c r="H274" s="132">
        <f>INDEX(LoadMaster!$CW:$CW,MATCH(B274,LoadMaster!$C:$C,0))</f>
        <v>325</v>
      </c>
      <c r="I274" s="331">
        <v>332.5</v>
      </c>
      <c r="J274" s="526">
        <v>325</v>
      </c>
      <c r="K274" s="27" t="str">
        <f t="shared" si="20"/>
        <v>Full</v>
      </c>
      <c r="L274" s="27">
        <f>INDEX(LoadMaster!$CT:$CT,MATCH(Table2[[#This Row],[BrokerConfNo]],LoadMaster!$C:$C,0))</f>
        <v>0</v>
      </c>
      <c r="M274" s="18" t="str">
        <f>INDEX(LoadMaster!$AO:$AO,MATCH(Table2[[#This Row],[BrokerConfNo]],LoadMaster!$C:$C,0))</f>
        <v>Albel</v>
      </c>
      <c r="N274" s="26">
        <f t="shared" si="21"/>
        <v>42405</v>
      </c>
      <c r="O274" s="109">
        <f t="shared" si="22"/>
        <v>42419</v>
      </c>
      <c r="P274" s="26">
        <f>INDEX(LoadMaster!$M:$M,MATCH(B274,LoadMaster!$C:$C,0))</f>
        <v>42401</v>
      </c>
      <c r="Q274" s="18" t="str">
        <f>INDEX(LoadMaster!$P:$P,MATCH(B274,LoadMaster!$C:$C,0))</f>
        <v>Pittsburg</v>
      </c>
      <c r="R274" s="18" t="str">
        <f>INDEX(LoadMaster!$AH:$AH,MATCH(B274,LoadMaster!$C:$C,0))</f>
        <v>Salinas</v>
      </c>
      <c r="S274" s="416" t="str">
        <f>INDEX(LoadMaster!$DC:$DC,MATCH(B274,LoadMaster!$C:$C,0))</f>
        <v>Sunny</v>
      </c>
      <c r="T274" s="48">
        <f>INDEX(LoadMaster!$DA:$DA,MATCH(B274,LoadMaster!$C:$C,0))</f>
        <v>7.5</v>
      </c>
      <c r="U274" s="110">
        <f>Table2[[#This Row],[WeekEndingDate]]+7</f>
        <v>42412</v>
      </c>
      <c r="V274" s="14">
        <f t="shared" si="23"/>
        <v>2</v>
      </c>
      <c r="W274" s="18">
        <f t="shared" si="24"/>
        <v>2016</v>
      </c>
    </row>
    <row r="275" spans="1:23" s="68" customFormat="1">
      <c r="A275" s="15" t="str">
        <f>INDEX(LoadMaster!$A:$A,MATCH(B275,LoadMaster!$C:$C,0))</f>
        <v>87898988</v>
      </c>
      <c r="B275" s="81">
        <v>192163287</v>
      </c>
      <c r="C275" s="416" t="str">
        <f>VLOOKUP(Table2[[#This Row],[BrokerConfNo]],LoadMaster!C:D,2,FALSE)</f>
        <v>Ch Robinson</v>
      </c>
      <c r="D275" s="104">
        <v>42416</v>
      </c>
      <c r="E275" s="416" t="str">
        <f>IF(Table2[[#This Row],[UBActualReceived]]&gt;1,"Received","Pending")</f>
        <v>Received</v>
      </c>
      <c r="F275" s="132">
        <f>INDEX(LoadMaster!$CU:$CU,MATCH(B275,LoadMaster!$C:$C,0))</f>
        <v>450</v>
      </c>
      <c r="G275" s="132">
        <f>INDEX(LoadMaster!$CX:$CX,MATCH(B275,LoadMaster!$C:$C,0))</f>
        <v>441</v>
      </c>
      <c r="H275" s="132">
        <f>INDEX(LoadMaster!$CW:$CW,MATCH(B275,LoadMaster!$C:$C,0))</f>
        <v>465</v>
      </c>
      <c r="I275" s="330">
        <v>441</v>
      </c>
      <c r="J275" s="525">
        <v>465</v>
      </c>
      <c r="K275" s="134" t="str">
        <f t="shared" si="20"/>
        <v>Full</v>
      </c>
      <c r="L275" s="134">
        <f>INDEX(LoadMaster!$CT:$CT,MATCH(Table2[[#This Row],[BrokerConfNo]],LoadMaster!$C:$C,0))</f>
        <v>50</v>
      </c>
      <c r="M275" s="416" t="str">
        <f>INDEX(LoadMaster!$AO:$AO,MATCH(Table2[[#This Row],[BrokerConfNo]],LoadMaster!$C:$C,0))</f>
        <v>Wesley</v>
      </c>
      <c r="N275" s="104">
        <f t="shared" si="21"/>
        <v>42405</v>
      </c>
      <c r="O275" s="135">
        <f t="shared" si="22"/>
        <v>42412</v>
      </c>
      <c r="P275" s="104">
        <f>INDEX(LoadMaster!$M:$M,MATCH(B275,LoadMaster!$C:$C,0))</f>
        <v>42402</v>
      </c>
      <c r="Q275" s="416" t="str">
        <f>INDEX(LoadMaster!$P:$P,MATCH(B275,LoadMaster!$C:$C,0))</f>
        <v>Fresno</v>
      </c>
      <c r="R275" s="416" t="str">
        <f>INDEX(LoadMaster!$AH:$AH,MATCH(B275,LoadMaster!$C:$C,0))</f>
        <v>Brentwood</v>
      </c>
      <c r="S275" s="416" t="str">
        <f>INDEX(LoadMaster!$DC:$DC,MATCH(B275,LoadMaster!$C:$C,0))</f>
        <v>Sunny</v>
      </c>
      <c r="T275" s="136">
        <f>INDEX(LoadMaster!$DA:$DA,MATCH(B275,LoadMaster!$C:$C,0))</f>
        <v>-24</v>
      </c>
      <c r="U275" s="137">
        <f>Table2[[#This Row],[WeekEndingDate]]+7</f>
        <v>42412</v>
      </c>
      <c r="V275" s="15">
        <f t="shared" si="23"/>
        <v>2</v>
      </c>
      <c r="W275" s="416">
        <f t="shared" si="24"/>
        <v>2016</v>
      </c>
    </row>
    <row r="276" spans="1:23" s="18" customFormat="1">
      <c r="A276" s="15" t="str">
        <f>INDEX(LoadMaster!$A:$A,MATCH(B276,LoadMaster!$C:$C,0))</f>
        <v>51wnwn49</v>
      </c>
      <c r="B276" s="55">
        <v>2111851</v>
      </c>
      <c r="C276" s="18" t="str">
        <f>VLOOKUP(Table2[[#This Row],[BrokerConfNo]],LoadMaster!C:D,2,FALSE)</f>
        <v>Covenant Transport Solutions</v>
      </c>
      <c r="D276" s="26">
        <v>42447</v>
      </c>
      <c r="E276" s="18" t="str">
        <f>IF(Table2[[#This Row],[UBActualReceived]]&gt;1,"Received","Pending")</f>
        <v>Received</v>
      </c>
      <c r="F276" s="21">
        <f>INDEX(LoadMaster!$CU:$CU,MATCH(B276,LoadMaster!$C:$C,0))</f>
        <v>200</v>
      </c>
      <c r="G276" s="132">
        <f>INDEX(LoadMaster!$CX:$CX,MATCH(B276,LoadMaster!$C:$C,0))</f>
        <v>200</v>
      </c>
      <c r="H276" s="132">
        <f>INDEX(LoadMaster!$CW:$CW,MATCH(B276,LoadMaster!$C:$C,0))</f>
        <v>175</v>
      </c>
      <c r="I276" s="331">
        <v>200</v>
      </c>
      <c r="J276" s="526">
        <v>175</v>
      </c>
      <c r="K276" s="27" t="str">
        <f t="shared" si="20"/>
        <v>Full</v>
      </c>
      <c r="L276" s="27">
        <f>INDEX(LoadMaster!$CT:$CT,MATCH(Table2[[#This Row],[BrokerConfNo]],LoadMaster!$C:$C,0))</f>
        <v>0</v>
      </c>
      <c r="M276" s="18" t="str">
        <f>INDEX(LoadMaster!$AO:$AO,MATCH(Table2[[#This Row],[BrokerConfNo]],LoadMaster!$C:$C,0))</f>
        <v>Albel</v>
      </c>
      <c r="N276" s="26">
        <f t="shared" si="21"/>
        <v>42405</v>
      </c>
      <c r="O276" s="109">
        <f t="shared" si="22"/>
        <v>42419</v>
      </c>
      <c r="P276" s="26">
        <f>INDEX(LoadMaster!$M:$M,MATCH(B276,LoadMaster!$C:$C,0))</f>
        <v>42402</v>
      </c>
      <c r="Q276" s="18" t="str">
        <f>INDEX(LoadMaster!$P:$P,MATCH(B276,LoadMaster!$C:$C,0))</f>
        <v>Fairfield</v>
      </c>
      <c r="R276" s="18" t="str">
        <f>INDEX(LoadMaster!$AH:$AH,MATCH(B276,LoadMaster!$C:$C,0))</f>
        <v>Napa</v>
      </c>
      <c r="S276" s="416" t="str">
        <f>INDEX(LoadMaster!$DC:$DC,MATCH(B276,LoadMaster!$C:$C,0))</f>
        <v>Sunny</v>
      </c>
      <c r="T276" s="48">
        <f>INDEX(LoadMaster!$DA:$DA,MATCH(B276,LoadMaster!$C:$C,0))</f>
        <v>25</v>
      </c>
      <c r="U276" s="110">
        <f>Table2[[#This Row],[WeekEndingDate]]+7</f>
        <v>42412</v>
      </c>
      <c r="V276" s="14">
        <f t="shared" si="23"/>
        <v>2</v>
      </c>
      <c r="W276" s="18">
        <f t="shared" si="24"/>
        <v>2016</v>
      </c>
    </row>
    <row r="277" spans="1:23" s="18" customFormat="1">
      <c r="A277" s="15" t="str">
        <f>INDEX(LoadMaster!$A:$A,MATCH(B277,LoadMaster!$C:$C,0))</f>
        <v>12-1wn49</v>
      </c>
      <c r="B277" s="55">
        <v>6875712</v>
      </c>
      <c r="C277" s="18" t="str">
        <f>VLOOKUP(Table2[[#This Row],[BrokerConfNo]],LoadMaster!C:D,2,FALSE)</f>
        <v>Coyote</v>
      </c>
      <c r="D277" s="26">
        <v>42409</v>
      </c>
      <c r="E277" s="18" t="str">
        <f>IF(Table2[[#This Row],[UBActualReceived]]&gt;1,"Received","Pending")</f>
        <v>Received</v>
      </c>
      <c r="F277" s="21">
        <f>INDEX(LoadMaster!$CU:$CU,MATCH(B277,LoadMaster!$C:$C,0))</f>
        <v>300</v>
      </c>
      <c r="G277" s="132">
        <f>INDEX(LoadMaster!$CX:$CX,MATCH(B277,LoadMaster!$C:$C,0))</f>
        <v>291</v>
      </c>
      <c r="H277" s="132">
        <f>INDEX(LoadMaster!$CW:$CW,MATCH(B277,LoadMaster!$C:$C,0))</f>
        <v>275</v>
      </c>
      <c r="I277" s="331">
        <v>291</v>
      </c>
      <c r="J277" s="526">
        <v>275</v>
      </c>
      <c r="K277" s="27" t="str">
        <f t="shared" si="20"/>
        <v>Full</v>
      </c>
      <c r="L277" s="27">
        <f>INDEX(LoadMaster!$CT:$CT,MATCH(Table2[[#This Row],[BrokerConfNo]],LoadMaster!$C:$C,0))</f>
        <v>0</v>
      </c>
      <c r="M277" s="18" t="str">
        <f>INDEX(LoadMaster!$AO:$AO,MATCH(Table2[[#This Row],[BrokerConfNo]],LoadMaster!$C:$C,0))</f>
        <v>Albel</v>
      </c>
      <c r="N277" s="26">
        <f t="shared" si="21"/>
        <v>42405</v>
      </c>
      <c r="O277" s="109">
        <f t="shared" si="22"/>
        <v>42419</v>
      </c>
      <c r="P277" s="26">
        <f>INDEX(LoadMaster!$M:$M,MATCH(B277,LoadMaster!$C:$C,0))</f>
        <v>42402</v>
      </c>
      <c r="Q277" s="18" t="str">
        <f>INDEX(LoadMaster!$P:$P,MATCH(B277,LoadMaster!$C:$C,0))</f>
        <v>Modesto</v>
      </c>
      <c r="R277" s="18" t="str">
        <f>INDEX(LoadMaster!$AH:$AH,MATCH(B277,LoadMaster!$C:$C,0))</f>
        <v>Fairfield</v>
      </c>
      <c r="S277" s="416" t="str">
        <f>INDEX(LoadMaster!$DC:$DC,MATCH(B277,LoadMaster!$C:$C,0))</f>
        <v>Sunny</v>
      </c>
      <c r="T277" s="48">
        <f>INDEX(LoadMaster!$DA:$DA,MATCH(B277,LoadMaster!$C:$C,0))</f>
        <v>16</v>
      </c>
      <c r="U277" s="110">
        <f>Table2[[#This Row],[WeekEndingDate]]+7</f>
        <v>42412</v>
      </c>
      <c r="V277" s="14">
        <f t="shared" si="23"/>
        <v>2</v>
      </c>
      <c r="W277" s="18">
        <f t="shared" si="24"/>
        <v>2016</v>
      </c>
    </row>
    <row r="278" spans="1:23" s="68" customFormat="1">
      <c r="A278" s="15" t="str">
        <f>INDEX(LoadMaster!$A:$A,MATCH(B278,LoadMaster!$C:$C,0))</f>
        <v>23463249</v>
      </c>
      <c r="B278" s="81">
        <v>191916123</v>
      </c>
      <c r="C278" s="416" t="str">
        <f>VLOOKUP(Table2[[#This Row],[BrokerConfNo]],LoadMaster!C:D,2,FALSE)</f>
        <v>Ch Robinson</v>
      </c>
      <c r="D278" s="104">
        <v>42411</v>
      </c>
      <c r="E278" s="416" t="str">
        <f>IF(Table2[[#This Row],[UBActualReceived]]&gt;1,"Received","Pending")</f>
        <v>Received</v>
      </c>
      <c r="F278" s="132">
        <f>INDEX(LoadMaster!$CU:$CU,MATCH(B278,LoadMaster!$C:$C,0))</f>
        <v>135</v>
      </c>
      <c r="G278" s="132">
        <f>INDEX(LoadMaster!$CX:$CX,MATCH(B278,LoadMaster!$C:$C,0))</f>
        <v>132.30000000000001</v>
      </c>
      <c r="H278" s="132">
        <f>INDEX(LoadMaster!$CW:$CW,MATCH(B278,LoadMaster!$C:$C,0))</f>
        <v>125</v>
      </c>
      <c r="I278" s="330">
        <v>132.30000000000001</v>
      </c>
      <c r="J278" s="525">
        <v>125</v>
      </c>
      <c r="K278" s="134" t="str">
        <f t="shared" si="20"/>
        <v>Full</v>
      </c>
      <c r="L278" s="134">
        <f>INDEX(LoadMaster!$CT:$CT,MATCH(Table2[[#This Row],[BrokerConfNo]],LoadMaster!$C:$C,0))</f>
        <v>0</v>
      </c>
      <c r="M278" s="416" t="str">
        <f>INDEX(LoadMaster!$AO:$AO,MATCH(Table2[[#This Row],[BrokerConfNo]],LoadMaster!$C:$C,0))</f>
        <v>Albel</v>
      </c>
      <c r="N278" s="104">
        <f t="shared" si="21"/>
        <v>42405</v>
      </c>
      <c r="O278" s="135">
        <f t="shared" si="22"/>
        <v>42419</v>
      </c>
      <c r="P278" s="104">
        <f>INDEX(LoadMaster!$M:$M,MATCH(B278,LoadMaster!$C:$C,0))</f>
        <v>42403</v>
      </c>
      <c r="Q278" s="416" t="str">
        <f>INDEX(LoadMaster!$P:$P,MATCH(B278,LoadMaster!$C:$C,0))</f>
        <v>Tracy</v>
      </c>
      <c r="R278" s="416" t="str">
        <f>INDEX(LoadMaster!$AH:$AH,MATCH(B278,LoadMaster!$C:$C,0))</f>
        <v>Tracy</v>
      </c>
      <c r="S278" s="416" t="str">
        <f>INDEX(LoadMaster!$DC:$DC,MATCH(B278,LoadMaster!$C:$C,0))</f>
        <v>Sunny</v>
      </c>
      <c r="T278" s="136">
        <f>INDEX(LoadMaster!$DA:$DA,MATCH(B278,LoadMaster!$C:$C,0))</f>
        <v>7.3</v>
      </c>
      <c r="U278" s="137">
        <f>Table2[[#This Row],[WeekEndingDate]]+7</f>
        <v>42412</v>
      </c>
      <c r="V278" s="15">
        <f t="shared" si="23"/>
        <v>2</v>
      </c>
      <c r="W278" s="416">
        <f t="shared" si="24"/>
        <v>2016</v>
      </c>
    </row>
    <row r="279" spans="1:23" s="68" customFormat="1">
      <c r="A279" s="15" t="str">
        <f>INDEX(LoadMaster!$A:$A,MATCH(B279,LoadMaster!$C:$C,0))</f>
        <v>04484819</v>
      </c>
      <c r="B279" s="81">
        <v>192012104</v>
      </c>
      <c r="C279" s="416" t="str">
        <f>VLOOKUP(Table2[[#This Row],[BrokerConfNo]],LoadMaster!C:D,2,FALSE)</f>
        <v>Ch Robinson</v>
      </c>
      <c r="D279" s="104">
        <v>42411</v>
      </c>
      <c r="E279" s="416" t="str">
        <f>IF(Table2[[#This Row],[UBActualReceived]]&gt;1,"Received","Pending")</f>
        <v>Received</v>
      </c>
      <c r="F279" s="132">
        <f>INDEX(LoadMaster!$CU:$CU,MATCH(B279,LoadMaster!$C:$C,0))</f>
        <v>400</v>
      </c>
      <c r="G279" s="132">
        <f>INDEX(LoadMaster!$CX:$CX,MATCH(B279,LoadMaster!$C:$C,0))</f>
        <v>392</v>
      </c>
      <c r="H279" s="132">
        <f>INDEX(LoadMaster!$CW:$CW,MATCH(B279,LoadMaster!$C:$C,0))</f>
        <v>372</v>
      </c>
      <c r="I279" s="330">
        <v>392</v>
      </c>
      <c r="J279" s="525">
        <v>372</v>
      </c>
      <c r="K279" s="134" t="str">
        <f t="shared" si="20"/>
        <v>Full</v>
      </c>
      <c r="L279" s="134">
        <f>INDEX(LoadMaster!$CT:$CT,MATCH(Table2[[#This Row],[BrokerConfNo]],LoadMaster!$C:$C,0))</f>
        <v>0</v>
      </c>
      <c r="M279" s="416" t="str">
        <f>INDEX(LoadMaster!$AO:$AO,MATCH(Table2[[#This Row],[BrokerConfNo]],LoadMaster!$C:$C,0))</f>
        <v>Miguel Jaime</v>
      </c>
      <c r="N279" s="104">
        <f t="shared" si="21"/>
        <v>42405</v>
      </c>
      <c r="O279" s="135">
        <f t="shared" si="22"/>
        <v>42412</v>
      </c>
      <c r="P279" s="104">
        <f>INDEX(LoadMaster!$M:$M,MATCH(B279,LoadMaster!$C:$C,0))</f>
        <v>42403</v>
      </c>
      <c r="Q279" s="416" t="str">
        <f>INDEX(LoadMaster!$P:$P,MATCH(B279,LoadMaster!$C:$C,0))</f>
        <v>Visalia</v>
      </c>
      <c r="R279" s="416" t="str">
        <f>INDEX(LoadMaster!$AH:$AH,MATCH(B279,LoadMaster!$C:$C,0))</f>
        <v>Tracy</v>
      </c>
      <c r="S279" s="416" t="str">
        <f>INDEX(LoadMaster!$DC:$DC,MATCH(B279,LoadMaster!$C:$C,0))</f>
        <v>Sunny</v>
      </c>
      <c r="T279" s="136">
        <f>INDEX(LoadMaster!$DA:$DA,MATCH(B279,LoadMaster!$C:$C,0))</f>
        <v>20</v>
      </c>
      <c r="U279" s="137">
        <f>Table2[[#This Row],[WeekEndingDate]]+7</f>
        <v>42412</v>
      </c>
      <c r="V279" s="15">
        <f t="shared" si="23"/>
        <v>2</v>
      </c>
      <c r="W279" s="416">
        <f t="shared" si="24"/>
        <v>2016</v>
      </c>
    </row>
    <row r="280" spans="1:23" s="18" customFormat="1">
      <c r="A280" s="15" t="str">
        <f>INDEX(LoadMaster!$A:$A,MATCH(B280,LoadMaster!$C:$C,0))</f>
        <v>91026888</v>
      </c>
      <c r="B280" s="55">
        <v>6866291</v>
      </c>
      <c r="C280" s="18" t="str">
        <f>VLOOKUP(Table2[[#This Row],[BrokerConfNo]],LoadMaster!C:D,2,FALSE)</f>
        <v>Coyote</v>
      </c>
      <c r="D280" s="26">
        <v>42417</v>
      </c>
      <c r="E280" s="18" t="str">
        <f>IF(Table2[[#This Row],[UBActualReceived]]&gt;1,"Received","Pending")</f>
        <v>Received</v>
      </c>
      <c r="F280" s="21">
        <f>INDEX(LoadMaster!$CU:$CU,MATCH(B280,LoadMaster!$C:$C,0))</f>
        <v>600</v>
      </c>
      <c r="G280" s="132">
        <f>INDEX(LoadMaster!$CX:$CX,MATCH(B280,LoadMaster!$C:$C,0))</f>
        <v>582</v>
      </c>
      <c r="H280" s="132">
        <f>INDEX(LoadMaster!$CW:$CW,MATCH(B280,LoadMaster!$C:$C,0))</f>
        <v>558</v>
      </c>
      <c r="I280" s="331">
        <v>582</v>
      </c>
      <c r="J280" s="526">
        <v>558</v>
      </c>
      <c r="K280" s="27" t="str">
        <f t="shared" si="20"/>
        <v>Full</v>
      </c>
      <c r="L280" s="27">
        <f>INDEX(LoadMaster!$CT:$CT,MATCH(Table2[[#This Row],[BrokerConfNo]],LoadMaster!$C:$C,0))</f>
        <v>0</v>
      </c>
      <c r="M280" s="18" t="str">
        <f>INDEX(LoadMaster!$AO:$AO,MATCH(Table2[[#This Row],[BrokerConfNo]],LoadMaster!$C:$C,0))</f>
        <v>Wesley</v>
      </c>
      <c r="N280" s="26">
        <f t="shared" si="21"/>
        <v>42405</v>
      </c>
      <c r="O280" s="109">
        <f t="shared" si="22"/>
        <v>42412</v>
      </c>
      <c r="P280" s="26">
        <f>INDEX(LoadMaster!$M:$M,MATCH(B280,LoadMaster!$C:$C,0))</f>
        <v>42403</v>
      </c>
      <c r="Q280" s="18" t="str">
        <f>INDEX(LoadMaster!$P:$P,MATCH(B280,LoadMaster!$C:$C,0))</f>
        <v>Madera</v>
      </c>
      <c r="R280" s="18" t="str">
        <f>INDEX(LoadMaster!$AH:$AH,MATCH(B280,LoadMaster!$C:$C,0))</f>
        <v>San Diego</v>
      </c>
      <c r="S280" s="416" t="str">
        <f>INDEX(LoadMaster!$DC:$DC,MATCH(B280,LoadMaster!$C:$C,0))</f>
        <v>Sunny</v>
      </c>
      <c r="T280" s="48">
        <f>INDEX(LoadMaster!$DA:$DA,MATCH(B280,LoadMaster!$C:$C,0))</f>
        <v>24</v>
      </c>
      <c r="U280" s="110">
        <f>Table2[[#This Row],[WeekEndingDate]]+7</f>
        <v>42412</v>
      </c>
      <c r="V280" s="14">
        <f t="shared" si="23"/>
        <v>2</v>
      </c>
      <c r="W280" s="18">
        <f t="shared" si="24"/>
        <v>2016</v>
      </c>
    </row>
    <row r="281" spans="1:23" s="18" customFormat="1">
      <c r="A281" s="15" t="str">
        <f>INDEX(LoadMaster!$A:$A,MATCH(B281,LoadMaster!$C:$C,0))</f>
        <v>23969688</v>
      </c>
      <c r="B281" s="55">
        <v>51523</v>
      </c>
      <c r="C281" s="18" t="str">
        <f>VLOOKUP(Table2[[#This Row],[BrokerConfNo]],LoadMaster!C:D,2,FALSE)</f>
        <v xml:space="preserve">Its National </v>
      </c>
      <c r="D281" s="26">
        <v>42431</v>
      </c>
      <c r="E281" s="18" t="str">
        <f>IF(Table2[[#This Row],[UBActualReceived]]&gt;1,"Received","Pending")</f>
        <v>Received</v>
      </c>
      <c r="F281" s="21">
        <f>INDEX(LoadMaster!$CU:$CU,MATCH(B281,LoadMaster!$C:$C,0))</f>
        <v>800</v>
      </c>
      <c r="G281" s="132">
        <f>INDEX(LoadMaster!$CX:$CX,MATCH(B281,LoadMaster!$C:$C,0))</f>
        <v>800</v>
      </c>
      <c r="H281" s="132">
        <f>INDEX(LoadMaster!$CW:$CW,MATCH(B281,LoadMaster!$C:$C,0))</f>
        <v>744</v>
      </c>
      <c r="I281" s="331">
        <v>800</v>
      </c>
      <c r="J281" s="526">
        <v>744</v>
      </c>
      <c r="K281" s="27" t="str">
        <f t="shared" si="20"/>
        <v>Full</v>
      </c>
      <c r="L281" s="27">
        <f>INDEX(LoadMaster!$CT:$CT,MATCH(Table2[[#This Row],[BrokerConfNo]],LoadMaster!$C:$C,0))</f>
        <v>0</v>
      </c>
      <c r="M281" s="18" t="str">
        <f>INDEX(LoadMaster!$AO:$AO,MATCH(Table2[[#This Row],[BrokerConfNo]],LoadMaster!$C:$C,0))</f>
        <v>Wesley</v>
      </c>
      <c r="N281" s="26">
        <f t="shared" si="21"/>
        <v>42405</v>
      </c>
      <c r="O281" s="109">
        <f t="shared" si="22"/>
        <v>42412</v>
      </c>
      <c r="P281" s="26">
        <f>INDEX(LoadMaster!$M:$M,MATCH(B281,LoadMaster!$C:$C,0))</f>
        <v>42404</v>
      </c>
      <c r="Q281" s="18" t="str">
        <f>INDEX(LoadMaster!$P:$P,MATCH(B281,LoadMaster!$C:$C,0))</f>
        <v>Tecate</v>
      </c>
      <c r="R281" s="18" t="str">
        <f>INDEX(LoadMaster!$AH:$AH,MATCH(B281,LoadMaster!$C:$C,0))</f>
        <v>San Luis Obispo</v>
      </c>
      <c r="S281" s="416" t="str">
        <f>INDEX(LoadMaster!$DC:$DC,MATCH(B281,LoadMaster!$C:$C,0))</f>
        <v>Sunny</v>
      </c>
      <c r="T281" s="48">
        <f>INDEX(LoadMaster!$DA:$DA,MATCH(B281,LoadMaster!$C:$C,0))</f>
        <v>56</v>
      </c>
      <c r="U281" s="110">
        <f>Table2[[#This Row],[WeekEndingDate]]+7</f>
        <v>42412</v>
      </c>
      <c r="V281" s="14">
        <f t="shared" si="23"/>
        <v>2</v>
      </c>
      <c r="W281" s="18">
        <f t="shared" si="24"/>
        <v>2016</v>
      </c>
    </row>
    <row r="282" spans="1:23" s="18" customFormat="1">
      <c r="A282" s="15" t="str">
        <f>INDEX(LoadMaster!$A:$A,MATCH(B282,LoadMaster!$C:$C,0))</f>
        <v>897049</v>
      </c>
      <c r="B282" s="55">
        <v>6573489</v>
      </c>
      <c r="C282" s="18" t="str">
        <f>VLOOKUP(Table2[[#This Row],[BrokerConfNo]],LoadMaster!C:D,2,FALSE)</f>
        <v>Tql</v>
      </c>
      <c r="D282" s="26">
        <v>42414</v>
      </c>
      <c r="E282" s="18" t="str">
        <f>IF(Table2[[#This Row],[UBActualReceived]]&gt;1,"Received","Pending")</f>
        <v>Received</v>
      </c>
      <c r="F282" s="21">
        <f>INDEX(LoadMaster!$CU:$CU,MATCH(B282,LoadMaster!$C:$C,0))</f>
        <v>450</v>
      </c>
      <c r="G282" s="132">
        <f>INDEX(LoadMaster!$CX:$CX,MATCH(B282,LoadMaster!$C:$C,0))</f>
        <v>436.5</v>
      </c>
      <c r="H282" s="132">
        <f>INDEX(LoadMaster!$CW:$CW,MATCH(B282,LoadMaster!$C:$C,0))</f>
        <v>400</v>
      </c>
      <c r="I282" s="331">
        <v>436.5</v>
      </c>
      <c r="J282" s="526">
        <v>400</v>
      </c>
      <c r="K282" s="27" t="str">
        <f t="shared" si="20"/>
        <v>Full</v>
      </c>
      <c r="L282" s="27">
        <f>INDEX(LoadMaster!$CT:$CT,MATCH(Table2[[#This Row],[BrokerConfNo]],LoadMaster!$C:$C,0))</f>
        <v>0</v>
      </c>
      <c r="M282" s="18" t="str">
        <f>INDEX(LoadMaster!$AO:$AO,MATCH(Table2[[#This Row],[BrokerConfNo]],LoadMaster!$C:$C,0))</f>
        <v>Albel</v>
      </c>
      <c r="N282" s="26">
        <f t="shared" si="21"/>
        <v>42405</v>
      </c>
      <c r="O282" s="109">
        <f t="shared" si="22"/>
        <v>42419</v>
      </c>
      <c r="P282" s="26">
        <f>INDEX(LoadMaster!$M:$M,MATCH(B282,LoadMaster!$C:$C,0))</f>
        <v>42404</v>
      </c>
      <c r="Q282" s="18" t="str">
        <f>INDEX(LoadMaster!$P:$P,MATCH(B282,LoadMaster!$C:$C,0))</f>
        <v>Madera</v>
      </c>
      <c r="R282" s="18" t="str">
        <f>INDEX(LoadMaster!$AH:$AH,MATCH(B282,LoadMaster!$C:$C,0))</f>
        <v>Williams</v>
      </c>
      <c r="S282" s="416" t="str">
        <f>INDEX(LoadMaster!$DC:$DC,MATCH(B282,LoadMaster!$C:$C,0))</f>
        <v>Sunny</v>
      </c>
      <c r="T282" s="48">
        <f>INDEX(LoadMaster!$DA:$DA,MATCH(B282,LoadMaster!$C:$C,0))</f>
        <v>36.5</v>
      </c>
      <c r="U282" s="110">
        <f>Table2[[#This Row],[WeekEndingDate]]+7</f>
        <v>42412</v>
      </c>
      <c r="V282" s="14">
        <f t="shared" si="23"/>
        <v>2</v>
      </c>
      <c r="W282" s="18">
        <f t="shared" si="24"/>
        <v>2016</v>
      </c>
    </row>
    <row r="283" spans="1:23" s="18" customFormat="1">
      <c r="A283" s="15" t="str">
        <f>INDEX(LoadMaster!$A:$A,MATCH(B283,LoadMaster!$C:$C,0))</f>
        <v>82271719</v>
      </c>
      <c r="B283" s="55">
        <v>47282</v>
      </c>
      <c r="C283" s="18" t="str">
        <f>VLOOKUP(Table2[[#This Row],[BrokerConfNo]],LoadMaster!C:D,2,FALSE)</f>
        <v>Cargobarn Inc.</v>
      </c>
      <c r="D283" s="26">
        <v>42412</v>
      </c>
      <c r="E283" s="18" t="str">
        <f>IF(Table2[[#This Row],[UBActualReceived]]&gt;1,"Received","Pending")</f>
        <v>Received</v>
      </c>
      <c r="F283" s="21">
        <f>INDEX(LoadMaster!$CU:$CU,MATCH(B283,LoadMaster!$C:$C,0))</f>
        <v>300</v>
      </c>
      <c r="G283" s="132">
        <f>INDEX(LoadMaster!$CX:$CX,MATCH(B283,LoadMaster!$C:$C,0))</f>
        <v>291</v>
      </c>
      <c r="H283" s="132">
        <f>INDEX(LoadMaster!$CW:$CW,MATCH(B283,LoadMaster!$C:$C,0))</f>
        <v>279</v>
      </c>
      <c r="I283" s="331">
        <v>291</v>
      </c>
      <c r="J283" s="526">
        <v>279</v>
      </c>
      <c r="K283" s="27" t="str">
        <f t="shared" si="20"/>
        <v>Full</v>
      </c>
      <c r="L283" s="27">
        <f>INDEX(LoadMaster!$CT:$CT,MATCH(Table2[[#This Row],[BrokerConfNo]],LoadMaster!$C:$C,0))</f>
        <v>0</v>
      </c>
      <c r="M283" s="18" t="str">
        <f>INDEX(LoadMaster!$AO:$AO,MATCH(Table2[[#This Row],[BrokerConfNo]],LoadMaster!$C:$C,0))</f>
        <v>Miguel Jaime</v>
      </c>
      <c r="N283" s="26">
        <f t="shared" si="21"/>
        <v>42405</v>
      </c>
      <c r="O283" s="109">
        <f t="shared" si="22"/>
        <v>42412</v>
      </c>
      <c r="P283" s="26">
        <f>INDEX(LoadMaster!$M:$M,MATCH(B283,LoadMaster!$C:$C,0))</f>
        <v>42405</v>
      </c>
      <c r="Q283" s="18" t="str">
        <f>INDEX(LoadMaster!$P:$P,MATCH(B283,LoadMaster!$C:$C,0))</f>
        <v>Stockton</v>
      </c>
      <c r="R283" s="18" t="str">
        <f>INDEX(LoadMaster!$AH:$AH,MATCH(B283,LoadMaster!$C:$C,0))</f>
        <v>Richmond</v>
      </c>
      <c r="S283" s="416" t="str">
        <f>INDEX(LoadMaster!$DC:$DC,MATCH(B283,LoadMaster!$C:$C,0))</f>
        <v>Sunny</v>
      </c>
      <c r="T283" s="48">
        <f>INDEX(LoadMaster!$DA:$DA,MATCH(B283,LoadMaster!$C:$C,0))</f>
        <v>12</v>
      </c>
      <c r="U283" s="110">
        <f>Table2[[#This Row],[WeekEndingDate]]+7</f>
        <v>42412</v>
      </c>
      <c r="V283" s="14">
        <f t="shared" si="23"/>
        <v>2</v>
      </c>
      <c r="W283" s="18">
        <f t="shared" si="24"/>
        <v>2016</v>
      </c>
    </row>
    <row r="284" spans="1:23" s="68" customFormat="1">
      <c r="A284" s="15" t="str">
        <f>INDEX(LoadMaster!$A:$A,MATCH(B284,LoadMaster!$C:$C,0))</f>
        <v>521319</v>
      </c>
      <c r="B284" s="81">
        <v>192484752</v>
      </c>
      <c r="C284" s="416" t="str">
        <f>VLOOKUP(Table2[[#This Row],[BrokerConfNo]],LoadMaster!C:D,2,FALSE)</f>
        <v>Ch Robinson</v>
      </c>
      <c r="D284" s="104">
        <v>42416</v>
      </c>
      <c r="E284" s="416" t="str">
        <f>IF(Table2[[#This Row],[UBActualReceived]]&gt;1,"Received","Pending")</f>
        <v>Received</v>
      </c>
      <c r="F284" s="132">
        <f>INDEX(LoadMaster!$CU:$CU,MATCH(B284,LoadMaster!$C:$C,0))</f>
        <v>425</v>
      </c>
      <c r="G284" s="132">
        <f>INDEX(LoadMaster!$CX:$CX,MATCH(B284,LoadMaster!$C:$C,0))</f>
        <v>416.5</v>
      </c>
      <c r="H284" s="132">
        <f>INDEX(LoadMaster!$CW:$CW,MATCH(B284,LoadMaster!$C:$C,0))</f>
        <v>395.25</v>
      </c>
      <c r="I284" s="330">
        <v>416.5</v>
      </c>
      <c r="J284" s="525">
        <v>395.25</v>
      </c>
      <c r="K284" s="134" t="str">
        <f t="shared" si="20"/>
        <v>Full</v>
      </c>
      <c r="L284" s="134">
        <f>INDEX(LoadMaster!$CT:$CT,MATCH(Table2[[#This Row],[BrokerConfNo]],LoadMaster!$C:$C,0))</f>
        <v>0</v>
      </c>
      <c r="M284" s="416" t="str">
        <f>INDEX(LoadMaster!$AO:$AO,MATCH(Table2[[#This Row],[BrokerConfNo]],LoadMaster!$C:$C,0))</f>
        <v>Miguel Jaime</v>
      </c>
      <c r="N284" s="104">
        <f t="shared" si="21"/>
        <v>42405</v>
      </c>
      <c r="O284" s="135">
        <f t="shared" si="22"/>
        <v>42412</v>
      </c>
      <c r="P284" s="104">
        <f>INDEX(LoadMaster!$M:$M,MATCH(B284,LoadMaster!$C:$C,0))</f>
        <v>42405</v>
      </c>
      <c r="Q284" s="416" t="str">
        <f>INDEX(LoadMaster!$P:$P,MATCH(B284,LoadMaster!$C:$C,0))</f>
        <v>Oakland</v>
      </c>
      <c r="R284" s="416" t="str">
        <f>INDEX(LoadMaster!$AH:$AH,MATCH(B284,LoadMaster!$C:$C,0))</f>
        <v>Dinuba</v>
      </c>
      <c r="S284" s="416" t="str">
        <f>INDEX(LoadMaster!$DC:$DC,MATCH(B284,LoadMaster!$C:$C,0))</f>
        <v>Sunny</v>
      </c>
      <c r="T284" s="136">
        <f>INDEX(LoadMaster!$DA:$DA,MATCH(B284,LoadMaster!$C:$C,0))</f>
        <v>21.25</v>
      </c>
      <c r="U284" s="137">
        <f>Table2[[#This Row],[WeekEndingDate]]+7</f>
        <v>42412</v>
      </c>
      <c r="V284" s="15">
        <f t="shared" si="23"/>
        <v>2</v>
      </c>
      <c r="W284" s="416">
        <f t="shared" si="24"/>
        <v>2016</v>
      </c>
    </row>
    <row r="285" spans="1:23" s="68" customFormat="1">
      <c r="A285" s="15" t="str">
        <f>INDEX(LoadMaster!$A:$A,MATCH(B285,LoadMaster!$C:$C,0))</f>
        <v>30858549</v>
      </c>
      <c r="B285" s="81">
        <v>192572930</v>
      </c>
      <c r="C285" s="416" t="str">
        <f>VLOOKUP(Table2[[#This Row],[BrokerConfNo]],LoadMaster!C:D,2,FALSE)</f>
        <v>Ch Robinson</v>
      </c>
      <c r="D285" s="104">
        <v>42412</v>
      </c>
      <c r="E285" s="416" t="str">
        <f>IF(Table2[[#This Row],[UBActualReceived]]&gt;1,"Received","Pending")</f>
        <v>Received</v>
      </c>
      <c r="F285" s="132">
        <f>INDEX(LoadMaster!$CU:$CU,MATCH(B285,LoadMaster!$C:$C,0))</f>
        <v>300</v>
      </c>
      <c r="G285" s="132">
        <f>INDEX(LoadMaster!$CX:$CX,MATCH(B285,LoadMaster!$C:$C,0))</f>
        <v>294</v>
      </c>
      <c r="H285" s="132">
        <f>INDEX(LoadMaster!$CW:$CW,MATCH(B285,LoadMaster!$C:$C,0))</f>
        <v>275</v>
      </c>
      <c r="I285" s="330">
        <v>294</v>
      </c>
      <c r="J285" s="525">
        <v>275</v>
      </c>
      <c r="K285" s="134" t="str">
        <f t="shared" si="20"/>
        <v>Full</v>
      </c>
      <c r="L285" s="134">
        <f>INDEX(LoadMaster!$CT:$CT,MATCH(Table2[[#This Row],[BrokerConfNo]],LoadMaster!$C:$C,0))</f>
        <v>0</v>
      </c>
      <c r="M285" s="416" t="str">
        <f>INDEX(LoadMaster!$AO:$AO,MATCH(Table2[[#This Row],[BrokerConfNo]],LoadMaster!$C:$C,0))</f>
        <v>Albel</v>
      </c>
      <c r="N285" s="104">
        <f t="shared" si="21"/>
        <v>42405</v>
      </c>
      <c r="O285" s="135">
        <f t="shared" si="22"/>
        <v>42419</v>
      </c>
      <c r="P285" s="104">
        <f>INDEX(LoadMaster!$M:$M,MATCH(B285,LoadMaster!$C:$C,0))</f>
        <v>42405</v>
      </c>
      <c r="Q285" s="416" t="str">
        <f>INDEX(LoadMaster!$P:$P,MATCH(B285,LoadMaster!$C:$C,0))</f>
        <v>Fairfield</v>
      </c>
      <c r="R285" s="416" t="str">
        <f>INDEX(LoadMaster!$AH:$AH,MATCH(B285,LoadMaster!$C:$C,0))</f>
        <v>South San Francisco</v>
      </c>
      <c r="S285" s="416" t="str">
        <f>INDEX(LoadMaster!$DC:$DC,MATCH(B285,LoadMaster!$C:$C,0))</f>
        <v>Sunny</v>
      </c>
      <c r="T285" s="136">
        <f>INDEX(LoadMaster!$DA:$DA,MATCH(B285,LoadMaster!$C:$C,0))</f>
        <v>19</v>
      </c>
      <c r="U285" s="137">
        <f>Table2[[#This Row],[WeekEndingDate]]+7</f>
        <v>42412</v>
      </c>
      <c r="V285" s="15">
        <f t="shared" si="23"/>
        <v>2</v>
      </c>
      <c r="W285" s="416">
        <f t="shared" si="24"/>
        <v>2016</v>
      </c>
    </row>
    <row r="286" spans="1:23" s="18" customFormat="1">
      <c r="A286" s="15" t="str">
        <f>INDEX(LoadMaster!$A:$A,MATCH(B286,LoadMaster!$C:$C,0))</f>
        <v>46283449</v>
      </c>
      <c r="B286" s="55">
        <v>47346</v>
      </c>
      <c r="C286" s="18" t="str">
        <f>VLOOKUP(Table2[[#This Row],[BrokerConfNo]],LoadMaster!C:D,2,FALSE)</f>
        <v>Cargobarn Inc.</v>
      </c>
      <c r="D286" s="26">
        <v>42419</v>
      </c>
      <c r="E286" s="18" t="str">
        <f>IF(Table2[[#This Row],[UBActualReceived]]&gt;1,"Received","Pending")</f>
        <v>Received</v>
      </c>
      <c r="F286" s="21">
        <f>INDEX(LoadMaster!$CU:$CU,MATCH(B286,LoadMaster!$C:$C,0))</f>
        <v>200</v>
      </c>
      <c r="G286" s="132">
        <f>INDEX(LoadMaster!$CX:$CX,MATCH(B286,LoadMaster!$C:$C,0))</f>
        <v>194</v>
      </c>
      <c r="H286" s="132">
        <f>INDEX(LoadMaster!$CW:$CW,MATCH(B286,LoadMaster!$C:$C,0))</f>
        <v>175</v>
      </c>
      <c r="I286" s="331">
        <v>194</v>
      </c>
      <c r="J286" s="526">
        <v>175</v>
      </c>
      <c r="K286" s="27" t="str">
        <f t="shared" si="20"/>
        <v>Full</v>
      </c>
      <c r="L286" s="27">
        <f>INDEX(LoadMaster!$CT:$CT,MATCH(Table2[[#This Row],[BrokerConfNo]],LoadMaster!$C:$C,0))</f>
        <v>0</v>
      </c>
      <c r="M286" s="18" t="str">
        <f>INDEX(LoadMaster!$AO:$AO,MATCH(Table2[[#This Row],[BrokerConfNo]],LoadMaster!$C:$C,0))</f>
        <v>Albel</v>
      </c>
      <c r="N286" s="26">
        <f t="shared" si="21"/>
        <v>42405</v>
      </c>
      <c r="O286" s="109">
        <f t="shared" si="22"/>
        <v>42419</v>
      </c>
      <c r="P286" s="26">
        <f>INDEX(LoadMaster!$M:$M,MATCH(B286,LoadMaster!$C:$C,0))</f>
        <v>42406</v>
      </c>
      <c r="Q286" s="18" t="str">
        <f>INDEX(LoadMaster!$P:$P,MATCH(B286,LoadMaster!$C:$C,0))</f>
        <v>Stockton</v>
      </c>
      <c r="R286" s="18" t="str">
        <f>INDEX(LoadMaster!$AH:$AH,MATCH(B286,LoadMaster!$C:$C,0))</f>
        <v>Stockton</v>
      </c>
      <c r="S286" s="416" t="str">
        <f>INDEX(LoadMaster!$DC:$DC,MATCH(B286,LoadMaster!$C:$C,0))</f>
        <v>Sunny</v>
      </c>
      <c r="T286" s="48">
        <f>INDEX(LoadMaster!$DA:$DA,MATCH(B286,LoadMaster!$C:$C,0))</f>
        <v>19</v>
      </c>
      <c r="U286" s="110">
        <f>Table2[[#This Row],[WeekEndingDate]]+7</f>
        <v>42412</v>
      </c>
      <c r="V286" s="14">
        <f t="shared" si="23"/>
        <v>2</v>
      </c>
      <c r="W286" s="18">
        <f t="shared" si="24"/>
        <v>2016</v>
      </c>
    </row>
    <row r="287" spans="1:23" s="18" customFormat="1">
      <c r="A287" s="15" t="str">
        <f>INDEX(LoadMaster!$A:$A,MATCH(B287,LoadMaster!$C:$C,0))</f>
        <v>93wnwn49</v>
      </c>
      <c r="B287" s="55">
        <v>10781193</v>
      </c>
      <c r="C287" s="18" t="str">
        <f>VLOOKUP(Table2[[#This Row],[BrokerConfNo]],LoadMaster!C:D,2,FALSE)</f>
        <v>England Logistics, Inc.</v>
      </c>
      <c r="D287" s="26">
        <v>42417</v>
      </c>
      <c r="E287" s="18" t="str">
        <f>IF(Table2[[#This Row],[UBActualReceived]]&gt;1,"Received","Pending")</f>
        <v>Received</v>
      </c>
      <c r="F287" s="21">
        <f>INDEX(LoadMaster!$CU:$CU,MATCH(B287,LoadMaster!$C:$C,0))</f>
        <v>600</v>
      </c>
      <c r="G287" s="132">
        <f>INDEX(LoadMaster!$CX:$CX,MATCH(B287,LoadMaster!$C:$C,0))</f>
        <v>576</v>
      </c>
      <c r="H287" s="132">
        <f>INDEX(LoadMaster!$CW:$CW,MATCH(B287,LoadMaster!$C:$C,0))</f>
        <v>550</v>
      </c>
      <c r="I287" s="331">
        <v>566</v>
      </c>
      <c r="J287" s="526">
        <v>550</v>
      </c>
      <c r="K287" s="27" t="str">
        <f t="shared" si="20"/>
        <v>Less</v>
      </c>
      <c r="L287" s="27">
        <f>INDEX(LoadMaster!$CT:$CT,MATCH(Table2[[#This Row],[BrokerConfNo]],LoadMaster!$C:$C,0))</f>
        <v>0</v>
      </c>
      <c r="M287" s="18" t="str">
        <f>INDEX(LoadMaster!$AO:$AO,MATCH(Table2[[#This Row],[BrokerConfNo]],LoadMaster!$C:$C,0))</f>
        <v>Albel</v>
      </c>
      <c r="N287" s="26">
        <f t="shared" si="21"/>
        <v>42412</v>
      </c>
      <c r="O287" s="109">
        <f t="shared" si="22"/>
        <v>42426</v>
      </c>
      <c r="P287" s="26">
        <f>INDEX(LoadMaster!$M:$M,MATCH(B287,LoadMaster!$C:$C,0))</f>
        <v>42408</v>
      </c>
      <c r="Q287" s="18" t="str">
        <f>INDEX(LoadMaster!$P:$P,MATCH(B287,LoadMaster!$C:$C,0))</f>
        <v>Madera</v>
      </c>
      <c r="R287" s="18" t="str">
        <f>INDEX(LoadMaster!$AH:$AH,MATCH(B287,LoadMaster!$C:$C,0))</f>
        <v>San Diego</v>
      </c>
      <c r="S287" s="416" t="str">
        <f>INDEX(LoadMaster!$DC:$DC,MATCH(B287,LoadMaster!$C:$C,0))</f>
        <v>Sunny</v>
      </c>
      <c r="T287" s="48">
        <f>INDEX(LoadMaster!$DA:$DA,MATCH(B287,LoadMaster!$C:$C,0))</f>
        <v>26</v>
      </c>
      <c r="U287" s="110">
        <f>Table2[[#This Row],[WeekEndingDate]]+7</f>
        <v>42419</v>
      </c>
      <c r="V287" s="14">
        <f t="shared" si="23"/>
        <v>2</v>
      </c>
      <c r="W287" s="18">
        <f t="shared" si="24"/>
        <v>2016</v>
      </c>
    </row>
    <row r="288" spans="1:23" s="18" customFormat="1">
      <c r="A288" s="15" t="str">
        <f>INDEX(LoadMaster!$A:$A,MATCH(B288,LoadMaster!$C:$C,0))</f>
        <v>55012019</v>
      </c>
      <c r="B288" s="55">
        <v>507255</v>
      </c>
      <c r="C288" s="18" t="str">
        <f>VLOOKUP(Table2[[#This Row],[BrokerConfNo]],LoadMaster!C:D,2,FALSE)</f>
        <v>Cavalry Logistics</v>
      </c>
      <c r="D288" s="26">
        <v>42418</v>
      </c>
      <c r="E288" s="18" t="str">
        <f>IF(Table2[[#This Row],[UBActualReceived]]&gt;1,"Received","Pending")</f>
        <v>Received</v>
      </c>
      <c r="F288" s="21">
        <f>INDEX(LoadMaster!$CU:$CU,MATCH(B288,LoadMaster!$C:$C,0))</f>
        <v>311</v>
      </c>
      <c r="G288" s="132">
        <f>INDEX(LoadMaster!$CX:$CX,MATCH(B288,LoadMaster!$C:$C,0))</f>
        <v>304.77999999999997</v>
      </c>
      <c r="H288" s="132">
        <f>INDEX(LoadMaster!$CW:$CW,MATCH(B288,LoadMaster!$C:$C,0))</f>
        <v>289.23</v>
      </c>
      <c r="I288" s="331">
        <v>304.77999999999997</v>
      </c>
      <c r="J288" s="526">
        <v>289.23</v>
      </c>
      <c r="K288" s="27" t="str">
        <f t="shared" si="20"/>
        <v>Full</v>
      </c>
      <c r="L288" s="27">
        <f>INDEX(LoadMaster!$CT:$CT,MATCH(Table2[[#This Row],[BrokerConfNo]],LoadMaster!$C:$C,0))</f>
        <v>0</v>
      </c>
      <c r="M288" s="18" t="str">
        <f>INDEX(LoadMaster!$AO:$AO,MATCH(Table2[[#This Row],[BrokerConfNo]],LoadMaster!$C:$C,0))</f>
        <v>Miguel Jaime</v>
      </c>
      <c r="N288" s="26">
        <f t="shared" si="21"/>
        <v>42412</v>
      </c>
      <c r="O288" s="109">
        <f t="shared" si="22"/>
        <v>42419</v>
      </c>
      <c r="P288" s="26">
        <f>INDEX(LoadMaster!$M:$M,MATCH(B288,LoadMaster!$C:$C,0))</f>
        <v>42409</v>
      </c>
      <c r="Q288" s="18" t="str">
        <f>INDEX(LoadMaster!$P:$P,MATCH(B288,LoadMaster!$C:$C,0))</f>
        <v>Fresno</v>
      </c>
      <c r="R288" s="18" t="str">
        <f>INDEX(LoadMaster!$AH:$AH,MATCH(B288,LoadMaster!$C:$C,0))</f>
        <v>Tracy</v>
      </c>
      <c r="S288" s="416" t="str">
        <f>INDEX(LoadMaster!$DC:$DC,MATCH(B288,LoadMaster!$C:$C,0))</f>
        <v>Sunny</v>
      </c>
      <c r="T288" s="48">
        <f>INDEX(LoadMaster!$DA:$DA,MATCH(B288,LoadMaster!$C:$C,0))</f>
        <v>15.549999999999983</v>
      </c>
      <c r="U288" s="110">
        <f>Table2[[#This Row],[WeekEndingDate]]+7</f>
        <v>42419</v>
      </c>
      <c r="V288" s="14">
        <f t="shared" si="23"/>
        <v>2</v>
      </c>
      <c r="W288" s="18">
        <f t="shared" si="24"/>
        <v>2016</v>
      </c>
    </row>
    <row r="289" spans="1:23" s="18" customFormat="1">
      <c r="A289" s="15" t="str">
        <f>INDEX(LoadMaster!$A:$A,MATCH(B289,LoadMaster!$C:$C,0))</f>
        <v>74004249</v>
      </c>
      <c r="B289" s="55">
        <v>6580174</v>
      </c>
      <c r="C289" s="18" t="str">
        <f>VLOOKUP(Table2[[#This Row],[BrokerConfNo]],LoadMaster!C:D,2,FALSE)</f>
        <v>Tql</v>
      </c>
      <c r="D289" s="26">
        <v>42415</v>
      </c>
      <c r="E289" s="18" t="str">
        <f>IF(Table2[[#This Row],[UBActualReceived]]&gt;1,"Received","Pending")</f>
        <v>Received</v>
      </c>
      <c r="F289" s="21">
        <f>INDEX(LoadMaster!$CU:$CU,MATCH(B289,LoadMaster!$C:$C,0))</f>
        <v>917</v>
      </c>
      <c r="G289" s="132">
        <f>INDEX(LoadMaster!$CX:$CX,MATCH(B289,LoadMaster!$C:$C,0))</f>
        <v>889.49</v>
      </c>
      <c r="H289" s="132">
        <f>INDEX(LoadMaster!$CW:$CW,MATCH(B289,LoadMaster!$C:$C,0))</f>
        <v>867</v>
      </c>
      <c r="I289" s="331">
        <v>889.49</v>
      </c>
      <c r="J289" s="526">
        <v>867</v>
      </c>
      <c r="K289" s="27" t="str">
        <f t="shared" si="20"/>
        <v>Full</v>
      </c>
      <c r="L289" s="27">
        <f>INDEX(LoadMaster!$CT:$CT,MATCH(Table2[[#This Row],[BrokerConfNo]],LoadMaster!$C:$C,0))</f>
        <v>0</v>
      </c>
      <c r="M289" s="18" t="str">
        <f>INDEX(LoadMaster!$AO:$AO,MATCH(Table2[[#This Row],[BrokerConfNo]],LoadMaster!$C:$C,0))</f>
        <v>Albel</v>
      </c>
      <c r="N289" s="26">
        <f t="shared" si="21"/>
        <v>42412</v>
      </c>
      <c r="O289" s="109">
        <f t="shared" si="22"/>
        <v>42426</v>
      </c>
      <c r="P289" s="26">
        <f>INDEX(LoadMaster!$M:$M,MATCH(B289,LoadMaster!$C:$C,0))</f>
        <v>42409</v>
      </c>
      <c r="Q289" s="18" t="str">
        <f>INDEX(LoadMaster!$P:$P,MATCH(B289,LoadMaster!$C:$C,0))</f>
        <v>San Diego</v>
      </c>
      <c r="R289" s="18" t="str">
        <f>INDEX(LoadMaster!$AH:$AH,MATCH(B289,LoadMaster!$C:$C,0))</f>
        <v>West Sacramento, San Jose</v>
      </c>
      <c r="S289" s="416" t="str">
        <f>INDEX(LoadMaster!$DC:$DC,MATCH(B289,LoadMaster!$C:$C,0))</f>
        <v>Sunny</v>
      </c>
      <c r="T289" s="48">
        <f>INDEX(LoadMaster!$DA:$DA,MATCH(B289,LoadMaster!$C:$C,0))</f>
        <v>22.490000000000002</v>
      </c>
      <c r="U289" s="110">
        <f>Table2[[#This Row],[WeekEndingDate]]+7</f>
        <v>42419</v>
      </c>
      <c r="V289" s="14">
        <f t="shared" si="23"/>
        <v>2</v>
      </c>
      <c r="W289" s="18">
        <f t="shared" si="24"/>
        <v>2016</v>
      </c>
    </row>
    <row r="290" spans="1:23" s="18" customFormat="1">
      <c r="A290" s="15" t="str">
        <f>INDEX(LoadMaster!$A:$A,MATCH(B290,LoadMaster!$C:$C,0))</f>
        <v>5919ne49</v>
      </c>
      <c r="B290" s="311">
        <v>1862259</v>
      </c>
      <c r="C290" s="312" t="str">
        <f>VLOOKUP(Table2[[#This Row],[BrokerConfNo]],LoadMaster!C:D,2,FALSE)</f>
        <v>Bnsf Logistics</v>
      </c>
      <c r="D290" s="313">
        <v>42439</v>
      </c>
      <c r="E290" s="314" t="str">
        <f>IF(Table2[[#This Row],[UBActualReceived]]&gt;1,"Received","Pending")</f>
        <v>Received</v>
      </c>
      <c r="F290" s="27">
        <f>INDEX(LoadMaster!$CU:$CU,MATCH(B290,LoadMaster!$C:$C,0))</f>
        <v>300</v>
      </c>
      <c r="G290" s="132">
        <f>INDEX(LoadMaster!$CX:$CX,MATCH(B290,LoadMaster!$C:$C,0))</f>
        <v>294</v>
      </c>
      <c r="H290" s="132">
        <f>INDEX(LoadMaster!$CW:$CW,MATCH(B290,LoadMaster!$C:$C,0))</f>
        <v>275</v>
      </c>
      <c r="I290" s="331">
        <v>300</v>
      </c>
      <c r="J290" s="526">
        <v>275</v>
      </c>
      <c r="K290" s="27" t="str">
        <f t="shared" si="20"/>
        <v>Full</v>
      </c>
      <c r="L290" s="27">
        <f>INDEX(LoadMaster!$CT:$CT,MATCH(Table2[[#This Row],[BrokerConfNo]],LoadMaster!$C:$C,0))</f>
        <v>0</v>
      </c>
      <c r="M290" s="312" t="str">
        <f>INDEX(LoadMaster!$AO:$AO,MATCH(Table2[[#This Row],[BrokerConfNo]],LoadMaster!$C:$C,0))</f>
        <v>Albel</v>
      </c>
      <c r="N290" s="313">
        <f t="shared" si="21"/>
        <v>42412</v>
      </c>
      <c r="O290" s="109">
        <f t="shared" si="22"/>
        <v>42426</v>
      </c>
      <c r="P290" s="313">
        <f>INDEX(LoadMaster!$M:$M,MATCH(B290,LoadMaster!$C:$C,0))</f>
        <v>42410</v>
      </c>
      <c r="Q290" s="312" t="str">
        <f>INDEX(LoadMaster!$P:$P,MATCH(B290,LoadMaster!$C:$C,0))</f>
        <v>Gilroy</v>
      </c>
      <c r="R290" s="312" t="str">
        <f>INDEX(LoadMaster!$AH:$AH,MATCH(B290,LoadMaster!$C:$C,0))</f>
        <v>Stockton</v>
      </c>
      <c r="S290" s="416" t="str">
        <f>INDEX(LoadMaster!$DC:$DC,MATCH(B290,LoadMaster!$C:$C,0))</f>
        <v>Sunny</v>
      </c>
      <c r="T290" s="315">
        <f>INDEX(LoadMaster!$DA:$DA,MATCH(B290,LoadMaster!$C:$C,0))</f>
        <v>19</v>
      </c>
      <c r="U290" s="110">
        <f>Table2[[#This Row],[WeekEndingDate]]+7</f>
        <v>42419</v>
      </c>
      <c r="V290" s="312">
        <f t="shared" si="23"/>
        <v>2</v>
      </c>
      <c r="W290" s="314">
        <f t="shared" si="24"/>
        <v>2016</v>
      </c>
    </row>
    <row r="291" spans="1:23" s="18" customFormat="1">
      <c r="A291" s="15" t="str">
        <f>INDEX(LoadMaster!$A:$A,MATCH(B291,LoadMaster!$C:$C,0))</f>
        <v>39newn19</v>
      </c>
      <c r="B291" s="55" t="s">
        <v>3825</v>
      </c>
      <c r="C291" s="312" t="str">
        <f>VLOOKUP(Table2[[#This Row],[BrokerConfNo]],LoadMaster!C:D,2,FALSE)</f>
        <v>Somerset Logistics</v>
      </c>
      <c r="D291" s="313">
        <v>42432</v>
      </c>
      <c r="E291" s="314" t="str">
        <f>IF(Table2[[#This Row],[UBActualReceived]]&gt;1,"Received","Pending")</f>
        <v>Received</v>
      </c>
      <c r="F291" s="27">
        <f>INDEX(LoadMaster!$CU:$CU,MATCH(B291,LoadMaster!$C:$C,0))</f>
        <v>450</v>
      </c>
      <c r="G291" s="132">
        <f>INDEX(LoadMaster!$CX:$CX,MATCH(B291,LoadMaster!$C:$C,0))</f>
        <v>427.5</v>
      </c>
      <c r="H291" s="132">
        <f>INDEX(LoadMaster!$CW:$CW,MATCH(B291,LoadMaster!$C:$C,0))</f>
        <v>418.5</v>
      </c>
      <c r="I291" s="331">
        <v>427.5</v>
      </c>
      <c r="J291" s="526">
        <v>418.5</v>
      </c>
      <c r="K291" s="27" t="str">
        <f t="shared" si="20"/>
        <v>Full</v>
      </c>
      <c r="L291" s="27">
        <f>INDEX(LoadMaster!$CT:$CT,MATCH(Table2[[#This Row],[BrokerConfNo]],LoadMaster!$C:$C,0))</f>
        <v>0</v>
      </c>
      <c r="M291" s="312" t="str">
        <f>INDEX(LoadMaster!$AO:$AO,MATCH(Table2[[#This Row],[BrokerConfNo]],LoadMaster!$C:$C,0))</f>
        <v>Miguel Jaime</v>
      </c>
      <c r="N291" s="313">
        <f t="shared" si="21"/>
        <v>42412</v>
      </c>
      <c r="O291" s="109">
        <f t="shared" si="22"/>
        <v>42419</v>
      </c>
      <c r="P291" s="313">
        <f>INDEX(LoadMaster!$M:$M,MATCH(B291,LoadMaster!$C:$C,0))</f>
        <v>42410</v>
      </c>
      <c r="Q291" s="312" t="str">
        <f>INDEX(LoadMaster!$P:$P,MATCH(B291,LoadMaster!$C:$C,0))</f>
        <v>Los Banos</v>
      </c>
      <c r="R291" s="312" t="str">
        <f>INDEX(LoadMaster!$AH:$AH,MATCH(B291,LoadMaster!$C:$C,0))</f>
        <v>American Canyon</v>
      </c>
      <c r="S291" s="416" t="str">
        <f>INDEX(LoadMaster!$DC:$DC,MATCH(B291,LoadMaster!$C:$C,0))</f>
        <v>Sunny</v>
      </c>
      <c r="T291" s="315">
        <f>INDEX(LoadMaster!$DA:$DA,MATCH(B291,LoadMaster!$C:$C,0))</f>
        <v>9</v>
      </c>
      <c r="U291" s="110">
        <f>Table2[[#This Row],[WeekEndingDate]]+7</f>
        <v>42419</v>
      </c>
      <c r="V291" s="312">
        <f t="shared" si="23"/>
        <v>2</v>
      </c>
      <c r="W291" s="314">
        <f t="shared" si="24"/>
        <v>2016</v>
      </c>
    </row>
    <row r="292" spans="1:23" s="18" customFormat="1">
      <c r="A292" s="15" t="str">
        <f>INDEX(LoadMaster!$A:$A,MATCH(B292,LoadMaster!$C:$C,0))</f>
        <v>40Brwn88</v>
      </c>
      <c r="B292" s="311">
        <v>8458840</v>
      </c>
      <c r="C292" s="312" t="str">
        <f>VLOOKUP(Table2[[#This Row],[BrokerConfNo]],LoadMaster!C:D,2,FALSE)</f>
        <v>Sunteck Transport Co. Inc</v>
      </c>
      <c r="D292" s="313">
        <v>42417</v>
      </c>
      <c r="E292" s="314" t="str">
        <f>IF(Table2[[#This Row],[UBActualReceived]]&gt;1,"Received","Pending")</f>
        <v>Received</v>
      </c>
      <c r="F292" s="27">
        <f>INDEX(LoadMaster!$CU:$CU,MATCH(B292,LoadMaster!$C:$C,0))</f>
        <v>600</v>
      </c>
      <c r="G292" s="132">
        <f>INDEX(LoadMaster!$CX:$CX,MATCH(B292,LoadMaster!$C:$C,0))</f>
        <v>585</v>
      </c>
      <c r="H292" s="132">
        <f>INDEX(LoadMaster!$CW:$CW,MATCH(B292,LoadMaster!$C:$C,0))</f>
        <v>558</v>
      </c>
      <c r="I292" s="331">
        <v>585</v>
      </c>
      <c r="J292" s="526">
        <v>558</v>
      </c>
      <c r="K292" s="27" t="str">
        <f t="shared" si="20"/>
        <v>Full</v>
      </c>
      <c r="L292" s="27">
        <f>INDEX(LoadMaster!$CT:$CT,MATCH(Table2[[#This Row],[BrokerConfNo]],LoadMaster!$C:$C,0))</f>
        <v>0</v>
      </c>
      <c r="M292" s="312" t="str">
        <f>INDEX(LoadMaster!$AO:$AO,MATCH(Table2[[#This Row],[BrokerConfNo]],LoadMaster!$C:$C,0))</f>
        <v>Wesley</v>
      </c>
      <c r="N292" s="313">
        <f t="shared" si="21"/>
        <v>42412</v>
      </c>
      <c r="O292" s="109">
        <f t="shared" si="22"/>
        <v>42419</v>
      </c>
      <c r="P292" s="313">
        <f>INDEX(LoadMaster!$M:$M,MATCH(B292,LoadMaster!$C:$C,0))</f>
        <v>42410</v>
      </c>
      <c r="Q292" s="312" t="str">
        <f>INDEX(LoadMaster!$P:$P,MATCH(B292,LoadMaster!$C:$C,0))</f>
        <v>Rodeo</v>
      </c>
      <c r="R292" s="312" t="str">
        <f>INDEX(LoadMaster!$AH:$AH,MATCH(B292,LoadMaster!$C:$C,0))</f>
        <v>Fallon</v>
      </c>
      <c r="S292" s="416" t="str">
        <f>INDEX(LoadMaster!$DC:$DC,MATCH(B292,LoadMaster!$C:$C,0))</f>
        <v>Sunny</v>
      </c>
      <c r="T292" s="315">
        <f>INDEX(LoadMaster!$DA:$DA,MATCH(B292,LoadMaster!$C:$C,0))</f>
        <v>27</v>
      </c>
      <c r="U292" s="110">
        <f>Table2[[#This Row],[WeekEndingDate]]+7</f>
        <v>42419</v>
      </c>
      <c r="V292" s="312">
        <f t="shared" si="23"/>
        <v>2</v>
      </c>
      <c r="W292" s="314">
        <f t="shared" si="24"/>
        <v>2016</v>
      </c>
    </row>
    <row r="293" spans="1:23" s="18" customFormat="1">
      <c r="A293" s="15" t="str">
        <f>INDEX(LoadMaster!$A:$A,MATCH(B293,LoadMaster!$C:$C,0))</f>
        <v>9804om49</v>
      </c>
      <c r="B293" s="55">
        <v>47498</v>
      </c>
      <c r="C293" s="18" t="str">
        <f>VLOOKUP(Table2[[#This Row],[BrokerConfNo]],LoadMaster!C:D,2,FALSE)</f>
        <v>Cargobarn Inc.</v>
      </c>
      <c r="D293" s="26">
        <v>42419</v>
      </c>
      <c r="E293" s="18" t="str">
        <f>IF(Table2[[#This Row],[UBActualReceived]]&gt;1,"Received","Pending")</f>
        <v>Received</v>
      </c>
      <c r="F293" s="21">
        <f>INDEX(LoadMaster!$CU:$CU,MATCH(B293,LoadMaster!$C:$C,0))</f>
        <v>300</v>
      </c>
      <c r="G293" s="132">
        <f>INDEX(LoadMaster!$CX:$CX,MATCH(B293,LoadMaster!$C:$C,0))</f>
        <v>291</v>
      </c>
      <c r="H293" s="132">
        <f>INDEX(LoadMaster!$CW:$CW,MATCH(B293,LoadMaster!$C:$C,0))</f>
        <v>275</v>
      </c>
      <c r="I293" s="331">
        <v>291</v>
      </c>
      <c r="J293" s="526">
        <v>275</v>
      </c>
      <c r="K293" s="27" t="str">
        <f t="shared" si="20"/>
        <v>Full</v>
      </c>
      <c r="L293" s="27">
        <f>INDEX(LoadMaster!$CT:$CT,MATCH(Table2[[#This Row],[BrokerConfNo]],LoadMaster!$C:$C,0))</f>
        <v>0</v>
      </c>
      <c r="M293" s="18" t="str">
        <f>INDEX(LoadMaster!$AO:$AO,MATCH(Table2[[#This Row],[BrokerConfNo]],LoadMaster!$C:$C,0))</f>
        <v>Albel</v>
      </c>
      <c r="N293" s="26">
        <f t="shared" si="21"/>
        <v>42412</v>
      </c>
      <c r="O293" s="109">
        <f t="shared" si="22"/>
        <v>42426</v>
      </c>
      <c r="P293" s="26">
        <f>INDEX(LoadMaster!$M:$M,MATCH(B293,LoadMaster!$C:$C,0))</f>
        <v>42411</v>
      </c>
      <c r="Q293" s="18" t="str">
        <f>INDEX(LoadMaster!$P:$P,MATCH(B293,LoadMaster!$C:$C,0))</f>
        <v>Stockton</v>
      </c>
      <c r="R293" s="18" t="str">
        <f>INDEX(LoadMaster!$AH:$AH,MATCH(B293,LoadMaster!$C:$C,0))</f>
        <v>Richmond</v>
      </c>
      <c r="S293" s="416" t="str">
        <f>INDEX(LoadMaster!$DC:$DC,MATCH(B293,LoadMaster!$C:$C,0))</f>
        <v>Sunny</v>
      </c>
      <c r="T293" s="48">
        <f>INDEX(LoadMaster!$DA:$DA,MATCH(B293,LoadMaster!$C:$C,0))</f>
        <v>16</v>
      </c>
      <c r="U293" s="110">
        <f>Table2[[#This Row],[WeekEndingDate]]+7</f>
        <v>42419</v>
      </c>
      <c r="V293" s="14">
        <f t="shared" si="23"/>
        <v>2</v>
      </c>
      <c r="W293" s="18">
        <f t="shared" si="24"/>
        <v>2016</v>
      </c>
    </row>
    <row r="294" spans="1:23" s="18" customFormat="1">
      <c r="A294" s="15" t="str">
        <f>INDEX(LoadMaster!$A:$A,MATCH(B294,LoadMaster!$C:$C,0))</f>
        <v>14555588</v>
      </c>
      <c r="B294" s="311">
        <v>123414</v>
      </c>
      <c r="C294" s="312" t="str">
        <f>VLOOKUP(Table2[[#This Row],[BrokerConfNo]],LoadMaster!C:D,2,FALSE)</f>
        <v>Pepsi Logistics Company Inc</v>
      </c>
      <c r="D294" s="313">
        <v>42402</v>
      </c>
      <c r="E294" s="314" t="str">
        <f>IF(Table2[[#This Row],[UBActualReceived]]&gt;1,"Received","Pending")</f>
        <v>Received</v>
      </c>
      <c r="F294" s="27">
        <f>INDEX(LoadMaster!$CU:$CU,MATCH(B294,LoadMaster!$C:$C,0))</f>
        <v>500</v>
      </c>
      <c r="G294" s="132">
        <f>INDEX(LoadMaster!$CX:$CX,MATCH(B294,LoadMaster!$C:$C,0))</f>
        <v>487.5</v>
      </c>
      <c r="H294" s="132">
        <f>INDEX(LoadMaster!$CW:$CW,MATCH(B294,LoadMaster!$C:$C,0))</f>
        <v>465</v>
      </c>
      <c r="I294" s="331">
        <v>487.5</v>
      </c>
      <c r="J294" s="526">
        <v>465</v>
      </c>
      <c r="K294" s="27" t="str">
        <f t="shared" si="20"/>
        <v>Full</v>
      </c>
      <c r="L294" s="27">
        <f>INDEX(LoadMaster!$CT:$CT,MATCH(Table2[[#This Row],[BrokerConfNo]],LoadMaster!$C:$C,0))</f>
        <v>0</v>
      </c>
      <c r="M294" s="312" t="str">
        <f>INDEX(LoadMaster!$AO:$AO,MATCH(Table2[[#This Row],[BrokerConfNo]],LoadMaster!$C:$C,0))</f>
        <v>Wesley</v>
      </c>
      <c r="N294" s="313">
        <f t="shared" si="21"/>
        <v>42412</v>
      </c>
      <c r="O294" s="109">
        <f t="shared" si="22"/>
        <v>42419</v>
      </c>
      <c r="P294" s="313">
        <f>INDEX(LoadMaster!$M:$M,MATCH(B294,LoadMaster!$C:$C,0))</f>
        <v>42411</v>
      </c>
      <c r="Q294" s="312" t="str">
        <f>INDEX(LoadMaster!$P:$P,MATCH(B294,LoadMaster!$C:$C,0))</f>
        <v>Sparks</v>
      </c>
      <c r="R294" s="312" t="str">
        <f>INDEX(LoadMaster!$AH:$AH,MATCH(B294,LoadMaster!$C:$C,0))</f>
        <v>Hayward</v>
      </c>
      <c r="S294" s="416" t="str">
        <f>INDEX(LoadMaster!$DC:$DC,MATCH(B294,LoadMaster!$C:$C,0))</f>
        <v>Sunny</v>
      </c>
      <c r="T294" s="315">
        <f>INDEX(LoadMaster!$DA:$DA,MATCH(B294,LoadMaster!$C:$C,0))</f>
        <v>22.5</v>
      </c>
      <c r="U294" s="110">
        <f>Table2[[#This Row],[WeekEndingDate]]+7</f>
        <v>42419</v>
      </c>
      <c r="V294" s="312">
        <f t="shared" si="23"/>
        <v>2</v>
      </c>
      <c r="W294" s="314">
        <f t="shared" si="24"/>
        <v>2016</v>
      </c>
    </row>
    <row r="295" spans="1:23" s="18" customFormat="1">
      <c r="A295" s="15" t="str">
        <f>INDEX(LoadMaster!$A:$A,MATCH(B295,LoadMaster!$C:$C,0))</f>
        <v>9905om49</v>
      </c>
      <c r="B295" s="55">
        <v>47499</v>
      </c>
      <c r="C295" s="18" t="str">
        <f>VLOOKUP(Table2[[#This Row],[BrokerConfNo]],LoadMaster!C:D,2,FALSE)</f>
        <v>Cargobarn Inc.</v>
      </c>
      <c r="D295" s="26">
        <v>42419</v>
      </c>
      <c r="E295" s="18" t="str">
        <f>IF(Table2[[#This Row],[UBActualReceived]]&gt;1,"Received","Pending")</f>
        <v>Received</v>
      </c>
      <c r="F295" s="21">
        <f>INDEX(LoadMaster!$CU:$CU,MATCH(B295,LoadMaster!$C:$C,0))</f>
        <v>300</v>
      </c>
      <c r="G295" s="132">
        <f>INDEX(LoadMaster!$CX:$CX,MATCH(B295,LoadMaster!$C:$C,0))</f>
        <v>291</v>
      </c>
      <c r="H295" s="132">
        <f>INDEX(LoadMaster!$CW:$CW,MATCH(B295,LoadMaster!$C:$C,0))</f>
        <v>275</v>
      </c>
      <c r="I295" s="331">
        <v>291</v>
      </c>
      <c r="J295" s="526">
        <v>275</v>
      </c>
      <c r="K295" s="27" t="str">
        <f t="shared" si="20"/>
        <v>Full</v>
      </c>
      <c r="L295" s="27">
        <f>INDEX(LoadMaster!$CT:$CT,MATCH(Table2[[#This Row],[BrokerConfNo]],LoadMaster!$C:$C,0))</f>
        <v>0</v>
      </c>
      <c r="M295" s="18" t="str">
        <f>INDEX(LoadMaster!$AO:$AO,MATCH(Table2[[#This Row],[BrokerConfNo]],LoadMaster!$C:$C,0))</f>
        <v>Albel</v>
      </c>
      <c r="N295" s="26">
        <f t="shared" si="21"/>
        <v>42412</v>
      </c>
      <c r="O295" s="109">
        <f t="shared" si="22"/>
        <v>42426</v>
      </c>
      <c r="P295" s="26">
        <f>INDEX(LoadMaster!$M:$M,MATCH(B295,LoadMaster!$C:$C,0))</f>
        <v>42412</v>
      </c>
      <c r="Q295" s="18" t="str">
        <f>INDEX(LoadMaster!$P:$P,MATCH(B295,LoadMaster!$C:$C,0))</f>
        <v>Stockton</v>
      </c>
      <c r="R295" s="18" t="str">
        <f>INDEX(LoadMaster!$AH:$AH,MATCH(B295,LoadMaster!$C:$C,0))</f>
        <v>Richmond</v>
      </c>
      <c r="S295" s="416" t="str">
        <f>INDEX(LoadMaster!$DC:$DC,MATCH(B295,LoadMaster!$C:$C,0))</f>
        <v>Sunny</v>
      </c>
      <c r="T295" s="48">
        <f>INDEX(LoadMaster!$DA:$DA,MATCH(B295,LoadMaster!$C:$C,0))</f>
        <v>16</v>
      </c>
      <c r="U295" s="110">
        <f>Table2[[#This Row],[WeekEndingDate]]+7</f>
        <v>42419</v>
      </c>
      <c r="V295" s="14">
        <f t="shared" si="23"/>
        <v>2</v>
      </c>
      <c r="W295" s="18">
        <f t="shared" si="24"/>
        <v>2016</v>
      </c>
    </row>
    <row r="296" spans="1:23" s="18" customFormat="1">
      <c r="A296" s="15" t="str">
        <f>INDEX(LoadMaster!$A:$A,MATCH(B296,LoadMaster!$C:$C,0))</f>
        <v>0006om19</v>
      </c>
      <c r="B296" s="55">
        <v>47500</v>
      </c>
      <c r="C296" s="18" t="str">
        <f>VLOOKUP(Table2[[#This Row],[BrokerConfNo]],LoadMaster!C:D,2,FALSE)</f>
        <v>Cargobarn Inc.</v>
      </c>
      <c r="D296" s="26">
        <v>42419</v>
      </c>
      <c r="E296" s="18" t="str">
        <f>IF(Table2[[#This Row],[UBActualReceived]]&gt;1,"Received","Pending")</f>
        <v>Received</v>
      </c>
      <c r="F296" s="21">
        <f>INDEX(LoadMaster!$CU:$CU,MATCH(B296,LoadMaster!$C:$C,0))</f>
        <v>300</v>
      </c>
      <c r="G296" s="132">
        <f>INDEX(LoadMaster!$CX:$CX,MATCH(B296,LoadMaster!$C:$C,0))</f>
        <v>291</v>
      </c>
      <c r="H296" s="132">
        <f>INDEX(LoadMaster!$CW:$CW,MATCH(B296,LoadMaster!$C:$C,0))</f>
        <v>279</v>
      </c>
      <c r="I296" s="331">
        <v>291</v>
      </c>
      <c r="J296" s="526">
        <v>279</v>
      </c>
      <c r="K296" s="27" t="str">
        <f t="shared" si="20"/>
        <v>Full</v>
      </c>
      <c r="L296" s="27">
        <f>INDEX(LoadMaster!$CT:$CT,MATCH(Table2[[#This Row],[BrokerConfNo]],LoadMaster!$C:$C,0))</f>
        <v>0</v>
      </c>
      <c r="M296" s="18" t="str">
        <f>INDEX(LoadMaster!$AO:$AO,MATCH(Table2[[#This Row],[BrokerConfNo]],LoadMaster!$C:$C,0))</f>
        <v>Miguel Jaime</v>
      </c>
      <c r="N296" s="26">
        <f t="shared" si="21"/>
        <v>42412</v>
      </c>
      <c r="O296" s="109">
        <f t="shared" si="22"/>
        <v>42419</v>
      </c>
      <c r="P296" s="26">
        <f>INDEX(LoadMaster!$M:$M,MATCH(B296,LoadMaster!$C:$C,0))</f>
        <v>42412</v>
      </c>
      <c r="Q296" s="18" t="str">
        <f>INDEX(LoadMaster!$P:$P,MATCH(B296,LoadMaster!$C:$C,0))</f>
        <v>Stockton</v>
      </c>
      <c r="R296" s="18" t="str">
        <f>INDEX(LoadMaster!$AH:$AH,MATCH(B296,LoadMaster!$C:$C,0))</f>
        <v>Richmond</v>
      </c>
      <c r="S296" s="416" t="str">
        <f>INDEX(LoadMaster!$DC:$DC,MATCH(B296,LoadMaster!$C:$C,0))</f>
        <v>Sunny</v>
      </c>
      <c r="T296" s="48">
        <f>INDEX(LoadMaster!$DA:$DA,MATCH(B296,LoadMaster!$C:$C,0))</f>
        <v>12</v>
      </c>
      <c r="U296" s="110">
        <f>Table2[[#This Row],[WeekEndingDate]]+7</f>
        <v>42419</v>
      </c>
      <c r="V296" s="14">
        <f t="shared" si="23"/>
        <v>2</v>
      </c>
      <c r="W296" s="18">
        <f t="shared" si="24"/>
        <v>2016</v>
      </c>
    </row>
    <row r="297" spans="1:23" s="18" customFormat="1">
      <c r="A297" s="15" t="str">
        <f>INDEX(LoadMaster!$A:$A,MATCH(B297,LoadMaster!$C:$C,0))</f>
        <v>30Brwn49</v>
      </c>
      <c r="B297" s="55">
        <v>8459630</v>
      </c>
      <c r="C297" s="18" t="str">
        <f>VLOOKUP(Table2[[#This Row],[BrokerConfNo]],LoadMaster!C:D,2,FALSE)</f>
        <v>Sunteck Transport Co. Inc</v>
      </c>
      <c r="D297" s="26">
        <v>42417</v>
      </c>
      <c r="E297" s="18" t="str">
        <f>IF(Table2[[#This Row],[UBActualReceived]]&gt;1,"Received","Pending")</f>
        <v>Received</v>
      </c>
      <c r="F297" s="21">
        <f>INDEX(LoadMaster!$CU:$CU,MATCH(B297,LoadMaster!$C:$C,0))</f>
        <v>600</v>
      </c>
      <c r="G297" s="132">
        <f>INDEX(LoadMaster!$CX:$CX,MATCH(B297,LoadMaster!$C:$C,0))</f>
        <v>585</v>
      </c>
      <c r="H297" s="132">
        <f>INDEX(LoadMaster!$CW:$CW,MATCH(B297,LoadMaster!$C:$C,0))</f>
        <v>550</v>
      </c>
      <c r="I297" s="331">
        <v>585</v>
      </c>
      <c r="J297" s="526">
        <v>550</v>
      </c>
      <c r="K297" s="27" t="str">
        <f t="shared" si="20"/>
        <v>Full</v>
      </c>
      <c r="L297" s="27">
        <f>INDEX(LoadMaster!$CT:$CT,MATCH(Table2[[#This Row],[BrokerConfNo]],LoadMaster!$C:$C,0))</f>
        <v>0</v>
      </c>
      <c r="M297" s="18" t="str">
        <f>INDEX(LoadMaster!$AO:$AO,MATCH(Table2[[#This Row],[BrokerConfNo]],LoadMaster!$C:$C,0))</f>
        <v>Albel</v>
      </c>
      <c r="N297" s="26">
        <f t="shared" si="21"/>
        <v>42412</v>
      </c>
      <c r="O297" s="109">
        <f t="shared" si="22"/>
        <v>42426</v>
      </c>
      <c r="P297" s="26">
        <f>INDEX(LoadMaster!$M:$M,MATCH(B297,LoadMaster!$C:$C,0))</f>
        <v>42412</v>
      </c>
      <c r="Q297" s="18" t="str">
        <f>INDEX(LoadMaster!$P:$P,MATCH(B297,LoadMaster!$C:$C,0))</f>
        <v>Rodeo</v>
      </c>
      <c r="R297" s="18" t="str">
        <f>INDEX(LoadMaster!$AH:$AH,MATCH(B297,LoadMaster!$C:$C,0))</f>
        <v>Fallon</v>
      </c>
      <c r="S297" s="416" t="str">
        <f>INDEX(LoadMaster!$DC:$DC,MATCH(B297,LoadMaster!$C:$C,0))</f>
        <v>Sunny</v>
      </c>
      <c r="T297" s="48">
        <f>INDEX(LoadMaster!$DA:$DA,MATCH(B297,LoadMaster!$C:$C,0))</f>
        <v>35</v>
      </c>
      <c r="U297" s="110">
        <f>Table2[[#This Row],[WeekEndingDate]]+7</f>
        <v>42419</v>
      </c>
      <c r="V297" s="14">
        <f t="shared" si="23"/>
        <v>2</v>
      </c>
      <c r="W297" s="18">
        <f t="shared" si="24"/>
        <v>2016</v>
      </c>
    </row>
    <row r="298" spans="1:23" s="18" customFormat="1">
      <c r="A298" s="15" t="str">
        <f>INDEX(LoadMaster!$A:$A,MATCH(B298,LoadMaster!$C:$C,0))</f>
        <v>6817an30</v>
      </c>
      <c r="B298" s="55">
        <v>47568</v>
      </c>
      <c r="C298" s="18" t="str">
        <f>VLOOKUP(Table2[[#This Row],[BrokerConfNo]],LoadMaster!C:D,2,FALSE)</f>
        <v>Cargobarn Inc.</v>
      </c>
      <c r="D298" s="26">
        <v>42419</v>
      </c>
      <c r="E298" s="18" t="str">
        <f>IF(Table2[[#This Row],[UBActualReceived]]&gt;1,"Received","Pending")</f>
        <v>Received</v>
      </c>
      <c r="F298" s="21">
        <f>INDEX(LoadMaster!$CU:$CU,MATCH(B298,LoadMaster!$C:$C,0))</f>
        <v>300</v>
      </c>
      <c r="G298" s="132">
        <f>INDEX(LoadMaster!$CX:$CX,MATCH(B298,LoadMaster!$C:$C,0))</f>
        <v>291</v>
      </c>
      <c r="H298" s="132">
        <f>INDEX(LoadMaster!$CW:$CW,MATCH(B298,LoadMaster!$C:$C,0))</f>
        <v>279</v>
      </c>
      <c r="I298" s="331">
        <v>291</v>
      </c>
      <c r="J298" s="526">
        <v>279</v>
      </c>
      <c r="K298" s="27" t="str">
        <f t="shared" si="20"/>
        <v>Full</v>
      </c>
      <c r="L298" s="27">
        <f>INDEX(LoadMaster!$CT:$CT,MATCH(Table2[[#This Row],[BrokerConfNo]],LoadMaster!$C:$C,0))</f>
        <v>0</v>
      </c>
      <c r="M298" s="18" t="str">
        <f>INDEX(LoadMaster!$AO:$AO,MATCH(Table2[[#This Row],[BrokerConfNo]],LoadMaster!$C:$C,0))</f>
        <v>Sukhpal</v>
      </c>
      <c r="N298" s="26">
        <f t="shared" si="21"/>
        <v>42419</v>
      </c>
      <c r="O298" s="109">
        <f t="shared" si="22"/>
        <v>42426</v>
      </c>
      <c r="P298" s="26">
        <f>INDEX(LoadMaster!$M:$M,MATCH(B298,LoadMaster!$C:$C,0))</f>
        <v>42415</v>
      </c>
      <c r="Q298" s="18" t="str">
        <f>INDEX(LoadMaster!$P:$P,MATCH(B298,LoadMaster!$C:$C,0))</f>
        <v>Patterson</v>
      </c>
      <c r="R298" s="18" t="str">
        <f>INDEX(LoadMaster!$AH:$AH,MATCH(B298,LoadMaster!$C:$C,0))</f>
        <v>Richmond</v>
      </c>
      <c r="S298" s="416" t="str">
        <f>INDEX(LoadMaster!$DC:$DC,MATCH(B298,LoadMaster!$C:$C,0))</f>
        <v>Sunny</v>
      </c>
      <c r="T298" s="48">
        <f>INDEX(LoadMaster!$DA:$DA,MATCH(B298,LoadMaster!$C:$C,0))</f>
        <v>12</v>
      </c>
      <c r="U298" s="110">
        <f>Table2[[#This Row],[WeekEndingDate]]+7</f>
        <v>42426</v>
      </c>
      <c r="V298" s="14">
        <f t="shared" si="23"/>
        <v>2</v>
      </c>
      <c r="W298" s="18">
        <f t="shared" si="24"/>
        <v>2016</v>
      </c>
    </row>
    <row r="299" spans="1:23" s="18" customFormat="1">
      <c r="A299" s="15" t="str">
        <f>INDEX(LoadMaster!$A:$A,MATCH(B299,LoadMaster!$C:$C,0))</f>
        <v>49885449</v>
      </c>
      <c r="B299" s="55">
        <v>6924249</v>
      </c>
      <c r="C299" s="18" t="str">
        <f>VLOOKUP(Table2[[#This Row],[BrokerConfNo]],LoadMaster!C:D,2,FALSE)</f>
        <v>Coyote</v>
      </c>
      <c r="D299" s="26">
        <v>42417</v>
      </c>
      <c r="E299" s="18" t="str">
        <f>IF(Table2[[#This Row],[UBActualReceived]]&gt;1,"Received","Pending")</f>
        <v>Received</v>
      </c>
      <c r="F299" s="21">
        <f>INDEX(LoadMaster!$CU:$CU,MATCH(B299,LoadMaster!$C:$C,0))</f>
        <v>500</v>
      </c>
      <c r="G299" s="132">
        <f>INDEX(LoadMaster!$CX:$CX,MATCH(B299,LoadMaster!$C:$C,0))</f>
        <v>485</v>
      </c>
      <c r="H299" s="132">
        <f>INDEX(LoadMaster!$CW:$CW,MATCH(B299,LoadMaster!$C:$C,0))</f>
        <v>450</v>
      </c>
      <c r="I299" s="331">
        <v>485</v>
      </c>
      <c r="J299" s="526">
        <v>450</v>
      </c>
      <c r="K299" s="27" t="str">
        <f t="shared" si="20"/>
        <v>Full</v>
      </c>
      <c r="L299" s="27">
        <f>INDEX(LoadMaster!$CT:$CT,MATCH(Table2[[#This Row],[BrokerConfNo]],LoadMaster!$C:$C,0))</f>
        <v>0</v>
      </c>
      <c r="M299" s="18" t="str">
        <f>INDEX(LoadMaster!$AO:$AO,MATCH(Table2[[#This Row],[BrokerConfNo]],LoadMaster!$C:$C,0))</f>
        <v>Albel</v>
      </c>
      <c r="N299" s="26">
        <f t="shared" si="21"/>
        <v>42419</v>
      </c>
      <c r="O299" s="109">
        <f t="shared" si="22"/>
        <v>42433</v>
      </c>
      <c r="P299" s="26">
        <f>INDEX(LoadMaster!$M:$M,MATCH(B299,LoadMaster!$C:$C,0))</f>
        <v>42415</v>
      </c>
      <c r="Q299" s="18" t="str">
        <f>INDEX(LoadMaster!$P:$P,MATCH(B299,LoadMaster!$C:$C,0))</f>
        <v>Mound House</v>
      </c>
      <c r="R299" s="18" t="str">
        <f>INDEX(LoadMaster!$AH:$AH,MATCH(B299,LoadMaster!$C:$C,0))</f>
        <v>Stockton</v>
      </c>
      <c r="S299" s="416" t="str">
        <f>INDEX(LoadMaster!$DC:$DC,MATCH(B299,LoadMaster!$C:$C,0))</f>
        <v>Sunny</v>
      </c>
      <c r="T299" s="48">
        <f>INDEX(LoadMaster!$DA:$DA,MATCH(B299,LoadMaster!$C:$C,0))</f>
        <v>35</v>
      </c>
      <c r="U299" s="110">
        <f>Table2[[#This Row],[WeekEndingDate]]+7</f>
        <v>42426</v>
      </c>
      <c r="V299" s="14">
        <f t="shared" si="23"/>
        <v>2</v>
      </c>
      <c r="W299" s="18">
        <f t="shared" si="24"/>
        <v>2016</v>
      </c>
    </row>
    <row r="300" spans="1:23" s="18" customFormat="1">
      <c r="A300" s="15" t="str">
        <f>INDEX(LoadMaster!$A:$A,MATCH(B300,LoadMaster!$C:$C,0))</f>
        <v>9417wn30</v>
      </c>
      <c r="B300" s="311">
        <v>194</v>
      </c>
      <c r="C300" s="312" t="str">
        <f>VLOOKUP(Table2[[#This Row],[BrokerConfNo]],LoadMaster!C:D,2,FALSE)</f>
        <v>Global Freight Management</v>
      </c>
      <c r="D300" s="313">
        <v>42415</v>
      </c>
      <c r="E300" s="314" t="str">
        <f>IF(Table2[[#This Row],[UBActualReceived]]&gt;1,"Received","Pending")</f>
        <v>Received</v>
      </c>
      <c r="F300" s="27">
        <f>INDEX(LoadMaster!$CU:$CU,MATCH(B300,LoadMaster!$C:$C,0))</f>
        <v>200</v>
      </c>
      <c r="G300" s="132">
        <f>INDEX(LoadMaster!$CX:$CX,MATCH(B300,LoadMaster!$C:$C,0))</f>
        <v>200</v>
      </c>
      <c r="H300" s="132">
        <f>INDEX(LoadMaster!$CW:$CW,MATCH(B300,LoadMaster!$C:$C,0))</f>
        <v>186</v>
      </c>
      <c r="I300" s="331">
        <v>200</v>
      </c>
      <c r="J300" s="526">
        <v>186</v>
      </c>
      <c r="K300" s="27" t="str">
        <f t="shared" si="20"/>
        <v>Full</v>
      </c>
      <c r="L300" s="27">
        <f>INDEX(LoadMaster!$CT:$CT,MATCH(Table2[[#This Row],[BrokerConfNo]],LoadMaster!$C:$C,0))</f>
        <v>0</v>
      </c>
      <c r="M300" s="312" t="str">
        <f>INDEX(LoadMaster!$AO:$AO,MATCH(Table2[[#This Row],[BrokerConfNo]],LoadMaster!$C:$C,0))</f>
        <v>Sukhpal</v>
      </c>
      <c r="N300" s="313">
        <f t="shared" si="21"/>
        <v>42419</v>
      </c>
      <c r="O300" s="109">
        <f t="shared" si="22"/>
        <v>42426</v>
      </c>
      <c r="P300" s="313">
        <f>INDEX(LoadMaster!$M:$M,MATCH(B300,LoadMaster!$C:$C,0))</f>
        <v>42415</v>
      </c>
      <c r="Q300" s="312" t="str">
        <f>INDEX(LoadMaster!$P:$P,MATCH(B300,LoadMaster!$C:$C,0))</f>
        <v>Antioch</v>
      </c>
      <c r="R300" s="312" t="str">
        <f>INDEX(LoadMaster!$AH:$AH,MATCH(B300,LoadMaster!$C:$C,0))</f>
        <v>West Sacramento</v>
      </c>
      <c r="S300" s="416" t="str">
        <f>INDEX(LoadMaster!$DC:$DC,MATCH(B300,LoadMaster!$C:$C,0))</f>
        <v>Sunny</v>
      </c>
      <c r="T300" s="315">
        <f>INDEX(LoadMaster!$DA:$DA,MATCH(B300,LoadMaster!$C:$C,0))</f>
        <v>14</v>
      </c>
      <c r="U300" s="110">
        <f>Table2[[#This Row],[WeekEndingDate]]+7</f>
        <v>42426</v>
      </c>
      <c r="V300" s="312">
        <f t="shared" si="23"/>
        <v>2</v>
      </c>
      <c r="W300" s="314">
        <f t="shared" si="24"/>
        <v>2016</v>
      </c>
    </row>
    <row r="301" spans="1:23" s="18" customFormat="1">
      <c r="A301" s="15" t="str">
        <f>INDEX(LoadMaster!$A:$A,MATCH(B301,LoadMaster!$C:$C,0))</f>
        <v>00393988</v>
      </c>
      <c r="B301" s="55">
        <v>2389500</v>
      </c>
      <c r="C301" s="18" t="str">
        <f>VLOOKUP(Table2[[#This Row],[BrokerConfNo]],LoadMaster!C:D,2,FALSE)</f>
        <v>Matson Logistics</v>
      </c>
      <c r="D301" s="26">
        <v>42418</v>
      </c>
      <c r="E301" s="18" t="str">
        <f>IF(Table2[[#This Row],[UBActualReceived]]&gt;1,"Received","Pending")</f>
        <v>Received</v>
      </c>
      <c r="F301" s="21">
        <f>INDEX(LoadMaster!$CU:$CU,MATCH(B301,LoadMaster!$C:$C,0))</f>
        <v>400</v>
      </c>
      <c r="G301" s="132">
        <f>INDEX(LoadMaster!$CX:$CX,MATCH(B301,LoadMaster!$C:$C,0))</f>
        <v>392</v>
      </c>
      <c r="H301" s="132">
        <f>INDEX(LoadMaster!$CW:$CW,MATCH(B301,LoadMaster!$C:$C,0))</f>
        <v>372</v>
      </c>
      <c r="I301" s="331">
        <v>392</v>
      </c>
      <c r="J301" s="526">
        <v>372</v>
      </c>
      <c r="K301" s="27" t="str">
        <f t="shared" si="20"/>
        <v>Full</v>
      </c>
      <c r="L301" s="27">
        <f>INDEX(LoadMaster!$CT:$CT,MATCH(Table2[[#This Row],[BrokerConfNo]],LoadMaster!$C:$C,0))</f>
        <v>0</v>
      </c>
      <c r="M301" s="18" t="str">
        <f>INDEX(LoadMaster!$AO:$AO,MATCH(Table2[[#This Row],[BrokerConfNo]],LoadMaster!$C:$C,0))</f>
        <v>Wesley</v>
      </c>
      <c r="N301" s="26">
        <f t="shared" si="21"/>
        <v>42419</v>
      </c>
      <c r="O301" s="109">
        <f t="shared" si="22"/>
        <v>42426</v>
      </c>
      <c r="P301" s="26">
        <f>INDEX(LoadMaster!$M:$M,MATCH(B301,LoadMaster!$C:$C,0))</f>
        <v>42415</v>
      </c>
      <c r="Q301" s="18" t="str">
        <f>INDEX(LoadMaster!$P:$P,MATCH(B301,LoadMaster!$C:$C,0))</f>
        <v>Atwater</v>
      </c>
      <c r="R301" s="18" t="str">
        <f>INDEX(LoadMaster!$AH:$AH,MATCH(B301,LoadMaster!$C:$C,0))</f>
        <v>Oakland</v>
      </c>
      <c r="S301" s="416" t="str">
        <f>INDEX(LoadMaster!$DC:$DC,MATCH(B301,LoadMaster!$C:$C,0))</f>
        <v>Sunny</v>
      </c>
      <c r="T301" s="48">
        <f>INDEX(LoadMaster!$DA:$DA,MATCH(B301,LoadMaster!$C:$C,0))</f>
        <v>20</v>
      </c>
      <c r="U301" s="110">
        <f>Table2[[#This Row],[WeekEndingDate]]+7</f>
        <v>42426</v>
      </c>
      <c r="V301" s="14">
        <f t="shared" si="23"/>
        <v>2</v>
      </c>
      <c r="W301" s="18">
        <f t="shared" si="24"/>
        <v>2016</v>
      </c>
    </row>
    <row r="302" spans="1:23" s="68" customFormat="1">
      <c r="A302" s="15" t="str">
        <f>INDEX(LoadMaster!$A:$A,MATCH(B302,LoadMaster!$C:$C,0))</f>
        <v>12icic30</v>
      </c>
      <c r="B302" s="302">
        <v>193145912</v>
      </c>
      <c r="C302" s="303" t="str">
        <f>VLOOKUP(Table2[[#This Row],[BrokerConfNo]],LoadMaster!C:D,2,FALSE)</f>
        <v>Ch Robinson</v>
      </c>
      <c r="D302" s="301">
        <v>42436</v>
      </c>
      <c r="E302" s="300" t="str">
        <f>IF(Table2[[#This Row],[UBActualReceived]]&gt;1,"Received","Pending")</f>
        <v>Received</v>
      </c>
      <c r="F302" s="134">
        <f>INDEX(LoadMaster!$CU:$CU,MATCH(B302,LoadMaster!$C:$C,0))</f>
        <v>500</v>
      </c>
      <c r="G302" s="132">
        <f>INDEX(LoadMaster!$CX:$CX,MATCH(B302,LoadMaster!$C:$C,0))</f>
        <v>490</v>
      </c>
      <c r="H302" s="132">
        <f>INDEX(LoadMaster!$CW:$CW,MATCH(B302,LoadMaster!$C:$C,0))</f>
        <v>465</v>
      </c>
      <c r="I302" s="330">
        <v>40</v>
      </c>
      <c r="J302" s="525">
        <v>465</v>
      </c>
      <c r="K302" s="134" t="str">
        <f t="shared" si="20"/>
        <v>Less</v>
      </c>
      <c r="L302" s="134">
        <f>INDEX(LoadMaster!$CT:$CT,MATCH(Table2[[#This Row],[BrokerConfNo]],LoadMaster!$C:$C,0))</f>
        <v>0</v>
      </c>
      <c r="M302" s="303" t="str">
        <f>INDEX(LoadMaster!$AO:$AO,MATCH(Table2[[#This Row],[BrokerConfNo]],LoadMaster!$C:$C,0))</f>
        <v>Sukhpal</v>
      </c>
      <c r="N302" s="301">
        <f t="shared" si="21"/>
        <v>42419</v>
      </c>
      <c r="O302" s="135">
        <f t="shared" si="22"/>
        <v>42426</v>
      </c>
      <c r="P302" s="301">
        <f>INDEX(LoadMaster!$M:$M,MATCH(B302,LoadMaster!$C:$C,0))</f>
        <v>42416</v>
      </c>
      <c r="Q302" s="303" t="str">
        <f>INDEX(LoadMaster!$P:$P,MATCH(B302,LoadMaster!$C:$C,0))</f>
        <v>Fairfield</v>
      </c>
      <c r="R302" s="303" t="str">
        <f>INDEX(LoadMaster!$AH:$AH,MATCH(B302,LoadMaster!$C:$C,0))</f>
        <v>Fernley</v>
      </c>
      <c r="S302" s="416" t="str">
        <f>INDEX(LoadMaster!$DC:$DC,MATCH(B302,LoadMaster!$C:$C,0))</f>
        <v>Sunny</v>
      </c>
      <c r="T302" s="299">
        <f>INDEX(LoadMaster!$DA:$DA,MATCH(B302,LoadMaster!$C:$C,0))</f>
        <v>25</v>
      </c>
      <c r="U302" s="137">
        <f>Table2[[#This Row],[WeekEndingDate]]+7</f>
        <v>42426</v>
      </c>
      <c r="V302" s="303">
        <f t="shared" si="23"/>
        <v>2</v>
      </c>
      <c r="W302" s="300">
        <f t="shared" si="24"/>
        <v>2016</v>
      </c>
    </row>
    <row r="303" spans="1:23" s="18" customFormat="1">
      <c r="A303" s="15" t="str">
        <f>INDEX(LoadMaster!$A:$A,MATCH(B303,LoadMaster!$C:$C,0))</f>
        <v>77411030</v>
      </c>
      <c r="B303" s="311">
        <v>156977</v>
      </c>
      <c r="C303" s="312" t="str">
        <f>VLOOKUP(Table2[[#This Row],[BrokerConfNo]],LoadMaster!C:D,2,FALSE)</f>
        <v>Pinnacle Transportation Logistics</v>
      </c>
      <c r="D303" s="313">
        <v>42433</v>
      </c>
      <c r="E303" s="314" t="str">
        <f>IF(Table2[[#This Row],[UBActualReceived]]&gt;1,"Received","Pending")</f>
        <v>Received</v>
      </c>
      <c r="F303" s="27">
        <f>INDEX(LoadMaster!$CU:$CU,MATCH(B303,LoadMaster!$C:$C,0))</f>
        <v>275</v>
      </c>
      <c r="G303" s="132">
        <f>INDEX(LoadMaster!$CX:$CX,MATCH(B303,LoadMaster!$C:$C,0))</f>
        <v>261.25</v>
      </c>
      <c r="H303" s="132">
        <f>INDEX(LoadMaster!$CW:$CW,MATCH(B303,LoadMaster!$C:$C,0))</f>
        <v>255.75</v>
      </c>
      <c r="I303" s="331">
        <v>261</v>
      </c>
      <c r="J303" s="526">
        <v>255.75</v>
      </c>
      <c r="K303" s="27" t="str">
        <f t="shared" si="20"/>
        <v>Less</v>
      </c>
      <c r="L303" s="27">
        <f>INDEX(LoadMaster!$CT:$CT,MATCH(Table2[[#This Row],[BrokerConfNo]],LoadMaster!$C:$C,0))</f>
        <v>0</v>
      </c>
      <c r="M303" s="312" t="str">
        <f>INDEX(LoadMaster!$AO:$AO,MATCH(Table2[[#This Row],[BrokerConfNo]],LoadMaster!$C:$C,0))</f>
        <v>Sukhpal</v>
      </c>
      <c r="N303" s="313">
        <f t="shared" si="21"/>
        <v>42419</v>
      </c>
      <c r="O303" s="109">
        <f t="shared" si="22"/>
        <v>42426</v>
      </c>
      <c r="P303" s="313">
        <f>INDEX(LoadMaster!$M:$M,MATCH(B303,LoadMaster!$C:$C,0))</f>
        <v>42416</v>
      </c>
      <c r="Q303" s="312" t="str">
        <f>INDEX(LoadMaster!$P:$P,MATCH(B303,LoadMaster!$C:$C,0))</f>
        <v>Bay Point</v>
      </c>
      <c r="R303" s="312" t="str">
        <f>INDEX(LoadMaster!$AH:$AH,MATCH(B303,LoadMaster!$C:$C,0))</f>
        <v>Fairfield</v>
      </c>
      <c r="S303" s="416" t="str">
        <f>INDEX(LoadMaster!$DC:$DC,MATCH(B303,LoadMaster!$C:$C,0))</f>
        <v>Sunny</v>
      </c>
      <c r="T303" s="315">
        <f>INDEX(LoadMaster!$DA:$DA,MATCH(B303,LoadMaster!$C:$C,0))</f>
        <v>5.5</v>
      </c>
      <c r="U303" s="110">
        <f>Table2[[#This Row],[WeekEndingDate]]+7</f>
        <v>42426</v>
      </c>
      <c r="V303" s="312">
        <f t="shared" si="23"/>
        <v>2</v>
      </c>
      <c r="W303" s="314">
        <f t="shared" si="24"/>
        <v>2016</v>
      </c>
    </row>
    <row r="304" spans="1:23" s="18" customFormat="1">
      <c r="A304" s="15" t="str">
        <f>INDEX(LoadMaster!$A:$A,MATCH(B304,LoadMaster!$C:$C,0))</f>
        <v>49wnwn49</v>
      </c>
      <c r="B304" s="311">
        <v>61249</v>
      </c>
      <c r="C304" s="312" t="str">
        <f>VLOOKUP(Table2[[#This Row],[BrokerConfNo]],LoadMaster!C:D,2,FALSE)</f>
        <v>Ta Services Inc.</v>
      </c>
      <c r="D304" s="313">
        <v>42440</v>
      </c>
      <c r="E304" s="314" t="str">
        <f>IF(Table2[[#This Row],[UBActualReceived]]&gt;1,"Received","Pending")</f>
        <v>Received</v>
      </c>
      <c r="F304" s="27">
        <f>INDEX(LoadMaster!$CU:$CU,MATCH(B304,LoadMaster!$C:$C,0))</f>
        <v>550</v>
      </c>
      <c r="G304" s="132">
        <f>INDEX(LoadMaster!$CX:$CX,MATCH(B304,LoadMaster!$C:$C,0))</f>
        <v>550</v>
      </c>
      <c r="H304" s="132">
        <f>INDEX(LoadMaster!$CW:$CW,MATCH(B304,LoadMaster!$C:$C,0))</f>
        <v>500</v>
      </c>
      <c r="I304" s="331">
        <v>550</v>
      </c>
      <c r="J304" s="526">
        <v>500</v>
      </c>
      <c r="K304" s="27" t="str">
        <f t="shared" si="20"/>
        <v>Full</v>
      </c>
      <c r="L304" s="27">
        <f>INDEX(LoadMaster!$CT:$CT,MATCH(Table2[[#This Row],[BrokerConfNo]],LoadMaster!$C:$C,0))</f>
        <v>0</v>
      </c>
      <c r="M304" s="312" t="str">
        <f>INDEX(LoadMaster!$AO:$AO,MATCH(Table2[[#This Row],[BrokerConfNo]],LoadMaster!$C:$C,0))</f>
        <v>Albel</v>
      </c>
      <c r="N304" s="313">
        <f t="shared" si="21"/>
        <v>42419</v>
      </c>
      <c r="O304" s="109">
        <f t="shared" si="22"/>
        <v>42433</v>
      </c>
      <c r="P304" s="313">
        <f>INDEX(LoadMaster!$M:$M,MATCH(B304,LoadMaster!$C:$C,0))</f>
        <v>42416</v>
      </c>
      <c r="Q304" s="312" t="str">
        <f>INDEX(LoadMaster!$P:$P,MATCH(B304,LoadMaster!$C:$C,0))</f>
        <v>Oakland</v>
      </c>
      <c r="R304" s="312" t="str">
        <f>INDEX(LoadMaster!$AH:$AH,MATCH(B304,LoadMaster!$C:$C,0))</f>
        <v>Mccarran</v>
      </c>
      <c r="S304" s="416" t="str">
        <f>INDEX(LoadMaster!$DC:$DC,MATCH(B304,LoadMaster!$C:$C,0))</f>
        <v>Sunny</v>
      </c>
      <c r="T304" s="315">
        <f>INDEX(LoadMaster!$DA:$DA,MATCH(B304,LoadMaster!$C:$C,0))</f>
        <v>50</v>
      </c>
      <c r="U304" s="110">
        <f>Table2[[#This Row],[WeekEndingDate]]+7</f>
        <v>42426</v>
      </c>
      <c r="V304" s="312">
        <f t="shared" si="23"/>
        <v>2</v>
      </c>
      <c r="W304" s="314">
        <f t="shared" si="24"/>
        <v>2016</v>
      </c>
    </row>
    <row r="305" spans="1:23" s="18" customFormat="1">
      <c r="A305" s="15" t="str">
        <f>INDEX(LoadMaster!$A:$A,MATCH(B305,LoadMaster!$C:$C,0))</f>
        <v>16wnwn88</v>
      </c>
      <c r="B305" s="311">
        <v>118416</v>
      </c>
      <c r="C305" s="312" t="str">
        <f>VLOOKUP(Table2[[#This Row],[BrokerConfNo]],LoadMaster!C:D,2,FALSE)</f>
        <v>Magellan Transport Logistics</v>
      </c>
      <c r="D305" s="313">
        <v>42423</v>
      </c>
      <c r="E305" s="314" t="str">
        <f>IF(Table2[[#This Row],[UBActualReceived]]&gt;1,"Received","Pending")</f>
        <v>Received</v>
      </c>
      <c r="F305" s="27">
        <f>INDEX(LoadMaster!$CU:$CU,MATCH(B305,LoadMaster!$C:$C,0))</f>
        <v>500</v>
      </c>
      <c r="G305" s="132">
        <f>INDEX(LoadMaster!$CX:$CX,MATCH(B305,LoadMaster!$C:$C,0))</f>
        <v>480</v>
      </c>
      <c r="H305" s="132">
        <f>INDEX(LoadMaster!$CW:$CW,MATCH(B305,LoadMaster!$C:$C,0))</f>
        <v>465</v>
      </c>
      <c r="I305" s="331">
        <v>480</v>
      </c>
      <c r="J305" s="526">
        <v>465</v>
      </c>
      <c r="K305" s="27" t="str">
        <f t="shared" si="20"/>
        <v>Full</v>
      </c>
      <c r="L305" s="27">
        <f>INDEX(LoadMaster!$CT:$CT,MATCH(Table2[[#This Row],[BrokerConfNo]],LoadMaster!$C:$C,0))</f>
        <v>0</v>
      </c>
      <c r="M305" s="312" t="str">
        <f>INDEX(LoadMaster!$AO:$AO,MATCH(Table2[[#This Row],[BrokerConfNo]],LoadMaster!$C:$C,0))</f>
        <v>Wesley</v>
      </c>
      <c r="N305" s="313">
        <f t="shared" si="21"/>
        <v>42419</v>
      </c>
      <c r="O305" s="109">
        <f t="shared" si="22"/>
        <v>42426</v>
      </c>
      <c r="P305" s="313">
        <f>INDEX(LoadMaster!$M:$M,MATCH(B305,LoadMaster!$C:$C,0))</f>
        <v>42417</v>
      </c>
      <c r="Q305" s="312" t="str">
        <f>INDEX(LoadMaster!$P:$P,MATCH(B305,LoadMaster!$C:$C,0))</f>
        <v>Richmond</v>
      </c>
      <c r="R305" s="312" t="str">
        <f>INDEX(LoadMaster!$AH:$AH,MATCH(B305,LoadMaster!$C:$C,0))</f>
        <v>Redwood City</v>
      </c>
      <c r="S305" s="416" t="str">
        <f>INDEX(LoadMaster!$DC:$DC,MATCH(B305,LoadMaster!$C:$C,0))</f>
        <v>Sunny</v>
      </c>
      <c r="T305" s="315">
        <f>INDEX(LoadMaster!$DA:$DA,MATCH(B305,LoadMaster!$C:$C,0))</f>
        <v>15</v>
      </c>
      <c r="U305" s="110">
        <f>Table2[[#This Row],[WeekEndingDate]]+7</f>
        <v>42426</v>
      </c>
      <c r="V305" s="312">
        <f t="shared" si="23"/>
        <v>2</v>
      </c>
      <c r="W305" s="314">
        <f t="shared" si="24"/>
        <v>2016</v>
      </c>
    </row>
    <row r="306" spans="1:23" s="18" customFormat="1">
      <c r="A306" s="15" t="str">
        <f>INDEX(LoadMaster!$A:$A,MATCH(B306,LoadMaster!$C:$C,0))</f>
        <v>7415wn49</v>
      </c>
      <c r="B306" s="311">
        <v>2391374</v>
      </c>
      <c r="C306" s="312" t="str">
        <f>VLOOKUP(Table2[[#This Row],[BrokerConfNo]],LoadMaster!C:D,2,FALSE)</f>
        <v>Matson Logistics</v>
      </c>
      <c r="D306" s="14" t="s">
        <v>3826</v>
      </c>
      <c r="E306" s="314" t="str">
        <f>IF(Table2[[#This Row],[UBActualReceived]]&gt;1,"Received","Pending")</f>
        <v>Received</v>
      </c>
      <c r="F306" s="27">
        <f>INDEX(LoadMaster!$CU:$CU,MATCH(B306,LoadMaster!$C:$C,0))</f>
        <v>600</v>
      </c>
      <c r="G306" s="132">
        <f>INDEX(LoadMaster!$CX:$CX,MATCH(B306,LoadMaster!$C:$C,0))</f>
        <v>588</v>
      </c>
      <c r="H306" s="132">
        <f>INDEX(LoadMaster!$CW:$CW,MATCH(B306,LoadMaster!$C:$C,0))</f>
        <v>550</v>
      </c>
      <c r="I306" s="331">
        <v>588</v>
      </c>
      <c r="J306" s="526">
        <v>550</v>
      </c>
      <c r="K306" s="27" t="str">
        <f t="shared" si="20"/>
        <v>Full</v>
      </c>
      <c r="L306" s="27">
        <f>INDEX(LoadMaster!$CT:$CT,MATCH(Table2[[#This Row],[BrokerConfNo]],LoadMaster!$C:$C,0))</f>
        <v>0</v>
      </c>
      <c r="M306" s="312" t="str">
        <f>INDEX(LoadMaster!$AO:$AO,MATCH(Table2[[#This Row],[BrokerConfNo]],LoadMaster!$C:$C,0))</f>
        <v>Albel</v>
      </c>
      <c r="N306" s="313">
        <f t="shared" si="21"/>
        <v>42419</v>
      </c>
      <c r="O306" s="109">
        <f t="shared" si="22"/>
        <v>42433</v>
      </c>
      <c r="P306" s="313">
        <f>INDEX(LoadMaster!$M:$M,MATCH(B306,LoadMaster!$C:$C,0))</f>
        <v>42417</v>
      </c>
      <c r="Q306" s="312" t="str">
        <f>INDEX(LoadMaster!$P:$P,MATCH(B306,LoadMaster!$C:$C,0))</f>
        <v>Mound House</v>
      </c>
      <c r="R306" s="312" t="str">
        <f>INDEX(LoadMaster!$AH:$AH,MATCH(B306,LoadMaster!$C:$C,0))</f>
        <v>Ivanhoe</v>
      </c>
      <c r="S306" s="416" t="str">
        <f>INDEX(LoadMaster!$DC:$DC,MATCH(B306,LoadMaster!$C:$C,0))</f>
        <v>Sunny</v>
      </c>
      <c r="T306" s="315">
        <f>INDEX(LoadMaster!$DA:$DA,MATCH(B306,LoadMaster!$C:$C,0))</f>
        <v>38</v>
      </c>
      <c r="U306" s="110">
        <f>Table2[[#This Row],[WeekEndingDate]]+7</f>
        <v>42426</v>
      </c>
      <c r="V306" s="312">
        <f t="shared" si="23"/>
        <v>2</v>
      </c>
      <c r="W306" s="314">
        <f t="shared" si="24"/>
        <v>2016</v>
      </c>
    </row>
    <row r="307" spans="1:23" s="18" customFormat="1">
      <c r="A307" s="15" t="str">
        <f>INDEX(LoadMaster!$A:$A,MATCH(B307,LoadMaster!$C:$C,0))</f>
        <v>02067830</v>
      </c>
      <c r="B307" s="311">
        <v>125002</v>
      </c>
      <c r="C307" s="312" t="str">
        <f>VLOOKUP(Table2[[#This Row],[BrokerConfNo]],LoadMaster!C:D,2,FALSE)</f>
        <v>Pepsi Logistics Company Inc</v>
      </c>
      <c r="D307" s="313">
        <v>42432</v>
      </c>
      <c r="E307" s="314" t="str">
        <f>IF(Table2[[#This Row],[UBActualReceived]]&gt;1,"Received","Pending")</f>
        <v>Received</v>
      </c>
      <c r="F307" s="27">
        <f>INDEX(LoadMaster!$CU:$CU,MATCH(B307,LoadMaster!$C:$C,0))</f>
        <v>1190</v>
      </c>
      <c r="G307" s="132">
        <f>INDEX(LoadMaster!$CX:$CX,MATCH(B307,LoadMaster!$C:$C,0))</f>
        <v>1154.3</v>
      </c>
      <c r="H307" s="132">
        <f>INDEX(LoadMaster!$CW:$CW,MATCH(B307,LoadMaster!$C:$C,0))</f>
        <v>1106.7</v>
      </c>
      <c r="I307" s="331">
        <v>1154.3</v>
      </c>
      <c r="J307" s="526">
        <v>1106.7</v>
      </c>
      <c r="K307" s="27" t="str">
        <f t="shared" si="20"/>
        <v>Full</v>
      </c>
      <c r="L307" s="27">
        <f>INDEX(LoadMaster!$CT:$CT,MATCH(Table2[[#This Row],[BrokerConfNo]],LoadMaster!$C:$C,0))</f>
        <v>90</v>
      </c>
      <c r="M307" s="312" t="str">
        <f>INDEX(LoadMaster!$AO:$AO,MATCH(Table2[[#This Row],[BrokerConfNo]],LoadMaster!$C:$C,0))</f>
        <v>Sukhpal</v>
      </c>
      <c r="N307" s="313">
        <f t="shared" si="21"/>
        <v>42419</v>
      </c>
      <c r="O307" s="109">
        <f t="shared" si="22"/>
        <v>42426</v>
      </c>
      <c r="P307" s="313">
        <f>INDEX(LoadMaster!$M:$M,MATCH(B307,LoadMaster!$C:$C,0))</f>
        <v>42417</v>
      </c>
      <c r="Q307" s="312" t="str">
        <f>INDEX(LoadMaster!$P:$P,MATCH(B307,LoadMaster!$C:$C,0))</f>
        <v>Sparks</v>
      </c>
      <c r="R307" s="312" t="str">
        <f>INDEX(LoadMaster!$AH:$AH,MATCH(B307,LoadMaster!$C:$C,0))</f>
        <v>Clackamas</v>
      </c>
      <c r="S307" s="416" t="str">
        <f>INDEX(LoadMaster!$DC:$DC,MATCH(B307,LoadMaster!$C:$C,0))</f>
        <v>Sunny</v>
      </c>
      <c r="T307" s="315">
        <f>INDEX(LoadMaster!$DA:$DA,MATCH(B307,LoadMaster!$C:$C,0))</f>
        <v>47.599999999999959</v>
      </c>
      <c r="U307" s="110">
        <f>Table2[[#This Row],[WeekEndingDate]]+7</f>
        <v>42426</v>
      </c>
      <c r="V307" s="312">
        <f t="shared" si="23"/>
        <v>2</v>
      </c>
      <c r="W307" s="314">
        <f t="shared" si="24"/>
        <v>2016</v>
      </c>
    </row>
    <row r="308" spans="1:23" s="18" customFormat="1">
      <c r="A308" s="15" t="str">
        <f>INDEX(LoadMaster!$A:$A,MATCH(B308,LoadMaster!$C:$C,0))</f>
        <v>22464688</v>
      </c>
      <c r="B308" s="311">
        <v>47722</v>
      </c>
      <c r="C308" s="312" t="str">
        <f>VLOOKUP(Table2[[#This Row],[BrokerConfNo]],LoadMaster!C:D,2,FALSE)</f>
        <v>Cargobarn Inc.</v>
      </c>
      <c r="D308" s="313">
        <v>42457</v>
      </c>
      <c r="E308" s="314" t="str">
        <f>IF(Table2[[#This Row],[UBActualReceived]]&gt;1,"Received","Pending")</f>
        <v>Received</v>
      </c>
      <c r="F308" s="27">
        <f>INDEX(LoadMaster!$CU:$CU,MATCH(B308,LoadMaster!$C:$C,0))</f>
        <v>450</v>
      </c>
      <c r="G308" s="132">
        <f>INDEX(LoadMaster!$CX:$CX,MATCH(B308,LoadMaster!$C:$C,0))</f>
        <v>436.5</v>
      </c>
      <c r="H308" s="132">
        <f>INDEX(LoadMaster!$CW:$CW,MATCH(B308,LoadMaster!$C:$C,0))</f>
        <v>418.5</v>
      </c>
      <c r="I308" s="331">
        <v>363</v>
      </c>
      <c r="J308" s="526">
        <v>418.5</v>
      </c>
      <c r="K308" s="27" t="str">
        <f t="shared" si="20"/>
        <v>Less</v>
      </c>
      <c r="L308" s="27">
        <f>INDEX(LoadMaster!$CT:$CT,MATCH(Table2[[#This Row],[BrokerConfNo]],LoadMaster!$C:$C,0))</f>
        <v>75</v>
      </c>
      <c r="M308" s="312" t="str">
        <f>INDEX(LoadMaster!$AO:$AO,MATCH(Table2[[#This Row],[BrokerConfNo]],LoadMaster!$C:$C,0))</f>
        <v>Wesley</v>
      </c>
      <c r="N308" s="313">
        <f t="shared" si="21"/>
        <v>42419</v>
      </c>
      <c r="O308" s="109">
        <f t="shared" si="22"/>
        <v>42426</v>
      </c>
      <c r="P308" s="313">
        <f>INDEX(LoadMaster!$M:$M,MATCH(B308,LoadMaster!$C:$C,0))</f>
        <v>42418</v>
      </c>
      <c r="Q308" s="312" t="str">
        <f>INDEX(LoadMaster!$P:$P,MATCH(B308,LoadMaster!$C:$C,0))</f>
        <v>American Canyon</v>
      </c>
      <c r="R308" s="312" t="str">
        <f>INDEX(LoadMaster!$AH:$AH,MATCH(B308,LoadMaster!$C:$C,0))</f>
        <v>Fresno</v>
      </c>
      <c r="S308" s="416" t="str">
        <f>INDEX(LoadMaster!$DC:$DC,MATCH(B308,LoadMaster!$C:$C,0))</f>
        <v>Sunny</v>
      </c>
      <c r="T308" s="315">
        <f>INDEX(LoadMaster!$DA:$DA,MATCH(B308,LoadMaster!$C:$C,0))</f>
        <v>18</v>
      </c>
      <c r="U308" s="110">
        <f>Table2[[#This Row],[WeekEndingDate]]+7</f>
        <v>42426</v>
      </c>
      <c r="V308" s="312">
        <f t="shared" si="23"/>
        <v>2</v>
      </c>
      <c r="W308" s="314">
        <f t="shared" si="24"/>
        <v>2016</v>
      </c>
    </row>
    <row r="309" spans="1:23" s="18" customFormat="1">
      <c r="A309" s="15" t="str">
        <f>INDEX(LoadMaster!$A:$A,MATCH(B309,LoadMaster!$C:$C,0))</f>
        <v>16137349</v>
      </c>
      <c r="B309" s="311">
        <v>7391516</v>
      </c>
      <c r="C309" s="312" t="str">
        <f>VLOOKUP(Table2[[#This Row],[BrokerConfNo]],LoadMaster!C:D,2,FALSE)</f>
        <v>Globaltranz</v>
      </c>
      <c r="D309" s="313">
        <v>42432</v>
      </c>
      <c r="E309" s="314" t="str">
        <f>IF(Table2[[#This Row],[UBActualReceived]]&gt;1,"Received","Pending")</f>
        <v>Received</v>
      </c>
      <c r="F309" s="27">
        <f>INDEX(LoadMaster!$CU:$CU,MATCH(B309,LoadMaster!$C:$C,0))</f>
        <v>475</v>
      </c>
      <c r="G309" s="132">
        <f>INDEX(LoadMaster!$CX:$CX,MATCH(B309,LoadMaster!$C:$C,0))</f>
        <v>456</v>
      </c>
      <c r="H309" s="132">
        <f>INDEX(LoadMaster!$CW:$CW,MATCH(B309,LoadMaster!$C:$C,0))</f>
        <v>425</v>
      </c>
      <c r="I309" s="331">
        <v>475</v>
      </c>
      <c r="J309" s="526">
        <v>425</v>
      </c>
      <c r="K309" s="27" t="str">
        <f t="shared" si="20"/>
        <v>Full</v>
      </c>
      <c r="L309" s="27">
        <f>INDEX(LoadMaster!$CT:$CT,MATCH(Table2[[#This Row],[BrokerConfNo]],LoadMaster!$C:$C,0))</f>
        <v>0</v>
      </c>
      <c r="M309" s="312" t="str">
        <f>INDEX(LoadMaster!$AO:$AO,MATCH(Table2[[#This Row],[BrokerConfNo]],LoadMaster!$C:$C,0))</f>
        <v>Albel</v>
      </c>
      <c r="N309" s="313">
        <f t="shared" si="21"/>
        <v>42419</v>
      </c>
      <c r="O309" s="109">
        <f t="shared" si="22"/>
        <v>42433</v>
      </c>
      <c r="P309" s="313">
        <f>INDEX(LoadMaster!$M:$M,MATCH(B309,LoadMaster!$C:$C,0))</f>
        <v>42418</v>
      </c>
      <c r="Q309" s="312" t="str">
        <f>INDEX(LoadMaster!$P:$P,MATCH(B309,LoadMaster!$C:$C,0))</f>
        <v>Wasco</v>
      </c>
      <c r="R309" s="312" t="str">
        <f>INDEX(LoadMaster!$AH:$AH,MATCH(B309,LoadMaster!$C:$C,0))</f>
        <v>Salinas</v>
      </c>
      <c r="S309" s="416" t="str">
        <f>INDEX(LoadMaster!$DC:$DC,MATCH(B309,LoadMaster!$C:$C,0))</f>
        <v>Sunny</v>
      </c>
      <c r="T309" s="315">
        <f>INDEX(LoadMaster!$DA:$DA,MATCH(B309,LoadMaster!$C:$C,0))</f>
        <v>31</v>
      </c>
      <c r="U309" s="110">
        <f>Table2[[#This Row],[WeekEndingDate]]+7</f>
        <v>42426</v>
      </c>
      <c r="V309" s="312">
        <f t="shared" si="23"/>
        <v>2</v>
      </c>
      <c r="W309" s="314">
        <f t="shared" si="24"/>
        <v>2016</v>
      </c>
    </row>
    <row r="310" spans="1:23" s="18" customFormat="1">
      <c r="A310" s="15" t="str">
        <f>INDEX(LoadMaster!$A:$A,MATCH(B310,LoadMaster!$C:$C,0))</f>
        <v>61020249</v>
      </c>
      <c r="B310" s="55" t="s">
        <v>2199</v>
      </c>
      <c r="C310" s="14" t="str">
        <f>VLOOKUP(Table2[[#This Row],[BrokerConfNo]],LoadMaster!C:D,2,FALSE)</f>
        <v>Gardner Global Logistics, Inc.</v>
      </c>
      <c r="D310" s="26">
        <v>42485</v>
      </c>
      <c r="E310" s="18" t="str">
        <f>IF(Table2[[#This Row],[UBActualReceived]]&gt;1,"Received","Pending")</f>
        <v>Received</v>
      </c>
      <c r="F310" s="27">
        <f>INDEX(LoadMaster!$CU:$CU,MATCH(B310,LoadMaster!$C:$C,0))</f>
        <v>700</v>
      </c>
      <c r="G310" s="132">
        <f>INDEX(LoadMaster!$CX:$CX,MATCH(B310,LoadMaster!$C:$C,0))</f>
        <v>700</v>
      </c>
      <c r="H310" s="132">
        <f>INDEX(LoadMaster!$CW:$CW,MATCH(B310,LoadMaster!$C:$C,0))</f>
        <v>651</v>
      </c>
      <c r="I310" s="331">
        <v>700</v>
      </c>
      <c r="J310" s="526">
        <v>651</v>
      </c>
      <c r="K310" s="27" t="str">
        <f t="shared" si="20"/>
        <v>Full</v>
      </c>
      <c r="L310" s="27">
        <f>INDEX(LoadMaster!$CT:$CT,MATCH(Table2[[#This Row],[BrokerConfNo]],LoadMaster!$C:$C,0))</f>
        <v>0</v>
      </c>
      <c r="M310" s="14" t="str">
        <f>INDEX(LoadMaster!$AO:$AO,MATCH(Table2[[#This Row],[BrokerConfNo]],LoadMaster!$C:$C,0))</f>
        <v>Albel</v>
      </c>
      <c r="N310" s="26">
        <f t="shared" si="21"/>
        <v>42419</v>
      </c>
      <c r="O310" s="109">
        <f t="shared" si="22"/>
        <v>42433</v>
      </c>
      <c r="P310" s="26">
        <f>INDEX(LoadMaster!$M:$M,MATCH(B310,LoadMaster!$C:$C,0))</f>
        <v>42419</v>
      </c>
      <c r="Q310" s="14" t="str">
        <f>INDEX(LoadMaster!$P:$P,MATCH(B310,LoadMaster!$C:$C,0))</f>
        <v>Salinas</v>
      </c>
      <c r="R310" s="14" t="str">
        <f>INDEX(LoadMaster!$AH:$AH,MATCH(B310,LoadMaster!$C:$C,0))</f>
        <v>Reno</v>
      </c>
      <c r="S310" s="416" t="str">
        <f>INDEX(LoadMaster!$DC:$DC,MATCH(B310,LoadMaster!$C:$C,0))</f>
        <v>Sunny</v>
      </c>
      <c r="T310" s="48">
        <f>INDEX(LoadMaster!$DA:$DA,MATCH(B310,LoadMaster!$C:$C,0))</f>
        <v>49</v>
      </c>
      <c r="U310" s="110">
        <f>Table2[[#This Row],[WeekEndingDate]]+7</f>
        <v>42426</v>
      </c>
      <c r="V310" s="14">
        <f t="shared" si="23"/>
        <v>2</v>
      </c>
      <c r="W310" s="18">
        <f t="shared" si="24"/>
        <v>2016</v>
      </c>
    </row>
    <row r="311" spans="1:23" s="18" customFormat="1">
      <c r="A311" s="15" t="s">
        <v>3827</v>
      </c>
      <c r="B311" s="55">
        <v>1681772</v>
      </c>
      <c r="C311" s="14" t="str">
        <f>VLOOKUP(Table2[[#This Row],[BrokerConfNo]],LoadMaster!C:D,2,FALSE)</f>
        <v>Interstate Distributor Co</v>
      </c>
      <c r="D311" s="26">
        <v>42426</v>
      </c>
      <c r="E311" s="18" t="str">
        <f>IF(Table2[[#This Row],[UBActualReceived]]&gt;1,"Received","Pending")</f>
        <v>Received</v>
      </c>
      <c r="F311" s="27">
        <f>INDEX(LoadMaster!$CU:$CU,MATCH(B311,LoadMaster!$C:$C,0))</f>
        <v>1080</v>
      </c>
      <c r="G311" s="132">
        <f>INDEX(LoadMaster!$CX:$CX,MATCH(B311,LoadMaster!$C:$C,0))</f>
        <v>1063.8</v>
      </c>
      <c r="H311" s="132">
        <v>750</v>
      </c>
      <c r="I311" s="331">
        <v>1063.8</v>
      </c>
      <c r="J311" s="526">
        <v>750</v>
      </c>
      <c r="K311" s="27" t="str">
        <f t="shared" si="20"/>
        <v>Full</v>
      </c>
      <c r="L311" s="27">
        <f>INDEX(LoadMaster!$CT:$CT,MATCH(Table2[[#This Row],[BrokerConfNo]],LoadMaster!$C:$C,0))</f>
        <v>80</v>
      </c>
      <c r="M311" s="14" t="str">
        <f>INDEX(LoadMaster!$AO:$AO,MATCH(Table2[[#This Row],[BrokerConfNo]],LoadMaster!$C:$C,0))</f>
        <v>Wesley</v>
      </c>
      <c r="N311" s="26">
        <f t="shared" si="21"/>
        <v>42419</v>
      </c>
      <c r="O311" s="109">
        <f t="shared" si="22"/>
        <v>42426</v>
      </c>
      <c r="P311" s="26">
        <f>INDEX(LoadMaster!$M:$M,MATCH(B311,LoadMaster!$C:$C,0))</f>
        <v>42419</v>
      </c>
      <c r="Q311" s="14" t="str">
        <f>INDEX(LoadMaster!$P:$P,MATCH(B311,LoadMaster!$C:$C,0))</f>
        <v>Fresno</v>
      </c>
      <c r="R311" s="14" t="str">
        <f>INDEX(LoadMaster!$AH:$AH,MATCH(B311,LoadMaster!$C:$C,0))</f>
        <v>Minden</v>
      </c>
      <c r="S311" s="416" t="str">
        <f>INDEX(LoadMaster!$DC:$DC,MATCH(B311,LoadMaster!$C:$C,0))</f>
        <v>Sunny</v>
      </c>
      <c r="T311" s="48">
        <f>INDEX(LoadMaster!$DA:$DA,MATCH(B311,LoadMaster!$C:$C,0))</f>
        <v>19.39999999999991</v>
      </c>
      <c r="U311" s="110">
        <f>Table2[[#This Row],[WeekEndingDate]]+7</f>
        <v>42426</v>
      </c>
      <c r="V311" s="14">
        <f t="shared" si="23"/>
        <v>2</v>
      </c>
      <c r="W311" s="18">
        <f t="shared" si="24"/>
        <v>2016</v>
      </c>
    </row>
    <row r="312" spans="1:23" s="18" customFormat="1">
      <c r="A312" s="15" t="str">
        <f>INDEX(LoadMaster!$A:$A,MATCH(B312,LoadMaster!$C:$C,0))</f>
        <v>73272730</v>
      </c>
      <c r="B312" s="311">
        <v>6620573</v>
      </c>
      <c r="C312" s="312" t="str">
        <f>VLOOKUP(Table2[[#This Row],[BrokerConfNo]],LoadMaster!C:D,2,FALSE)</f>
        <v>Tql</v>
      </c>
      <c r="D312" s="313">
        <v>42430</v>
      </c>
      <c r="E312" s="314" t="str">
        <f>IF(Table2[[#This Row],[UBActualReceived]]&gt;1,"Received","Pending")</f>
        <v>Received</v>
      </c>
      <c r="F312" s="27">
        <f>INDEX(LoadMaster!$CU:$CU,MATCH(B312,LoadMaster!$C:$C,0))</f>
        <v>700</v>
      </c>
      <c r="G312" s="132">
        <f>INDEX(LoadMaster!$CX:$CX,MATCH(B312,LoadMaster!$C:$C,0))</f>
        <v>679</v>
      </c>
      <c r="H312" s="132">
        <f>INDEX(LoadMaster!$CW:$CW,MATCH(B312,LoadMaster!$C:$C,0))</f>
        <v>651</v>
      </c>
      <c r="I312" s="331">
        <v>679</v>
      </c>
      <c r="J312" s="526">
        <v>651</v>
      </c>
      <c r="K312" s="27" t="str">
        <f t="shared" si="20"/>
        <v>Full</v>
      </c>
      <c r="L312" s="27">
        <f>INDEX(LoadMaster!$CT:$CT,MATCH(Table2[[#This Row],[BrokerConfNo]],LoadMaster!$C:$C,0))</f>
        <v>0</v>
      </c>
      <c r="M312" s="312" t="str">
        <f>INDEX(LoadMaster!$AO:$AO,MATCH(Table2[[#This Row],[BrokerConfNo]],LoadMaster!$C:$C,0))</f>
        <v>Sukhpal</v>
      </c>
      <c r="N312" s="313">
        <f t="shared" si="21"/>
        <v>42419</v>
      </c>
      <c r="O312" s="109">
        <f t="shared" si="22"/>
        <v>42426</v>
      </c>
      <c r="P312" s="313">
        <f>INDEX(LoadMaster!$M:$M,MATCH(B312,LoadMaster!$C:$C,0))</f>
        <v>42419</v>
      </c>
      <c r="Q312" s="312" t="str">
        <f>INDEX(LoadMaster!$P:$P,MATCH(B312,LoadMaster!$C:$C,0))</f>
        <v>Turner</v>
      </c>
      <c r="R312" s="312" t="str">
        <f>INDEX(LoadMaster!$AH:$AH,MATCH(B312,LoadMaster!$C:$C,0))</f>
        <v>Fresno</v>
      </c>
      <c r="S312" s="416" t="str">
        <f>INDEX(LoadMaster!$DC:$DC,MATCH(B312,LoadMaster!$C:$C,0))</f>
        <v>Sunny</v>
      </c>
      <c r="T312" s="315">
        <f>INDEX(LoadMaster!$DA:$DA,MATCH(B312,LoadMaster!$C:$C,0))</f>
        <v>28</v>
      </c>
      <c r="U312" s="110">
        <f>Table2[[#This Row],[WeekEndingDate]]+7</f>
        <v>42426</v>
      </c>
      <c r="V312" s="312">
        <f t="shared" si="23"/>
        <v>2</v>
      </c>
      <c r="W312" s="314">
        <f t="shared" si="24"/>
        <v>2016</v>
      </c>
    </row>
    <row r="313" spans="1:23" s="404" customFormat="1">
      <c r="A313" s="391" t="s">
        <v>3828</v>
      </c>
      <c r="B313" s="401">
        <v>1681772</v>
      </c>
      <c r="C313" s="402" t="str">
        <f>VLOOKUP(Table2[[#This Row],[BrokerConfNo]],LoadMaster!C:D,2,FALSE)</f>
        <v>Interstate Distributor Co</v>
      </c>
      <c r="D313" s="403" t="s">
        <v>123</v>
      </c>
      <c r="E313" s="404" t="s">
        <v>123</v>
      </c>
      <c r="F313" s="405" t="s">
        <v>123</v>
      </c>
      <c r="G313" s="395" t="s">
        <v>123</v>
      </c>
      <c r="H313" s="395">
        <v>300</v>
      </c>
      <c r="I313" s="406" t="s">
        <v>123</v>
      </c>
      <c r="J313" s="532">
        <v>300</v>
      </c>
      <c r="K313" s="405" t="str">
        <f t="shared" si="20"/>
        <v>Full</v>
      </c>
      <c r="L313" s="405">
        <f>INDEX(LoadMaster!$CT:$CT,MATCH(Table2[[#This Row],[BrokerConfNo]],LoadMaster!$C:$C,0))</f>
        <v>80</v>
      </c>
      <c r="M313" s="402" t="str">
        <f>INDEX(LoadMaster!$AO:$AO,MATCH(Table2[[#This Row],[BrokerConfNo]],LoadMaster!$C:$C,0))</f>
        <v>Wesley</v>
      </c>
      <c r="N313" s="403">
        <f t="shared" si="21"/>
        <v>42419</v>
      </c>
      <c r="O313" s="407">
        <f t="shared" si="22"/>
        <v>42426</v>
      </c>
      <c r="P313" s="403">
        <f>INDEX(LoadMaster!$M:$M,MATCH(B313,LoadMaster!$C:$C,0))</f>
        <v>42419</v>
      </c>
      <c r="Q313" s="402" t="str">
        <f>INDEX(LoadMaster!$P:$P,MATCH(B313,LoadMaster!$C:$C,0))</f>
        <v>Fresno</v>
      </c>
      <c r="R313" s="402" t="str">
        <f>INDEX(LoadMaster!$AH:$AH,MATCH(B313,LoadMaster!$C:$C,0))</f>
        <v>Minden</v>
      </c>
      <c r="S313" s="393" t="str">
        <f>INDEX(LoadMaster!$DC:$DC,MATCH(B313,LoadMaster!$C:$C,0))</f>
        <v>Sunny</v>
      </c>
      <c r="T313" s="408">
        <v>0</v>
      </c>
      <c r="U313" s="409">
        <f>Table2[[#This Row],[WeekEndingDate]]+7</f>
        <v>42426</v>
      </c>
      <c r="V313" s="402">
        <f t="shared" si="23"/>
        <v>2</v>
      </c>
      <c r="W313" s="404">
        <f t="shared" si="24"/>
        <v>2016</v>
      </c>
    </row>
    <row r="314" spans="1:23" s="18" customFormat="1">
      <c r="A314" s="15" t="str">
        <f>INDEX(LoadMaster!$A:$A,MATCH(B314,LoadMaster!$C:$C,0))</f>
        <v>95067993</v>
      </c>
      <c r="B314" s="55">
        <v>511395</v>
      </c>
      <c r="C314" s="14" t="str">
        <f>VLOOKUP(Table2[[#This Row],[BrokerConfNo]],LoadMaster!C:D,2,FALSE)</f>
        <v>Cavalry Logistics</v>
      </c>
      <c r="D314" s="26">
        <v>42436</v>
      </c>
      <c r="E314" s="18" t="str">
        <f>IF(Table2[[#This Row],[UBActualReceived]]&gt;1,"Received","Pending")</f>
        <v>Received</v>
      </c>
      <c r="F314" s="27">
        <f>INDEX(LoadMaster!$CU:$CU,MATCH(B314,LoadMaster!$C:$C,0))</f>
        <v>529</v>
      </c>
      <c r="G314" s="132">
        <f>INDEX(LoadMaster!$CX:$CX,MATCH(B314,LoadMaster!$C:$C,0))</f>
        <v>518.41999999999996</v>
      </c>
      <c r="H314" s="132">
        <f>INDEX(LoadMaster!$CW:$CW,MATCH(B314,LoadMaster!$C:$C,0))</f>
        <v>491.97</v>
      </c>
      <c r="I314" s="331">
        <v>518.41999999999996</v>
      </c>
      <c r="J314" s="526">
        <v>491.97</v>
      </c>
      <c r="K314" s="27" t="str">
        <f t="shared" si="20"/>
        <v>Full</v>
      </c>
      <c r="L314" s="27">
        <f>INDEX(LoadMaster!$CT:$CT,MATCH(Table2[[#This Row],[BrokerConfNo]],LoadMaster!$C:$C,0))</f>
        <v>0</v>
      </c>
      <c r="M314" s="14" t="str">
        <f>INDEX(LoadMaster!$AO:$AO,MATCH(Table2[[#This Row],[BrokerConfNo]],LoadMaster!$C:$C,0))</f>
        <v>Arturo</v>
      </c>
      <c r="N314" s="26">
        <f t="shared" si="21"/>
        <v>42426</v>
      </c>
      <c r="O314" s="109">
        <f t="shared" si="22"/>
        <v>42433</v>
      </c>
      <c r="P314" s="26">
        <f>INDEX(LoadMaster!$M:$M,MATCH(B314,LoadMaster!$C:$C,0))</f>
        <v>42422</v>
      </c>
      <c r="Q314" s="14" t="str">
        <f>INDEX(LoadMaster!$P:$P,MATCH(B314,LoadMaster!$C:$C,0))</f>
        <v>Stockton</v>
      </c>
      <c r="R314" s="14" t="str">
        <f>INDEX(LoadMaster!$AH:$AH,MATCH(B314,LoadMaster!$C:$C,0))</f>
        <v>Gardnerville</v>
      </c>
      <c r="S314" s="416" t="str">
        <f>INDEX(LoadMaster!$DC:$DC,MATCH(B314,LoadMaster!$C:$C,0))</f>
        <v>Sunny</v>
      </c>
      <c r="T314" s="48">
        <f>INDEX(LoadMaster!$DA:$DA,MATCH(B314,LoadMaster!$C:$C,0))</f>
        <v>26.449999999999974</v>
      </c>
      <c r="U314" s="110">
        <f>Table2[[#This Row],[WeekEndingDate]]+7</f>
        <v>42433</v>
      </c>
      <c r="V314" s="14">
        <f t="shared" si="23"/>
        <v>2</v>
      </c>
      <c r="W314" s="18">
        <f t="shared" si="24"/>
        <v>2016</v>
      </c>
    </row>
    <row r="315" spans="1:23" s="68" customFormat="1">
      <c r="A315" s="15" t="str">
        <f>INDEX(LoadMaster!$A:$A,MATCH(B315,LoadMaster!$C:$C,0))</f>
        <v>13151549</v>
      </c>
      <c r="B315" s="81">
        <v>193687213</v>
      </c>
      <c r="C315" s="15" t="str">
        <f>VLOOKUP(Table2[[#This Row],[BrokerConfNo]],LoadMaster!C:D,2,FALSE)</f>
        <v>Ch Robinson</v>
      </c>
      <c r="D315" s="104">
        <v>42431</v>
      </c>
      <c r="E315" s="416" t="str">
        <f>IF(Table2[[#This Row],[UBActualReceived]]&gt;1,"Received","Pending")</f>
        <v>Received</v>
      </c>
      <c r="F315" s="134">
        <f>INDEX(LoadMaster!$CU:$CU,MATCH(B315,LoadMaster!$C:$C,0))</f>
        <v>675</v>
      </c>
      <c r="G315" s="132">
        <f>INDEX(LoadMaster!$CX:$CX,MATCH(B315,LoadMaster!$C:$C,0))</f>
        <v>661.5</v>
      </c>
      <c r="H315" s="132">
        <f>INDEX(LoadMaster!$CW:$CW,MATCH(B315,LoadMaster!$C:$C,0))</f>
        <v>627.75</v>
      </c>
      <c r="I315" s="330">
        <v>661.5</v>
      </c>
      <c r="J315" s="525">
        <v>627.75</v>
      </c>
      <c r="K315" s="134" t="str">
        <f t="shared" si="20"/>
        <v>Full</v>
      </c>
      <c r="L315" s="134">
        <f>INDEX(LoadMaster!$CT:$CT,MATCH(Table2[[#This Row],[BrokerConfNo]],LoadMaster!$C:$C,0))</f>
        <v>0</v>
      </c>
      <c r="M315" s="15" t="str">
        <f>INDEX(LoadMaster!$AO:$AO,MATCH(Table2[[#This Row],[BrokerConfNo]],LoadMaster!$C:$C,0))</f>
        <v>Albel</v>
      </c>
      <c r="N315" s="104">
        <f t="shared" si="21"/>
        <v>42426</v>
      </c>
      <c r="O315" s="135">
        <f t="shared" si="22"/>
        <v>42440</v>
      </c>
      <c r="P315" s="104">
        <f>INDEX(LoadMaster!$M:$M,MATCH(B315,LoadMaster!$C:$C,0))</f>
        <v>42422</v>
      </c>
      <c r="Q315" s="15" t="str">
        <f>INDEX(LoadMaster!$P:$P,MATCH(B315,LoadMaster!$C:$C,0))</f>
        <v>Mccarran</v>
      </c>
      <c r="R315" s="15" t="str">
        <f>INDEX(LoadMaster!$AH:$AH,MATCH(B315,LoadMaster!$C:$C,0))</f>
        <v>SALINAS</v>
      </c>
      <c r="S315" s="416" t="str">
        <f>INDEX(LoadMaster!$DC:$DC,MATCH(B315,LoadMaster!$C:$C,0))</f>
        <v>Sunny</v>
      </c>
      <c r="T315" s="136">
        <f>INDEX(LoadMaster!$DA:$DA,MATCH(B315,LoadMaster!$C:$C,0))</f>
        <v>33.75</v>
      </c>
      <c r="U315" s="137">
        <f>Table2[[#This Row],[WeekEndingDate]]+7</f>
        <v>42433</v>
      </c>
      <c r="V315" s="15">
        <f t="shared" si="23"/>
        <v>2</v>
      </c>
      <c r="W315" s="416">
        <f t="shared" si="24"/>
        <v>2016</v>
      </c>
    </row>
    <row r="316" spans="1:23" s="18" customFormat="1">
      <c r="A316" s="15" t="str">
        <f>INDEX(LoadMaster!$A:$A,MATCH(B316,LoadMaster!$C:$C,0))</f>
        <v>04505730</v>
      </c>
      <c r="B316" s="55">
        <v>6916104</v>
      </c>
      <c r="C316" s="14" t="str">
        <f>VLOOKUP(Table2[[#This Row],[BrokerConfNo]],LoadMaster!C:D,2,FALSE)</f>
        <v>Coyote</v>
      </c>
      <c r="D316" s="26">
        <v>42454</v>
      </c>
      <c r="E316" s="18" t="str">
        <f>IF(Table2[[#This Row],[UBActualReceived]]&gt;1,"Received","Pending")</f>
        <v>Received</v>
      </c>
      <c r="F316" s="27">
        <f>INDEX(LoadMaster!$CU:$CU,MATCH(B316,LoadMaster!$C:$C,0))</f>
        <v>350</v>
      </c>
      <c r="G316" s="132">
        <f>INDEX(LoadMaster!$CX:$CX,MATCH(B316,LoadMaster!$C:$C,0))</f>
        <v>339.5</v>
      </c>
      <c r="H316" s="132">
        <f>INDEX(LoadMaster!$CW:$CW,MATCH(B316,LoadMaster!$C:$C,0))</f>
        <v>325.5</v>
      </c>
      <c r="I316" s="331">
        <v>339.5</v>
      </c>
      <c r="J316" s="526">
        <v>325.5</v>
      </c>
      <c r="K316" s="27" t="str">
        <f t="shared" si="20"/>
        <v>Full</v>
      </c>
      <c r="L316" s="27">
        <f>INDEX(LoadMaster!$CT:$CT,MATCH(Table2[[#This Row],[BrokerConfNo]],LoadMaster!$C:$C,0))</f>
        <v>0</v>
      </c>
      <c r="M316" s="14" t="str">
        <f>INDEX(LoadMaster!$AO:$AO,MATCH(Table2[[#This Row],[BrokerConfNo]],LoadMaster!$C:$C,0))</f>
        <v>Sukhpal</v>
      </c>
      <c r="N316" s="26">
        <f t="shared" si="21"/>
        <v>42426</v>
      </c>
      <c r="O316" s="109">
        <f t="shared" si="22"/>
        <v>42433</v>
      </c>
      <c r="P316" s="26">
        <f>INDEX(LoadMaster!$M:$M,MATCH(B316,LoadMaster!$C:$C,0))</f>
        <v>42422</v>
      </c>
      <c r="Q316" s="14" t="str">
        <f>INDEX(LoadMaster!$P:$P,MATCH(B316,LoadMaster!$C:$C,0))</f>
        <v>Fresno</v>
      </c>
      <c r="R316" s="14" t="str">
        <f>INDEX(LoadMaster!$AH:$AH,MATCH(B316,LoadMaster!$C:$C,0))</f>
        <v>Mira Loma</v>
      </c>
      <c r="S316" s="416" t="str">
        <f>INDEX(LoadMaster!$DC:$DC,MATCH(B316,LoadMaster!$C:$C,0))</f>
        <v>Sunny</v>
      </c>
      <c r="T316" s="48">
        <f>INDEX(LoadMaster!$DA:$DA,MATCH(B316,LoadMaster!$C:$C,0))</f>
        <v>14</v>
      </c>
      <c r="U316" s="110">
        <f>Table2[[#This Row],[WeekEndingDate]]+7</f>
        <v>42433</v>
      </c>
      <c r="V316" s="14">
        <f t="shared" si="23"/>
        <v>2</v>
      </c>
      <c r="W316" s="18">
        <f t="shared" si="24"/>
        <v>2016</v>
      </c>
    </row>
    <row r="317" spans="1:23" s="18" customFormat="1">
      <c r="A317" s="15" t="str">
        <f>INDEX(LoadMaster!$A:$A,MATCH(B317,LoadMaster!$C:$C,0))</f>
        <v>65-5wn93</v>
      </c>
      <c r="B317" s="55">
        <v>2394765</v>
      </c>
      <c r="C317" s="14" t="str">
        <f>VLOOKUP(Table2[[#This Row],[BrokerConfNo]],LoadMaster!C:D,2,FALSE)</f>
        <v>Matson Logistics</v>
      </c>
      <c r="D317" s="26">
        <v>42429</v>
      </c>
      <c r="E317" s="18" t="str">
        <f>IF(Table2[[#This Row],[UBActualReceived]]&gt;1,"Received","Pending")</f>
        <v>Received</v>
      </c>
      <c r="F317" s="27">
        <f>INDEX(LoadMaster!$CU:$CU,MATCH(B317,LoadMaster!$C:$C,0))</f>
        <v>600</v>
      </c>
      <c r="G317" s="132">
        <f>INDEX(LoadMaster!$CX:$CX,MATCH(B317,LoadMaster!$C:$C,0))</f>
        <v>588</v>
      </c>
      <c r="H317" s="132">
        <f>INDEX(LoadMaster!$CW:$CW,MATCH(B317,LoadMaster!$C:$C,0))</f>
        <v>558</v>
      </c>
      <c r="I317" s="331">
        <v>588</v>
      </c>
      <c r="J317" s="526">
        <v>558</v>
      </c>
      <c r="K317" s="27" t="str">
        <f t="shared" si="20"/>
        <v>Full</v>
      </c>
      <c r="L317" s="27">
        <f>INDEX(LoadMaster!$CT:$CT,MATCH(Table2[[#This Row],[BrokerConfNo]],LoadMaster!$C:$C,0))</f>
        <v>0</v>
      </c>
      <c r="M317" s="14" t="str">
        <f>INDEX(LoadMaster!$AO:$AO,MATCH(Table2[[#This Row],[BrokerConfNo]],LoadMaster!$C:$C,0))</f>
        <v>Arturo</v>
      </c>
      <c r="N317" s="26">
        <f t="shared" si="21"/>
        <v>42426</v>
      </c>
      <c r="O317" s="109">
        <f t="shared" si="22"/>
        <v>42433</v>
      </c>
      <c r="P317" s="26">
        <f>INDEX(LoadMaster!$M:$M,MATCH(B317,LoadMaster!$C:$C,0))</f>
        <v>42423</v>
      </c>
      <c r="Q317" s="14" t="str">
        <f>INDEX(LoadMaster!$P:$P,MATCH(B317,LoadMaster!$C:$C,0))</f>
        <v>MOUND HOUSE</v>
      </c>
      <c r="R317" s="14" t="str">
        <f>INDEX(LoadMaster!$AH:$AH,MATCH(B317,LoadMaster!$C:$C,0))</f>
        <v>IVANHOE</v>
      </c>
      <c r="S317" s="416" t="str">
        <f>INDEX(LoadMaster!$DC:$DC,MATCH(B317,LoadMaster!$C:$C,0))</f>
        <v>Sunny</v>
      </c>
      <c r="T317" s="48">
        <f>INDEX(LoadMaster!$DA:$DA,MATCH(B317,LoadMaster!$C:$C,0))</f>
        <v>30</v>
      </c>
      <c r="U317" s="110">
        <f>Table2[[#This Row],[WeekEndingDate]]+7</f>
        <v>42433</v>
      </c>
      <c r="V317" s="14">
        <f t="shared" si="23"/>
        <v>2</v>
      </c>
      <c r="W317" s="18">
        <f t="shared" si="24"/>
        <v>2016</v>
      </c>
    </row>
    <row r="318" spans="1:23" s="18" customFormat="1">
      <c r="A318" s="15" t="str">
        <f>INDEX(LoadMaster!$A:$A,MATCH(B318,LoadMaster!$C:$C,0))</f>
        <v>42686830</v>
      </c>
      <c r="B318" s="55">
        <v>6618842</v>
      </c>
      <c r="C318" s="14" t="str">
        <f>VLOOKUP(Table2[[#This Row],[BrokerConfNo]],LoadMaster!C:D,2,FALSE)</f>
        <v>TQL</v>
      </c>
      <c r="D318" s="26">
        <v>42430</v>
      </c>
      <c r="E318" s="18" t="str">
        <f>IF(Table2[[#This Row],[UBActualReceived]]&gt;1,"Received","Pending")</f>
        <v>Received</v>
      </c>
      <c r="F318" s="27">
        <f>INDEX(LoadMaster!$CU:$CU,MATCH(B318,LoadMaster!$C:$C,0))</f>
        <v>800</v>
      </c>
      <c r="G318" s="132">
        <f>INDEX(LoadMaster!$CX:$CX,MATCH(B318,LoadMaster!$C:$C,0))</f>
        <v>776</v>
      </c>
      <c r="H318" s="132">
        <f>INDEX(LoadMaster!$CW:$CW,MATCH(B318,LoadMaster!$C:$C,0))</f>
        <v>744</v>
      </c>
      <c r="I318" s="331">
        <v>776</v>
      </c>
      <c r="J318" s="526">
        <v>744</v>
      </c>
      <c r="K318" s="27" t="str">
        <f t="shared" si="20"/>
        <v>Full</v>
      </c>
      <c r="L318" s="27">
        <f>INDEX(LoadMaster!$CT:$CT,MATCH(Table2[[#This Row],[BrokerConfNo]],LoadMaster!$C:$C,0))</f>
        <v>0</v>
      </c>
      <c r="M318" s="14" t="str">
        <f>INDEX(LoadMaster!$AO:$AO,MATCH(Table2[[#This Row],[BrokerConfNo]],LoadMaster!$C:$C,0))</f>
        <v>Sukhpal</v>
      </c>
      <c r="N318" s="26">
        <f t="shared" si="21"/>
        <v>42426</v>
      </c>
      <c r="O318" s="109">
        <f t="shared" si="22"/>
        <v>42433</v>
      </c>
      <c r="P318" s="26">
        <f>INDEX(LoadMaster!$M:$M,MATCH(B318,LoadMaster!$C:$C,0))</f>
        <v>42423</v>
      </c>
      <c r="Q318" s="14" t="str">
        <f>INDEX(LoadMaster!$P:$P,MATCH(B318,LoadMaster!$C:$C,0))</f>
        <v>JURUPA VALLEY,CORONA,RANCHO CUCAMONGA</v>
      </c>
      <c r="R318" s="14" t="str">
        <f>INDEX(LoadMaster!$AH:$AH,MATCH(B318,LoadMaster!$C:$C,0))</f>
        <v>PATTERSON</v>
      </c>
      <c r="S318" s="416" t="str">
        <f>INDEX(LoadMaster!$DC:$DC,MATCH(B318,LoadMaster!$C:$C,0))</f>
        <v>Sunny</v>
      </c>
      <c r="T318" s="48">
        <f>INDEX(LoadMaster!$DA:$DA,MATCH(B318,LoadMaster!$C:$C,0))</f>
        <v>32</v>
      </c>
      <c r="U318" s="110">
        <f>Table2[[#This Row],[WeekEndingDate]]+7</f>
        <v>42433</v>
      </c>
      <c r="V318" s="14">
        <f t="shared" si="23"/>
        <v>2</v>
      </c>
      <c r="W318" s="18">
        <f t="shared" si="24"/>
        <v>2016</v>
      </c>
    </row>
    <row r="319" spans="1:23" s="18" customFormat="1">
      <c r="A319" s="15" t="str">
        <f>INDEX(LoadMaster!$A:$A,MATCH(B319,LoadMaster!$C:$C,0))</f>
        <v>34wnwn49</v>
      </c>
      <c r="B319" s="55">
        <v>47934</v>
      </c>
      <c r="C319" s="14" t="str">
        <f>VLOOKUP(Table2[[#This Row],[BrokerConfNo]],LoadMaster!C:D,2,FALSE)</f>
        <v>Cargobarn Inc.</v>
      </c>
      <c r="D319" s="26">
        <v>42067</v>
      </c>
      <c r="E319" s="18" t="str">
        <f>IF(Table2[[#This Row],[UBActualReceived]]&gt;1,"Received","Pending")</f>
        <v>Received</v>
      </c>
      <c r="F319" s="27">
        <f>INDEX(LoadMaster!$CU:$CU,MATCH(B319,LoadMaster!$C:$C,0))</f>
        <v>500</v>
      </c>
      <c r="G319" s="132">
        <f>INDEX(LoadMaster!$CX:$CX,MATCH(B319,LoadMaster!$C:$C,0))</f>
        <v>485</v>
      </c>
      <c r="H319" s="132">
        <f>INDEX(LoadMaster!$CW:$CW,MATCH(B319,LoadMaster!$C:$C,0))</f>
        <v>465</v>
      </c>
      <c r="I319" s="331">
        <v>485</v>
      </c>
      <c r="J319" s="526">
        <v>465</v>
      </c>
      <c r="K319" s="27" t="str">
        <f t="shared" si="20"/>
        <v>Full</v>
      </c>
      <c r="L319" s="27">
        <f>INDEX(LoadMaster!$CT:$CT,MATCH(Table2[[#This Row],[BrokerConfNo]],LoadMaster!$C:$C,0))</f>
        <v>0</v>
      </c>
      <c r="M319" s="14" t="str">
        <f>INDEX(LoadMaster!$AO:$AO,MATCH(Table2[[#This Row],[BrokerConfNo]],LoadMaster!$C:$C,0))</f>
        <v>Albel</v>
      </c>
      <c r="N319" s="26">
        <f t="shared" si="21"/>
        <v>42426</v>
      </c>
      <c r="O319" s="109">
        <f t="shared" si="22"/>
        <v>42440</v>
      </c>
      <c r="P319" s="26">
        <f>INDEX(LoadMaster!$M:$M,MATCH(B319,LoadMaster!$C:$C,0))</f>
        <v>42424</v>
      </c>
      <c r="Q319" s="14" t="str">
        <f>INDEX(LoadMaster!$P:$P,MATCH(B319,LoadMaster!$C:$C,0))</f>
        <v>RANCHO CORDOV</v>
      </c>
      <c r="R319" s="14" t="str">
        <f>INDEX(LoadMaster!$AH:$AH,MATCH(B319,LoadMaster!$C:$C,0))</f>
        <v>DAYTON</v>
      </c>
      <c r="S319" s="416" t="str">
        <f>INDEX(LoadMaster!$DC:$DC,MATCH(B319,LoadMaster!$C:$C,0))</f>
        <v>Sunny</v>
      </c>
      <c r="T319" s="48">
        <f>INDEX(LoadMaster!$DA:$DA,MATCH(B319,LoadMaster!$C:$C,0))</f>
        <v>20</v>
      </c>
      <c r="U319" s="110">
        <f>Table2[[#This Row],[WeekEndingDate]]+7</f>
        <v>42433</v>
      </c>
      <c r="V319" s="14">
        <f t="shared" si="23"/>
        <v>2</v>
      </c>
      <c r="W319" s="18">
        <f t="shared" si="24"/>
        <v>2016</v>
      </c>
    </row>
    <row r="320" spans="1:23" s="18" customFormat="1">
      <c r="A320" s="15" t="str">
        <f>INDEX(LoadMaster!$A:$A,MATCH(B320,LoadMaster!$C:$C,0))</f>
        <v>82259930</v>
      </c>
      <c r="B320" s="55">
        <v>510282</v>
      </c>
      <c r="C320" s="14" t="str">
        <f>VLOOKUP(Table2[[#This Row],[BrokerConfNo]],LoadMaster!C:D,2,FALSE)</f>
        <v>Cavalry Logistics</v>
      </c>
      <c r="D320" s="26">
        <v>42443</v>
      </c>
      <c r="E320" s="18" t="str">
        <f>IF(Table2[[#This Row],[UBActualReceived]]&gt;1,"Received","Pending")</f>
        <v>Received</v>
      </c>
      <c r="F320" s="27">
        <f>INDEX(LoadMaster!$CU:$CU,MATCH(B320,LoadMaster!$C:$C,0))</f>
        <v>200</v>
      </c>
      <c r="G320" s="132">
        <f>INDEX(LoadMaster!$CX:$CX,MATCH(B320,LoadMaster!$C:$C,0))</f>
        <v>196</v>
      </c>
      <c r="H320" s="132">
        <f>INDEX(LoadMaster!$CW:$CW,MATCH(B320,LoadMaster!$C:$C,0))</f>
        <v>186</v>
      </c>
      <c r="I320" s="331">
        <v>196</v>
      </c>
      <c r="J320" s="526">
        <v>186</v>
      </c>
      <c r="K320" s="27" t="str">
        <f t="shared" si="20"/>
        <v>Full</v>
      </c>
      <c r="L320" s="27">
        <f>INDEX(LoadMaster!$CT:$CT,MATCH(Table2[[#This Row],[BrokerConfNo]],LoadMaster!$C:$C,0))</f>
        <v>0</v>
      </c>
      <c r="M320" s="14" t="str">
        <f>INDEX(LoadMaster!$AO:$AO,MATCH(Table2[[#This Row],[BrokerConfNo]],LoadMaster!$C:$C,0))</f>
        <v>Sukhpal</v>
      </c>
      <c r="N320" s="26">
        <f t="shared" si="21"/>
        <v>42426</v>
      </c>
      <c r="O320" s="109">
        <f t="shared" si="22"/>
        <v>42433</v>
      </c>
      <c r="P320" s="26">
        <f>INDEX(LoadMaster!$M:$M,MATCH(B320,LoadMaster!$C:$C,0))</f>
        <v>42424</v>
      </c>
      <c r="Q320" s="14" t="str">
        <f>INDEX(LoadMaster!$P:$P,MATCH(B320,LoadMaster!$C:$C,0))</f>
        <v>Lathrop</v>
      </c>
      <c r="R320" s="14" t="str">
        <f>INDEX(LoadMaster!$AH:$AH,MATCH(B320,LoadMaster!$C:$C,0))</f>
        <v>Tracy</v>
      </c>
      <c r="S320" s="416" t="str">
        <f>INDEX(LoadMaster!$DC:$DC,MATCH(B320,LoadMaster!$C:$C,0))</f>
        <v>Sunny</v>
      </c>
      <c r="T320" s="48">
        <f>INDEX(LoadMaster!$DA:$DA,MATCH(B320,LoadMaster!$C:$C,0))</f>
        <v>10</v>
      </c>
      <c r="U320" s="110">
        <f>Table2[[#This Row],[WeekEndingDate]]+7</f>
        <v>42433</v>
      </c>
      <c r="V320" s="14">
        <f t="shared" si="23"/>
        <v>2</v>
      </c>
      <c r="W320" s="18">
        <f t="shared" si="24"/>
        <v>2016</v>
      </c>
    </row>
    <row r="321" spans="1:23" s="18" customFormat="1">
      <c r="A321" s="15" t="str">
        <f>INDEX(LoadMaster!$A:$A,MATCH(B321,LoadMaster!$C:$C,0))</f>
        <v>55421093</v>
      </c>
      <c r="B321" s="55">
        <v>1681455</v>
      </c>
      <c r="C321" s="14" t="str">
        <f>VLOOKUP(Table2[[#This Row],[BrokerConfNo]],LoadMaster!C:D,2,FALSE)</f>
        <v>Interstate Distributor Co</v>
      </c>
      <c r="D321" s="26">
        <v>42431</v>
      </c>
      <c r="E321" s="18" t="str">
        <f>IF(Table2[[#This Row],[UBActualReceived]]&gt;1,"Received","Pending")</f>
        <v>Received</v>
      </c>
      <c r="F321" s="27">
        <f>INDEX(LoadMaster!$CU:$CU,MATCH(B321,LoadMaster!$C:$C,0))</f>
        <v>650</v>
      </c>
      <c r="G321" s="132">
        <f>INDEX(LoadMaster!$CX:$CX,MATCH(B321,LoadMaster!$C:$C,0))</f>
        <v>640.25</v>
      </c>
      <c r="H321" s="132">
        <f>INDEX(LoadMaster!$CW:$CW,MATCH(B321,LoadMaster!$C:$C,0))</f>
        <v>604.5</v>
      </c>
      <c r="I321" s="331">
        <v>640.25</v>
      </c>
      <c r="J321" s="526">
        <v>604.5</v>
      </c>
      <c r="K321" s="27" t="str">
        <f t="shared" si="20"/>
        <v>Full</v>
      </c>
      <c r="L321" s="27">
        <f>INDEX(LoadMaster!$CT:$CT,MATCH(Table2[[#This Row],[BrokerConfNo]],LoadMaster!$C:$C,0))</f>
        <v>0</v>
      </c>
      <c r="M321" s="14" t="str">
        <f>INDEX(LoadMaster!$AO:$AO,MATCH(Table2[[#This Row],[BrokerConfNo]],LoadMaster!$C:$C,0))</f>
        <v>Arturo</v>
      </c>
      <c r="N321" s="26">
        <f t="shared" si="21"/>
        <v>42426</v>
      </c>
      <c r="O321" s="109">
        <f t="shared" si="22"/>
        <v>42433</v>
      </c>
      <c r="P321" s="26">
        <f>INDEX(LoadMaster!$M:$M,MATCH(B321,LoadMaster!$C:$C,0))</f>
        <v>42424</v>
      </c>
      <c r="Q321" s="14" t="str">
        <f>INDEX(LoadMaster!$P:$P,MATCH(B321,LoadMaster!$C:$C,0))</f>
        <v>FRESNO</v>
      </c>
      <c r="R321" s="14" t="str">
        <f>INDEX(LoadMaster!$AH:$AH,MATCH(B321,LoadMaster!$C:$C,0))</f>
        <v>MINDEN</v>
      </c>
      <c r="S321" s="416" t="str">
        <f>INDEX(LoadMaster!$DC:$DC,MATCH(B321,LoadMaster!$C:$C,0))</f>
        <v>Sunny</v>
      </c>
      <c r="T321" s="48">
        <f>INDEX(LoadMaster!$DA:$DA,MATCH(B321,LoadMaster!$C:$C,0))</f>
        <v>35.75</v>
      </c>
      <c r="U321" s="110">
        <f>Table2[[#This Row],[WeekEndingDate]]+7</f>
        <v>42433</v>
      </c>
      <c r="V321" s="14">
        <f t="shared" si="23"/>
        <v>2</v>
      </c>
      <c r="W321" s="18">
        <f t="shared" si="24"/>
        <v>2016</v>
      </c>
    </row>
    <row r="322" spans="1:23" s="18" customFormat="1">
      <c r="A322" s="15" t="str">
        <f>INDEX(LoadMaster!$A:$A,MATCH(B322,LoadMaster!$C:$C,0))</f>
        <v>58-8wn49</v>
      </c>
      <c r="B322" s="55">
        <v>2395558</v>
      </c>
      <c r="C322" s="14" t="str">
        <f>VLOOKUP(Table2[[#This Row],[BrokerConfNo]],LoadMaster!C:D,2,FALSE)</f>
        <v>Matson Logistics</v>
      </c>
      <c r="D322" s="26">
        <v>42431</v>
      </c>
      <c r="E322" s="18" t="str">
        <f>IF(Table2[[#This Row],[UBActualReceived]]&gt;1,"Received","Pending")</f>
        <v>Received</v>
      </c>
      <c r="F322" s="27">
        <f>INDEX(LoadMaster!$CU:$CU,MATCH(B322,LoadMaster!$C:$C,0))</f>
        <v>600</v>
      </c>
      <c r="G322" s="132">
        <f>INDEX(LoadMaster!$CX:$CX,MATCH(B322,LoadMaster!$C:$C,0))</f>
        <v>588</v>
      </c>
      <c r="H322" s="132">
        <f>INDEX(LoadMaster!$CW:$CW,MATCH(B322,LoadMaster!$C:$C,0))</f>
        <v>558</v>
      </c>
      <c r="I322" s="331">
        <v>588</v>
      </c>
      <c r="J322" s="526">
        <v>558</v>
      </c>
      <c r="K322" s="27" t="str">
        <f t="shared" ref="K322:K385" si="25">IF(I322&lt;G322, "Less", "Full")</f>
        <v>Full</v>
      </c>
      <c r="L322" s="27">
        <f>INDEX(LoadMaster!$CT:$CT,MATCH(Table2[[#This Row],[BrokerConfNo]],LoadMaster!$C:$C,0))</f>
        <v>0</v>
      </c>
      <c r="M322" s="14" t="str">
        <f>INDEX(LoadMaster!$AO:$AO,MATCH(Table2[[#This Row],[BrokerConfNo]],LoadMaster!$C:$C,0))</f>
        <v>Albel</v>
      </c>
      <c r="N322" s="26">
        <f t="shared" ref="N322:N384" si="26">(5-WEEKDAY(P322,2))+P322</f>
        <v>42426</v>
      </c>
      <c r="O322" s="109">
        <f t="shared" ref="O322:O384" si="27">IF(M322="Albel",((5-WEEKDAY(P322,2))+P322)+14,(((5-WEEKDAY(P322,2))+P322)+7))</f>
        <v>42440</v>
      </c>
      <c r="P322" s="26">
        <f>INDEX(LoadMaster!$M:$M,MATCH(B322,LoadMaster!$C:$C,0))</f>
        <v>42424</v>
      </c>
      <c r="Q322" s="14" t="str">
        <f>INDEX(LoadMaster!$P:$P,MATCH(B322,LoadMaster!$C:$C,0))</f>
        <v>MOUND HOUSE</v>
      </c>
      <c r="R322" s="14" t="str">
        <f>INDEX(LoadMaster!$AH:$AH,MATCH(B322,LoadMaster!$C:$C,0))</f>
        <v>IVANHOE</v>
      </c>
      <c r="S322" s="416" t="str">
        <f>INDEX(LoadMaster!$DC:$DC,MATCH(B322,LoadMaster!$C:$C,0))</f>
        <v>Sunny</v>
      </c>
      <c r="T322" s="48">
        <f>INDEX(LoadMaster!$DA:$DA,MATCH(B322,LoadMaster!$C:$C,0))</f>
        <v>30</v>
      </c>
      <c r="U322" s="110">
        <f>Table2[[#This Row],[WeekEndingDate]]+7</f>
        <v>42433</v>
      </c>
      <c r="V322" s="14">
        <f t="shared" ref="V322:V384" si="28">MONTH(P322)</f>
        <v>2</v>
      </c>
      <c r="W322" s="18">
        <f t="shared" ref="W322:W384" si="29">YEAR(P322)</f>
        <v>2016</v>
      </c>
    </row>
    <row r="323" spans="1:23" s="68" customFormat="1">
      <c r="A323" s="15" t="str">
        <f>INDEX(LoadMaster!$A:$A,MATCH(B323,LoadMaster!$C:$C,0))</f>
        <v>95393949</v>
      </c>
      <c r="B323" s="81">
        <v>193605895</v>
      </c>
      <c r="C323" s="15" t="str">
        <f>VLOOKUP(Table2[[#This Row],[BrokerConfNo]],LoadMaster!C:D,2,FALSE)</f>
        <v>Ch Robinson</v>
      </c>
      <c r="D323" s="104">
        <v>42432</v>
      </c>
      <c r="E323" s="416" t="str">
        <f>IF(Table2[[#This Row],[UBActualReceived]]&gt;1,"Received","Pending")</f>
        <v>Received</v>
      </c>
      <c r="F323" s="134">
        <f>INDEX(LoadMaster!$CU:$CU,MATCH(B323,LoadMaster!$C:$C,0))</f>
        <v>450</v>
      </c>
      <c r="G323" s="132">
        <f>INDEX(LoadMaster!$CX:$CX,MATCH(B323,LoadMaster!$C:$C,0))</f>
        <v>441</v>
      </c>
      <c r="H323" s="132">
        <f>INDEX(LoadMaster!$CW:$CW,MATCH(B323,LoadMaster!$C:$C,0))</f>
        <v>418.5</v>
      </c>
      <c r="I323" s="330">
        <v>441</v>
      </c>
      <c r="J323" s="525">
        <v>418.5</v>
      </c>
      <c r="K323" s="134" t="str">
        <f t="shared" si="25"/>
        <v>Full</v>
      </c>
      <c r="L323" s="134">
        <f>INDEX(LoadMaster!$CT:$CT,MATCH(Table2[[#This Row],[BrokerConfNo]],LoadMaster!$C:$C,0))</f>
        <v>0</v>
      </c>
      <c r="M323" s="15" t="str">
        <f>INDEX(LoadMaster!$AO:$AO,MATCH(Table2[[#This Row],[BrokerConfNo]],LoadMaster!$C:$C,0))</f>
        <v>Albel</v>
      </c>
      <c r="N323" s="104">
        <f t="shared" si="26"/>
        <v>42426</v>
      </c>
      <c r="O323" s="135">
        <f t="shared" si="27"/>
        <v>42440</v>
      </c>
      <c r="P323" s="104">
        <f>INDEX(LoadMaster!$M:$M,MATCH(B323,LoadMaster!$C:$C,0))</f>
        <v>42425</v>
      </c>
      <c r="Q323" s="15" t="str">
        <f>INDEX(LoadMaster!$P:$P,MATCH(B323,LoadMaster!$C:$C,0))</f>
        <v>Fresno</v>
      </c>
      <c r="R323" s="15" t="str">
        <f>INDEX(LoadMaster!$AH:$AH,MATCH(B323,LoadMaster!$C:$C,0))</f>
        <v>WILLIAMS</v>
      </c>
      <c r="S323" s="416" t="str">
        <f>INDEX(LoadMaster!$DC:$DC,MATCH(B323,LoadMaster!$C:$C,0))</f>
        <v>Sunny</v>
      </c>
      <c r="T323" s="136">
        <f>INDEX(LoadMaster!$DA:$DA,MATCH(B323,LoadMaster!$C:$C,0))</f>
        <v>22.5</v>
      </c>
      <c r="U323" s="137">
        <f>Table2[[#This Row],[WeekEndingDate]]+7</f>
        <v>42433</v>
      </c>
      <c r="V323" s="15">
        <f t="shared" si="28"/>
        <v>2</v>
      </c>
      <c r="W323" s="416">
        <f t="shared" si="29"/>
        <v>2016</v>
      </c>
    </row>
    <row r="324" spans="1:23" s="18" customFormat="1">
      <c r="A324" s="15" t="str">
        <f>INDEX(LoadMaster!$A:$A,MATCH(B324,LoadMaster!$C:$C,0))</f>
        <v>44newn93</v>
      </c>
      <c r="B324" s="55">
        <v>2396244</v>
      </c>
      <c r="C324" s="14" t="str">
        <f>VLOOKUP(Table2[[#This Row],[BrokerConfNo]],LoadMaster!C:D,2,FALSE)</f>
        <v>Matson Logistics</v>
      </c>
      <c r="D324" s="26">
        <v>42432</v>
      </c>
      <c r="E324" s="18" t="str">
        <f>IF(Table2[[#This Row],[UBActualReceived]]&gt;1,"Received","Pending")</f>
        <v>Received</v>
      </c>
      <c r="F324" s="27">
        <f>INDEX(LoadMaster!$CU:$CU,MATCH(B324,LoadMaster!$C:$C,0))</f>
        <v>600</v>
      </c>
      <c r="G324" s="132">
        <f>INDEX(LoadMaster!$CX:$CX,MATCH(B324,LoadMaster!$C:$C,0))</f>
        <v>588</v>
      </c>
      <c r="H324" s="132">
        <f>INDEX(LoadMaster!$CW:$CW,MATCH(B324,LoadMaster!$C:$C,0))</f>
        <v>558</v>
      </c>
      <c r="I324" s="331">
        <v>588</v>
      </c>
      <c r="J324" s="526">
        <v>558</v>
      </c>
      <c r="K324" s="27" t="str">
        <f t="shared" si="25"/>
        <v>Full</v>
      </c>
      <c r="L324" s="27">
        <f>INDEX(LoadMaster!$CT:$CT,MATCH(Table2[[#This Row],[BrokerConfNo]],LoadMaster!$C:$C,0))</f>
        <v>0</v>
      </c>
      <c r="M324" s="14" t="str">
        <f>INDEX(LoadMaster!$AO:$AO,MATCH(Table2[[#This Row],[BrokerConfNo]],LoadMaster!$C:$C,0))</f>
        <v>Arturo</v>
      </c>
      <c r="N324" s="26">
        <f t="shared" si="26"/>
        <v>42426</v>
      </c>
      <c r="O324" s="109">
        <f t="shared" si="27"/>
        <v>42433</v>
      </c>
      <c r="P324" s="26">
        <f>INDEX(LoadMaster!$M:$M,MATCH(B324,LoadMaster!$C:$C,0))</f>
        <v>42425</v>
      </c>
      <c r="Q324" s="14" t="str">
        <f>INDEX(LoadMaster!$P:$P,MATCH(B324,LoadMaster!$C:$C,0))</f>
        <v>MOUND HOUSE</v>
      </c>
      <c r="R324" s="14" t="str">
        <f>INDEX(LoadMaster!$AH:$AH,MATCH(B324,LoadMaster!$C:$C,0))</f>
        <v>IVANHOE</v>
      </c>
      <c r="S324" s="416" t="str">
        <f>INDEX(LoadMaster!$DC:$DC,MATCH(B324,LoadMaster!$C:$C,0))</f>
        <v>Sunny</v>
      </c>
      <c r="T324" s="48">
        <f>INDEX(LoadMaster!$DA:$DA,MATCH(B324,LoadMaster!$C:$C,0))</f>
        <v>30</v>
      </c>
      <c r="U324" s="110">
        <f>Table2[[#This Row],[WeekEndingDate]]+7</f>
        <v>42433</v>
      </c>
      <c r="V324" s="14">
        <f t="shared" si="28"/>
        <v>2</v>
      </c>
      <c r="W324" s="18">
        <f t="shared" si="29"/>
        <v>2016</v>
      </c>
    </row>
    <row r="325" spans="1:23" s="18" customFormat="1">
      <c r="A325" s="15" t="str">
        <f>INDEX(LoadMaster!$A:$A,MATCH(B325,LoadMaster!$C:$C,0))</f>
        <v>3983wn49</v>
      </c>
      <c r="B325" s="55">
        <v>225939</v>
      </c>
      <c r="C325" s="14" t="str">
        <f>VLOOKUP(Table2[[#This Row],[BrokerConfNo]],LoadMaster!C:D,2,FALSE)</f>
        <v>American Freightways</v>
      </c>
      <c r="D325" s="26">
        <v>42451</v>
      </c>
      <c r="E325" s="18" t="str">
        <f>IF(Table2[[#This Row],[UBActualReceived]]&gt;1,"Received","Pending")</f>
        <v>Received</v>
      </c>
      <c r="F325" s="27">
        <f>INDEX(LoadMaster!$CU:$CU,MATCH(B325,LoadMaster!$C:$C,0))</f>
        <v>300</v>
      </c>
      <c r="G325" s="132">
        <f>INDEX(LoadMaster!$CX:$CX,MATCH(B325,LoadMaster!$C:$C,0))</f>
        <v>300</v>
      </c>
      <c r="H325" s="132">
        <f>INDEX(LoadMaster!$CW:$CW,MATCH(B325,LoadMaster!$C:$C,0))</f>
        <v>279</v>
      </c>
      <c r="I325" s="331">
        <v>300</v>
      </c>
      <c r="J325" s="526">
        <v>279</v>
      </c>
      <c r="K325" s="27" t="str">
        <f t="shared" si="25"/>
        <v>Full</v>
      </c>
      <c r="L325" s="27">
        <f>INDEX(LoadMaster!$CT:$CT,MATCH(Table2[[#This Row],[BrokerConfNo]],LoadMaster!$C:$C,0))</f>
        <v>0</v>
      </c>
      <c r="M325" s="14" t="str">
        <f>INDEX(LoadMaster!$AO:$AO,MATCH(Table2[[#This Row],[BrokerConfNo]],LoadMaster!$C:$C,0))</f>
        <v>Albel</v>
      </c>
      <c r="N325" s="26">
        <f t="shared" si="26"/>
        <v>42426</v>
      </c>
      <c r="O325" s="109">
        <f t="shared" si="27"/>
        <v>42440</v>
      </c>
      <c r="P325" s="26">
        <f>INDEX(LoadMaster!$M:$M,MATCH(B325,LoadMaster!$C:$C,0))</f>
        <v>42426</v>
      </c>
      <c r="Q325" s="14" t="str">
        <f>INDEX(LoadMaster!$P:$P,MATCH(B325,LoadMaster!$C:$C,0))</f>
        <v>Arbuckle : Arbuckle</v>
      </c>
      <c r="R325" s="14" t="str">
        <f>INDEX(LoadMaster!$AH:$AH,MATCH(B325,LoadMaster!$C:$C,0))</f>
        <v>Sacramento</v>
      </c>
      <c r="S325" s="416" t="str">
        <f>INDEX(LoadMaster!$DC:$DC,MATCH(B325,LoadMaster!$C:$C,0))</f>
        <v>Sunny</v>
      </c>
      <c r="T325" s="48">
        <f>INDEX(LoadMaster!$DA:$DA,MATCH(B325,LoadMaster!$C:$C,0))</f>
        <v>21</v>
      </c>
      <c r="U325" s="110">
        <f>Table2[[#This Row],[WeekEndingDate]]+7</f>
        <v>42433</v>
      </c>
      <c r="V325" s="14">
        <f t="shared" si="28"/>
        <v>2</v>
      </c>
      <c r="W325" s="18">
        <f t="shared" si="29"/>
        <v>2016</v>
      </c>
    </row>
    <row r="326" spans="1:23" s="68" customFormat="1">
      <c r="A326" s="15" t="str">
        <f>INDEX(LoadMaster!$A:$A,MATCH(B326,LoadMaster!$C:$C,0))</f>
        <v>0511wn93</v>
      </c>
      <c r="B326" s="81">
        <v>194230905</v>
      </c>
      <c r="C326" s="15" t="str">
        <f>VLOOKUP(Table2[[#This Row],[BrokerConfNo]],LoadMaster!C:D,2,FALSE)</f>
        <v>Ch Robinson</v>
      </c>
      <c r="D326" s="104">
        <v>42437</v>
      </c>
      <c r="E326" s="416" t="str">
        <f>IF(Table2[[#This Row],[UBActualReceived]]&gt;1,"Received","Pending")</f>
        <v>Received</v>
      </c>
      <c r="F326" s="134">
        <f>INDEX(LoadMaster!$CU:$CU,MATCH(B326,LoadMaster!$C:$C,0))</f>
        <v>450</v>
      </c>
      <c r="G326" s="132">
        <f>INDEX(LoadMaster!$CX:$CX,MATCH(B326,LoadMaster!$C:$C,0))</f>
        <v>441</v>
      </c>
      <c r="H326" s="132">
        <f>INDEX(LoadMaster!$CW:$CW,MATCH(B326,LoadMaster!$C:$C,0))</f>
        <v>418.5</v>
      </c>
      <c r="I326" s="330">
        <v>441</v>
      </c>
      <c r="J326" s="525">
        <v>418.5</v>
      </c>
      <c r="K326" s="134" t="str">
        <f t="shared" si="25"/>
        <v>Full</v>
      </c>
      <c r="L326" s="134">
        <f>INDEX(LoadMaster!$CT:$CT,MATCH(Table2[[#This Row],[BrokerConfNo]],LoadMaster!$C:$C,0))</f>
        <v>0</v>
      </c>
      <c r="M326" s="15" t="str">
        <f>INDEX(LoadMaster!$AO:$AO,MATCH(Table2[[#This Row],[BrokerConfNo]],LoadMaster!$C:$C,0))</f>
        <v>Arturo</v>
      </c>
      <c r="N326" s="104">
        <f t="shared" si="26"/>
        <v>42426</v>
      </c>
      <c r="O326" s="135">
        <f t="shared" si="27"/>
        <v>42433</v>
      </c>
      <c r="P326" s="104">
        <f>INDEX(LoadMaster!$M:$M,MATCH(B326,LoadMaster!$C:$C,0))</f>
        <v>42426</v>
      </c>
      <c r="Q326" s="15" t="str">
        <f>INDEX(LoadMaster!$P:$P,MATCH(B326,LoadMaster!$C:$C,0))</f>
        <v>VISALIA : HANFORD : BIOLA</v>
      </c>
      <c r="R326" s="15" t="str">
        <f>INDEX(LoadMaster!$AH:$AH,MATCH(B326,LoadMaster!$C:$C,0))</f>
        <v>Tracy</v>
      </c>
      <c r="S326" s="416" t="str">
        <f>INDEX(LoadMaster!$DC:$DC,MATCH(B326,LoadMaster!$C:$C,0))</f>
        <v>Sunny</v>
      </c>
      <c r="T326" s="136">
        <f>INDEX(LoadMaster!$DA:$DA,MATCH(B326,LoadMaster!$C:$C,0))</f>
        <v>22.5</v>
      </c>
      <c r="U326" s="137">
        <f>Table2[[#This Row],[WeekEndingDate]]+7</f>
        <v>42433</v>
      </c>
      <c r="V326" s="15">
        <f t="shared" si="28"/>
        <v>2</v>
      </c>
      <c r="W326" s="416">
        <f t="shared" si="29"/>
        <v>2016</v>
      </c>
    </row>
    <row r="327" spans="1:23" s="18" customFormat="1">
      <c r="A327" s="15" t="str">
        <f>INDEX(LoadMaster!$A:$A,MATCH(B327,LoadMaster!$C:$C,0))</f>
        <v>10907593</v>
      </c>
      <c r="B327" s="81">
        <v>193390910</v>
      </c>
      <c r="C327" s="15" t="str">
        <f>VLOOKUP(Table2[[#This Row],[BrokerConfNo]],LoadMaster!C:D,2,FALSE)</f>
        <v>Ch Robinson</v>
      </c>
      <c r="D327" s="104">
        <v>42460</v>
      </c>
      <c r="E327" s="416" t="str">
        <f>IF(Table2[[#This Row],[UBActualReceived]]&gt;1,"Received","Pending")</f>
        <v>Received</v>
      </c>
      <c r="F327" s="134">
        <f>INDEX(LoadMaster!$CU:$CU,MATCH(B327,LoadMaster!$C:$C,0))</f>
        <v>800</v>
      </c>
      <c r="G327" s="132">
        <f>INDEX(LoadMaster!$CX:$CX,MATCH(B327,LoadMaster!$C:$C,0))</f>
        <v>784</v>
      </c>
      <c r="H327" s="132">
        <f>INDEX(LoadMaster!$CW:$CW,MATCH(B327,LoadMaster!$C:$C,0))</f>
        <v>744</v>
      </c>
      <c r="I327" s="330">
        <v>784</v>
      </c>
      <c r="J327" s="525">
        <v>744</v>
      </c>
      <c r="K327" s="134" t="str">
        <f t="shared" si="25"/>
        <v>Full</v>
      </c>
      <c r="L327" s="134">
        <f>INDEX(LoadMaster!$CT:$CT,MATCH(Table2[[#This Row],[BrokerConfNo]],LoadMaster!$C:$C,0))</f>
        <v>0</v>
      </c>
      <c r="M327" s="15" t="str">
        <f>INDEX(LoadMaster!$AO:$AO,MATCH(Table2[[#This Row],[BrokerConfNo]],LoadMaster!$C:$C,0))</f>
        <v>Arturo</v>
      </c>
      <c r="N327" s="104">
        <f t="shared" si="26"/>
        <v>42433</v>
      </c>
      <c r="O327" s="135">
        <f t="shared" si="27"/>
        <v>42440</v>
      </c>
      <c r="P327" s="104">
        <f>INDEX(LoadMaster!$M:$M,MATCH(B327,LoadMaster!$C:$C,0))</f>
        <v>42429</v>
      </c>
      <c r="Q327" s="15" t="str">
        <f>INDEX(LoadMaster!$P:$P,MATCH(B327,LoadMaster!$C:$C,0))</f>
        <v>Jamestown</v>
      </c>
      <c r="R327" s="15" t="str">
        <f>INDEX(LoadMaster!$AH:$AH,MATCH(B327,LoadMaster!$C:$C,0))</f>
        <v>Sonora; Placerville; Minden</v>
      </c>
      <c r="S327" s="416" t="str">
        <f>INDEX(LoadMaster!$DC:$DC,MATCH(B327,LoadMaster!$C:$C,0))</f>
        <v>Sunny</v>
      </c>
      <c r="T327" s="136">
        <f>INDEX(LoadMaster!$DA:$DA,MATCH(B327,LoadMaster!$C:$C,0))</f>
        <v>40</v>
      </c>
      <c r="U327" s="137">
        <f>Table2[[#This Row],[WeekEndingDate]]+7</f>
        <v>42440</v>
      </c>
      <c r="V327" s="15">
        <f t="shared" si="28"/>
        <v>2</v>
      </c>
      <c r="W327" s="416">
        <f t="shared" si="29"/>
        <v>2016</v>
      </c>
    </row>
    <row r="328" spans="1:23" s="68" customFormat="1">
      <c r="A328" s="15" t="str">
        <f>INDEX(LoadMaster!$A:$A,MATCH(B328,LoadMaster!$C:$C,0))</f>
        <v>33243349</v>
      </c>
      <c r="B328" s="55">
        <v>6991133</v>
      </c>
      <c r="C328" s="14" t="str">
        <f>VLOOKUP(Table2[[#This Row],[BrokerConfNo]],LoadMaster!C:D,2,FALSE)</f>
        <v>Coyote</v>
      </c>
      <c r="D328" s="130">
        <v>42435</v>
      </c>
      <c r="E328" s="18" t="str">
        <f>IF(Table2[[#This Row],[UBActualReceived]]&gt;1,"Received","Pending")</f>
        <v>Received</v>
      </c>
      <c r="F328" s="27">
        <f>INDEX(LoadMaster!$CU:$CU,MATCH(B328,LoadMaster!$C:$C,0))</f>
        <v>375</v>
      </c>
      <c r="G328" s="132">
        <f>INDEX(LoadMaster!$CX:$CX,MATCH(B328,LoadMaster!$C:$C,0))</f>
        <v>363.75</v>
      </c>
      <c r="H328" s="132">
        <f>INDEX(LoadMaster!$CW:$CW,MATCH(B328,LoadMaster!$C:$C,0))</f>
        <v>348.75</v>
      </c>
      <c r="I328" s="331">
        <v>363.75</v>
      </c>
      <c r="J328" s="526">
        <v>348.75</v>
      </c>
      <c r="K328" s="27" t="str">
        <f t="shared" si="25"/>
        <v>Full</v>
      </c>
      <c r="L328" s="27">
        <f>INDEX(LoadMaster!$CT:$CT,MATCH(Table2[[#This Row],[BrokerConfNo]],LoadMaster!$C:$C,0))</f>
        <v>0</v>
      </c>
      <c r="M328" s="14" t="str">
        <f>INDEX(LoadMaster!$AO:$AO,MATCH(Table2[[#This Row],[BrokerConfNo]],LoadMaster!$C:$C,0))</f>
        <v>Albel</v>
      </c>
      <c r="N328" s="26">
        <f t="shared" si="26"/>
        <v>42433</v>
      </c>
      <c r="O328" s="109">
        <f t="shared" si="27"/>
        <v>42447</v>
      </c>
      <c r="P328" s="26">
        <f>INDEX(LoadMaster!$M:$M,MATCH(B328,LoadMaster!$C:$C,0))</f>
        <v>42429</v>
      </c>
      <c r="Q328" s="14" t="str">
        <f>INDEX(LoadMaster!$P:$P,MATCH(B328,LoadMaster!$C:$C,0))</f>
        <v>Fremont</v>
      </c>
      <c r="R328" s="14" t="str">
        <f>INDEX(LoadMaster!$AH:$AH,MATCH(B328,LoadMaster!$C:$C,0))</f>
        <v>Crows Landing</v>
      </c>
      <c r="S328" s="416" t="str">
        <f>INDEX(LoadMaster!$DC:$DC,MATCH(B328,LoadMaster!$C:$C,0))</f>
        <v>Sunny</v>
      </c>
      <c r="T328" s="48">
        <f>INDEX(LoadMaster!$DA:$DA,MATCH(B328,LoadMaster!$C:$C,0))</f>
        <v>15</v>
      </c>
      <c r="U328" s="110">
        <f>Table2[[#This Row],[WeekEndingDate]]+7</f>
        <v>42440</v>
      </c>
      <c r="V328" s="14">
        <f t="shared" si="28"/>
        <v>2</v>
      </c>
      <c r="W328" s="18">
        <f t="shared" si="29"/>
        <v>2016</v>
      </c>
    </row>
    <row r="329" spans="1:23" s="18" customFormat="1">
      <c r="A329" s="15" t="str">
        <f>INDEX(LoadMaster!$A:$A,MATCH(B329,LoadMaster!$C:$C,0))</f>
        <v>53wnwn93</v>
      </c>
      <c r="B329" s="55">
        <v>2398553</v>
      </c>
      <c r="C329" s="14" t="str">
        <f>VLOOKUP(Table2[[#This Row],[BrokerConfNo]],LoadMaster!C:D,2,FALSE)</f>
        <v>Matson Logistics</v>
      </c>
      <c r="D329" s="26">
        <v>42445</v>
      </c>
      <c r="E329" s="18" t="str">
        <f>IF(Table2[[#This Row],[UBActualReceived]]&gt;1,"Received","Pending")</f>
        <v>Received</v>
      </c>
      <c r="F329" s="27">
        <f>INDEX(LoadMaster!$CU:$CU,MATCH(B329,LoadMaster!$C:$C,0))</f>
        <v>600</v>
      </c>
      <c r="G329" s="132">
        <f>INDEX(LoadMaster!$CX:$CX,MATCH(B329,LoadMaster!$C:$C,0))</f>
        <v>588</v>
      </c>
      <c r="H329" s="132">
        <f>INDEX(LoadMaster!$CW:$CW,MATCH(B329,LoadMaster!$C:$C,0))</f>
        <v>558</v>
      </c>
      <c r="I329" s="331">
        <v>588</v>
      </c>
      <c r="J329" s="526">
        <v>558</v>
      </c>
      <c r="K329" s="27" t="str">
        <f t="shared" si="25"/>
        <v>Full</v>
      </c>
      <c r="L329" s="27">
        <f>INDEX(LoadMaster!$CT:$CT,MATCH(Table2[[#This Row],[BrokerConfNo]],LoadMaster!$C:$C,0))</f>
        <v>0</v>
      </c>
      <c r="M329" s="14" t="str">
        <f>INDEX(LoadMaster!$AO:$AO,MATCH(Table2[[#This Row],[BrokerConfNo]],LoadMaster!$C:$C,0))</f>
        <v>Arturo</v>
      </c>
      <c r="N329" s="26">
        <f t="shared" si="26"/>
        <v>42433</v>
      </c>
      <c r="O329" s="109">
        <f t="shared" si="27"/>
        <v>42440</v>
      </c>
      <c r="P329" s="26">
        <f>INDEX(LoadMaster!$M:$M,MATCH(B329,LoadMaster!$C:$C,0))</f>
        <v>42430</v>
      </c>
      <c r="Q329" s="14" t="str">
        <f>INDEX(LoadMaster!$P:$P,MATCH(B329,LoadMaster!$C:$C,0))</f>
        <v>MOUND HOUSE</v>
      </c>
      <c r="R329" s="14" t="str">
        <f>INDEX(LoadMaster!$AH:$AH,MATCH(B329,LoadMaster!$C:$C,0))</f>
        <v>IVANHOE</v>
      </c>
      <c r="S329" s="416" t="str">
        <f>INDEX(LoadMaster!$DC:$DC,MATCH(B329,LoadMaster!$C:$C,0))</f>
        <v>Sunny</v>
      </c>
      <c r="T329" s="48">
        <f>INDEX(LoadMaster!$DA:$DA,MATCH(B329,LoadMaster!$C:$C,0))</f>
        <v>30</v>
      </c>
      <c r="U329" s="110">
        <f>Table2[[#This Row],[WeekEndingDate]]+7</f>
        <v>42440</v>
      </c>
      <c r="V329" s="14">
        <f t="shared" si="28"/>
        <v>3</v>
      </c>
      <c r="W329" s="18">
        <f t="shared" si="29"/>
        <v>2016</v>
      </c>
    </row>
    <row r="330" spans="1:23" s="68" customFormat="1">
      <c r="A330" s="15" t="str">
        <f>INDEX(LoadMaster!$A:$A,MATCH(B330,LoadMaster!$C:$C,0))</f>
        <v>8810wn93</v>
      </c>
      <c r="B330" s="81">
        <v>194752488</v>
      </c>
      <c r="C330" s="15" t="str">
        <f>VLOOKUP(Table2[[#This Row],[BrokerConfNo]],LoadMaster!C:D,2,FALSE)</f>
        <v>Ch Robinson</v>
      </c>
      <c r="D330" s="104">
        <v>42445</v>
      </c>
      <c r="E330" s="416" t="str">
        <f>IF(Table2[[#This Row],[UBActualReceived]]&gt;1,"Received","Pending")</f>
        <v>Received</v>
      </c>
      <c r="F330" s="134">
        <f>INDEX(LoadMaster!$CU:$CU,MATCH(B330,LoadMaster!$C:$C,0))</f>
        <v>525</v>
      </c>
      <c r="G330" s="132">
        <f>INDEX(LoadMaster!$CX:$CX,MATCH(B330,LoadMaster!$C:$C,0))</f>
        <v>514.5</v>
      </c>
      <c r="H330" s="132">
        <f>INDEX(LoadMaster!$CW:$CW,MATCH(B330,LoadMaster!$C:$C,0))</f>
        <v>488.25</v>
      </c>
      <c r="I330" s="330">
        <v>514.5</v>
      </c>
      <c r="J330" s="525">
        <v>488.25</v>
      </c>
      <c r="K330" s="134" t="str">
        <f t="shared" si="25"/>
        <v>Full</v>
      </c>
      <c r="L330" s="134">
        <f>INDEX(LoadMaster!$CT:$CT,MATCH(Table2[[#This Row],[BrokerConfNo]],LoadMaster!$C:$C,0))</f>
        <v>0</v>
      </c>
      <c r="M330" s="15" t="str">
        <f>INDEX(LoadMaster!$AO:$AO,MATCH(Table2[[#This Row],[BrokerConfNo]],LoadMaster!$C:$C,0))</f>
        <v>Arturo</v>
      </c>
      <c r="N330" s="104">
        <f t="shared" si="26"/>
        <v>42433</v>
      </c>
      <c r="O330" s="135">
        <f t="shared" si="27"/>
        <v>42440</v>
      </c>
      <c r="P330" s="104">
        <f>INDEX(LoadMaster!$M:$M,MATCH(B330,LoadMaster!$C:$C,0))</f>
        <v>42431</v>
      </c>
      <c r="Q330" s="15" t="str">
        <f>INDEX(LoadMaster!$P:$P,MATCH(B330,LoadMaster!$C:$C,0))</f>
        <v>Bakersfield</v>
      </c>
      <c r="R330" s="15" t="str">
        <f>INDEX(LoadMaster!$AH:$AH,MATCH(B330,LoadMaster!$C:$C,0))</f>
        <v>FAIRFIELD</v>
      </c>
      <c r="S330" s="416" t="str">
        <f>INDEX(LoadMaster!$DC:$DC,MATCH(B330,LoadMaster!$C:$C,0))</f>
        <v>Harman</v>
      </c>
      <c r="T330" s="136">
        <f>INDEX(LoadMaster!$DA:$DA,MATCH(B330,LoadMaster!$C:$C,0))</f>
        <v>26.25</v>
      </c>
      <c r="U330" s="137">
        <f>Table2[[#This Row],[WeekEndingDate]]+7</f>
        <v>42440</v>
      </c>
      <c r="V330" s="15">
        <f t="shared" si="28"/>
        <v>3</v>
      </c>
      <c r="W330" s="416">
        <f t="shared" si="29"/>
        <v>2016</v>
      </c>
    </row>
    <row r="331" spans="1:23" s="18" customFormat="1">
      <c r="A331" s="15" t="str">
        <f>INDEX(LoadMaster!$A:$A,MATCH(B331,LoadMaster!$C:$C,0))</f>
        <v>17wnwn59</v>
      </c>
      <c r="B331" s="55">
        <v>8472517</v>
      </c>
      <c r="C331" s="14" t="str">
        <f>VLOOKUP(Table2[[#This Row],[BrokerConfNo]],LoadMaster!C:D,2,FALSE)</f>
        <v>Sunteck Transport Co. Inc</v>
      </c>
      <c r="D331" s="26">
        <v>42443</v>
      </c>
      <c r="E331" s="18" t="str">
        <f>IF(Table2[[#This Row],[UBActualReceived]]&gt;1,"Received","Pending")</f>
        <v>Received</v>
      </c>
      <c r="F331" s="27">
        <f>INDEX(LoadMaster!$CU:$CU,MATCH(B331,LoadMaster!$C:$C,0))</f>
        <v>600</v>
      </c>
      <c r="G331" s="132">
        <f>INDEX(LoadMaster!$CX:$CX,MATCH(B331,LoadMaster!$C:$C,0))</f>
        <v>585</v>
      </c>
      <c r="H331" s="132">
        <f>INDEX(LoadMaster!$CW:$CW,MATCH(B331,LoadMaster!$C:$C,0))</f>
        <v>558</v>
      </c>
      <c r="I331" s="331">
        <v>600</v>
      </c>
      <c r="J331" s="526">
        <v>558</v>
      </c>
      <c r="K331" s="27" t="str">
        <f t="shared" si="25"/>
        <v>Full</v>
      </c>
      <c r="L331" s="27">
        <f>INDEX(LoadMaster!$CT:$CT,MATCH(Table2[[#This Row],[BrokerConfNo]],LoadMaster!$C:$C,0))</f>
        <v>0</v>
      </c>
      <c r="M331" s="14" t="str">
        <f>INDEX(LoadMaster!$AO:$AO,MATCH(Table2[[#This Row],[BrokerConfNo]],LoadMaster!$C:$C,0))</f>
        <v>Asim</v>
      </c>
      <c r="N331" s="26">
        <f t="shared" si="26"/>
        <v>42433</v>
      </c>
      <c r="O331" s="109">
        <f t="shared" si="27"/>
        <v>42440</v>
      </c>
      <c r="P331" s="26">
        <f>INDEX(LoadMaster!$M:$M,MATCH(B331,LoadMaster!$C:$C,0))</f>
        <v>42432</v>
      </c>
      <c r="Q331" s="14" t="str">
        <f>INDEX(LoadMaster!$P:$P,MATCH(B331,LoadMaster!$C:$C,0))</f>
        <v>RODEO</v>
      </c>
      <c r="R331" s="14" t="str">
        <f>INDEX(LoadMaster!$AH:$AH,MATCH(B331,LoadMaster!$C:$C,0))</f>
        <v>FALLON</v>
      </c>
      <c r="S331" s="416" t="str">
        <f>INDEX(LoadMaster!$DC:$DC,MATCH(B331,LoadMaster!$C:$C,0))</f>
        <v>Harman</v>
      </c>
      <c r="T331" s="48">
        <f>INDEX(LoadMaster!$DA:$DA,MATCH(B331,LoadMaster!$C:$C,0))</f>
        <v>27</v>
      </c>
      <c r="U331" s="110">
        <f>Table2[[#This Row],[WeekEndingDate]]+7</f>
        <v>42440</v>
      </c>
      <c r="V331" s="14">
        <f t="shared" si="28"/>
        <v>3</v>
      </c>
      <c r="W331" s="18">
        <f t="shared" si="29"/>
        <v>2016</v>
      </c>
    </row>
    <row r="332" spans="1:23" s="18" customFormat="1">
      <c r="A332" s="15" t="str">
        <f>INDEX(LoadMaster!$A:$A,MATCH(B332,LoadMaster!$C:$C,0))</f>
        <v>8079wn93</v>
      </c>
      <c r="B332" s="81">
        <v>194773380</v>
      </c>
      <c r="C332" s="15" t="str">
        <f>VLOOKUP(Table2[[#This Row],[BrokerConfNo]],LoadMaster!C:D,2,FALSE)</f>
        <v>Ch Robinson</v>
      </c>
      <c r="D332" s="104">
        <v>42445</v>
      </c>
      <c r="E332" s="416" t="str">
        <f>IF(Table2[[#This Row],[UBActualReceived]]&gt;1,"Received","Pending")</f>
        <v>Received</v>
      </c>
      <c r="F332" s="134">
        <f>INDEX(LoadMaster!$CU:$CU,MATCH(B332,LoadMaster!$C:$C,0))</f>
        <v>400</v>
      </c>
      <c r="G332" s="132">
        <f>INDEX(LoadMaster!$CX:$CX,MATCH(B332,LoadMaster!$C:$C,0))</f>
        <v>392</v>
      </c>
      <c r="H332" s="132">
        <f>INDEX(LoadMaster!$CW:$CW,MATCH(B332,LoadMaster!$C:$C,0))</f>
        <v>372</v>
      </c>
      <c r="I332" s="330">
        <v>392</v>
      </c>
      <c r="J332" s="525">
        <v>372</v>
      </c>
      <c r="K332" s="134" t="str">
        <f t="shared" si="25"/>
        <v>Full</v>
      </c>
      <c r="L332" s="134">
        <f>INDEX(LoadMaster!$CT:$CT,MATCH(Table2[[#This Row],[BrokerConfNo]],LoadMaster!$C:$C,0))</f>
        <v>0</v>
      </c>
      <c r="M332" s="15" t="str">
        <f>INDEX(LoadMaster!$AO:$AO,MATCH(Table2[[#This Row],[BrokerConfNo]],LoadMaster!$C:$C,0))</f>
        <v>Arturo</v>
      </c>
      <c r="N332" s="104">
        <f t="shared" si="26"/>
        <v>42433</v>
      </c>
      <c r="O332" s="135">
        <f t="shared" si="27"/>
        <v>42440</v>
      </c>
      <c r="P332" s="104">
        <f>INDEX(LoadMaster!$M:$M,MATCH(B332,LoadMaster!$C:$C,0))</f>
        <v>42433</v>
      </c>
      <c r="Q332" s="15" t="str">
        <f>INDEX(LoadMaster!$P:$P,MATCH(B332,LoadMaster!$C:$C,0))</f>
        <v>Santa Rosa</v>
      </c>
      <c r="R332" s="15" t="str">
        <f>INDEX(LoadMaster!$AH:$AH,MATCH(B332,LoadMaster!$C:$C,0))</f>
        <v>MODESTO</v>
      </c>
      <c r="S332" s="416" t="str">
        <f>INDEX(LoadMaster!$DC:$DC,MATCH(B332,LoadMaster!$C:$C,0))</f>
        <v>Harman</v>
      </c>
      <c r="T332" s="136">
        <f>INDEX(LoadMaster!$DA:$DA,MATCH(B332,LoadMaster!$C:$C,0))</f>
        <v>20</v>
      </c>
      <c r="U332" s="137">
        <f>Table2[[#This Row],[WeekEndingDate]]+7</f>
        <v>42440</v>
      </c>
      <c r="V332" s="15">
        <f t="shared" si="28"/>
        <v>3</v>
      </c>
      <c r="W332" s="416">
        <f t="shared" si="29"/>
        <v>2016</v>
      </c>
    </row>
    <row r="333" spans="1:23" s="68" customFormat="1">
      <c r="A333" s="15" t="str">
        <f>INDEX(LoadMaster!$A:$A,MATCH(B333,LoadMaster!$C:$C,0))</f>
        <v>02CAsa93</v>
      </c>
      <c r="B333" s="55">
        <v>48302</v>
      </c>
      <c r="C333" s="14" t="str">
        <f>VLOOKUP(Table2[[#This Row],[BrokerConfNo]],LoadMaster!C:D,2,FALSE)</f>
        <v>Cargobarn Inc.</v>
      </c>
      <c r="D333" s="26">
        <v>42451</v>
      </c>
      <c r="E333" s="18" t="str">
        <f>IF(Table2[[#This Row],[UBActualReceived]]&gt;1,"Received","Pending")</f>
        <v>Received</v>
      </c>
      <c r="F333" s="27">
        <f>INDEX(LoadMaster!$CU:$CU,MATCH(B333,LoadMaster!$C:$C,0))</f>
        <v>800</v>
      </c>
      <c r="G333" s="132">
        <f>INDEX(LoadMaster!$CX:$CX,MATCH(B333,LoadMaster!$C:$C,0))</f>
        <v>776</v>
      </c>
      <c r="H333" s="132">
        <f>INDEX(LoadMaster!$CW:$CW,MATCH(B333,LoadMaster!$C:$C,0))</f>
        <v>744</v>
      </c>
      <c r="I333" s="331">
        <v>776</v>
      </c>
      <c r="J333" s="526">
        <v>744</v>
      </c>
      <c r="K333" s="27" t="str">
        <f t="shared" si="25"/>
        <v>Full</v>
      </c>
      <c r="L333" s="27">
        <f>INDEX(LoadMaster!$CT:$CT,MATCH(Table2[[#This Row],[BrokerConfNo]],LoadMaster!$C:$C,0))</f>
        <v>0</v>
      </c>
      <c r="M333" s="14" t="str">
        <f>INDEX(LoadMaster!$AO:$AO,MATCH(Table2[[#This Row],[BrokerConfNo]],LoadMaster!$C:$C,0))</f>
        <v>Arturo</v>
      </c>
      <c r="N333" s="26">
        <f t="shared" si="26"/>
        <v>42440</v>
      </c>
      <c r="O333" s="109">
        <f t="shared" si="27"/>
        <v>42447</v>
      </c>
      <c r="P333" s="26">
        <f>INDEX(LoadMaster!$M:$M,MATCH(B333,LoadMaster!$C:$C,0))</f>
        <v>42436</v>
      </c>
      <c r="Q333" s="14" t="str">
        <f>INDEX(LoadMaster!$P:$P,MATCH(B333,LoadMaster!$C:$C,0))</f>
        <v>FRESNO</v>
      </c>
      <c r="R333" s="14" t="str">
        <f>INDEX(LoadMaster!$AH:$AH,MATCH(B333,LoadMaster!$C:$C,0))</f>
        <v>WILLITS</v>
      </c>
      <c r="S333" s="416" t="str">
        <f>INDEX(LoadMaster!$DC:$DC,MATCH(B333,LoadMaster!$C:$C,0))</f>
        <v>Harman</v>
      </c>
      <c r="T333" s="48">
        <f>INDEX(LoadMaster!$DA:$DA,MATCH(B333,LoadMaster!$C:$C,0))</f>
        <v>32</v>
      </c>
      <c r="U333" s="110">
        <f>Table2[[#This Row],[WeekEndingDate]]+7</f>
        <v>42447</v>
      </c>
      <c r="V333" s="14">
        <f t="shared" si="28"/>
        <v>3</v>
      </c>
      <c r="W333" s="18">
        <f t="shared" si="29"/>
        <v>2016</v>
      </c>
    </row>
    <row r="334" spans="1:23" s="18" customFormat="1">
      <c r="A334" s="15" t="str">
        <f>INDEX(LoadMaster!$A:$A,MATCH(B334,LoadMaster!$C:$C,0))</f>
        <v>6964wn59</v>
      </c>
      <c r="B334" s="55">
        <v>2397969</v>
      </c>
      <c r="C334" s="14" t="str">
        <f>VLOOKUP(Table2[[#This Row],[BrokerConfNo]],LoadMaster!C:D,2,FALSE)</f>
        <v>Matson Logistics</v>
      </c>
      <c r="D334" s="26">
        <v>42466</v>
      </c>
      <c r="E334" s="18" t="str">
        <f>IF(Table2[[#This Row],[UBActualReceived]]&gt;1,"Received","Pending")</f>
        <v>Received</v>
      </c>
      <c r="F334" s="27">
        <f>INDEX(LoadMaster!$CU:$CU,MATCH(B334,LoadMaster!$C:$C,0))</f>
        <v>600</v>
      </c>
      <c r="G334" s="132">
        <f>INDEX(LoadMaster!$CX:$CX,MATCH(B334,LoadMaster!$C:$C,0))</f>
        <v>588</v>
      </c>
      <c r="H334" s="132">
        <f>INDEX(LoadMaster!$CW:$CW,MATCH(B334,LoadMaster!$C:$C,0))</f>
        <v>558</v>
      </c>
      <c r="I334" s="331">
        <v>588</v>
      </c>
      <c r="J334" s="526">
        <v>558</v>
      </c>
      <c r="K334" s="27" t="str">
        <f t="shared" si="25"/>
        <v>Full</v>
      </c>
      <c r="L334" s="27">
        <f>INDEX(LoadMaster!$CT:$CT,MATCH(Table2[[#This Row],[BrokerConfNo]],LoadMaster!$C:$C,0))</f>
        <v>0</v>
      </c>
      <c r="M334" s="14" t="str">
        <f>INDEX(LoadMaster!$AO:$AO,MATCH(Table2[[#This Row],[BrokerConfNo]],LoadMaster!$C:$C,0))</f>
        <v>Asim</v>
      </c>
      <c r="N334" s="26">
        <f t="shared" si="26"/>
        <v>42440</v>
      </c>
      <c r="O334" s="109">
        <f t="shared" si="27"/>
        <v>42447</v>
      </c>
      <c r="P334" s="26">
        <f>INDEX(LoadMaster!$M:$M,MATCH(B334,LoadMaster!$C:$C,0))</f>
        <v>42436</v>
      </c>
      <c r="Q334" s="14" t="str">
        <f>INDEX(LoadMaster!$P:$P,MATCH(B334,LoadMaster!$C:$C,0))</f>
        <v>MOUND HOUSE</v>
      </c>
      <c r="R334" s="14" t="str">
        <f>INDEX(LoadMaster!$AH:$AH,MATCH(B334,LoadMaster!$C:$C,0))</f>
        <v>Hanford</v>
      </c>
      <c r="S334" s="416" t="str">
        <f>INDEX(LoadMaster!$DC:$DC,MATCH(B334,LoadMaster!$C:$C,0))</f>
        <v>Harman</v>
      </c>
      <c r="T334" s="48">
        <f>INDEX(LoadMaster!$DA:$DA,MATCH(B334,LoadMaster!$C:$C,0))</f>
        <v>30</v>
      </c>
      <c r="U334" s="110">
        <f>Table2[[#This Row],[WeekEndingDate]]+7</f>
        <v>42447</v>
      </c>
      <c r="V334" s="14">
        <f t="shared" si="28"/>
        <v>3</v>
      </c>
      <c r="W334" s="18">
        <f t="shared" si="29"/>
        <v>2016</v>
      </c>
    </row>
    <row r="335" spans="1:23" s="18" customFormat="1">
      <c r="A335" s="15" t="str">
        <f>INDEX(LoadMaster!$A:$A,MATCH(B335,LoadMaster!$C:$C,0))</f>
        <v>70ONwn93</v>
      </c>
      <c r="B335" s="55">
        <v>48370</v>
      </c>
      <c r="C335" s="14" t="str">
        <f>VLOOKUP(Table2[[#This Row],[BrokerConfNo]],LoadMaster!C:D,2,FALSE)</f>
        <v>Cargobarn Inc.</v>
      </c>
      <c r="D335" s="26">
        <v>42451</v>
      </c>
      <c r="E335" s="18" t="str">
        <f>IF(Table2[[#This Row],[UBActualReceived]]&gt;1,"Received","Pending")</f>
        <v>Received</v>
      </c>
      <c r="F335" s="27">
        <f>INDEX(LoadMaster!$CU:$CU,MATCH(B335,LoadMaster!$C:$C,0))</f>
        <v>500</v>
      </c>
      <c r="G335" s="132">
        <f>INDEX(LoadMaster!$CX:$CX,MATCH(B335,LoadMaster!$C:$C,0))</f>
        <v>485</v>
      </c>
      <c r="H335" s="132">
        <f>INDEX(LoadMaster!$CW:$CW,MATCH(B335,LoadMaster!$C:$C,0))</f>
        <v>465</v>
      </c>
      <c r="I335" s="331">
        <v>485</v>
      </c>
      <c r="J335" s="526">
        <v>465</v>
      </c>
      <c r="K335" s="27" t="str">
        <f t="shared" si="25"/>
        <v>Full</v>
      </c>
      <c r="L335" s="27">
        <f>INDEX(LoadMaster!$CT:$CT,MATCH(Table2[[#This Row],[BrokerConfNo]],LoadMaster!$C:$C,0))</f>
        <v>0</v>
      </c>
      <c r="M335" s="14" t="str">
        <f>INDEX(LoadMaster!$AO:$AO,MATCH(Table2[[#This Row],[BrokerConfNo]],LoadMaster!$C:$C,0))</f>
        <v>Arturo</v>
      </c>
      <c r="N335" s="26">
        <f t="shared" si="26"/>
        <v>42440</v>
      </c>
      <c r="O335" s="109">
        <f t="shared" si="27"/>
        <v>42447</v>
      </c>
      <c r="P335" s="26">
        <f>INDEX(LoadMaster!$M:$M,MATCH(B335,LoadMaster!$C:$C,0))</f>
        <v>42437</v>
      </c>
      <c r="Q335" s="14" t="str">
        <f>INDEX(LoadMaster!$P:$P,MATCH(B335,LoadMaster!$C:$C,0))</f>
        <v>OAKVILLE</v>
      </c>
      <c r="R335" s="14" t="str">
        <f>INDEX(LoadMaster!$AH:$AH,MATCH(B335,LoadMaster!$C:$C,0))</f>
        <v>SANGER</v>
      </c>
      <c r="S335" s="416" t="str">
        <f>INDEX(LoadMaster!$DC:$DC,MATCH(B335,LoadMaster!$C:$C,0))</f>
        <v>Harman</v>
      </c>
      <c r="T335" s="48">
        <f>INDEX(LoadMaster!$DA:$DA,MATCH(B335,LoadMaster!$C:$C,0))</f>
        <v>20</v>
      </c>
      <c r="U335" s="110">
        <f>Table2[[#This Row],[WeekEndingDate]]+7</f>
        <v>42447</v>
      </c>
      <c r="V335" s="14">
        <f t="shared" si="28"/>
        <v>3</v>
      </c>
      <c r="W335" s="18">
        <f t="shared" si="29"/>
        <v>2016</v>
      </c>
    </row>
    <row r="336" spans="1:23" s="18" customFormat="1">
      <c r="A336" s="15" t="str">
        <f>INDEX(LoadMaster!$A:$A,MATCH(B336,LoadMaster!$C:$C,0))</f>
        <v>11505059</v>
      </c>
      <c r="B336" s="55">
        <v>6693511</v>
      </c>
      <c r="C336" s="14" t="str">
        <f>VLOOKUP(Table2[[#This Row],[BrokerConfNo]],LoadMaster!C:D,2,FALSE)</f>
        <v>Tql</v>
      </c>
      <c r="D336" s="26">
        <v>42450</v>
      </c>
      <c r="E336" s="18" t="str">
        <f>IF(Table2[[#This Row],[UBActualReceived]]&gt;1,"Received","Pending")</f>
        <v>Received</v>
      </c>
      <c r="F336" s="27">
        <f>INDEX(LoadMaster!$CU:$CU,MATCH(B336,LoadMaster!$C:$C,0))</f>
        <v>1000</v>
      </c>
      <c r="G336" s="132">
        <f>INDEX(LoadMaster!$CX:$CX,MATCH(B336,LoadMaster!$C:$C,0))</f>
        <v>970</v>
      </c>
      <c r="H336" s="132">
        <f>INDEX(LoadMaster!$CW:$CW,MATCH(B336,LoadMaster!$C:$C,0))</f>
        <v>930</v>
      </c>
      <c r="I336" s="331">
        <v>970</v>
      </c>
      <c r="J336" s="526">
        <v>930</v>
      </c>
      <c r="K336" s="27" t="str">
        <f t="shared" si="25"/>
        <v>Full</v>
      </c>
      <c r="L336" s="27">
        <f>INDEX(LoadMaster!$CT:$CT,MATCH(Table2[[#This Row],[BrokerConfNo]],LoadMaster!$C:$C,0))</f>
        <v>0</v>
      </c>
      <c r="M336" s="14" t="str">
        <f>INDEX(LoadMaster!$AO:$AO,MATCH(Table2[[#This Row],[BrokerConfNo]],LoadMaster!$C:$C,0))</f>
        <v>Asim</v>
      </c>
      <c r="N336" s="26">
        <f t="shared" si="26"/>
        <v>42440</v>
      </c>
      <c r="O336" s="109">
        <f t="shared" si="27"/>
        <v>42447</v>
      </c>
      <c r="P336" s="26">
        <f>INDEX(LoadMaster!$M:$M,MATCH(B336,LoadMaster!$C:$C,0))</f>
        <v>42437</v>
      </c>
      <c r="Q336" s="14" t="str">
        <f>INDEX(LoadMaster!$P:$P,MATCH(B336,LoadMaster!$C:$C,0))</f>
        <v>STOCKTON</v>
      </c>
      <c r="R336" s="14" t="str">
        <f>INDEX(LoadMaster!$AH:$AH,MATCH(B336,LoadMaster!$C:$C,0))</f>
        <v>Eugene</v>
      </c>
      <c r="S336" s="416" t="str">
        <f>INDEX(LoadMaster!$DC:$DC,MATCH(B336,LoadMaster!$C:$C,0))</f>
        <v>Harman</v>
      </c>
      <c r="T336" s="48">
        <f>INDEX(LoadMaster!$DA:$DA,MATCH(B336,LoadMaster!$C:$C,0))</f>
        <v>40</v>
      </c>
      <c r="U336" s="110">
        <f>Table2[[#This Row],[WeekEndingDate]]+7</f>
        <v>42447</v>
      </c>
      <c r="V336" s="14">
        <f t="shared" si="28"/>
        <v>3</v>
      </c>
      <c r="W336" s="18">
        <f t="shared" si="29"/>
        <v>2016</v>
      </c>
    </row>
    <row r="337" spans="1:23" s="18" customFormat="1">
      <c r="A337" s="15" t="str">
        <f>INDEX(LoadMaster!$A:$A,MATCH(B337,LoadMaster!$C:$C,0))</f>
        <v>33555593</v>
      </c>
      <c r="B337" s="55">
        <v>7467933</v>
      </c>
      <c r="C337" s="14" t="str">
        <f>VLOOKUP(Table2[[#This Row],[BrokerConfNo]],LoadMaster!C:D,2,FALSE)</f>
        <v>Globaltranz</v>
      </c>
      <c r="D337" s="26">
        <v>42457</v>
      </c>
      <c r="E337" s="18" t="str">
        <f>IF(Table2[[#This Row],[UBActualReceived]]&gt;1,"Received","Pending")</f>
        <v>Received</v>
      </c>
      <c r="F337" s="27">
        <f>INDEX(LoadMaster!$CU:$CU,MATCH(B337,LoadMaster!$C:$C,0))</f>
        <v>700</v>
      </c>
      <c r="G337" s="132">
        <f>INDEX(LoadMaster!$CX:$CX,MATCH(B337,LoadMaster!$C:$C,0))</f>
        <v>672</v>
      </c>
      <c r="H337" s="132">
        <f>INDEX(LoadMaster!$CW:$CW,MATCH(B337,LoadMaster!$C:$C,0))</f>
        <v>651</v>
      </c>
      <c r="I337" s="331">
        <v>672</v>
      </c>
      <c r="J337" s="526">
        <v>651</v>
      </c>
      <c r="K337" s="27" t="str">
        <f t="shared" si="25"/>
        <v>Full</v>
      </c>
      <c r="L337" s="27">
        <f>INDEX(LoadMaster!$CT:$CT,MATCH(Table2[[#This Row],[BrokerConfNo]],LoadMaster!$C:$C,0))</f>
        <v>0</v>
      </c>
      <c r="M337" s="14" t="str">
        <f>INDEX(LoadMaster!$AO:$AO,MATCH(Table2[[#This Row],[BrokerConfNo]],LoadMaster!$C:$C,0))</f>
        <v>Arturo</v>
      </c>
      <c r="N337" s="26">
        <f t="shared" si="26"/>
        <v>42440</v>
      </c>
      <c r="O337" s="109">
        <f t="shared" si="27"/>
        <v>42447</v>
      </c>
      <c r="P337" s="26">
        <f>INDEX(LoadMaster!$M:$M,MATCH(B337,LoadMaster!$C:$C,0))</f>
        <v>42438</v>
      </c>
      <c r="Q337" s="14" t="str">
        <f>INDEX(LoadMaster!$P:$P,MATCH(B337,LoadMaster!$C:$C,0))</f>
        <v>Fresno</v>
      </c>
      <c r="R337" s="14" t="str">
        <f>INDEX(LoadMaster!$AH:$AH,MATCH(B337,LoadMaster!$C:$C,0))</f>
        <v>Reno</v>
      </c>
      <c r="S337" s="416" t="str">
        <f>INDEX(LoadMaster!$DC:$DC,MATCH(B337,LoadMaster!$C:$C,0))</f>
        <v>Harman</v>
      </c>
      <c r="T337" s="48">
        <f>INDEX(LoadMaster!$DA:$DA,MATCH(B337,LoadMaster!$C:$C,0))</f>
        <v>21</v>
      </c>
      <c r="U337" s="110">
        <f>Table2[[#This Row],[WeekEndingDate]]+7</f>
        <v>42447</v>
      </c>
      <c r="V337" s="14">
        <f t="shared" si="28"/>
        <v>3</v>
      </c>
      <c r="W337" s="18">
        <f t="shared" si="29"/>
        <v>2016</v>
      </c>
    </row>
    <row r="338" spans="1:23" s="18" customFormat="1">
      <c r="A338" s="15" t="str">
        <f>INDEX(LoadMaster!$A:$A,MATCH(B338,LoadMaster!$C:$C,0))</f>
        <v>34019059</v>
      </c>
      <c r="B338" s="55">
        <v>129934</v>
      </c>
      <c r="C338" s="14" t="str">
        <f>VLOOKUP(Table2[[#This Row],[BrokerConfNo]],LoadMaster!C:D,2,FALSE)</f>
        <v>Knight Logistics Llc</v>
      </c>
      <c r="D338" s="26">
        <v>42467</v>
      </c>
      <c r="E338" s="18" t="str">
        <f>IF(Table2[[#This Row],[UBActualReceived]]&gt;1,"Received","Pending")</f>
        <v>Received</v>
      </c>
      <c r="F338" s="27">
        <f>INDEX(LoadMaster!$CU:$CU,MATCH(B338,LoadMaster!$C:$C,0))</f>
        <v>700</v>
      </c>
      <c r="G338" s="132">
        <f>INDEX(LoadMaster!$CX:$CX,MATCH(B338,LoadMaster!$C:$C,0))</f>
        <v>679</v>
      </c>
      <c r="H338" s="132">
        <f>INDEX(LoadMaster!$CW:$CW,MATCH(B338,LoadMaster!$C:$C,0))</f>
        <v>651</v>
      </c>
      <c r="I338" s="331">
        <v>700</v>
      </c>
      <c r="J338" s="526">
        <v>651</v>
      </c>
      <c r="K338" s="27" t="str">
        <f t="shared" si="25"/>
        <v>Full</v>
      </c>
      <c r="L338" s="27">
        <f>INDEX(LoadMaster!$CT:$CT,MATCH(Table2[[#This Row],[BrokerConfNo]],LoadMaster!$C:$C,0))</f>
        <v>0</v>
      </c>
      <c r="M338" s="14" t="str">
        <f>INDEX(LoadMaster!$AO:$AO,MATCH(Table2[[#This Row],[BrokerConfNo]],LoadMaster!$C:$C,0))</f>
        <v>Asim</v>
      </c>
      <c r="N338" s="26">
        <f t="shared" si="26"/>
        <v>42440</v>
      </c>
      <c r="O338" s="109">
        <f t="shared" si="27"/>
        <v>42447</v>
      </c>
      <c r="P338" s="26">
        <f>INDEX(LoadMaster!$M:$M,MATCH(B338,LoadMaster!$C:$C,0))</f>
        <v>42438</v>
      </c>
      <c r="Q338" s="14" t="str">
        <f>INDEX(LoadMaster!$P:$P,MATCH(B338,LoadMaster!$C:$C,0))</f>
        <v>Toledo</v>
      </c>
      <c r="R338" s="14" t="str">
        <f>INDEX(LoadMaster!$AH:$AH,MATCH(B338,LoadMaster!$C:$C,0))</f>
        <v>Stockton</v>
      </c>
      <c r="S338" s="416" t="str">
        <f>INDEX(LoadMaster!$DC:$DC,MATCH(B338,LoadMaster!$C:$C,0))</f>
        <v>Harman</v>
      </c>
      <c r="T338" s="48">
        <f>INDEX(LoadMaster!$DA:$DA,MATCH(B338,LoadMaster!$C:$C,0))</f>
        <v>28</v>
      </c>
      <c r="U338" s="110">
        <f>Table2[[#This Row],[WeekEndingDate]]+7</f>
        <v>42447</v>
      </c>
      <c r="V338" s="14">
        <f t="shared" si="28"/>
        <v>3</v>
      </c>
      <c r="W338" s="18">
        <f t="shared" si="29"/>
        <v>2016</v>
      </c>
    </row>
    <row r="339" spans="1:23" s="18" customFormat="1">
      <c r="A339" s="15" t="str">
        <f>INDEX(LoadMaster!$A:$A,MATCH(B339,LoadMaster!$C:$C,0))</f>
        <v>23252593</v>
      </c>
      <c r="B339" s="55">
        <v>6707023</v>
      </c>
      <c r="C339" s="14" t="str">
        <f>VLOOKUP(Table2[[#This Row],[BrokerConfNo]],LoadMaster!C:D,2,FALSE)</f>
        <v>Tql</v>
      </c>
      <c r="D339" s="26">
        <v>42450</v>
      </c>
      <c r="E339" s="18" t="str">
        <f>IF(Table2[[#This Row],[UBActualReceived]]&gt;1,"Received","Pending")</f>
        <v>Received</v>
      </c>
      <c r="F339" s="27">
        <f>INDEX(LoadMaster!$CU:$CU,MATCH(B339,LoadMaster!$C:$C,0))</f>
        <v>500</v>
      </c>
      <c r="G339" s="132">
        <f>INDEX(LoadMaster!$CX:$CX,MATCH(B339,LoadMaster!$C:$C,0))</f>
        <v>485</v>
      </c>
      <c r="H339" s="132">
        <f>INDEX(LoadMaster!$CW:$CW,MATCH(B339,LoadMaster!$C:$C,0))</f>
        <v>465</v>
      </c>
      <c r="I339" s="331">
        <v>485</v>
      </c>
      <c r="J339" s="526">
        <v>465</v>
      </c>
      <c r="K339" s="27" t="str">
        <f t="shared" si="25"/>
        <v>Full</v>
      </c>
      <c r="L339" s="27">
        <f>INDEX(LoadMaster!$CT:$CT,MATCH(Table2[[#This Row],[BrokerConfNo]],LoadMaster!$C:$C,0))</f>
        <v>0</v>
      </c>
      <c r="M339" s="14" t="str">
        <f>INDEX(LoadMaster!$AO:$AO,MATCH(Table2[[#This Row],[BrokerConfNo]],LoadMaster!$C:$C,0))</f>
        <v>Arturo</v>
      </c>
      <c r="N339" s="26">
        <f t="shared" si="26"/>
        <v>42440</v>
      </c>
      <c r="O339" s="109">
        <f t="shared" si="27"/>
        <v>42447</v>
      </c>
      <c r="P339" s="26">
        <f>INDEX(LoadMaster!$M:$M,MATCH(B339,LoadMaster!$C:$C,0))</f>
        <v>42439</v>
      </c>
      <c r="Q339" s="14" t="str">
        <f>INDEX(LoadMaster!$P:$P,MATCH(B339,LoadMaster!$C:$C,0))</f>
        <v>Sparks</v>
      </c>
      <c r="R339" s="14" t="str">
        <f>INDEX(LoadMaster!$AH:$AH,MATCH(B339,LoadMaster!$C:$C,0))</f>
        <v>Oakland</v>
      </c>
      <c r="S339" s="416" t="str">
        <f>INDEX(LoadMaster!$DC:$DC,MATCH(B339,LoadMaster!$C:$C,0))</f>
        <v>Harman</v>
      </c>
      <c r="T339" s="48">
        <f>INDEX(LoadMaster!$DA:$DA,MATCH(B339,LoadMaster!$C:$C,0))</f>
        <v>20</v>
      </c>
      <c r="U339" s="110">
        <f>Table2[[#This Row],[WeekEndingDate]]+7</f>
        <v>42447</v>
      </c>
      <c r="V339" s="14">
        <f t="shared" si="28"/>
        <v>3</v>
      </c>
      <c r="W339" s="18">
        <f t="shared" si="29"/>
        <v>2016</v>
      </c>
    </row>
    <row r="340" spans="1:23" s="18" customFormat="1">
      <c r="A340" s="15" t="str">
        <f>INDEX(LoadMaster!$A:$A,MATCH(B340,LoadMaster!$C:$C,0))</f>
        <v>62977993</v>
      </c>
      <c r="B340" s="55" t="s">
        <v>2393</v>
      </c>
      <c r="C340" s="14" t="str">
        <f>VLOOKUP(Table2[[#This Row],[BrokerConfNo]],LoadMaster!C:D,2,FALSE)</f>
        <v xml:space="preserve">Traffic Tech Inc </v>
      </c>
      <c r="D340" s="26">
        <v>42501</v>
      </c>
      <c r="E340" s="18" t="str">
        <f>IF(Table2[[#This Row],[UBActualReceived]]&gt;1,"Received","Pending")</f>
        <v>Received</v>
      </c>
      <c r="F340" s="27">
        <f>INDEX(LoadMaster!$CU:$CU,MATCH(B340,LoadMaster!$C:$C,0))</f>
        <v>600</v>
      </c>
      <c r="G340" s="132">
        <f>INDEX(LoadMaster!$CX:$CX,MATCH(B340,LoadMaster!$C:$C,0))</f>
        <v>600</v>
      </c>
      <c r="H340" s="132">
        <f>INDEX(LoadMaster!$CW:$CW,MATCH(B340,LoadMaster!$C:$C,0))</f>
        <v>558</v>
      </c>
      <c r="I340" s="331">
        <v>600</v>
      </c>
      <c r="J340" s="526">
        <v>558</v>
      </c>
      <c r="K340" s="27" t="str">
        <f t="shared" si="25"/>
        <v>Full</v>
      </c>
      <c r="L340" s="27">
        <f>INDEX(LoadMaster!$CT:$CT,MATCH(Table2[[#This Row],[BrokerConfNo]],LoadMaster!$C:$C,0))</f>
        <v>0</v>
      </c>
      <c r="M340" s="14" t="str">
        <f>INDEX(LoadMaster!$AO:$AO,MATCH(Table2[[#This Row],[BrokerConfNo]],LoadMaster!$C:$C,0))</f>
        <v>Arturo</v>
      </c>
      <c r="N340" s="26">
        <f t="shared" si="26"/>
        <v>42447</v>
      </c>
      <c r="O340" s="109">
        <f t="shared" si="27"/>
        <v>42454</v>
      </c>
      <c r="P340" s="26">
        <f>INDEX(LoadMaster!$M:$M,MATCH(B340,LoadMaster!$C:$C,0))</f>
        <v>42443</v>
      </c>
      <c r="Q340" s="14" t="str">
        <f>INDEX(LoadMaster!$P:$P,MATCH(B340,LoadMaster!$C:$C,0))</f>
        <v>Stockton</v>
      </c>
      <c r="R340" s="14" t="str">
        <f>INDEX(LoadMaster!$AH:$AH,MATCH(B340,LoadMaster!$C:$C,0))</f>
        <v>Gardnerville</v>
      </c>
      <c r="S340" s="416" t="str">
        <f>INDEX(LoadMaster!$DC:$DC,MATCH(B340,LoadMaster!$C:$C,0))</f>
        <v>Harman</v>
      </c>
      <c r="T340" s="48">
        <f>INDEX(LoadMaster!$DA:$DA,MATCH(B340,LoadMaster!$C:$C,0))</f>
        <v>42</v>
      </c>
      <c r="U340" s="110">
        <f>Table2[[#This Row],[WeekEndingDate]]+7</f>
        <v>42454</v>
      </c>
      <c r="V340" s="14">
        <f t="shared" si="28"/>
        <v>3</v>
      </c>
      <c r="W340" s="18">
        <f t="shared" si="29"/>
        <v>2016</v>
      </c>
    </row>
    <row r="341" spans="1:23" s="68" customFormat="1">
      <c r="A341" s="15" t="str">
        <f>INDEX(LoadMaster!$A:$A,MATCH(B341,LoadMaster!$C:$C,0))</f>
        <v>93070793</v>
      </c>
      <c r="B341" s="81">
        <v>195699993</v>
      </c>
      <c r="C341" s="15" t="str">
        <f>VLOOKUP(Table2[[#This Row],[BrokerConfNo]],LoadMaster!C:D,2,FALSE)</f>
        <v>Ch Robinson</v>
      </c>
      <c r="D341" s="104">
        <v>42460</v>
      </c>
      <c r="E341" s="416" t="str">
        <f>IF(Table2[[#This Row],[UBActualReceived]]&gt;1,"Received","Pending")</f>
        <v>Received</v>
      </c>
      <c r="F341" s="134">
        <f>INDEX(LoadMaster!$CU:$CU,MATCH(B341,LoadMaster!$C:$C,0))</f>
        <v>500</v>
      </c>
      <c r="G341" s="132">
        <f>INDEX(LoadMaster!$CX:$CX,MATCH(B341,LoadMaster!$C:$C,0))</f>
        <v>490</v>
      </c>
      <c r="H341" s="132">
        <f>INDEX(LoadMaster!$CW:$CW,MATCH(B341,LoadMaster!$C:$C,0))</f>
        <v>465</v>
      </c>
      <c r="I341" s="330">
        <v>490</v>
      </c>
      <c r="J341" s="525">
        <v>465</v>
      </c>
      <c r="K341" s="134" t="str">
        <f t="shared" si="25"/>
        <v>Full</v>
      </c>
      <c r="L341" s="134">
        <f>INDEX(LoadMaster!$CT:$CT,MATCH(Table2[[#This Row],[BrokerConfNo]],LoadMaster!$C:$C,0))</f>
        <v>0</v>
      </c>
      <c r="M341" s="15" t="str">
        <f>INDEX(LoadMaster!$AO:$AO,MATCH(Table2[[#This Row],[BrokerConfNo]],LoadMaster!$C:$C,0))</f>
        <v>Arturo</v>
      </c>
      <c r="N341" s="104">
        <f t="shared" si="26"/>
        <v>42447</v>
      </c>
      <c r="O341" s="135">
        <f t="shared" si="27"/>
        <v>42454</v>
      </c>
      <c r="P341" s="104">
        <f>INDEX(LoadMaster!$M:$M,MATCH(B341,LoadMaster!$C:$C,0))</f>
        <v>42444</v>
      </c>
      <c r="Q341" s="15" t="str">
        <f>INDEX(LoadMaster!$P:$P,MATCH(B341,LoadMaster!$C:$C,0))</f>
        <v>Sparks</v>
      </c>
      <c r="R341" s="15" t="str">
        <f>INDEX(LoadMaster!$AH:$AH,MATCH(B341,LoadMaster!$C:$C,0))</f>
        <v>Fresno</v>
      </c>
      <c r="S341" s="416" t="str">
        <f>INDEX(LoadMaster!$DC:$DC,MATCH(B341,LoadMaster!$C:$C,0))</f>
        <v>Harman</v>
      </c>
      <c r="T341" s="136">
        <f>INDEX(LoadMaster!$DA:$DA,MATCH(B341,LoadMaster!$C:$C,0))</f>
        <v>25</v>
      </c>
      <c r="U341" s="137">
        <f>Table2[[#This Row],[WeekEndingDate]]+7</f>
        <v>42454</v>
      </c>
      <c r="V341" s="15">
        <f t="shared" si="28"/>
        <v>3</v>
      </c>
      <c r="W341" s="416">
        <f t="shared" si="29"/>
        <v>2016</v>
      </c>
    </row>
    <row r="342" spans="1:23" s="68" customFormat="1">
      <c r="A342" s="550" t="str">
        <f>INDEX(LoadMaster!$A:$A,MATCH(B342,LoadMaster!$C:$C,0))</f>
        <v>87131649</v>
      </c>
      <c r="B342" s="552">
        <v>2016087</v>
      </c>
      <c r="C342" s="550" t="str">
        <f>VLOOKUP(Table2[[#This Row],[BrokerConfNo]],LoadMaster!C:D,2,FALSE)</f>
        <v>XPOLogistics</v>
      </c>
      <c r="D342" s="549">
        <v>42529</v>
      </c>
      <c r="E342" s="548" t="str">
        <f>IF(Table2[[#This Row],[UBActualReceived]]&gt;1,"Received","Pending")</f>
        <v>Received</v>
      </c>
      <c r="F342" s="241">
        <f>INDEX(LoadMaster!$CU:$CU,MATCH(B342,LoadMaster!$C:$C,0))</f>
        <v>600</v>
      </c>
      <c r="G342" s="134">
        <f>INDEX(LoadMaster!$CX:$CX,MATCH(B342,LoadMaster!$C:$C,0))</f>
        <v>582</v>
      </c>
      <c r="H342" s="241">
        <f>INDEX(LoadMaster!$CW:$CW,MATCH(B342,LoadMaster!$C:$C,0))</f>
        <v>558</v>
      </c>
      <c r="I342" s="338">
        <v>582</v>
      </c>
      <c r="J342" s="525">
        <v>558</v>
      </c>
      <c r="K342" s="241" t="str">
        <f t="shared" si="25"/>
        <v>Full</v>
      </c>
      <c r="L342" s="241">
        <f>INDEX(LoadMaster!$CT:$CT,MATCH(Table2[[#This Row],[BrokerConfNo]],LoadMaster!$C:$C,0))</f>
        <v>0</v>
      </c>
      <c r="M342" s="550" t="str">
        <f>INDEX(LoadMaster!$AO:$AO,MATCH(Table2[[#This Row],[BrokerConfNo]],LoadMaster!$C:$C,0))</f>
        <v>Albel</v>
      </c>
      <c r="N342" s="549">
        <f t="shared" si="26"/>
        <v>42447</v>
      </c>
      <c r="O342" s="242">
        <f t="shared" si="27"/>
        <v>42461</v>
      </c>
      <c r="P342" s="549">
        <f>INDEX(LoadMaster!$M:$M,MATCH(B342,LoadMaster!$C:$C,0))</f>
        <v>42446</v>
      </c>
      <c r="Q342" s="550" t="str">
        <f>INDEX(LoadMaster!$P:$P,MATCH(B342,LoadMaster!$C:$C,0))</f>
        <v>Carson City</v>
      </c>
      <c r="R342" s="550" t="str">
        <f>INDEX(LoadMaster!$AH:$AH,MATCH(B342,LoadMaster!$C:$C,0))</f>
        <v>Ivanhoe</v>
      </c>
      <c r="S342" s="550" t="str">
        <f>INDEX(LoadMaster!$DC:$DC,MATCH(B342,LoadMaster!$C:$C,0))</f>
        <v>Sunny</v>
      </c>
      <c r="T342" s="567">
        <f>INDEX(LoadMaster!$DA:$DA,MATCH(B342,LoadMaster!$C:$C,0))</f>
        <v>24</v>
      </c>
      <c r="U342" s="243">
        <f>Table2[[#This Row],[WeekEndingDate]]+7</f>
        <v>42454</v>
      </c>
      <c r="V342" s="550">
        <f t="shared" si="28"/>
        <v>3</v>
      </c>
      <c r="W342" s="548">
        <f t="shared" si="29"/>
        <v>2016</v>
      </c>
    </row>
    <row r="343" spans="1:23" s="68" customFormat="1">
      <c r="A343" s="15" t="str">
        <f>INDEX(LoadMaster!$A:$A,MATCH(B343,LoadMaster!$C:$C,0))</f>
        <v>52676719</v>
      </c>
      <c r="B343" s="302">
        <v>195960452</v>
      </c>
      <c r="C343" s="303" t="str">
        <f>VLOOKUP(Table2[[#This Row],[BrokerConfNo]],LoadMaster!C:D,2,FALSE)</f>
        <v>Ch Robinson</v>
      </c>
      <c r="D343" s="301">
        <v>42467</v>
      </c>
      <c r="E343" s="300" t="str">
        <f>IF(Table2[[#This Row],[UBActualReceived]]&gt;1,"Received","Pending")</f>
        <v>Received</v>
      </c>
      <c r="F343" s="134">
        <f>INDEX(LoadMaster!$CU:$CU,MATCH(B343,LoadMaster!$C:$C,0))</f>
        <v>500</v>
      </c>
      <c r="G343" s="132">
        <f>INDEX(LoadMaster!$CX:$CX,MATCH(B343,LoadMaster!$C:$C,0))</f>
        <v>490</v>
      </c>
      <c r="H343" s="132">
        <f>INDEX(LoadMaster!$CW:$CW,MATCH(B343,LoadMaster!$C:$C,0))</f>
        <v>465</v>
      </c>
      <c r="I343" s="330">
        <v>490</v>
      </c>
      <c r="J343" s="525">
        <v>465</v>
      </c>
      <c r="K343" s="134" t="str">
        <f t="shared" si="25"/>
        <v>Full</v>
      </c>
      <c r="L343" s="134">
        <f>INDEX(LoadMaster!$CT:$CT,MATCH(Table2[[#This Row],[BrokerConfNo]],LoadMaster!$C:$C,0))</f>
        <v>0</v>
      </c>
      <c r="M343" s="303" t="str">
        <f>INDEX(LoadMaster!$AO:$AO,MATCH(Table2[[#This Row],[BrokerConfNo]],LoadMaster!$C:$C,0))</f>
        <v>Miguel Jaime</v>
      </c>
      <c r="N343" s="301">
        <f t="shared" si="26"/>
        <v>42447</v>
      </c>
      <c r="O343" s="135">
        <f t="shared" si="27"/>
        <v>42454</v>
      </c>
      <c r="P343" s="301">
        <f>INDEX(LoadMaster!$M:$M,MATCH(B343,LoadMaster!$C:$C,0))</f>
        <v>42447</v>
      </c>
      <c r="Q343" s="303" t="str">
        <f>INDEX(LoadMaster!$P:$P,MATCH(B343,LoadMaster!$C:$C,0))</f>
        <v>ROCKLIN</v>
      </c>
      <c r="R343" s="303" t="str">
        <f>INDEX(LoadMaster!$AH:$AH,MATCH(B343,LoadMaster!$C:$C,0))</f>
        <v>Paso Robles</v>
      </c>
      <c r="S343" s="416" t="str">
        <f>INDEX(LoadMaster!$DC:$DC,MATCH(B343,LoadMaster!$C:$C,0))</f>
        <v>Harman</v>
      </c>
      <c r="T343" s="299">
        <f>INDEX(LoadMaster!$DA:$DA,MATCH(B343,LoadMaster!$C:$C,0))</f>
        <v>25</v>
      </c>
      <c r="U343" s="137">
        <f>Table2[[#This Row],[WeekEndingDate]]+7</f>
        <v>42454</v>
      </c>
      <c r="V343" s="303">
        <f t="shared" si="28"/>
        <v>3</v>
      </c>
      <c r="W343" s="300">
        <f t="shared" si="29"/>
        <v>2016</v>
      </c>
    </row>
    <row r="344" spans="1:23" s="68" customFormat="1">
      <c r="A344" s="15" t="str">
        <f>INDEX(LoadMaster!$A:$A,MATCH(B344,LoadMaster!$C:$C,0))</f>
        <v>20383593</v>
      </c>
      <c r="B344" s="302">
        <v>6696620</v>
      </c>
      <c r="C344" s="303" t="str">
        <f>VLOOKUP(Table2[[#This Row],[BrokerConfNo]],LoadMaster!C:D,2,FALSE)</f>
        <v>Tql</v>
      </c>
      <c r="D344" s="301">
        <v>42458</v>
      </c>
      <c r="E344" s="300" t="str">
        <f>IF(Table2[[#This Row],[UBActualReceived]]&gt;1,"Received","Pending")</f>
        <v>Received</v>
      </c>
      <c r="F344" s="134">
        <f>INDEX(LoadMaster!$CU:$CU,MATCH(B344,LoadMaster!$C:$C,0))</f>
        <v>1075</v>
      </c>
      <c r="G344" s="132">
        <f>INDEX(LoadMaster!$CX:$CX,MATCH(B344,LoadMaster!$C:$C,0))</f>
        <v>1042.75</v>
      </c>
      <c r="H344" s="132">
        <f>INDEX(LoadMaster!$CW:$CW,MATCH(B344,LoadMaster!$C:$C,0))</f>
        <v>999.75</v>
      </c>
      <c r="I344" s="330">
        <v>1042.75</v>
      </c>
      <c r="J344" s="525">
        <v>999.75</v>
      </c>
      <c r="K344" s="134" t="str">
        <f t="shared" si="25"/>
        <v>Full</v>
      </c>
      <c r="L344" s="134">
        <f>INDEX(LoadMaster!$CT:$CT,MATCH(Table2[[#This Row],[BrokerConfNo]],LoadMaster!$C:$C,0))</f>
        <v>0</v>
      </c>
      <c r="M344" s="303" t="str">
        <f>INDEX(LoadMaster!$AO:$AO,MATCH(Table2[[#This Row],[BrokerConfNo]],LoadMaster!$C:$C,0))</f>
        <v>Arturo</v>
      </c>
      <c r="N344" s="301">
        <f t="shared" si="26"/>
        <v>42447</v>
      </c>
      <c r="O344" s="135">
        <f t="shared" si="27"/>
        <v>42454</v>
      </c>
      <c r="P344" s="301">
        <f>INDEX(LoadMaster!$M:$M,MATCH(B344,LoadMaster!$C:$C,0))</f>
        <v>42447</v>
      </c>
      <c r="Q344" s="303" t="str">
        <f>INDEX(LoadMaster!$P:$P,MATCH(B344,LoadMaster!$C:$C,0))</f>
        <v>Ripon</v>
      </c>
      <c r="R344" s="303" t="str">
        <f>INDEX(LoadMaster!$AH:$AH,MATCH(B344,LoadMaster!$C:$C,0))</f>
        <v>Clackamas</v>
      </c>
      <c r="S344" s="416" t="str">
        <f>INDEX(LoadMaster!$DC:$DC,MATCH(B344,LoadMaster!$C:$C,0))</f>
        <v>Harman</v>
      </c>
      <c r="T344" s="299">
        <f>INDEX(LoadMaster!$DA:$DA,MATCH(B344,LoadMaster!$C:$C,0))</f>
        <v>43</v>
      </c>
      <c r="U344" s="137">
        <f>Table2[[#This Row],[WeekEndingDate]]+7</f>
        <v>42454</v>
      </c>
      <c r="V344" s="303">
        <f t="shared" si="28"/>
        <v>3</v>
      </c>
      <c r="W344" s="300">
        <f t="shared" si="29"/>
        <v>2016</v>
      </c>
    </row>
    <row r="345" spans="1:23" s="68" customFormat="1">
      <c r="A345" s="15" t="str">
        <f>INDEX(LoadMaster!$A:$A,MATCH(B345,LoadMaster!$C:$C,0))</f>
        <v>3903wn93</v>
      </c>
      <c r="B345" s="302">
        <v>584539</v>
      </c>
      <c r="C345" s="303" t="str">
        <f>VLOOKUP(Table2[[#This Row],[BrokerConfNo]],LoadMaster!C:D,2,FALSE)</f>
        <v>Nolan Tranportation Group Inc.</v>
      </c>
      <c r="D345" s="301">
        <v>42461</v>
      </c>
      <c r="E345" s="300" t="str">
        <f>IF(Table2[[#This Row],[UBActualReceived]]&gt;1,"Received","Pending")</f>
        <v>Received</v>
      </c>
      <c r="F345" s="134">
        <f>INDEX(LoadMaster!$CU:$CU,MATCH(B345,LoadMaster!$C:$C,0))</f>
        <v>700</v>
      </c>
      <c r="G345" s="132">
        <f>INDEX(LoadMaster!$CX:$CX,MATCH(B345,LoadMaster!$C:$C,0))</f>
        <v>672</v>
      </c>
      <c r="H345" s="132">
        <f>INDEX(LoadMaster!$CW:$CW,MATCH(B345,LoadMaster!$C:$C,0))</f>
        <v>651</v>
      </c>
      <c r="I345" s="330">
        <v>647</v>
      </c>
      <c r="J345" s="525">
        <v>651</v>
      </c>
      <c r="K345" s="134" t="str">
        <f t="shared" si="25"/>
        <v>Less</v>
      </c>
      <c r="L345" s="134">
        <f>INDEX(LoadMaster!$CT:$CT,MATCH(Table2[[#This Row],[BrokerConfNo]],LoadMaster!$C:$C,0))</f>
        <v>0</v>
      </c>
      <c r="M345" s="303" t="str">
        <f>INDEX(LoadMaster!$AO:$AO,MATCH(Table2[[#This Row],[BrokerConfNo]],LoadMaster!$C:$C,0))</f>
        <v>Arturo</v>
      </c>
      <c r="N345" s="301">
        <f t="shared" si="26"/>
        <v>42454</v>
      </c>
      <c r="O345" s="135">
        <f t="shared" si="27"/>
        <v>42461</v>
      </c>
      <c r="P345" s="301">
        <f>INDEX(LoadMaster!$M:$M,MATCH(B345,LoadMaster!$C:$C,0))</f>
        <v>42450</v>
      </c>
      <c r="Q345" s="303" t="str">
        <f>INDEX(LoadMaster!$P:$P,MATCH(B345,LoadMaster!$C:$C,0))</f>
        <v>COQUILLE</v>
      </c>
      <c r="R345" s="303" t="str">
        <f>INDEX(LoadMaster!$AH:$AH,MATCH(B345,LoadMaster!$C:$C,0))</f>
        <v>SAN JOSE</v>
      </c>
      <c r="S345" s="416" t="str">
        <f>INDEX(LoadMaster!$DC:$DC,MATCH(B345,LoadMaster!$C:$C,0))</f>
        <v>Harman</v>
      </c>
      <c r="T345" s="299">
        <f>INDEX(LoadMaster!$DA:$DA,MATCH(B345,LoadMaster!$C:$C,0))</f>
        <v>21</v>
      </c>
      <c r="U345" s="137">
        <f>Table2[[#This Row],[WeekEndingDate]]+7</f>
        <v>42461</v>
      </c>
      <c r="V345" s="303">
        <f t="shared" si="28"/>
        <v>3</v>
      </c>
      <c r="W345" s="300">
        <f t="shared" si="29"/>
        <v>2016</v>
      </c>
    </row>
    <row r="346" spans="1:23" s="68" customFormat="1">
      <c r="A346" s="15" t="str">
        <f>INDEX(LoadMaster!$A:$A,MATCH(B346,LoadMaster!$C:$C,0))</f>
        <v>75760119</v>
      </c>
      <c r="B346" s="302">
        <v>14108475</v>
      </c>
      <c r="C346" s="303" t="str">
        <f>VLOOKUP(Table2[[#This Row],[BrokerConfNo]],LoadMaster!C:D,2,FALSE)</f>
        <v xml:space="preserve">Crst Logistics </v>
      </c>
      <c r="D346" s="301">
        <v>42472</v>
      </c>
      <c r="E346" s="300" t="str">
        <f>IF(Table2[[#This Row],[UBActualReceived]]&gt;1,"Received","Pending")</f>
        <v>Received</v>
      </c>
      <c r="F346" s="134">
        <f>INDEX(LoadMaster!$CU:$CU,MATCH(B346,LoadMaster!$C:$C,0))</f>
        <v>1000</v>
      </c>
      <c r="G346" s="132">
        <f>INDEX(LoadMaster!$CX:$CX,MATCH(B346,LoadMaster!$C:$C,0))</f>
        <v>975</v>
      </c>
      <c r="H346" s="132">
        <f>INDEX(LoadMaster!$CW:$CW,MATCH(B346,LoadMaster!$C:$C,0))</f>
        <v>930</v>
      </c>
      <c r="I346" s="330">
        <v>975</v>
      </c>
      <c r="J346" s="525">
        <v>930</v>
      </c>
      <c r="K346" s="134" t="str">
        <f t="shared" si="25"/>
        <v>Full</v>
      </c>
      <c r="L346" s="134">
        <f>INDEX(LoadMaster!$CT:$CT,MATCH(Table2[[#This Row],[BrokerConfNo]],LoadMaster!$C:$C,0))</f>
        <v>0</v>
      </c>
      <c r="M346" s="303" t="str">
        <f>INDEX(LoadMaster!$AO:$AO,MATCH(Table2[[#This Row],[BrokerConfNo]],LoadMaster!$C:$C,0))</f>
        <v>Miguel Jaime</v>
      </c>
      <c r="N346" s="301">
        <f t="shared" si="26"/>
        <v>42454</v>
      </c>
      <c r="O346" s="135">
        <f t="shared" si="27"/>
        <v>42461</v>
      </c>
      <c r="P346" s="301">
        <f>INDEX(LoadMaster!$M:$M,MATCH(B346,LoadMaster!$C:$C,0))</f>
        <v>42451</v>
      </c>
      <c r="Q346" s="303" t="str">
        <f>INDEX(LoadMaster!$P:$P,MATCH(B346,LoadMaster!$C:$C,0))</f>
        <v>Taft</v>
      </c>
      <c r="R346" s="303" t="str">
        <f>INDEX(LoadMaster!$AH:$AH,MATCH(B346,LoadMaster!$C:$C,0))</f>
        <v>MCCARRAN</v>
      </c>
      <c r="S346" s="416" t="str">
        <f>INDEX(LoadMaster!$DC:$DC,MATCH(B346,LoadMaster!$C:$C,0))</f>
        <v>Harman</v>
      </c>
      <c r="T346" s="299">
        <f>INDEX(LoadMaster!$DA:$DA,MATCH(B346,LoadMaster!$C:$C,0))</f>
        <v>45</v>
      </c>
      <c r="U346" s="137">
        <f>Table2[[#This Row],[WeekEndingDate]]+7</f>
        <v>42461</v>
      </c>
      <c r="V346" s="303">
        <f t="shared" si="28"/>
        <v>3</v>
      </c>
      <c r="W346" s="300">
        <f t="shared" si="29"/>
        <v>2016</v>
      </c>
    </row>
    <row r="347" spans="1:23" s="68" customFormat="1">
      <c r="A347" s="15" t="str">
        <f>INDEX(LoadMaster!$A:$A,MATCH(B347,LoadMaster!$C:$C,0))</f>
        <v>97574193</v>
      </c>
      <c r="B347" s="302">
        <v>1714997</v>
      </c>
      <c r="C347" s="303" t="str">
        <f>VLOOKUP(Table2[[#This Row],[BrokerConfNo]],LoadMaster!C:D,2,FALSE)</f>
        <v>Interstate Distributor Co</v>
      </c>
      <c r="D347" s="301">
        <v>42460</v>
      </c>
      <c r="E347" s="300" t="str">
        <f>IF(Table2[[#This Row],[UBActualReceived]]&gt;1,"Received","Pending")</f>
        <v>Received</v>
      </c>
      <c r="F347" s="134">
        <f>INDEX(LoadMaster!$CU:$CU,MATCH(B347,LoadMaster!$C:$C,0))</f>
        <v>700</v>
      </c>
      <c r="G347" s="132">
        <f>INDEX(LoadMaster!$CX:$CX,MATCH(B347,LoadMaster!$C:$C,0))</f>
        <v>689.5</v>
      </c>
      <c r="H347" s="132">
        <f>INDEX(LoadMaster!$CW:$CW,MATCH(B347,LoadMaster!$C:$C,0))</f>
        <v>651</v>
      </c>
      <c r="I347" s="330">
        <v>689.5</v>
      </c>
      <c r="J347" s="525">
        <v>651</v>
      </c>
      <c r="K347" s="134" t="str">
        <f t="shared" si="25"/>
        <v>Full</v>
      </c>
      <c r="L347" s="134">
        <f>INDEX(LoadMaster!$CT:$CT,MATCH(Table2[[#This Row],[BrokerConfNo]],LoadMaster!$C:$C,0))</f>
        <v>0</v>
      </c>
      <c r="M347" s="303" t="str">
        <f>INDEX(LoadMaster!$AO:$AO,MATCH(Table2[[#This Row],[BrokerConfNo]],LoadMaster!$C:$C,0))</f>
        <v>Arturo</v>
      </c>
      <c r="N347" s="301">
        <f t="shared" si="26"/>
        <v>42454</v>
      </c>
      <c r="O347" s="135">
        <f t="shared" si="27"/>
        <v>42461</v>
      </c>
      <c r="P347" s="301">
        <f>INDEX(LoadMaster!$M:$M,MATCH(B347,LoadMaster!$C:$C,0))</f>
        <v>42452</v>
      </c>
      <c r="Q347" s="303" t="str">
        <f>INDEX(LoadMaster!$P:$P,MATCH(B347,LoadMaster!$C:$C,0))</f>
        <v>FRESNO</v>
      </c>
      <c r="R347" s="303" t="str">
        <f>INDEX(LoadMaster!$AH:$AH,MATCH(B347,LoadMaster!$C:$C,0))</f>
        <v>SPARKS</v>
      </c>
      <c r="S347" s="416" t="str">
        <f>INDEX(LoadMaster!$DC:$DC,MATCH(B347,LoadMaster!$C:$C,0))</f>
        <v>Harman</v>
      </c>
      <c r="T347" s="299">
        <f>INDEX(LoadMaster!$DA:$DA,MATCH(B347,LoadMaster!$C:$C,0))</f>
        <v>38.5</v>
      </c>
      <c r="U347" s="137">
        <f>Table2[[#This Row],[WeekEndingDate]]+7</f>
        <v>42461</v>
      </c>
      <c r="V347" s="303">
        <f t="shared" si="28"/>
        <v>3</v>
      </c>
      <c r="W347" s="300">
        <f t="shared" si="29"/>
        <v>2016</v>
      </c>
    </row>
    <row r="348" spans="1:23" s="68" customFormat="1">
      <c r="A348" s="15" t="str">
        <f>INDEX(LoadMaster!$A:$A,MATCH(B348,LoadMaster!$C:$C,0))</f>
        <v>18181819</v>
      </c>
      <c r="B348" s="81">
        <v>133718</v>
      </c>
      <c r="C348" s="15" t="str">
        <f>VLOOKUP(Table2[[#This Row],[BrokerConfNo]],LoadMaster!C:D,2,FALSE)</f>
        <v>Pepsi Logistics Company Inc</v>
      </c>
      <c r="D348" s="104">
        <v>42471</v>
      </c>
      <c r="E348" s="416" t="str">
        <f>IF(Table2[[#This Row],[UBActualReceived]]&gt;1,"Received","Pending")</f>
        <v>Received</v>
      </c>
      <c r="F348" s="134">
        <f>INDEX(LoadMaster!$CU:$CU,MATCH(B348,LoadMaster!$C:$C,0))</f>
        <v>545</v>
      </c>
      <c r="G348" s="132">
        <f>INDEX(LoadMaster!$CX:$CX,MATCH(B348,LoadMaster!$C:$C,0))</f>
        <v>531.375</v>
      </c>
      <c r="H348" s="132">
        <f>INDEX(LoadMaster!$CW:$CW,MATCH(B348,LoadMaster!$C:$C,0))</f>
        <v>506.85</v>
      </c>
      <c r="I348" s="330">
        <v>531</v>
      </c>
      <c r="J348" s="525">
        <v>506.85</v>
      </c>
      <c r="K348" s="134" t="str">
        <f t="shared" si="25"/>
        <v>Less</v>
      </c>
      <c r="L348" s="134">
        <f>INDEX(LoadMaster!$CT:$CT,MATCH(Table2[[#This Row],[BrokerConfNo]],LoadMaster!$C:$C,0))</f>
        <v>70</v>
      </c>
      <c r="M348" s="15" t="str">
        <f>INDEX(LoadMaster!$AO:$AO,MATCH(Table2[[#This Row],[BrokerConfNo]],LoadMaster!$C:$C,0))</f>
        <v>Miguel Jaime</v>
      </c>
      <c r="N348" s="104">
        <f t="shared" si="26"/>
        <v>42454</v>
      </c>
      <c r="O348" s="135">
        <f t="shared" si="27"/>
        <v>42461</v>
      </c>
      <c r="P348" s="104">
        <f>INDEX(LoadMaster!$M:$M,MATCH(B348,LoadMaster!$C:$C,0))</f>
        <v>42452</v>
      </c>
      <c r="Q348" s="15" t="str">
        <f>INDEX(LoadMaster!$P:$P,MATCH(B348,LoadMaster!$C:$C,0))</f>
        <v>MINDEN</v>
      </c>
      <c r="R348" s="15" t="str">
        <f>INDEX(LoadMaster!$AH:$AH,MATCH(B348,LoadMaster!$C:$C,0))</f>
        <v>SACRAMENTO</v>
      </c>
      <c r="S348" s="416" t="str">
        <f>INDEX(LoadMaster!$DC:$DC,MATCH(B348,LoadMaster!$C:$C,0))</f>
        <v>Harman</v>
      </c>
      <c r="T348" s="136">
        <f>INDEX(LoadMaster!$DA:$DA,MATCH(B348,LoadMaster!$C:$C,0))</f>
        <v>24.524999999999977</v>
      </c>
      <c r="U348" s="137">
        <f>Table2[[#This Row],[WeekEndingDate]]+7</f>
        <v>42461</v>
      </c>
      <c r="V348" s="15">
        <f t="shared" si="28"/>
        <v>3</v>
      </c>
      <c r="W348" s="416">
        <f t="shared" si="29"/>
        <v>2016</v>
      </c>
    </row>
    <row r="349" spans="1:23" s="68" customFormat="1">
      <c r="A349" s="15" t="str">
        <f>INDEX(LoadMaster!$A:$A,MATCH(B349,LoadMaster!$C:$C,0))</f>
        <v>62wnwn93</v>
      </c>
      <c r="B349" s="302">
        <v>196617262</v>
      </c>
      <c r="C349" s="303" t="str">
        <f>VLOOKUP(Table2[[#This Row],[BrokerConfNo]],LoadMaster!C:D,2,FALSE)</f>
        <v>Ch Robinson</v>
      </c>
      <c r="D349" s="301">
        <v>42467</v>
      </c>
      <c r="E349" s="300" t="str">
        <f>IF(Table2[[#This Row],[UBActualReceived]]&gt;1,"Received","Pending")</f>
        <v>Received</v>
      </c>
      <c r="F349" s="134">
        <f>INDEX(LoadMaster!$CU:$CU,MATCH(B349,LoadMaster!$C:$C,0))</f>
        <v>630</v>
      </c>
      <c r="G349" s="132">
        <f>INDEX(LoadMaster!$CX:$CX,MATCH(B349,LoadMaster!$C:$C,0))</f>
        <v>617.4</v>
      </c>
      <c r="H349" s="132">
        <f>INDEX(LoadMaster!$CW:$CW,MATCH(B349,LoadMaster!$C:$C,0))</f>
        <v>585.9</v>
      </c>
      <c r="I349" s="330">
        <v>617.4</v>
      </c>
      <c r="J349" s="525">
        <v>585.9</v>
      </c>
      <c r="K349" s="134" t="str">
        <f t="shared" si="25"/>
        <v>Full</v>
      </c>
      <c r="L349" s="134">
        <f>INDEX(LoadMaster!$CT:$CT,MATCH(Table2[[#This Row],[BrokerConfNo]],LoadMaster!$C:$C,0))</f>
        <v>0</v>
      </c>
      <c r="M349" s="303" t="str">
        <f>INDEX(LoadMaster!$AO:$AO,MATCH(Table2[[#This Row],[BrokerConfNo]],LoadMaster!$C:$C,0))</f>
        <v>Arturo</v>
      </c>
      <c r="N349" s="301">
        <f t="shared" si="26"/>
        <v>42454</v>
      </c>
      <c r="O349" s="135">
        <f t="shared" si="27"/>
        <v>42461</v>
      </c>
      <c r="P349" s="301">
        <f>INDEX(LoadMaster!$M:$M,MATCH(B349,LoadMaster!$C:$C,0))</f>
        <v>42453</v>
      </c>
      <c r="Q349" s="303" t="str">
        <f>INDEX(LoadMaster!$P:$P,MATCH(B349,LoadMaster!$C:$C,0))</f>
        <v>Moundhouse</v>
      </c>
      <c r="R349" s="303" t="str">
        <f>INDEX(LoadMaster!$AH:$AH,MATCH(B349,LoadMaster!$C:$C,0))</f>
        <v>Ivanhoe</v>
      </c>
      <c r="S349" s="416" t="str">
        <f>INDEX(LoadMaster!$DC:$DC,MATCH(B349,LoadMaster!$C:$C,0))</f>
        <v>Harman</v>
      </c>
      <c r="T349" s="299">
        <f>INDEX(LoadMaster!$DA:$DA,MATCH(B349,LoadMaster!$C:$C,0))</f>
        <v>31.500000000000021</v>
      </c>
      <c r="U349" s="137">
        <f>Table2[[#This Row],[WeekEndingDate]]+7</f>
        <v>42461</v>
      </c>
      <c r="V349" s="303">
        <f t="shared" si="28"/>
        <v>3</v>
      </c>
      <c r="W349" s="300">
        <f t="shared" si="29"/>
        <v>2016</v>
      </c>
    </row>
    <row r="350" spans="1:23" s="68" customFormat="1">
      <c r="A350" s="15" t="str">
        <f>INDEX(LoadMaster!$A:$A,MATCH(B350,LoadMaster!$C:$C,0))</f>
        <v>9346wn19</v>
      </c>
      <c r="B350" s="302">
        <v>7523393</v>
      </c>
      <c r="C350" s="303" t="str">
        <f>VLOOKUP(Table2[[#This Row],[BrokerConfNo]],LoadMaster!C:D,2,FALSE)</f>
        <v>Globaltranz</v>
      </c>
      <c r="D350" s="301">
        <v>42474</v>
      </c>
      <c r="E350" s="300" t="str">
        <f>IF(Table2[[#This Row],[UBActualReceived]]&gt;1,"Received","Pending")</f>
        <v>Received</v>
      </c>
      <c r="F350" s="134">
        <f>INDEX(LoadMaster!$CU:$CU,MATCH(B350,LoadMaster!$C:$C,0))</f>
        <v>1250</v>
      </c>
      <c r="G350" s="132">
        <f>INDEX(LoadMaster!$CX:$CX,MATCH(B350,LoadMaster!$C:$C,0))</f>
        <v>1200</v>
      </c>
      <c r="H350" s="132">
        <f>INDEX(LoadMaster!$CW:$CW,MATCH(B350,LoadMaster!$C:$C,0))</f>
        <v>1162.5</v>
      </c>
      <c r="I350" s="330">
        <v>1200</v>
      </c>
      <c r="J350" s="525">
        <v>1162.5</v>
      </c>
      <c r="K350" s="134" t="str">
        <f t="shared" si="25"/>
        <v>Full</v>
      </c>
      <c r="L350" s="134">
        <f>INDEX(LoadMaster!$CT:$CT,MATCH(Table2[[#This Row],[BrokerConfNo]],LoadMaster!$C:$C,0))</f>
        <v>0</v>
      </c>
      <c r="M350" s="303" t="str">
        <f>INDEX(LoadMaster!$AO:$AO,MATCH(Table2[[#This Row],[BrokerConfNo]],LoadMaster!$C:$C,0))</f>
        <v>Miguel Jaime</v>
      </c>
      <c r="N350" s="301">
        <f t="shared" si="26"/>
        <v>42454</v>
      </c>
      <c r="O350" s="135">
        <f t="shared" si="27"/>
        <v>42461</v>
      </c>
      <c r="P350" s="301">
        <f>INDEX(LoadMaster!$M:$M,MATCH(B350,LoadMaster!$C:$C,0))</f>
        <v>42453</v>
      </c>
      <c r="Q350" s="303" t="str">
        <f>INDEX(LoadMaster!$P:$P,MATCH(B350,LoadMaster!$C:$C,0))</f>
        <v>American Canyon</v>
      </c>
      <c r="R350" s="303" t="str">
        <f>INDEX(LoadMaster!$AH:$AH,MATCH(B350,LoadMaster!$C:$C,0))</f>
        <v>Wilsonville</v>
      </c>
      <c r="S350" s="416" t="str">
        <f>INDEX(LoadMaster!$DC:$DC,MATCH(B350,LoadMaster!$C:$C,0))</f>
        <v>Harman</v>
      </c>
      <c r="T350" s="299">
        <f>INDEX(LoadMaster!$DA:$DA,MATCH(B350,LoadMaster!$C:$C,0))</f>
        <v>37.5</v>
      </c>
      <c r="U350" s="137">
        <f>Table2[[#This Row],[WeekEndingDate]]+7</f>
        <v>42461</v>
      </c>
      <c r="V350" s="303">
        <f t="shared" si="28"/>
        <v>3</v>
      </c>
      <c r="W350" s="300">
        <f t="shared" si="29"/>
        <v>2016</v>
      </c>
    </row>
    <row r="351" spans="1:23" s="68" customFormat="1">
      <c r="A351" s="15" t="str">
        <f>INDEX(LoadMaster!$A:$A,MATCH(B351,LoadMaster!$C:$C,0))</f>
        <v>43848493</v>
      </c>
      <c r="B351" s="81">
        <v>10796543</v>
      </c>
      <c r="C351" s="15" t="str">
        <f>VLOOKUP(Table2[[#This Row],[BrokerConfNo]],LoadMaster!C:D,2,FALSE)</f>
        <v>England Logistics, Inc.</v>
      </c>
      <c r="D351" s="104">
        <v>42466</v>
      </c>
      <c r="E351" s="416" t="str">
        <f>IF(Table2[[#This Row],[UBActualReceived]]&gt;1,"Received","Pending")</f>
        <v>Received</v>
      </c>
      <c r="F351" s="134">
        <f>INDEX(LoadMaster!$CU:$CU,MATCH(B351,LoadMaster!$C:$C,0))</f>
        <v>570</v>
      </c>
      <c r="G351" s="132">
        <f>INDEX(LoadMaster!$CX:$CX,MATCH(B351,LoadMaster!$C:$C,0))</f>
        <v>547.19999999999993</v>
      </c>
      <c r="H351" s="132">
        <f>INDEX(LoadMaster!$CW:$CW,MATCH(B351,LoadMaster!$C:$C,0))</f>
        <v>530.1</v>
      </c>
      <c r="I351" s="330">
        <v>537</v>
      </c>
      <c r="J351" s="525">
        <v>530.1</v>
      </c>
      <c r="K351" s="134" t="str">
        <f t="shared" si="25"/>
        <v>Less</v>
      </c>
      <c r="L351" s="134">
        <f>INDEX(LoadMaster!$CT:$CT,MATCH(Table2[[#This Row],[BrokerConfNo]],LoadMaster!$C:$C,0))</f>
        <v>0</v>
      </c>
      <c r="M351" s="15" t="str">
        <f>INDEX(LoadMaster!$AO:$AO,MATCH(Table2[[#This Row],[BrokerConfNo]],LoadMaster!$C:$C,0))</f>
        <v>Arturo</v>
      </c>
      <c r="N351" s="104">
        <f t="shared" si="26"/>
        <v>42461</v>
      </c>
      <c r="O351" s="135">
        <f t="shared" si="27"/>
        <v>42468</v>
      </c>
      <c r="P351" s="104">
        <f>INDEX(LoadMaster!$M:$M,MATCH(B351,LoadMaster!$C:$C,0))</f>
        <v>42457</v>
      </c>
      <c r="Q351" s="15" t="str">
        <f>INDEX(LoadMaster!$P:$P,MATCH(B351,LoadMaster!$C:$C,0))</f>
        <v>MODESTO</v>
      </c>
      <c r="R351" s="15" t="str">
        <f>INDEX(LoadMaster!$AH:$AH,MATCH(B351,LoadMaster!$C:$C,0))</f>
        <v>RENO</v>
      </c>
      <c r="S351" s="416" t="str">
        <f>INDEX(LoadMaster!$DC:$DC,MATCH(B351,LoadMaster!$C:$C,0))</f>
        <v>Harman</v>
      </c>
      <c r="T351" s="136">
        <f>INDEX(LoadMaster!$DA:$DA,MATCH(B351,LoadMaster!$C:$C,0))</f>
        <v>17.099999999999977</v>
      </c>
      <c r="U351" s="137">
        <f>Table2[[#This Row],[WeekEndingDate]]+7</f>
        <v>42468</v>
      </c>
      <c r="V351" s="15">
        <f t="shared" si="28"/>
        <v>3</v>
      </c>
      <c r="W351" s="416">
        <f t="shared" si="29"/>
        <v>2016</v>
      </c>
    </row>
    <row r="352" spans="1:23" s="68" customFormat="1">
      <c r="A352" s="15" t="str">
        <f>INDEX(LoadMaster!$A:$A,MATCH(B352,LoadMaster!$C:$C,0))</f>
        <v>36wnwn93</v>
      </c>
      <c r="B352" s="81">
        <v>2415536</v>
      </c>
      <c r="C352" s="15" t="str">
        <f>VLOOKUP(Table2[[#This Row],[BrokerConfNo]],LoadMaster!C:D,2,FALSE)</f>
        <v>Matson Logistics</v>
      </c>
      <c r="D352" s="104">
        <v>42471</v>
      </c>
      <c r="E352" s="416" t="str">
        <f>IF(Table2[[#This Row],[UBActualReceived]]&gt;1,"Received","Pending")</f>
        <v>Received</v>
      </c>
      <c r="F352" s="134">
        <f>INDEX(LoadMaster!$CU:$CU,MATCH(B352,LoadMaster!$C:$C,0))</f>
        <v>600</v>
      </c>
      <c r="G352" s="132">
        <f>INDEX(LoadMaster!$CX:$CX,MATCH(B352,LoadMaster!$C:$C,0))</f>
        <v>588</v>
      </c>
      <c r="H352" s="132">
        <f>INDEX(LoadMaster!$CW:$CW,MATCH(B352,LoadMaster!$C:$C,0))</f>
        <v>558</v>
      </c>
      <c r="I352" s="330">
        <v>588</v>
      </c>
      <c r="J352" s="525">
        <v>558</v>
      </c>
      <c r="K352" s="134" t="str">
        <f t="shared" si="25"/>
        <v>Full</v>
      </c>
      <c r="L352" s="134">
        <f>INDEX(LoadMaster!$CT:$CT,MATCH(Table2[[#This Row],[BrokerConfNo]],LoadMaster!$C:$C,0))</f>
        <v>0</v>
      </c>
      <c r="M352" s="15" t="str">
        <f>INDEX(LoadMaster!$AO:$AO,MATCH(Table2[[#This Row],[BrokerConfNo]],LoadMaster!$C:$C,0))</f>
        <v>Arturo</v>
      </c>
      <c r="N352" s="104">
        <f t="shared" si="26"/>
        <v>42461</v>
      </c>
      <c r="O352" s="135">
        <f t="shared" si="27"/>
        <v>42468</v>
      </c>
      <c r="P352" s="104">
        <f>INDEX(LoadMaster!$M:$M,MATCH(B352,LoadMaster!$C:$C,0))</f>
        <v>42458</v>
      </c>
      <c r="Q352" s="15" t="str">
        <f>INDEX(LoadMaster!$P:$P,MATCH(B352,LoadMaster!$C:$C,0))</f>
        <v>MOUND HOUSE</v>
      </c>
      <c r="R352" s="15" t="str">
        <f>INDEX(LoadMaster!$AH:$AH,MATCH(B352,LoadMaster!$C:$C,0))</f>
        <v>IVANHOE</v>
      </c>
      <c r="S352" s="416" t="str">
        <f>INDEX(LoadMaster!$DC:$DC,MATCH(B352,LoadMaster!$C:$C,0))</f>
        <v>Harman</v>
      </c>
      <c r="T352" s="136">
        <f>INDEX(LoadMaster!$DA:$DA,MATCH(B352,LoadMaster!$C:$C,0))</f>
        <v>30</v>
      </c>
      <c r="U352" s="137">
        <f>Table2[[#This Row],[WeekEndingDate]]+7</f>
        <v>42468</v>
      </c>
      <c r="V352" s="15">
        <f t="shared" si="28"/>
        <v>3</v>
      </c>
      <c r="W352" s="416">
        <f t="shared" si="29"/>
        <v>2016</v>
      </c>
    </row>
    <row r="353" spans="1:23">
      <c r="A353" s="15" t="str">
        <f>INDEX(LoadMaster!$A:$A,MATCH(B353,LoadMaster!$C:$C,0))</f>
        <v>49wnwn19</v>
      </c>
      <c r="B353" s="81">
        <v>104249</v>
      </c>
      <c r="C353" s="15" t="str">
        <f>VLOOKUP(Table2[[#This Row],[BrokerConfNo]],LoadMaster!C:D,2,FALSE)</f>
        <v>Nationwide Logistics</v>
      </c>
      <c r="D353" s="104">
        <v>42505</v>
      </c>
      <c r="E353" s="416" t="str">
        <f>IF(Table2[[#This Row],[UBActualReceived]]&gt;1,"Received","Pending")</f>
        <v>Received</v>
      </c>
      <c r="F353" s="134">
        <f>INDEX(LoadMaster!$CU:$CU,MATCH(B353,LoadMaster!$C:$C,0))</f>
        <v>600</v>
      </c>
      <c r="G353" s="132">
        <f>INDEX(LoadMaster!$CX:$CX,MATCH(B353,LoadMaster!$C:$C,0))</f>
        <v>600</v>
      </c>
      <c r="H353" s="132">
        <f>INDEX(LoadMaster!$CW:$CW,MATCH(B353,LoadMaster!$C:$C,0))</f>
        <v>558</v>
      </c>
      <c r="I353" s="350">
        <v>600</v>
      </c>
      <c r="J353" s="533">
        <v>558</v>
      </c>
      <c r="K353" s="134" t="str">
        <f t="shared" si="25"/>
        <v>Full</v>
      </c>
      <c r="L353" s="134">
        <f>INDEX(LoadMaster!$CT:$CT,MATCH(Table2[[#This Row],[BrokerConfNo]],LoadMaster!$C:$C,0))</f>
        <v>0</v>
      </c>
      <c r="M353" s="15" t="str">
        <f>INDEX(LoadMaster!$AO:$AO,MATCH(Table2[[#This Row],[BrokerConfNo]],LoadMaster!$C:$C,0))</f>
        <v>Miguel Jaime</v>
      </c>
      <c r="N353" s="104">
        <f t="shared" si="26"/>
        <v>42461</v>
      </c>
      <c r="O353" s="135">
        <f t="shared" si="27"/>
        <v>42468</v>
      </c>
      <c r="P353" s="104">
        <f>INDEX(LoadMaster!$M:$M,MATCH(B353,LoadMaster!$C:$C,0))</f>
        <v>42458</v>
      </c>
      <c r="Q353" s="15" t="str">
        <f>INDEX(LoadMaster!$P:$P,MATCH(B353,LoadMaster!$C:$C,0))</f>
        <v xml:space="preserve">Eugene </v>
      </c>
      <c r="R353" s="15" t="str">
        <f>INDEX(LoadMaster!$AH:$AH,MATCH(B353,LoadMaster!$C:$C,0))</f>
        <v>Pleasanton</v>
      </c>
      <c r="S353" s="416" t="str">
        <f>INDEX(LoadMaster!$DC:$DC,MATCH(B353,LoadMaster!$C:$C,0))</f>
        <v>Harman</v>
      </c>
      <c r="T353" s="136">
        <f>INDEX(LoadMaster!$DA:$DA,MATCH(B353,LoadMaster!$C:$C,0))</f>
        <v>42</v>
      </c>
      <c r="U353" s="137">
        <f>Table2[[#This Row],[WeekEndingDate]]+7</f>
        <v>42468</v>
      </c>
      <c r="V353" s="15">
        <f t="shared" si="28"/>
        <v>3</v>
      </c>
      <c r="W353" s="416">
        <f t="shared" si="29"/>
        <v>2016</v>
      </c>
    </row>
    <row r="354" spans="1:23" s="68" customFormat="1">
      <c r="A354" s="15" t="str">
        <f>INDEX(LoadMaster!$A:$A,MATCH(B354,LoadMaster!$C:$C,0))</f>
        <v>83080819</v>
      </c>
      <c r="B354" s="81">
        <v>2174783</v>
      </c>
      <c r="C354" s="15" t="str">
        <f>VLOOKUP(Table2[[#This Row],[BrokerConfNo]],LoadMaster!C:D,2,FALSE)</f>
        <v>Covenant Transport Solutions</v>
      </c>
      <c r="D354" s="104">
        <v>42475</v>
      </c>
      <c r="E354" s="416" t="str">
        <f>IF(Table2[[#This Row],[UBActualReceived]]&gt;1,"Received","Pending")</f>
        <v>Received</v>
      </c>
      <c r="F354" s="134">
        <f>INDEX(LoadMaster!$CU:$CU,MATCH(B354,LoadMaster!$C:$C,0))</f>
        <v>849</v>
      </c>
      <c r="G354" s="132">
        <f>INDEX(LoadMaster!$CX:$CX,MATCH(B354,LoadMaster!$C:$C,0))</f>
        <v>849</v>
      </c>
      <c r="H354" s="132">
        <f>INDEX(LoadMaster!$CW:$CW,MATCH(B354,LoadMaster!$C:$C,0))</f>
        <v>789.57</v>
      </c>
      <c r="I354" s="330">
        <v>849</v>
      </c>
      <c r="J354" s="525">
        <v>789.57</v>
      </c>
      <c r="K354" s="134" t="str">
        <f t="shared" si="25"/>
        <v>Full</v>
      </c>
      <c r="L354" s="134">
        <f>INDEX(LoadMaster!$CT:$CT,MATCH(Table2[[#This Row],[BrokerConfNo]],LoadMaster!$C:$C,0))</f>
        <v>0</v>
      </c>
      <c r="M354" s="15" t="str">
        <f>INDEX(LoadMaster!$AO:$AO,MATCH(Table2[[#This Row],[BrokerConfNo]],LoadMaster!$C:$C,0))</f>
        <v>Miguel Jaime</v>
      </c>
      <c r="N354" s="104">
        <f t="shared" si="26"/>
        <v>42461</v>
      </c>
      <c r="O354" s="135">
        <f t="shared" si="27"/>
        <v>42468</v>
      </c>
      <c r="P354" s="104">
        <f>INDEX(LoadMaster!$M:$M,MATCH(B354,LoadMaster!$C:$C,0))</f>
        <v>42459</v>
      </c>
      <c r="Q354" s="15" t="str">
        <f>INDEX(LoadMaster!$P:$P,MATCH(B354,LoadMaster!$C:$C,0))</f>
        <v>ELK GROVE</v>
      </c>
      <c r="R354" s="15" t="str">
        <f>INDEX(LoadMaster!$AH:$AH,MATCH(B354,LoadMaster!$C:$C,0))</f>
        <v>FERNLEY / WINNEMUCCA</v>
      </c>
      <c r="S354" s="416" t="str">
        <f>INDEX(LoadMaster!$DC:$DC,MATCH(B354,LoadMaster!$C:$C,0))</f>
        <v>Harman</v>
      </c>
      <c r="T354" s="136">
        <f>INDEX(LoadMaster!$DA:$DA,MATCH(B354,LoadMaster!$C:$C,0))</f>
        <v>59.42999999999995</v>
      </c>
      <c r="U354" s="137">
        <f>Table2[[#This Row],[WeekEndingDate]]+7</f>
        <v>42468</v>
      </c>
      <c r="V354" s="15">
        <f t="shared" si="28"/>
        <v>3</v>
      </c>
      <c r="W354" s="416">
        <f t="shared" si="29"/>
        <v>2016</v>
      </c>
    </row>
    <row r="355" spans="1:23" s="68" customFormat="1">
      <c r="A355" s="15" t="str">
        <f>INDEX(LoadMaster!$A:$A,MATCH(B355,LoadMaster!$C:$C,0))</f>
        <v>92920793</v>
      </c>
      <c r="B355" s="81">
        <v>52692</v>
      </c>
      <c r="C355" s="15" t="str">
        <f>VLOOKUP(Table2[[#This Row],[BrokerConfNo]],LoadMaster!C:D,2,FALSE)</f>
        <v xml:space="preserve">JL Freight </v>
      </c>
      <c r="D355" s="104">
        <v>42488</v>
      </c>
      <c r="E355" s="416" t="str">
        <f>IF(Table2[[#This Row],[UBActualReceived]]&gt;1,"Received","Pending")</f>
        <v>Received</v>
      </c>
      <c r="F355" s="134">
        <f>INDEX(LoadMaster!$CU:$CU,MATCH(B355,LoadMaster!$C:$C,0))</f>
        <v>600</v>
      </c>
      <c r="G355" s="132">
        <f>INDEX(LoadMaster!$CX:$CX,MATCH(B355,LoadMaster!$C:$C,0))</f>
        <v>600</v>
      </c>
      <c r="H355" s="132">
        <f>INDEX(LoadMaster!$CW:$CW,MATCH(B355,LoadMaster!$C:$C,0))</f>
        <v>558</v>
      </c>
      <c r="I355" s="330">
        <v>558</v>
      </c>
      <c r="J355" s="525">
        <v>558</v>
      </c>
      <c r="K355" s="134" t="str">
        <f t="shared" si="25"/>
        <v>Less</v>
      </c>
      <c r="L355" s="134">
        <f>INDEX(LoadMaster!$CT:$CT,MATCH(Table2[[#This Row],[BrokerConfNo]],LoadMaster!$C:$C,0))</f>
        <v>0</v>
      </c>
      <c r="M355" s="15" t="str">
        <f>INDEX(LoadMaster!$AO:$AO,MATCH(Table2[[#This Row],[BrokerConfNo]],LoadMaster!$C:$C,0))</f>
        <v>Arturo</v>
      </c>
      <c r="N355" s="104">
        <f t="shared" si="26"/>
        <v>42461</v>
      </c>
      <c r="O355" s="135">
        <f t="shared" si="27"/>
        <v>42468</v>
      </c>
      <c r="P355" s="104">
        <f>INDEX(LoadMaster!$M:$M,MATCH(B355,LoadMaster!$C:$C,0))</f>
        <v>42459</v>
      </c>
      <c r="Q355" s="15" t="str">
        <f>INDEX(LoadMaster!$P:$P,MATCH(B355,LoadMaster!$C:$C,0))</f>
        <v>Firebaugh</v>
      </c>
      <c r="R355" s="15" t="str">
        <f>INDEX(LoadMaster!$AH:$AH,MATCH(B355,LoadMaster!$C:$C,0))</f>
        <v>Chula Vista</v>
      </c>
      <c r="S355" s="416" t="str">
        <f>INDEX(LoadMaster!$DC:$DC,MATCH(B355,LoadMaster!$C:$C,0))</f>
        <v>Harman</v>
      </c>
      <c r="T355" s="136">
        <f>INDEX(LoadMaster!$DA:$DA,MATCH(B355,LoadMaster!$C:$C,0))</f>
        <v>42</v>
      </c>
      <c r="U355" s="137">
        <f>Table2[[#This Row],[WeekEndingDate]]+7</f>
        <v>42468</v>
      </c>
      <c r="V355" s="15">
        <f t="shared" si="28"/>
        <v>3</v>
      </c>
      <c r="W355" s="416">
        <f t="shared" si="29"/>
        <v>2016</v>
      </c>
    </row>
    <row r="356" spans="1:23" s="68" customFormat="1">
      <c r="A356" s="15" t="str">
        <f>INDEX(LoadMaster!$A:$A,MATCH(B356,LoadMaster!$C:$C,0))</f>
        <v>71464693</v>
      </c>
      <c r="B356" s="302">
        <v>2176371</v>
      </c>
      <c r="C356" s="303" t="str">
        <f>VLOOKUP(Table2[[#This Row],[BrokerConfNo]],LoadMaster!C:D,2,FALSE)</f>
        <v>Covenant Transport Solutions</v>
      </c>
      <c r="D356" s="104">
        <v>42475</v>
      </c>
      <c r="E356" s="300" t="str">
        <f>IF(Table2[[#This Row],[UBActualReceived]]&gt;1,"Received","Pending")</f>
        <v>Received</v>
      </c>
      <c r="F356" s="134">
        <f>INDEX(LoadMaster!$CU:$CU,MATCH(B356,LoadMaster!$C:$C,0))</f>
        <v>849</v>
      </c>
      <c r="G356" s="132">
        <f>INDEX(LoadMaster!$CX:$CX,MATCH(B356,LoadMaster!$C:$C,0))</f>
        <v>849</v>
      </c>
      <c r="H356" s="132">
        <f>INDEX(LoadMaster!$CW:$CW,MATCH(B356,LoadMaster!$C:$C,0))</f>
        <v>789.57</v>
      </c>
      <c r="I356" s="330">
        <v>849</v>
      </c>
      <c r="J356" s="525">
        <v>789.57</v>
      </c>
      <c r="K356" s="134" t="str">
        <f t="shared" si="25"/>
        <v>Full</v>
      </c>
      <c r="L356" s="134">
        <f>INDEX(LoadMaster!$CT:$CT,MATCH(Table2[[#This Row],[BrokerConfNo]],LoadMaster!$C:$C,0))</f>
        <v>0</v>
      </c>
      <c r="M356" s="303" t="str">
        <f>INDEX(LoadMaster!$AO:$AO,MATCH(Table2[[#This Row],[BrokerConfNo]],LoadMaster!$C:$C,0))</f>
        <v>Arturo</v>
      </c>
      <c r="N356" s="301">
        <f t="shared" si="26"/>
        <v>42461</v>
      </c>
      <c r="O356" s="135">
        <f t="shared" si="27"/>
        <v>42468</v>
      </c>
      <c r="P356" s="301">
        <f>INDEX(LoadMaster!$M:$M,MATCH(B356,LoadMaster!$C:$C,0))</f>
        <v>42460</v>
      </c>
      <c r="Q356" s="303" t="str">
        <f>INDEX(LoadMaster!$P:$P,MATCH(B356,LoadMaster!$C:$C,0))</f>
        <v>ELK GROVE</v>
      </c>
      <c r="R356" s="303" t="str">
        <f>INDEX(LoadMaster!$AH:$AH,MATCH(B356,LoadMaster!$C:$C,0))</f>
        <v>FERNLEY / WINNEMUCCA</v>
      </c>
      <c r="S356" s="416" t="str">
        <f>INDEX(LoadMaster!$DC:$DC,MATCH(B356,LoadMaster!$C:$C,0))</f>
        <v>Harman</v>
      </c>
      <c r="T356" s="299">
        <f>INDEX(LoadMaster!$DA:$DA,MATCH(B356,LoadMaster!$C:$C,0))</f>
        <v>59.42999999999995</v>
      </c>
      <c r="U356" s="137">
        <f>Table2[[#This Row],[WeekEndingDate]]+7</f>
        <v>42468</v>
      </c>
      <c r="V356" s="303">
        <f t="shared" si="28"/>
        <v>3</v>
      </c>
      <c r="W356" s="300">
        <f t="shared" si="29"/>
        <v>2016</v>
      </c>
    </row>
    <row r="357" spans="1:23" s="68" customFormat="1">
      <c r="A357" s="15" t="str">
        <f>INDEX(LoadMaster!$A:$A,MATCH(B357,LoadMaster!$C:$C,0))</f>
        <v>45eses93</v>
      </c>
      <c r="B357" s="302">
        <v>6785645</v>
      </c>
      <c r="C357" s="303" t="str">
        <f>VLOOKUP(Table2[[#This Row],[BrokerConfNo]],LoadMaster!C:D,2,FALSE)</f>
        <v>TQL</v>
      </c>
      <c r="D357" s="301">
        <v>42473</v>
      </c>
      <c r="E357" s="300" t="str">
        <f>IF(Table2[[#This Row],[UBActualReceived]]&gt;1,"Received","Pending")</f>
        <v>Received</v>
      </c>
      <c r="F357" s="134">
        <f>INDEX(LoadMaster!$CU:$CU,MATCH(B357,LoadMaster!$C:$C,0))</f>
        <v>825</v>
      </c>
      <c r="G357" s="132">
        <f>INDEX(LoadMaster!$CX:$CX,MATCH(B357,LoadMaster!$C:$C,0))</f>
        <v>800.25</v>
      </c>
      <c r="H357" s="132">
        <f>INDEX(LoadMaster!$CW:$CW,MATCH(B357,LoadMaster!$C:$C,0))</f>
        <v>767.25</v>
      </c>
      <c r="I357" s="330">
        <v>800.25</v>
      </c>
      <c r="J357" s="525">
        <v>767.25</v>
      </c>
      <c r="K357" s="134" t="str">
        <f t="shared" si="25"/>
        <v>Full</v>
      </c>
      <c r="L357" s="134">
        <f>INDEX(LoadMaster!$CT:$CT,MATCH(Table2[[#This Row],[BrokerConfNo]],LoadMaster!$C:$C,0))</f>
        <v>0</v>
      </c>
      <c r="M357" s="303" t="str">
        <f>INDEX(LoadMaster!$AO:$AO,MATCH(Table2[[#This Row],[BrokerConfNo]],LoadMaster!$C:$C,0))</f>
        <v>Arturo</v>
      </c>
      <c r="N357" s="301">
        <f t="shared" si="26"/>
        <v>42461</v>
      </c>
      <c r="O357" s="135">
        <f t="shared" si="27"/>
        <v>42468</v>
      </c>
      <c r="P357" s="301">
        <f>INDEX(LoadMaster!$M:$M,MATCH(B357,LoadMaster!$C:$C,0))</f>
        <v>42460</v>
      </c>
      <c r="Q357" s="303" t="str">
        <f>INDEX(LoadMaster!$P:$P,MATCH(B357,LoadMaster!$C:$C,0))</f>
        <v>Irvine</v>
      </c>
      <c r="R357" s="303" t="str">
        <f>INDEX(LoadMaster!$AH:$AH,MATCH(B357,LoadMaster!$C:$C,0))</f>
        <v>NEWARK</v>
      </c>
      <c r="S357" s="416" t="str">
        <f>INDEX(LoadMaster!$DC:$DC,MATCH(B357,LoadMaster!$C:$C,0))</f>
        <v>Harman</v>
      </c>
      <c r="T357" s="299">
        <f>INDEX(LoadMaster!$DA:$DA,MATCH(B357,LoadMaster!$C:$C,0))</f>
        <v>33</v>
      </c>
      <c r="U357" s="137">
        <f>Table2[[#This Row],[WeekEndingDate]]+7</f>
        <v>42468</v>
      </c>
      <c r="V357" s="303">
        <f t="shared" si="28"/>
        <v>3</v>
      </c>
      <c r="W357" s="300">
        <f t="shared" si="29"/>
        <v>2016</v>
      </c>
    </row>
    <row r="358" spans="1:23" s="68" customFormat="1">
      <c r="A358" s="15" t="str">
        <f>INDEX(LoadMaster!$A:$A,MATCH(B358,LoadMaster!$C:$C,0))</f>
        <v>04wnwn19</v>
      </c>
      <c r="B358" s="302">
        <v>196652404</v>
      </c>
      <c r="C358" s="303" t="str">
        <f>VLOOKUP(Table2[[#This Row],[BrokerConfNo]],LoadMaster!C:D,2,FALSE)</f>
        <v>Ch Robinson</v>
      </c>
      <c r="D358" s="301">
        <v>42471</v>
      </c>
      <c r="E358" s="300" t="str">
        <f>IF(Table2[[#This Row],[UBActualReceived]]&gt;1,"Received","Pending")</f>
        <v>Received</v>
      </c>
      <c r="F358" s="134">
        <f>INDEX(LoadMaster!$CU:$CU,MATCH(B358,LoadMaster!$C:$C,0))</f>
        <v>150</v>
      </c>
      <c r="G358" s="132">
        <f>INDEX(LoadMaster!$CX:$CX,MATCH(B358,LoadMaster!$C:$C,0))</f>
        <v>147</v>
      </c>
      <c r="H358" s="132">
        <f>INDEX(LoadMaster!$CW:$CW,MATCH(B358,LoadMaster!$C:$C,0))</f>
        <v>125</v>
      </c>
      <c r="I358" s="330">
        <v>147</v>
      </c>
      <c r="J358" s="525">
        <v>125</v>
      </c>
      <c r="K358" s="134" t="str">
        <f t="shared" si="25"/>
        <v>Full</v>
      </c>
      <c r="L358" s="134">
        <f>INDEX(LoadMaster!$CT:$CT,MATCH(Table2[[#This Row],[BrokerConfNo]],LoadMaster!$C:$C,0))</f>
        <v>0</v>
      </c>
      <c r="M358" s="303" t="str">
        <f>INDEX(LoadMaster!$AO:$AO,MATCH(Table2[[#This Row],[BrokerConfNo]],LoadMaster!$C:$C,0))</f>
        <v>Miguel Jaime</v>
      </c>
      <c r="N358" s="301">
        <f t="shared" si="26"/>
        <v>42461</v>
      </c>
      <c r="O358" s="135">
        <f t="shared" si="27"/>
        <v>42468</v>
      </c>
      <c r="P358" s="301">
        <f>INDEX(LoadMaster!$M:$M,MATCH(B358,LoadMaster!$C:$C,0))</f>
        <v>42461</v>
      </c>
      <c r="Q358" s="303" t="str">
        <f>INDEX(LoadMaster!$P:$P,MATCH(B358,LoadMaster!$C:$C,0))</f>
        <v>Moundhouse</v>
      </c>
      <c r="R358" s="303" t="str">
        <f>INDEX(LoadMaster!$AH:$AH,MATCH(B358,LoadMaster!$C:$C,0))</f>
        <v>Ivanhoe</v>
      </c>
      <c r="S358" s="416" t="str">
        <f>INDEX(LoadMaster!$DC:$DC,MATCH(B358,LoadMaster!$C:$C,0))</f>
        <v>Harman</v>
      </c>
      <c r="T358" s="299">
        <f>INDEX(LoadMaster!$DA:$DA,MATCH(B358,LoadMaster!$C:$C,0))</f>
        <v>22</v>
      </c>
      <c r="U358" s="137">
        <f>Table2[[#This Row],[WeekEndingDate]]+7</f>
        <v>42468</v>
      </c>
      <c r="V358" s="303">
        <f t="shared" si="28"/>
        <v>4</v>
      </c>
      <c r="W358" s="300">
        <f t="shared" si="29"/>
        <v>2016</v>
      </c>
    </row>
    <row r="359" spans="1:23" s="68" customFormat="1">
      <c r="A359" s="15" t="str">
        <f>INDEX(LoadMaster!$A:$A,MATCH(B359,LoadMaster!$C:$C,0))</f>
        <v>51131349</v>
      </c>
      <c r="B359" s="81">
        <v>184251</v>
      </c>
      <c r="C359" s="15" t="str">
        <f>VLOOKUP(Table2[[#This Row],[BrokerConfNo]],LoadMaster!C:D,2,FALSE)</f>
        <v>Gulf Winds</v>
      </c>
      <c r="D359" s="104">
        <v>42480</v>
      </c>
      <c r="E359" s="416" t="str">
        <f>IF(Table2[[#This Row],[UBActualReceived]]&gt;1,"Received","Pending")</f>
        <v>Received</v>
      </c>
      <c r="F359" s="134">
        <f>INDEX(LoadMaster!$CU:$CU,MATCH(B359,LoadMaster!$C:$C,0))</f>
        <v>600</v>
      </c>
      <c r="G359" s="132">
        <f>INDEX(LoadMaster!$CX:$CX,MATCH(B359,LoadMaster!$C:$C,0))</f>
        <v>600</v>
      </c>
      <c r="H359" s="132">
        <f>INDEX(LoadMaster!$CW:$CW,MATCH(B359,LoadMaster!$C:$C,0))</f>
        <v>558</v>
      </c>
      <c r="I359" s="330">
        <v>600</v>
      </c>
      <c r="J359" s="525">
        <v>558</v>
      </c>
      <c r="K359" s="134" t="str">
        <f t="shared" si="25"/>
        <v>Full</v>
      </c>
      <c r="L359" s="134">
        <f>INDEX(LoadMaster!$CT:$CT,MATCH(Table2[[#This Row],[BrokerConfNo]],LoadMaster!$C:$C,0))</f>
        <v>0</v>
      </c>
      <c r="M359" s="15" t="str">
        <f>INDEX(LoadMaster!$AO:$AO,MATCH(Table2[[#This Row],[BrokerConfNo]],LoadMaster!$C:$C,0))</f>
        <v>Albel</v>
      </c>
      <c r="N359" s="104">
        <f t="shared" si="26"/>
        <v>42468</v>
      </c>
      <c r="O359" s="135">
        <f t="shared" si="27"/>
        <v>42482</v>
      </c>
      <c r="P359" s="104">
        <f>INDEX(LoadMaster!$M:$M,MATCH(B359,LoadMaster!$C:$C,0))</f>
        <v>42464</v>
      </c>
      <c r="Q359" s="15" t="str">
        <f>INDEX(LoadMaster!$P:$P,MATCH(B359,LoadMaster!$C:$C,0))</f>
        <v>Oakland</v>
      </c>
      <c r="R359" s="15" t="str">
        <f>INDEX(LoadMaster!$AH:$AH,MATCH(B359,LoadMaster!$C:$C,0))</f>
        <v>SPARKS</v>
      </c>
      <c r="S359" s="416" t="str">
        <f>INDEX(LoadMaster!$DC:$DC,MATCH(B359,LoadMaster!$C:$C,0))</f>
        <v>Harman</v>
      </c>
      <c r="T359" s="136">
        <f>INDEX(LoadMaster!$DA:$DA,MATCH(B359,LoadMaster!$C:$C,0))</f>
        <v>42</v>
      </c>
      <c r="U359" s="137">
        <f>Table2[[#This Row],[WeekEndingDate]]+7</f>
        <v>42475</v>
      </c>
      <c r="V359" s="15">
        <f t="shared" si="28"/>
        <v>4</v>
      </c>
      <c r="W359" s="416">
        <f t="shared" si="29"/>
        <v>2016</v>
      </c>
    </row>
    <row r="360" spans="1:23" s="68" customFormat="1">
      <c r="A360" s="15" t="str">
        <f>INDEX(LoadMaster!$A:$A,MATCH(B360,LoadMaster!$C:$C,0))</f>
        <v>77850493</v>
      </c>
      <c r="B360" s="81">
        <v>136077</v>
      </c>
      <c r="C360" s="15" t="str">
        <f>VLOOKUP(Table2[[#This Row],[BrokerConfNo]],LoadMaster!C:D,2,FALSE)</f>
        <v>Pepsi Logistics Company Inc</v>
      </c>
      <c r="D360" s="104">
        <v>42473</v>
      </c>
      <c r="E360" s="416" t="str">
        <f>IF(Table2[[#This Row],[UBActualReceived]]&gt;1,"Received","Pending")</f>
        <v>Received</v>
      </c>
      <c r="F360" s="134">
        <f>INDEX(LoadMaster!$CU:$CU,MATCH(B360,LoadMaster!$C:$C,0))</f>
        <v>700</v>
      </c>
      <c r="G360" s="132">
        <f>INDEX(LoadMaster!$CX:$CX,MATCH(B360,LoadMaster!$C:$C,0))</f>
        <v>682.5</v>
      </c>
      <c r="H360" s="132">
        <f>INDEX(LoadMaster!$CW:$CW,MATCH(B360,LoadMaster!$C:$C,0))</f>
        <v>651</v>
      </c>
      <c r="I360" s="330">
        <v>682.5</v>
      </c>
      <c r="J360" s="525">
        <v>651</v>
      </c>
      <c r="K360" s="134" t="str">
        <f t="shared" si="25"/>
        <v>Full</v>
      </c>
      <c r="L360" s="134">
        <f>INDEX(LoadMaster!$CT:$CT,MATCH(Table2[[#This Row],[BrokerConfNo]],LoadMaster!$C:$C,0))</f>
        <v>0</v>
      </c>
      <c r="M360" s="15" t="str">
        <f>INDEX(LoadMaster!$AO:$AO,MATCH(Table2[[#This Row],[BrokerConfNo]],LoadMaster!$C:$C,0))</f>
        <v>Arturo</v>
      </c>
      <c r="N360" s="104">
        <f t="shared" si="26"/>
        <v>42468</v>
      </c>
      <c r="O360" s="135">
        <f t="shared" si="27"/>
        <v>42475</v>
      </c>
      <c r="P360" s="104">
        <f>INDEX(LoadMaster!$M:$M,MATCH(B360,LoadMaster!$C:$C,0))</f>
        <v>42464</v>
      </c>
      <c r="Q360" s="15" t="str">
        <f>INDEX(LoadMaster!$P:$P,MATCH(B360,LoadMaster!$C:$C,0))</f>
        <v>SPARKS</v>
      </c>
      <c r="R360" s="15" t="str">
        <f>INDEX(LoadMaster!$AH:$AH,MATCH(B360,LoadMaster!$C:$C,0))</f>
        <v>APPLE VALLEY</v>
      </c>
      <c r="S360" s="416" t="str">
        <f>INDEX(LoadMaster!$DC:$DC,MATCH(B360,LoadMaster!$C:$C,0))</f>
        <v>Harman</v>
      </c>
      <c r="T360" s="136">
        <f>INDEX(LoadMaster!$DA:$DA,MATCH(B360,LoadMaster!$C:$C,0))</f>
        <v>31.5</v>
      </c>
      <c r="U360" s="137">
        <f>Table2[[#This Row],[WeekEndingDate]]+7</f>
        <v>42475</v>
      </c>
      <c r="V360" s="15">
        <f t="shared" si="28"/>
        <v>4</v>
      </c>
      <c r="W360" s="416">
        <f t="shared" si="29"/>
        <v>2016</v>
      </c>
    </row>
    <row r="361" spans="1:23" s="68" customFormat="1">
      <c r="A361" s="15" t="str">
        <f>INDEX(LoadMaster!$A:$A,MATCH(B361,LoadMaster!$C:$C,0))</f>
        <v>83LELE93</v>
      </c>
      <c r="B361" s="302">
        <v>136783</v>
      </c>
      <c r="C361" s="303" t="str">
        <f>VLOOKUP(Table2[[#This Row],[BrokerConfNo]],LoadMaster!C:D,2,FALSE)</f>
        <v>Pepsi Logistics Company Inc</v>
      </c>
      <c r="D361" s="301">
        <v>42474</v>
      </c>
      <c r="E361" s="300" t="str">
        <f>IF(Table2[[#This Row],[UBActualReceived]]&gt;1,"Received","Pending")</f>
        <v>Received</v>
      </c>
      <c r="F361" s="134">
        <f>INDEX(LoadMaster!$CU:$CU,MATCH(B361,LoadMaster!$C:$C,0))</f>
        <v>800</v>
      </c>
      <c r="G361" s="132">
        <f>INDEX(LoadMaster!$CX:$CX,MATCH(B361,LoadMaster!$C:$C,0))</f>
        <v>780</v>
      </c>
      <c r="H361" s="132">
        <f>INDEX(LoadMaster!$CW:$CW,MATCH(B361,LoadMaster!$C:$C,0))</f>
        <v>744</v>
      </c>
      <c r="I361" s="330">
        <v>780</v>
      </c>
      <c r="J361" s="525">
        <v>744</v>
      </c>
      <c r="K361" s="134" t="str">
        <f t="shared" si="25"/>
        <v>Full</v>
      </c>
      <c r="L361" s="134">
        <f>INDEX(LoadMaster!$CT:$CT,MATCH(Table2[[#This Row],[BrokerConfNo]],LoadMaster!$C:$C,0))</f>
        <v>0</v>
      </c>
      <c r="M361" s="303" t="str">
        <f>INDEX(LoadMaster!$AO:$AO,MATCH(Table2[[#This Row],[BrokerConfNo]],LoadMaster!$C:$C,0))</f>
        <v>Arturo</v>
      </c>
      <c r="N361" s="301">
        <f t="shared" si="26"/>
        <v>42468</v>
      </c>
      <c r="O361" s="135">
        <f t="shared" si="27"/>
        <v>42475</v>
      </c>
      <c r="P361" s="301">
        <f>INDEX(LoadMaster!$M:$M,MATCH(B361,LoadMaster!$C:$C,0))</f>
        <v>42465</v>
      </c>
      <c r="Q361" s="303" t="str">
        <f>INDEX(LoadMaster!$P:$P,MATCH(B361,LoadMaster!$C:$C,0))</f>
        <v>CORONA</v>
      </c>
      <c r="R361" s="303" t="str">
        <f>INDEX(LoadMaster!$AH:$AH,MATCH(B361,LoadMaster!$C:$C,0))</f>
        <v>WEST SACRAMENTO</v>
      </c>
      <c r="S361" s="416" t="str">
        <f>INDEX(LoadMaster!$DC:$DC,MATCH(B361,LoadMaster!$C:$C,0))</f>
        <v>Harman</v>
      </c>
      <c r="T361" s="299">
        <f>INDEX(LoadMaster!$DA:$DA,MATCH(B361,LoadMaster!$C:$C,0))</f>
        <v>36</v>
      </c>
      <c r="U361" s="137">
        <f>Table2[[#This Row],[WeekEndingDate]]+7</f>
        <v>42475</v>
      </c>
      <c r="V361" s="303">
        <f t="shared" si="28"/>
        <v>4</v>
      </c>
      <c r="W361" s="300">
        <f t="shared" si="29"/>
        <v>2016</v>
      </c>
    </row>
    <row r="362" spans="1:23" s="68" customFormat="1">
      <c r="A362" s="15" t="str">
        <f>INDEX(LoadMaster!$A:$A,MATCH(B362,LoadMaster!$C:$C,0))</f>
        <v>83464693</v>
      </c>
      <c r="B362" s="302">
        <v>2176383</v>
      </c>
      <c r="C362" s="303" t="str">
        <f>VLOOKUP(Table2[[#This Row],[BrokerConfNo]],LoadMaster!C:D,2,FALSE)</f>
        <v>Covenant Transport Solutions</v>
      </c>
      <c r="D362" s="104">
        <v>42475</v>
      </c>
      <c r="E362" s="300" t="str">
        <f>IF(Table2[[#This Row],[UBActualReceived]]&gt;1,"Received","Pending")</f>
        <v>Received</v>
      </c>
      <c r="F362" s="134">
        <f>INDEX(LoadMaster!$CU:$CU,MATCH(B362,LoadMaster!$C:$C,0))</f>
        <v>750</v>
      </c>
      <c r="G362" s="132">
        <f>INDEX(LoadMaster!$CX:$CX,MATCH(B362,LoadMaster!$C:$C,0))</f>
        <v>750</v>
      </c>
      <c r="H362" s="132">
        <f>INDEX(LoadMaster!$CW:$CW,MATCH(B362,LoadMaster!$C:$C,0))</f>
        <v>697.5</v>
      </c>
      <c r="I362" s="330">
        <v>750</v>
      </c>
      <c r="J362" s="525">
        <v>697.5</v>
      </c>
      <c r="K362" s="134" t="str">
        <f t="shared" si="25"/>
        <v>Full</v>
      </c>
      <c r="L362" s="134">
        <f>INDEX(LoadMaster!$CT:$CT,MATCH(Table2[[#This Row],[BrokerConfNo]],LoadMaster!$C:$C,0))</f>
        <v>0</v>
      </c>
      <c r="M362" s="303" t="str">
        <f>INDEX(LoadMaster!$AO:$AO,MATCH(Table2[[#This Row],[BrokerConfNo]],LoadMaster!$C:$C,0))</f>
        <v>Arturo</v>
      </c>
      <c r="N362" s="301">
        <f t="shared" si="26"/>
        <v>42468</v>
      </c>
      <c r="O362" s="135">
        <f t="shared" si="27"/>
        <v>42475</v>
      </c>
      <c r="P362" s="301">
        <f>INDEX(LoadMaster!$M:$M,MATCH(B362,LoadMaster!$C:$C,0))</f>
        <v>42466</v>
      </c>
      <c r="Q362" s="303" t="str">
        <f>INDEX(LoadMaster!$P:$P,MATCH(B362,LoadMaster!$C:$C,0))</f>
        <v>ELK GROVE</v>
      </c>
      <c r="R362" s="303" t="str">
        <f>INDEX(LoadMaster!$AH:$AH,MATCH(B362,LoadMaster!$C:$C,0))</f>
        <v>WINNEMUCCA</v>
      </c>
      <c r="S362" s="416" t="str">
        <f>INDEX(LoadMaster!$DC:$DC,MATCH(B362,LoadMaster!$C:$C,0))</f>
        <v>Harman</v>
      </c>
      <c r="T362" s="299">
        <f>INDEX(LoadMaster!$DA:$DA,MATCH(B362,LoadMaster!$C:$C,0))</f>
        <v>52.5</v>
      </c>
      <c r="U362" s="137">
        <f>Table2[[#This Row],[WeekEndingDate]]+7</f>
        <v>42475</v>
      </c>
      <c r="V362" s="303">
        <f t="shared" si="28"/>
        <v>4</v>
      </c>
      <c r="W362" s="300">
        <f t="shared" si="29"/>
        <v>2016</v>
      </c>
    </row>
    <row r="363" spans="1:23" s="68" customFormat="1">
      <c r="A363" s="15" t="str">
        <f>INDEX(LoadMaster!$A:$A,MATCH(B363,LoadMaster!$C:$C,0))</f>
        <v>69BRwn19</v>
      </c>
      <c r="B363" s="302">
        <v>8493569</v>
      </c>
      <c r="C363" s="303" t="str">
        <f>VLOOKUP(Table2[[#This Row],[BrokerConfNo]],LoadMaster!C:D,2,FALSE)</f>
        <v>Sunteck Transport Co. Inc</v>
      </c>
      <c r="D363" s="301">
        <v>42472</v>
      </c>
      <c r="E363" s="300" t="str">
        <f>IF(Table2[[#This Row],[UBActualReceived]]&gt;1,"Received","Pending")</f>
        <v>Received</v>
      </c>
      <c r="F363" s="134">
        <f>INDEX(LoadMaster!$CU:$CU,MATCH(B363,LoadMaster!$C:$C,0))</f>
        <v>600</v>
      </c>
      <c r="G363" s="132">
        <f>INDEX(LoadMaster!$CX:$CX,MATCH(B363,LoadMaster!$C:$C,0))</f>
        <v>585</v>
      </c>
      <c r="H363" s="132">
        <f>INDEX(LoadMaster!$CW:$CW,MATCH(B363,LoadMaster!$C:$C,0))</f>
        <v>558</v>
      </c>
      <c r="I363" s="330">
        <v>585</v>
      </c>
      <c r="J363" s="525">
        <v>558</v>
      </c>
      <c r="K363" s="134" t="str">
        <f t="shared" si="25"/>
        <v>Full</v>
      </c>
      <c r="L363" s="134">
        <f>INDEX(LoadMaster!$CT:$CT,MATCH(Table2[[#This Row],[BrokerConfNo]],LoadMaster!$C:$C,0))</f>
        <v>0</v>
      </c>
      <c r="M363" s="303" t="str">
        <f>INDEX(LoadMaster!$AO:$AO,MATCH(Table2[[#This Row],[BrokerConfNo]],LoadMaster!$C:$C,0))</f>
        <v>Miguel Jaime</v>
      </c>
      <c r="N363" s="301">
        <f t="shared" si="26"/>
        <v>42468</v>
      </c>
      <c r="O363" s="135">
        <f t="shared" si="27"/>
        <v>42475</v>
      </c>
      <c r="P363" s="301">
        <f>INDEX(LoadMaster!$M:$M,MATCH(B363,LoadMaster!$C:$C,0))</f>
        <v>42466</v>
      </c>
      <c r="Q363" s="303" t="str">
        <f>INDEX(LoadMaster!$P:$P,MATCH(B363,LoadMaster!$C:$C,0))</f>
        <v>RODEO</v>
      </c>
      <c r="R363" s="303" t="str">
        <f>INDEX(LoadMaster!$AH:$AH,MATCH(B363,LoadMaster!$C:$C,0))</f>
        <v>FALLON</v>
      </c>
      <c r="S363" s="416" t="str">
        <f>INDEX(LoadMaster!$DC:$DC,MATCH(B363,LoadMaster!$C:$C,0))</f>
        <v>Harman</v>
      </c>
      <c r="T363" s="299">
        <f>INDEX(LoadMaster!$DA:$DA,MATCH(B363,LoadMaster!$C:$C,0))</f>
        <v>27</v>
      </c>
      <c r="U363" s="137">
        <f>Table2[[#This Row],[WeekEndingDate]]+7</f>
        <v>42475</v>
      </c>
      <c r="V363" s="303">
        <f t="shared" si="28"/>
        <v>4</v>
      </c>
      <c r="W363" s="300">
        <f t="shared" si="29"/>
        <v>2016</v>
      </c>
    </row>
    <row r="364" spans="1:23" s="68" customFormat="1">
      <c r="A364" s="15" t="str">
        <f>INDEX(LoadMaster!$A:$A,MATCH(B364,LoadMaster!$C:$C,0))</f>
        <v>0202wn49</v>
      </c>
      <c r="B364" s="81">
        <v>1939302</v>
      </c>
      <c r="C364" s="15" t="str">
        <f>VLOOKUP(Table2[[#This Row],[BrokerConfNo]],LoadMaster!C:D,2,FALSE)</f>
        <v>XPOLogistics</v>
      </c>
      <c r="D364" s="104">
        <v>42474</v>
      </c>
      <c r="E364" s="416" t="str">
        <f>IF(Table2[[#This Row],[UBActualReceived]]&gt;1,"Received","Pending")</f>
        <v>Received</v>
      </c>
      <c r="F364" s="134">
        <f>INDEX(LoadMaster!$CU:$CU,MATCH(B364,LoadMaster!$C:$C,0))</f>
        <v>1000</v>
      </c>
      <c r="G364" s="132">
        <f>INDEX(LoadMaster!$CX:$CX,MATCH(B364,LoadMaster!$C:$C,0))</f>
        <v>970</v>
      </c>
      <c r="H364" s="132">
        <f>INDEX(LoadMaster!$CW:$CW,MATCH(B364,LoadMaster!$C:$C,0))</f>
        <v>930</v>
      </c>
      <c r="I364" s="330">
        <v>1000</v>
      </c>
      <c r="J364" s="525">
        <v>930</v>
      </c>
      <c r="K364" s="134" t="str">
        <f t="shared" si="25"/>
        <v>Full</v>
      </c>
      <c r="L364" s="134">
        <f>INDEX(LoadMaster!$CT:$CT,MATCH(Table2[[#This Row],[BrokerConfNo]],LoadMaster!$C:$C,0))</f>
        <v>0</v>
      </c>
      <c r="M364" s="15" t="str">
        <f>INDEX(LoadMaster!$AO:$AO,MATCH(Table2[[#This Row],[BrokerConfNo]],LoadMaster!$C:$C,0))</f>
        <v>Albel</v>
      </c>
      <c r="N364" s="104">
        <f t="shared" si="26"/>
        <v>42468</v>
      </c>
      <c r="O364" s="135">
        <f t="shared" si="27"/>
        <v>42482</v>
      </c>
      <c r="P364" s="104">
        <f>INDEX(LoadMaster!$M:$M,MATCH(B364,LoadMaster!$C:$C,0))</f>
        <v>42466</v>
      </c>
      <c r="Q364" s="15" t="str">
        <f>INDEX(LoadMaster!$P:$P,MATCH(B364,LoadMaster!$C:$C,0))</f>
        <v>Winnemucca</v>
      </c>
      <c r="R364" s="15" t="str">
        <f>INDEX(LoadMaster!$AH:$AH,MATCH(B364,LoadMaster!$C:$C,0))</f>
        <v>Stockton</v>
      </c>
      <c r="S364" s="416" t="str">
        <f>INDEX(LoadMaster!$DC:$DC,MATCH(B364,LoadMaster!$C:$C,0))</f>
        <v>Harman</v>
      </c>
      <c r="T364" s="136">
        <f>INDEX(LoadMaster!$DA:$DA,MATCH(B364,LoadMaster!$C:$C,0))</f>
        <v>40</v>
      </c>
      <c r="U364" s="137">
        <f>Table2[[#This Row],[WeekEndingDate]]+7</f>
        <v>42475</v>
      </c>
      <c r="V364" s="15">
        <f t="shared" si="28"/>
        <v>4</v>
      </c>
      <c r="W364" s="416">
        <f t="shared" si="29"/>
        <v>2016</v>
      </c>
    </row>
    <row r="365" spans="1:23" s="68" customFormat="1">
      <c r="A365" s="15" t="s">
        <v>3829</v>
      </c>
      <c r="B365" s="81">
        <v>8398</v>
      </c>
      <c r="C365" s="550" t="str">
        <f>VLOOKUP(Table2[[#This Row],[BrokerConfNo]],LoadMaster!C:D,2,FALSE)</f>
        <v>Transfix</v>
      </c>
      <c r="D365" s="549">
        <v>42482</v>
      </c>
      <c r="E365" s="416" t="str">
        <f>IF(Table2[[#This Row],[UBActualReceived]]&gt;1,"Received","Pending")</f>
        <v>Received</v>
      </c>
      <c r="F365" s="241">
        <f>INDEX(LoadMaster!$CU:$CU,MATCH(B365,LoadMaster!$C:$C,0))</f>
        <v>500</v>
      </c>
      <c r="G365" s="132">
        <f>INDEX(LoadMaster!$CX:$CX,MATCH(B365,LoadMaster!$C:$C,0))</f>
        <v>495</v>
      </c>
      <c r="H365" s="132">
        <v>350</v>
      </c>
      <c r="I365" s="338">
        <v>495</v>
      </c>
      <c r="J365" s="525">
        <v>350</v>
      </c>
      <c r="K365" s="241" t="str">
        <f t="shared" si="25"/>
        <v>Full</v>
      </c>
      <c r="L365" s="241">
        <f>INDEX(LoadMaster!$CT:$CT,MATCH(Table2[[#This Row],[BrokerConfNo]],LoadMaster!$C:$C,0))</f>
        <v>0</v>
      </c>
      <c r="M365" s="550" t="str">
        <f>INDEX(LoadMaster!$AO:$AO,MATCH(Table2[[#This Row],[BrokerConfNo]],LoadMaster!$C:$C,0))</f>
        <v>Miguel Jaime</v>
      </c>
      <c r="N365" s="549">
        <f t="shared" si="26"/>
        <v>42468</v>
      </c>
      <c r="O365" s="242">
        <f t="shared" si="27"/>
        <v>42475</v>
      </c>
      <c r="P365" s="549">
        <f>INDEX(LoadMaster!$M:$M,MATCH(B365,LoadMaster!$C:$C,0))</f>
        <v>42467</v>
      </c>
      <c r="Q365" s="550" t="s">
        <v>380</v>
      </c>
      <c r="R365" s="550" t="str">
        <f>INDEX(LoadMaster!$AH:$AH,MATCH(B365,LoadMaster!$C:$C,0))</f>
        <v>Salinas</v>
      </c>
      <c r="S365" s="416" t="str">
        <f>INDEX(LoadMaster!$DC:$DC,MATCH(B365,LoadMaster!$C:$C,0))</f>
        <v>Harman</v>
      </c>
      <c r="T365" s="567">
        <f>INDEX(LoadMaster!$DA:$DA,MATCH(B365,LoadMaster!$C:$C,0))</f>
        <v>30</v>
      </c>
      <c r="U365" s="243">
        <f>Table2[[#This Row],[WeekEndingDate]]+7</f>
        <v>42475</v>
      </c>
      <c r="V365" s="550">
        <f t="shared" si="28"/>
        <v>4</v>
      </c>
      <c r="W365" s="548">
        <f t="shared" si="29"/>
        <v>2016</v>
      </c>
    </row>
    <row r="366" spans="1:23">
      <c r="A366" s="15" t="str">
        <f>INDEX(LoadMaster!$A:$A,MATCH(B366,LoadMaster!$C:$C,0))</f>
        <v>3131ng49</v>
      </c>
      <c r="B366" s="81">
        <v>6097031</v>
      </c>
      <c r="C366" s="15" t="str">
        <f>VLOOKUP(Table2[[#This Row],[BrokerConfNo]],LoadMaster!C:D,2,FALSE)</f>
        <v>JBS Logistics</v>
      </c>
      <c r="D366" s="104">
        <v>411390</v>
      </c>
      <c r="E366" s="416" t="str">
        <f>IF(Table2[[#This Row],[UBActualReceived]]&gt;1,"Received","Pending")</f>
        <v>Received</v>
      </c>
      <c r="F366" s="134">
        <f>INDEX(LoadMaster!$CU:$CU,MATCH(B366,LoadMaster!$C:$C,0))</f>
        <v>700</v>
      </c>
      <c r="G366" s="132">
        <f>INDEX(LoadMaster!$CX:$CX,MATCH(B366,LoadMaster!$C:$C,0))</f>
        <v>700</v>
      </c>
      <c r="H366" s="132">
        <f>INDEX(LoadMaster!$CW:$CW,MATCH(B366,LoadMaster!$C:$C,0))</f>
        <v>651</v>
      </c>
      <c r="I366" s="350">
        <v>700</v>
      </c>
      <c r="J366" s="533">
        <v>651</v>
      </c>
      <c r="K366" s="134" t="str">
        <f t="shared" si="25"/>
        <v>Full</v>
      </c>
      <c r="L366" s="134">
        <f>INDEX(LoadMaster!$CT:$CT,MATCH(Table2[[#This Row],[BrokerConfNo]],LoadMaster!$C:$C,0))</f>
        <v>0</v>
      </c>
      <c r="M366" s="15" t="str">
        <f>INDEX(LoadMaster!$AO:$AO,MATCH(Table2[[#This Row],[BrokerConfNo]],LoadMaster!$C:$C,0))</f>
        <v>Albel</v>
      </c>
      <c r="N366" s="104">
        <f t="shared" si="26"/>
        <v>42468</v>
      </c>
      <c r="O366" s="135">
        <f t="shared" si="27"/>
        <v>42482</v>
      </c>
      <c r="P366" s="104">
        <f>INDEX(LoadMaster!$M:$M,MATCH(B366,LoadMaster!$C:$C,0))</f>
        <v>42467</v>
      </c>
      <c r="Q366" s="15" t="str">
        <f>INDEX(LoadMaster!$P:$P,MATCH(B366,LoadMaster!$C:$C,0))</f>
        <v>OAKLAND</v>
      </c>
      <c r="R366" s="15" t="str">
        <f>INDEX(LoadMaster!$AH:$AH,MATCH(B366,LoadMaster!$C:$C,0))</f>
        <v>SPARKS</v>
      </c>
      <c r="S366" s="416" t="str">
        <f>INDEX(LoadMaster!$DC:$DC,MATCH(B366,LoadMaster!$C:$C,0))</f>
        <v>Harman</v>
      </c>
      <c r="T366" s="136">
        <f>INDEX(LoadMaster!$DA:$DA,MATCH(B366,LoadMaster!$C:$C,0))</f>
        <v>49</v>
      </c>
      <c r="U366" s="137">
        <f>Table2[[#This Row],[WeekEndingDate]]+7</f>
        <v>42475</v>
      </c>
      <c r="V366" s="15">
        <f t="shared" si="28"/>
        <v>4</v>
      </c>
      <c r="W366" s="416">
        <f t="shared" si="29"/>
        <v>2016</v>
      </c>
    </row>
    <row r="367" spans="1:23" s="393" customFormat="1">
      <c r="A367" s="391" t="s">
        <v>3830</v>
      </c>
      <c r="B367" s="392">
        <v>8398</v>
      </c>
      <c r="C367" s="391" t="str">
        <f>VLOOKUP(Table2[[#This Row],[BrokerConfNo]],LoadMaster!C:D,2,FALSE)</f>
        <v>Transfix</v>
      </c>
      <c r="D367" s="391" t="s">
        <v>123</v>
      </c>
      <c r="E367" s="393" t="s">
        <v>123</v>
      </c>
      <c r="F367" s="394" t="s">
        <v>123</v>
      </c>
      <c r="G367" s="395" t="s">
        <v>123</v>
      </c>
      <c r="H367" s="395">
        <v>300</v>
      </c>
      <c r="I367" s="396" t="s">
        <v>123</v>
      </c>
      <c r="J367" s="534">
        <v>300</v>
      </c>
      <c r="K367" s="394" t="str">
        <f t="shared" si="25"/>
        <v>Full</v>
      </c>
      <c r="L367" s="394">
        <f>INDEX(LoadMaster!$CT:$CT,MATCH(Table2[[#This Row],[BrokerConfNo]],LoadMaster!$C:$C,0))</f>
        <v>0</v>
      </c>
      <c r="M367" s="391" t="s">
        <v>3831</v>
      </c>
      <c r="N367" s="397">
        <f t="shared" si="26"/>
        <v>42468</v>
      </c>
      <c r="O367" s="398">
        <f t="shared" si="27"/>
        <v>42475</v>
      </c>
      <c r="P367" s="397">
        <f>INDEX(LoadMaster!$M:$M,MATCH(B367,LoadMaster!$C:$C,0))</f>
        <v>42467</v>
      </c>
      <c r="Q367" s="391" t="str">
        <f>INDEX(LoadMaster!$P:$P,MATCH(B367,LoadMaster!$C:$C,0))</f>
        <v>Sparks</v>
      </c>
      <c r="R367" s="391" t="s">
        <v>380</v>
      </c>
      <c r="S367" s="393" t="str">
        <f>INDEX(LoadMaster!$DC:$DC,MATCH(B367,LoadMaster!$C:$C,0))</f>
        <v>Harman</v>
      </c>
      <c r="T367" s="399">
        <v>0</v>
      </c>
      <c r="U367" s="400">
        <f>Table2[[#This Row],[WeekEndingDate]]+7</f>
        <v>42475</v>
      </c>
      <c r="V367" s="391">
        <f t="shared" si="28"/>
        <v>4</v>
      </c>
      <c r="W367" s="393">
        <f t="shared" si="29"/>
        <v>2016</v>
      </c>
    </row>
    <row r="368" spans="1:23" s="68" customFormat="1">
      <c r="A368" s="15" t="str">
        <f>INDEX(LoadMaster!$A:$A,MATCH(B368,LoadMaster!$C:$C,0))</f>
        <v>44010193</v>
      </c>
      <c r="B368" s="81">
        <v>197738044</v>
      </c>
      <c r="C368" s="15" t="str">
        <f>VLOOKUP(Table2[[#This Row],[BrokerConfNo]],LoadMaster!C:D,2,FALSE)</f>
        <v>Ch Robinson</v>
      </c>
      <c r="D368" s="104">
        <v>42485</v>
      </c>
      <c r="E368" s="416" t="str">
        <f>IF(Table2[[#This Row],[UBActualReceived]]&gt;1,"Received","Pending")</f>
        <v>Received</v>
      </c>
      <c r="F368" s="134">
        <f>INDEX(LoadMaster!$CU:$CU,MATCH(B368,LoadMaster!$C:$C,0))</f>
        <v>500</v>
      </c>
      <c r="G368" s="132">
        <f>INDEX(LoadMaster!$CX:$CX,MATCH(B368,LoadMaster!$C:$C,0))</f>
        <v>490</v>
      </c>
      <c r="H368" s="132">
        <f>INDEX(LoadMaster!$CW:$CW,MATCH(B368,LoadMaster!$C:$C,0))</f>
        <v>465</v>
      </c>
      <c r="I368" s="330">
        <v>490</v>
      </c>
      <c r="J368" s="525">
        <v>465</v>
      </c>
      <c r="K368" s="134" t="str">
        <f t="shared" si="25"/>
        <v>Full</v>
      </c>
      <c r="L368" s="134">
        <f>INDEX(LoadMaster!$CT:$CT,MATCH(Table2[[#This Row],[BrokerConfNo]],LoadMaster!$C:$C,0))</f>
        <v>0</v>
      </c>
      <c r="M368" s="15" t="str">
        <f>INDEX(LoadMaster!$AO:$AO,MATCH(Table2[[#This Row],[BrokerConfNo]],LoadMaster!$C:$C,0))</f>
        <v>Arturo</v>
      </c>
      <c r="N368" s="104">
        <f t="shared" si="26"/>
        <v>42468</v>
      </c>
      <c r="O368" s="135">
        <f t="shared" si="27"/>
        <v>42475</v>
      </c>
      <c r="P368" s="104">
        <f>INDEX(LoadMaster!$M:$M,MATCH(B368,LoadMaster!$C:$C,0))</f>
        <v>42468</v>
      </c>
      <c r="Q368" s="15" t="str">
        <f>INDEX(LoadMaster!$P:$P,MATCH(B368,LoadMaster!$C:$C,0))</f>
        <v>Merced</v>
      </c>
      <c r="R368" s="15" t="str">
        <f>INDEX(LoadMaster!$AH:$AH,MATCH(B368,LoadMaster!$C:$C,0))</f>
        <v>Hopland</v>
      </c>
      <c r="S368" s="416" t="str">
        <f>INDEX(LoadMaster!$DC:$DC,MATCH(B368,LoadMaster!$C:$C,0))</f>
        <v>Harman</v>
      </c>
      <c r="T368" s="136">
        <f>INDEX(LoadMaster!$DA:$DA,MATCH(B368,LoadMaster!$C:$C,0))</f>
        <v>25</v>
      </c>
      <c r="U368" s="137">
        <f>Table2[[#This Row],[WeekEndingDate]]+7</f>
        <v>42475</v>
      </c>
      <c r="V368" s="15">
        <f t="shared" si="28"/>
        <v>4</v>
      </c>
      <c r="W368" s="416">
        <f t="shared" si="29"/>
        <v>2016</v>
      </c>
    </row>
    <row r="369" spans="1:23" s="68" customFormat="1">
      <c r="A369" s="15" t="str">
        <f>INDEX(LoadMaster!$A:$A,MATCH(B369,LoadMaster!$C:$C,0))</f>
        <v>5716ne49</v>
      </c>
      <c r="B369" s="81">
        <v>2422057</v>
      </c>
      <c r="C369" s="15" t="str">
        <f>VLOOKUP(Table2[[#This Row],[BrokerConfNo]],LoadMaster!C:D,2,FALSE)</f>
        <v>Matson Logistics</v>
      </c>
      <c r="D369" s="104">
        <v>42481</v>
      </c>
      <c r="E369" s="416" t="str">
        <f>IF(Table2[[#This Row],[UBActualReceived]]&gt;1,"Received","Pending")</f>
        <v>Received</v>
      </c>
      <c r="F369" s="134">
        <f>INDEX(LoadMaster!$CU:$CU,MATCH(B369,LoadMaster!$C:$C,0))</f>
        <v>600</v>
      </c>
      <c r="G369" s="132">
        <f>INDEX(LoadMaster!$CX:$CX,MATCH(B369,LoadMaster!$C:$C,0))</f>
        <v>588</v>
      </c>
      <c r="H369" s="132">
        <f>INDEX(LoadMaster!$CW:$CW,MATCH(B369,LoadMaster!$C:$C,0))</f>
        <v>558</v>
      </c>
      <c r="I369" s="330">
        <v>588</v>
      </c>
      <c r="J369" s="525">
        <v>558</v>
      </c>
      <c r="K369" s="134" t="str">
        <f t="shared" si="25"/>
        <v>Full</v>
      </c>
      <c r="L369" s="134">
        <f>INDEX(LoadMaster!$CT:$CT,MATCH(Table2[[#This Row],[BrokerConfNo]],LoadMaster!$C:$C,0))</f>
        <v>0</v>
      </c>
      <c r="M369" s="15" t="str">
        <f>INDEX(LoadMaster!$AO:$AO,MATCH(Table2[[#This Row],[BrokerConfNo]],LoadMaster!$C:$C,0))</f>
        <v>Albel</v>
      </c>
      <c r="N369" s="104">
        <f t="shared" si="26"/>
        <v>42468</v>
      </c>
      <c r="O369" s="135">
        <f t="shared" si="27"/>
        <v>42482</v>
      </c>
      <c r="P369" s="104">
        <f>INDEX(LoadMaster!$M:$M,MATCH(B369,LoadMaster!$C:$C,0))</f>
        <v>42468</v>
      </c>
      <c r="Q369" s="15" t="str">
        <f>INDEX(LoadMaster!$P:$P,MATCH(B369,LoadMaster!$C:$C,0))</f>
        <v>MOUND HOUSE</v>
      </c>
      <c r="R369" s="15" t="str">
        <f>INDEX(LoadMaster!$AH:$AH,MATCH(B369,LoadMaster!$C:$C,0))</f>
        <v>IVANHOE</v>
      </c>
      <c r="S369" s="416" t="str">
        <f>INDEX(LoadMaster!$DC:$DC,MATCH(B369,LoadMaster!$C:$C,0))</f>
        <v>Harman</v>
      </c>
      <c r="T369" s="136">
        <f>INDEX(LoadMaster!$DA:$DA,MATCH(B369,LoadMaster!$C:$C,0))</f>
        <v>30</v>
      </c>
      <c r="U369" s="137">
        <f>Table2[[#This Row],[WeekEndingDate]]+7</f>
        <v>42475</v>
      </c>
      <c r="V369" s="15">
        <f t="shared" si="28"/>
        <v>4</v>
      </c>
      <c r="W369" s="416">
        <f t="shared" si="29"/>
        <v>2016</v>
      </c>
    </row>
    <row r="370" spans="1:23" s="68" customFormat="1">
      <c r="A370" s="15" t="str">
        <f>INDEX(LoadMaster!$A:$A,MATCH(B370,LoadMaster!$C:$C,0))</f>
        <v>80wnwn93</v>
      </c>
      <c r="B370" s="552">
        <v>72380</v>
      </c>
      <c r="C370" s="550" t="str">
        <f>VLOOKUP(Table2[[#This Row],[BrokerConfNo]],LoadMaster!C:D,2,FALSE)</f>
        <v>Ta Services Inc.</v>
      </c>
      <c r="D370" s="549">
        <v>42489</v>
      </c>
      <c r="E370" s="548" t="str">
        <f>IF(Table2[[#This Row],[UBActualReceived]]&gt;1,"Received","Pending")</f>
        <v>Received</v>
      </c>
      <c r="F370" s="241">
        <f>INDEX(LoadMaster!$CU:$CU,MATCH(B370,LoadMaster!$C:$C,0))</f>
        <v>625</v>
      </c>
      <c r="G370" s="132">
        <f>INDEX(LoadMaster!$CX:$CX,MATCH(B370,LoadMaster!$C:$C,0))</f>
        <v>600</v>
      </c>
      <c r="H370" s="132">
        <f>INDEX(LoadMaster!$CW:$CW,MATCH(B370,LoadMaster!$C:$C,0))</f>
        <v>581.25</v>
      </c>
      <c r="I370" s="338">
        <v>625</v>
      </c>
      <c r="J370" s="525">
        <v>581.25</v>
      </c>
      <c r="K370" s="241" t="str">
        <f t="shared" si="25"/>
        <v>Full</v>
      </c>
      <c r="L370" s="241">
        <f>INDEX(LoadMaster!$CT:$CT,MATCH(Table2[[#This Row],[BrokerConfNo]],LoadMaster!$C:$C,0))</f>
        <v>0</v>
      </c>
      <c r="M370" s="550" t="str">
        <f>INDEX(LoadMaster!$AO:$AO,MATCH(Table2[[#This Row],[BrokerConfNo]],LoadMaster!$C:$C,0))</f>
        <v>Arturo</v>
      </c>
      <c r="N370" s="549">
        <f t="shared" si="26"/>
        <v>42475</v>
      </c>
      <c r="O370" s="242">
        <f t="shared" si="27"/>
        <v>42482</v>
      </c>
      <c r="P370" s="549">
        <f>INDEX(LoadMaster!$M:$M,MATCH(B370,LoadMaster!$C:$C,0))</f>
        <v>42471</v>
      </c>
      <c r="Q370" s="550" t="str">
        <f>INDEX(LoadMaster!$P:$P,MATCH(B370,LoadMaster!$C:$C,0))</f>
        <v>Oakland</v>
      </c>
      <c r="R370" s="550" t="str">
        <f>INDEX(LoadMaster!$AH:$AH,MATCH(B370,LoadMaster!$C:$C,0))</f>
        <v>Mccarran</v>
      </c>
      <c r="S370" s="416" t="str">
        <f>INDEX(LoadMaster!$DC:$DC,MATCH(B370,LoadMaster!$C:$C,0))</f>
        <v>Harman</v>
      </c>
      <c r="T370" s="567">
        <f>INDEX(LoadMaster!$DA:$DA,MATCH(B370,LoadMaster!$C:$C,0))</f>
        <v>18.75</v>
      </c>
      <c r="U370" s="243">
        <f>Table2[[#This Row],[WeekEndingDate]]+7</f>
        <v>42482</v>
      </c>
      <c r="V370" s="550">
        <f t="shared" si="28"/>
        <v>4</v>
      </c>
      <c r="W370" s="548">
        <f t="shared" si="29"/>
        <v>2016</v>
      </c>
    </row>
    <row r="371" spans="1:23" s="68" customFormat="1">
      <c r="A371" s="15" t="str">
        <f>INDEX(LoadMaster!$A:$A,MATCH(B371,LoadMaster!$C:$C,0))</f>
        <v>05173349</v>
      </c>
      <c r="B371" s="552">
        <v>6817405</v>
      </c>
      <c r="C371" s="550" t="str">
        <f>VLOOKUP(Table2[[#This Row],[BrokerConfNo]],LoadMaster!C:D,2,FALSE)</f>
        <v>Tql</v>
      </c>
      <c r="D371" s="549">
        <v>42480</v>
      </c>
      <c r="E371" s="548" t="str">
        <f>IF(Table2[[#This Row],[UBActualReceived]]&gt;1,"Received","Pending")</f>
        <v>Received</v>
      </c>
      <c r="F371" s="241">
        <f>INDEX(LoadMaster!$CU:$CU,MATCH(B371,LoadMaster!$C:$C,0))</f>
        <v>600</v>
      </c>
      <c r="G371" s="132">
        <f>INDEX(LoadMaster!$CX:$CX,MATCH(B371,LoadMaster!$C:$C,0))</f>
        <v>570</v>
      </c>
      <c r="H371" s="132">
        <f>INDEX(LoadMaster!$CW:$CW,MATCH(B371,LoadMaster!$C:$C,0))</f>
        <v>558</v>
      </c>
      <c r="I371" s="338">
        <v>570</v>
      </c>
      <c r="J371" s="525">
        <v>558</v>
      </c>
      <c r="K371" s="241" t="str">
        <f t="shared" si="25"/>
        <v>Full</v>
      </c>
      <c r="L371" s="241">
        <f>INDEX(LoadMaster!$CT:$CT,MATCH(Table2[[#This Row],[BrokerConfNo]],LoadMaster!$C:$C,0))</f>
        <v>0</v>
      </c>
      <c r="M371" s="550" t="str">
        <f>INDEX(LoadMaster!$AO:$AO,MATCH(Table2[[#This Row],[BrokerConfNo]],LoadMaster!$C:$C,0))</f>
        <v>Albel</v>
      </c>
      <c r="N371" s="549">
        <f t="shared" si="26"/>
        <v>42475</v>
      </c>
      <c r="O371" s="242">
        <f t="shared" si="27"/>
        <v>42489</v>
      </c>
      <c r="P371" s="549">
        <f>INDEX(LoadMaster!$M:$M,MATCH(B371,LoadMaster!$C:$C,0))</f>
        <v>42471</v>
      </c>
      <c r="Q371" s="550" t="str">
        <f>INDEX(LoadMaster!$P:$P,MATCH(B371,LoadMaster!$C:$C,0))</f>
        <v>Patterson</v>
      </c>
      <c r="R371" s="550" t="str">
        <f>INDEX(LoadMaster!$AH:$AH,MATCH(B371,LoadMaster!$C:$C,0))</f>
        <v>SUSANVILLE</v>
      </c>
      <c r="S371" s="416" t="str">
        <f>INDEX(LoadMaster!$DC:$DC,MATCH(B371,LoadMaster!$C:$C,0))</f>
        <v>Harman</v>
      </c>
      <c r="T371" s="567">
        <f>INDEX(LoadMaster!$DA:$DA,MATCH(B371,LoadMaster!$C:$C,0))</f>
        <v>12</v>
      </c>
      <c r="U371" s="243">
        <f>Table2[[#This Row],[WeekEndingDate]]+7</f>
        <v>42482</v>
      </c>
      <c r="V371" s="550">
        <f t="shared" si="28"/>
        <v>4</v>
      </c>
      <c r="W371" s="548">
        <f t="shared" si="29"/>
        <v>2016</v>
      </c>
    </row>
    <row r="372" spans="1:23" s="68" customFormat="1">
      <c r="A372" s="15" t="str">
        <f>INDEX(LoadMaster!$A:$A,MATCH(B372,LoadMaster!$C:$C,0))</f>
        <v>89848419</v>
      </c>
      <c r="B372" s="552">
        <v>197701189</v>
      </c>
      <c r="C372" s="550" t="str">
        <f>VLOOKUP(Table2[[#This Row],[BrokerConfNo]],LoadMaster!C:D,2,FALSE)</f>
        <v>Ch Robinson</v>
      </c>
      <c r="D372" s="104">
        <v>42485</v>
      </c>
      <c r="E372" s="548" t="str">
        <f>IF(Table2[[#This Row],[UBActualReceived]]&gt;1,"Received","Pending")</f>
        <v>Received</v>
      </c>
      <c r="F372" s="241">
        <f>INDEX(LoadMaster!$CU:$CU,MATCH(B372,LoadMaster!$C:$C,0))</f>
        <v>385</v>
      </c>
      <c r="G372" s="132">
        <f>INDEX(LoadMaster!$CX:$CX,MATCH(B372,LoadMaster!$C:$C,0))</f>
        <v>377.3</v>
      </c>
      <c r="H372" s="132">
        <f>INDEX(LoadMaster!$CW:$CW,MATCH(B372,LoadMaster!$C:$C,0))</f>
        <v>372</v>
      </c>
      <c r="I372" s="338">
        <v>377.3</v>
      </c>
      <c r="J372" s="525">
        <v>372</v>
      </c>
      <c r="K372" s="241" t="str">
        <f t="shared" si="25"/>
        <v>Full</v>
      </c>
      <c r="L372" s="241">
        <f>INDEX(LoadMaster!$CT:$CT,MATCH(Table2[[#This Row],[BrokerConfNo]],LoadMaster!$C:$C,0))</f>
        <v>0</v>
      </c>
      <c r="M372" s="550" t="str">
        <f>INDEX(LoadMaster!$AO:$AO,MATCH(Table2[[#This Row],[BrokerConfNo]],LoadMaster!$C:$C,0))</f>
        <v>Miguel Jaime</v>
      </c>
      <c r="N372" s="549">
        <f t="shared" si="26"/>
        <v>42475</v>
      </c>
      <c r="O372" s="242">
        <f t="shared" si="27"/>
        <v>42482</v>
      </c>
      <c r="P372" s="549">
        <f>INDEX(LoadMaster!$M:$M,MATCH(B372,LoadMaster!$C:$C,0))</f>
        <v>42472</v>
      </c>
      <c r="Q372" s="550" t="str">
        <f>INDEX(LoadMaster!$P:$P,MATCH(B372,LoadMaster!$C:$C,0))</f>
        <v>Brisbane</v>
      </c>
      <c r="R372" s="550" t="str">
        <f>INDEX(LoadMaster!$AH:$AH,MATCH(B372,LoadMaster!$C:$C,0))</f>
        <v>TRACY</v>
      </c>
      <c r="S372" s="416" t="str">
        <f>INDEX(LoadMaster!$DC:$DC,MATCH(B372,LoadMaster!$C:$C,0))</f>
        <v>Harman</v>
      </c>
      <c r="T372" s="567">
        <f>INDEX(LoadMaster!$DA:$DA,MATCH(B372,LoadMaster!$C:$C,0))</f>
        <v>5.3</v>
      </c>
      <c r="U372" s="243">
        <f>Table2[[#This Row],[WeekEndingDate]]+7</f>
        <v>42482</v>
      </c>
      <c r="V372" s="550">
        <f t="shared" si="28"/>
        <v>4</v>
      </c>
      <c r="W372" s="548">
        <f t="shared" si="29"/>
        <v>2016</v>
      </c>
    </row>
    <row r="373" spans="1:23" s="68" customFormat="1">
      <c r="A373" s="15" t="str">
        <f>INDEX(LoadMaster!$A:$A,MATCH(B373,LoadMaster!$C:$C,0))</f>
        <v>45wnwn49</v>
      </c>
      <c r="B373" s="552">
        <v>1939545</v>
      </c>
      <c r="C373" s="550" t="str">
        <f>VLOOKUP(Table2[[#This Row],[BrokerConfNo]],LoadMaster!C:D,2,FALSE)</f>
        <v>XPOLogistics</v>
      </c>
      <c r="D373" s="549">
        <v>42481</v>
      </c>
      <c r="E373" s="548" t="str">
        <f>IF(Table2[[#This Row],[UBActualReceived]]&gt;1,"Received","Pending")</f>
        <v>Received</v>
      </c>
      <c r="F373" s="241">
        <f>INDEX(LoadMaster!$CU:$CU,MATCH(B373,LoadMaster!$C:$C,0))</f>
        <v>600</v>
      </c>
      <c r="G373" s="132">
        <f>INDEX(LoadMaster!$CX:$CX,MATCH(B373,LoadMaster!$C:$C,0))</f>
        <v>582</v>
      </c>
      <c r="H373" s="132">
        <f>INDEX(LoadMaster!$CW:$CW,MATCH(B373,LoadMaster!$C:$C,0))</f>
        <v>558</v>
      </c>
      <c r="I373" s="338">
        <v>582</v>
      </c>
      <c r="J373" s="525">
        <v>558</v>
      </c>
      <c r="K373" s="241" t="str">
        <f t="shared" si="25"/>
        <v>Full</v>
      </c>
      <c r="L373" s="241">
        <f>INDEX(LoadMaster!$CT:$CT,MATCH(Table2[[#This Row],[BrokerConfNo]],LoadMaster!$C:$C,0))</f>
        <v>0</v>
      </c>
      <c r="M373" s="550" t="str">
        <f>INDEX(LoadMaster!$AO:$AO,MATCH(Table2[[#This Row],[BrokerConfNo]],LoadMaster!$C:$C,0))</f>
        <v>Albel</v>
      </c>
      <c r="N373" s="549">
        <f t="shared" si="26"/>
        <v>42475</v>
      </c>
      <c r="O373" s="242">
        <f t="shared" si="27"/>
        <v>42489</v>
      </c>
      <c r="P373" s="549">
        <f>INDEX(LoadMaster!$M:$M,MATCH(B373,LoadMaster!$C:$C,0))</f>
        <v>42472</v>
      </c>
      <c r="Q373" s="550" t="str">
        <f>INDEX(LoadMaster!$P:$P,MATCH(B373,LoadMaster!$C:$C,0))</f>
        <v>Carson City</v>
      </c>
      <c r="R373" s="550" t="str">
        <f>INDEX(LoadMaster!$AH:$AH,MATCH(B373,LoadMaster!$C:$C,0))</f>
        <v>Ivanhoe</v>
      </c>
      <c r="S373" s="416" t="str">
        <f>INDEX(LoadMaster!$DC:$DC,MATCH(B373,LoadMaster!$C:$C,0))</f>
        <v>Harman</v>
      </c>
      <c r="T373" s="567">
        <f>INDEX(LoadMaster!$DA:$DA,MATCH(B373,LoadMaster!$C:$C,0))</f>
        <v>24</v>
      </c>
      <c r="U373" s="243">
        <f>Table2[[#This Row],[WeekEndingDate]]+7</f>
        <v>42482</v>
      </c>
      <c r="V373" s="550">
        <f t="shared" si="28"/>
        <v>4</v>
      </c>
      <c r="W373" s="548">
        <f t="shared" si="29"/>
        <v>2016</v>
      </c>
    </row>
    <row r="374" spans="1:23" s="68" customFormat="1">
      <c r="A374" s="15" t="str">
        <f>INDEX(LoadMaster!$A:$A,MATCH(B374,LoadMaster!$C:$C,0))</f>
        <v>67wnwn49</v>
      </c>
      <c r="B374" s="552">
        <v>54867</v>
      </c>
      <c r="C374" s="550" t="str">
        <f>VLOOKUP(Table2[[#This Row],[BrokerConfNo]],LoadMaster!C:D,2,FALSE)</f>
        <v xml:space="preserve">Its National </v>
      </c>
      <c r="D374" s="549">
        <v>42506</v>
      </c>
      <c r="E374" s="548" t="str">
        <f>IF(Table2[[#This Row],[UBActualReceived]]&gt;1,"Received","Pending")</f>
        <v>Received</v>
      </c>
      <c r="F374" s="241">
        <f>INDEX(LoadMaster!$CU:$CU,MATCH(B374,LoadMaster!$C:$C,0))</f>
        <v>450</v>
      </c>
      <c r="G374" s="132">
        <f>INDEX(LoadMaster!$CX:$CX,MATCH(B374,LoadMaster!$C:$C,0))</f>
        <v>436.5</v>
      </c>
      <c r="H374" s="132">
        <f>INDEX(LoadMaster!$CW:$CW,MATCH(B374,LoadMaster!$C:$C,0))</f>
        <v>418.5</v>
      </c>
      <c r="I374" s="338">
        <v>450</v>
      </c>
      <c r="J374" s="525">
        <v>418.5</v>
      </c>
      <c r="K374" s="241" t="str">
        <f t="shared" si="25"/>
        <v>Full</v>
      </c>
      <c r="L374" s="241">
        <f>INDEX(LoadMaster!$CT:$CT,MATCH(Table2[[#This Row],[BrokerConfNo]],LoadMaster!$C:$C,0))</f>
        <v>0</v>
      </c>
      <c r="M374" s="550" t="str">
        <f>INDEX(LoadMaster!$AO:$AO,MATCH(Table2[[#This Row],[BrokerConfNo]],LoadMaster!$C:$C,0))</f>
        <v>Albel</v>
      </c>
      <c r="N374" s="549">
        <f t="shared" si="26"/>
        <v>42475</v>
      </c>
      <c r="O374" s="242">
        <f t="shared" si="27"/>
        <v>42489</v>
      </c>
      <c r="P374" s="549">
        <f>INDEX(LoadMaster!$M:$M,MATCH(B374,LoadMaster!$C:$C,0))</f>
        <v>42473</v>
      </c>
      <c r="Q374" s="550" t="str">
        <f>INDEX(LoadMaster!$P:$P,MATCH(B374,LoadMaster!$C:$C,0))</f>
        <v>FOWLER</v>
      </c>
      <c r="R374" s="550" t="str">
        <f>INDEX(LoadMaster!$AH:$AH,MATCH(B374,LoadMaster!$C:$C,0))</f>
        <v>GONZALEZ</v>
      </c>
      <c r="S374" s="416" t="str">
        <f>INDEX(LoadMaster!$DC:$DC,MATCH(B374,LoadMaster!$C:$C,0))</f>
        <v>Harman</v>
      </c>
      <c r="T374" s="567">
        <f>INDEX(LoadMaster!$DA:$DA,MATCH(B374,LoadMaster!$C:$C,0))</f>
        <v>18</v>
      </c>
      <c r="U374" s="243">
        <f>Table2[[#This Row],[WeekEndingDate]]+7</f>
        <v>42482</v>
      </c>
      <c r="V374" s="550">
        <f t="shared" si="28"/>
        <v>4</v>
      </c>
      <c r="W374" s="548">
        <f t="shared" si="29"/>
        <v>2016</v>
      </c>
    </row>
    <row r="375" spans="1:23" s="68" customFormat="1">
      <c r="A375" s="15" t="str">
        <f>INDEX(LoadMaster!$A:$A,MATCH(B375,LoadMaster!$C:$C,0))</f>
        <v>98wnwn93</v>
      </c>
      <c r="B375" s="552">
        <v>1947998</v>
      </c>
      <c r="C375" s="550" t="str">
        <f>VLOOKUP(Table2[[#This Row],[BrokerConfNo]],LoadMaster!C:D,2,FALSE)</f>
        <v>XPOLogistics</v>
      </c>
      <c r="D375" s="549">
        <v>42480</v>
      </c>
      <c r="E375" s="548" t="str">
        <f>IF(Table2[[#This Row],[UBActualReceived]]&gt;1,"Received","Pending")</f>
        <v>Received</v>
      </c>
      <c r="F375" s="241">
        <f>INDEX(LoadMaster!$CU:$CU,MATCH(B375,LoadMaster!$C:$C,0))</f>
        <v>600</v>
      </c>
      <c r="G375" s="132">
        <f>INDEX(LoadMaster!$CX:$CX,MATCH(B375,LoadMaster!$C:$C,0))</f>
        <v>582</v>
      </c>
      <c r="H375" s="132">
        <f>INDEX(LoadMaster!$CW:$CW,MATCH(B375,LoadMaster!$C:$C,0))</f>
        <v>558</v>
      </c>
      <c r="I375" s="338">
        <v>582</v>
      </c>
      <c r="J375" s="525">
        <v>558</v>
      </c>
      <c r="K375" s="241" t="str">
        <f t="shared" si="25"/>
        <v>Full</v>
      </c>
      <c r="L375" s="241">
        <f>INDEX(LoadMaster!$CT:$CT,MATCH(Table2[[#This Row],[BrokerConfNo]],LoadMaster!$C:$C,0))</f>
        <v>0</v>
      </c>
      <c r="M375" s="550" t="str">
        <f>INDEX(LoadMaster!$AO:$AO,MATCH(Table2[[#This Row],[BrokerConfNo]],LoadMaster!$C:$C,0))</f>
        <v>Arturo</v>
      </c>
      <c r="N375" s="549">
        <f t="shared" si="26"/>
        <v>42475</v>
      </c>
      <c r="O375" s="242">
        <f t="shared" si="27"/>
        <v>42482</v>
      </c>
      <c r="P375" s="549">
        <f>INDEX(LoadMaster!$M:$M,MATCH(B375,LoadMaster!$C:$C,0))</f>
        <v>42473</v>
      </c>
      <c r="Q375" s="550" t="str">
        <f>INDEX(LoadMaster!$P:$P,MATCH(B375,LoadMaster!$C:$C,0))</f>
        <v>Carson City</v>
      </c>
      <c r="R375" s="550" t="str">
        <f>INDEX(LoadMaster!$AH:$AH,MATCH(B375,LoadMaster!$C:$C,0))</f>
        <v>Ivanhoe</v>
      </c>
      <c r="S375" s="416" t="str">
        <f>INDEX(LoadMaster!$DC:$DC,MATCH(B375,LoadMaster!$C:$C,0))</f>
        <v>Harman</v>
      </c>
      <c r="T375" s="567">
        <f>INDEX(LoadMaster!$DA:$DA,MATCH(B375,LoadMaster!$C:$C,0))</f>
        <v>24</v>
      </c>
      <c r="U375" s="243">
        <f>Table2[[#This Row],[WeekEndingDate]]+7</f>
        <v>42482</v>
      </c>
      <c r="V375" s="550">
        <f t="shared" si="28"/>
        <v>4</v>
      </c>
      <c r="W375" s="548">
        <f t="shared" si="29"/>
        <v>2016</v>
      </c>
    </row>
    <row r="376" spans="1:23" s="68" customFormat="1">
      <c r="A376" s="15" t="str">
        <f>INDEX(LoadMaster!$A:$A,MATCH(B376,LoadMaster!$C:$C,0))</f>
        <v>24656593</v>
      </c>
      <c r="B376" s="552">
        <v>7623324</v>
      </c>
      <c r="C376" s="550" t="str">
        <f>VLOOKUP(Table2[[#This Row],[BrokerConfNo]],LoadMaster!C:D,2,FALSE)</f>
        <v>Globaltranz</v>
      </c>
      <c r="D376" s="549">
        <v>42487</v>
      </c>
      <c r="E376" s="548" t="str">
        <f>IF(Table2[[#This Row],[UBActualReceived]]&gt;1,"Received","Pending")</f>
        <v>Received</v>
      </c>
      <c r="F376" s="241">
        <f>INDEX(LoadMaster!$CU:$CU,MATCH(B376,LoadMaster!$C:$C,0))</f>
        <v>650</v>
      </c>
      <c r="G376" s="132">
        <f>INDEX(LoadMaster!$CX:$CX,MATCH(B376,LoadMaster!$C:$C,0))</f>
        <v>624</v>
      </c>
      <c r="H376" s="132">
        <f>INDEX(LoadMaster!$CW:$CW,MATCH(B376,LoadMaster!$C:$C,0))</f>
        <v>604.5</v>
      </c>
      <c r="I376" s="338">
        <v>624</v>
      </c>
      <c r="J376" s="525">
        <v>604.5</v>
      </c>
      <c r="K376" s="241" t="str">
        <f t="shared" si="25"/>
        <v>Full</v>
      </c>
      <c r="L376" s="241">
        <f>INDEX(LoadMaster!$CT:$CT,MATCH(Table2[[#This Row],[BrokerConfNo]],LoadMaster!$C:$C,0))</f>
        <v>0</v>
      </c>
      <c r="M376" s="550" t="str">
        <f>INDEX(LoadMaster!$AO:$AO,MATCH(Table2[[#This Row],[BrokerConfNo]],LoadMaster!$C:$C,0))</f>
        <v>Arturo</v>
      </c>
      <c r="N376" s="549">
        <f t="shared" si="26"/>
        <v>42475</v>
      </c>
      <c r="O376" s="242">
        <f t="shared" si="27"/>
        <v>42482</v>
      </c>
      <c r="P376" s="549">
        <f>INDEX(LoadMaster!$M:$M,MATCH(B376,LoadMaster!$C:$C,0))</f>
        <v>42474</v>
      </c>
      <c r="Q376" s="550" t="str">
        <f>INDEX(LoadMaster!$P:$P,MATCH(B376,LoadMaster!$C:$C,0))</f>
        <v>Fresno</v>
      </c>
      <c r="R376" s="550" t="str">
        <f>INDEX(LoadMaster!$AH:$AH,MATCH(B376,LoadMaster!$C:$C,0))</f>
        <v>Reno</v>
      </c>
      <c r="S376" s="416" t="str">
        <f>INDEX(LoadMaster!$DC:$DC,MATCH(B376,LoadMaster!$C:$C,0))</f>
        <v>Harman</v>
      </c>
      <c r="T376" s="567">
        <f>INDEX(LoadMaster!$DA:$DA,MATCH(B376,LoadMaster!$C:$C,0))</f>
        <v>19.5</v>
      </c>
      <c r="U376" s="243">
        <f>Table2[[#This Row],[WeekEndingDate]]+7</f>
        <v>42482</v>
      </c>
      <c r="V376" s="550">
        <f t="shared" si="28"/>
        <v>4</v>
      </c>
      <c r="W376" s="548">
        <f t="shared" si="29"/>
        <v>2016</v>
      </c>
    </row>
    <row r="377" spans="1:23" s="68" customFormat="1">
      <c r="A377" s="15" t="str">
        <f>INDEX(LoadMaster!$A:$A,MATCH(B377,LoadMaster!$C:$C,0))</f>
        <v>2128wn49</v>
      </c>
      <c r="B377" s="552">
        <v>198121</v>
      </c>
      <c r="C377" s="550" t="str">
        <f>VLOOKUP(Table2[[#This Row],[BrokerConfNo]],LoadMaster!C:D,2,FALSE)</f>
        <v>KTL</v>
      </c>
      <c r="D377" s="549">
        <v>42487</v>
      </c>
      <c r="E377" s="548" t="str">
        <f>IF(Table2[[#This Row],[UBActualReceived]]&gt;1,"Received","Pending")</f>
        <v>Received</v>
      </c>
      <c r="F377" s="241">
        <f>INDEX(LoadMaster!$CU:$CU,MATCH(B377,LoadMaster!$C:$C,0))</f>
        <v>650</v>
      </c>
      <c r="G377" s="132">
        <f>INDEX(LoadMaster!$CX:$CX,MATCH(B377,LoadMaster!$C:$C,0))</f>
        <v>637</v>
      </c>
      <c r="H377" s="132">
        <f>INDEX(LoadMaster!$CW:$CW,MATCH(B377,LoadMaster!$C:$C,0))</f>
        <v>604.5</v>
      </c>
      <c r="I377" s="338">
        <v>637</v>
      </c>
      <c r="J377" s="525">
        <v>604.5</v>
      </c>
      <c r="K377" s="241" t="str">
        <f t="shared" si="25"/>
        <v>Full</v>
      </c>
      <c r="L377" s="241">
        <f>INDEX(LoadMaster!$CT:$CT,MATCH(Table2[[#This Row],[BrokerConfNo]],LoadMaster!$C:$C,0))</f>
        <v>0</v>
      </c>
      <c r="M377" s="550" t="str">
        <f>INDEX(LoadMaster!$AO:$AO,MATCH(Table2[[#This Row],[BrokerConfNo]],LoadMaster!$C:$C,0))</f>
        <v>Albel</v>
      </c>
      <c r="N377" s="549">
        <f t="shared" si="26"/>
        <v>42475</v>
      </c>
      <c r="O377" s="242">
        <f t="shared" si="27"/>
        <v>42489</v>
      </c>
      <c r="P377" s="549">
        <f>INDEX(LoadMaster!$M:$M,MATCH(B377,LoadMaster!$C:$C,0))</f>
        <v>42474</v>
      </c>
      <c r="Q377" s="550" t="str">
        <f>INDEX(LoadMaster!$P:$P,MATCH(B377,LoadMaster!$C:$C,0))</f>
        <v>San Jose</v>
      </c>
      <c r="R377" s="550" t="str">
        <f>INDEX(LoadMaster!$AH:$AH,MATCH(B377,LoadMaster!$C:$C,0))</f>
        <v>RENO</v>
      </c>
      <c r="S377" s="416" t="str">
        <f>INDEX(LoadMaster!$DC:$DC,MATCH(B377,LoadMaster!$C:$C,0))</f>
        <v>Harman</v>
      </c>
      <c r="T377" s="567">
        <f>INDEX(LoadMaster!$DA:$DA,MATCH(B377,LoadMaster!$C:$C,0))</f>
        <v>32.5</v>
      </c>
      <c r="U377" s="243">
        <f>Table2[[#This Row],[WeekEndingDate]]+7</f>
        <v>42482</v>
      </c>
      <c r="V377" s="550">
        <f t="shared" si="28"/>
        <v>4</v>
      </c>
      <c r="W377" s="548">
        <f t="shared" si="29"/>
        <v>2016</v>
      </c>
    </row>
    <row r="378" spans="1:23" s="68" customFormat="1">
      <c r="A378" s="15" t="str">
        <f>INDEX(LoadMaster!$A:$A,MATCH(B378,LoadMaster!$C:$C,0))</f>
        <v>32nene49</v>
      </c>
      <c r="B378" s="552">
        <v>7606632</v>
      </c>
      <c r="C378" s="550" t="str">
        <f>VLOOKUP(Table2[[#This Row],[BrokerConfNo]],LoadMaster!C:D,2,FALSE)</f>
        <v>Globaltranz</v>
      </c>
      <c r="D378" s="549">
        <v>42487</v>
      </c>
      <c r="E378" s="548" t="str">
        <f>IF(Table2[[#This Row],[UBActualReceived]]&gt;1,"Received","Pending")</f>
        <v>Received</v>
      </c>
      <c r="F378" s="241">
        <f>INDEX(LoadMaster!$CU:$CU,MATCH(B378,LoadMaster!$C:$C,0))</f>
        <v>330</v>
      </c>
      <c r="G378" s="132">
        <f>INDEX(LoadMaster!$CX:$CX,MATCH(B378,LoadMaster!$C:$C,0))</f>
        <v>316.8</v>
      </c>
      <c r="H378" s="132">
        <f>INDEX(LoadMaster!$CW:$CW,MATCH(B378,LoadMaster!$C:$C,0))</f>
        <v>306.90000000000003</v>
      </c>
      <c r="I378" s="338">
        <v>316.8</v>
      </c>
      <c r="J378" s="525">
        <v>306.90000000000003</v>
      </c>
      <c r="K378" s="241" t="str">
        <f t="shared" si="25"/>
        <v>Full</v>
      </c>
      <c r="L378" s="241">
        <f>INDEX(LoadMaster!$CT:$CT,MATCH(Table2[[#This Row],[BrokerConfNo]],LoadMaster!$C:$C,0))</f>
        <v>0</v>
      </c>
      <c r="M378" s="550" t="str">
        <f>INDEX(LoadMaster!$AO:$AO,MATCH(Table2[[#This Row],[BrokerConfNo]],LoadMaster!$C:$C,0))</f>
        <v>Albel</v>
      </c>
      <c r="N378" s="549">
        <f t="shared" si="26"/>
        <v>42475</v>
      </c>
      <c r="O378" s="242">
        <f t="shared" si="27"/>
        <v>42489</v>
      </c>
      <c r="P378" s="549">
        <f>INDEX(LoadMaster!$M:$M,MATCH(B378,LoadMaster!$C:$C,0))</f>
        <v>42475</v>
      </c>
      <c r="Q378" s="550" t="str">
        <f>INDEX(LoadMaster!$P:$P,MATCH(B378,LoadMaster!$C:$C,0))</f>
        <v>Tracy</v>
      </c>
      <c r="R378" s="550" t="str">
        <f>INDEX(LoadMaster!$AH:$AH,MATCH(B378,LoadMaster!$C:$C,0))</f>
        <v>San Francisco</v>
      </c>
      <c r="S378" s="416" t="str">
        <f>INDEX(LoadMaster!$DC:$DC,MATCH(B378,LoadMaster!$C:$C,0))</f>
        <v>Harman</v>
      </c>
      <c r="T378" s="567">
        <f>INDEX(LoadMaster!$DA:$DA,MATCH(B378,LoadMaster!$C:$C,0))</f>
        <v>9.8999999999999648</v>
      </c>
      <c r="U378" s="243">
        <f>Table2[[#This Row],[WeekEndingDate]]+7</f>
        <v>42482</v>
      </c>
      <c r="V378" s="550">
        <f t="shared" si="28"/>
        <v>4</v>
      </c>
      <c r="W378" s="548">
        <f t="shared" si="29"/>
        <v>2016</v>
      </c>
    </row>
    <row r="379" spans="1:23" s="68" customFormat="1">
      <c r="A379" s="15" t="str">
        <f>INDEX(LoadMaster!$A:$A,MATCH(B379,LoadMaster!$C:$C,0))</f>
        <v>19818193</v>
      </c>
      <c r="B379" s="552">
        <v>1960419</v>
      </c>
      <c r="C379" s="550" t="str">
        <f>VLOOKUP(Table2[[#This Row],[BrokerConfNo]],LoadMaster!C:D,2,FALSE)</f>
        <v>XPOLogistics</v>
      </c>
      <c r="D379" s="549">
        <v>42482</v>
      </c>
      <c r="E379" s="548" t="str">
        <f>IF(Table2[[#This Row],[UBActualReceived]]&gt;1,"Received","Pending")</f>
        <v>Received</v>
      </c>
      <c r="F379" s="241">
        <f>INDEX(LoadMaster!$CU:$CU,MATCH(B379,LoadMaster!$C:$C,0))</f>
        <v>400</v>
      </c>
      <c r="G379" s="132">
        <f>INDEX(LoadMaster!$CX:$CX,MATCH(B379,LoadMaster!$C:$C,0))</f>
        <v>388</v>
      </c>
      <c r="H379" s="132">
        <f>INDEX(LoadMaster!$CW:$CW,MATCH(B379,LoadMaster!$C:$C,0))</f>
        <v>372</v>
      </c>
      <c r="I379" s="338">
        <v>388</v>
      </c>
      <c r="J379" s="525">
        <v>372</v>
      </c>
      <c r="K379" s="241" t="str">
        <f t="shared" si="25"/>
        <v>Full</v>
      </c>
      <c r="L379" s="241">
        <f>INDEX(LoadMaster!$CT:$CT,MATCH(Table2[[#This Row],[BrokerConfNo]],LoadMaster!$C:$C,0))</f>
        <v>0</v>
      </c>
      <c r="M379" s="550" t="str">
        <f>INDEX(LoadMaster!$AO:$AO,MATCH(Table2[[#This Row],[BrokerConfNo]],LoadMaster!$C:$C,0))</f>
        <v>Arturo</v>
      </c>
      <c r="N379" s="549">
        <f t="shared" si="26"/>
        <v>42475</v>
      </c>
      <c r="O379" s="242">
        <f t="shared" si="27"/>
        <v>42482</v>
      </c>
      <c r="P379" s="549">
        <f>INDEX(LoadMaster!$M:$M,MATCH(B379,LoadMaster!$C:$C,0))</f>
        <v>42475</v>
      </c>
      <c r="Q379" s="550" t="str">
        <f>INDEX(LoadMaster!$P:$P,MATCH(B379,LoadMaster!$C:$C,0))</f>
        <v>West Sacramento</v>
      </c>
      <c r="R379" s="550" t="str">
        <f>INDEX(LoadMaster!$AH:$AH,MATCH(B379,LoadMaster!$C:$C,0))</f>
        <v>Fresno</v>
      </c>
      <c r="S379" s="416" t="str">
        <f>INDEX(LoadMaster!$DC:$DC,MATCH(B379,LoadMaster!$C:$C,0))</f>
        <v>Harman</v>
      </c>
      <c r="T379" s="567">
        <f>INDEX(LoadMaster!$DA:$DA,MATCH(B379,LoadMaster!$C:$C,0))</f>
        <v>16</v>
      </c>
      <c r="U379" s="243">
        <f>Table2[[#This Row],[WeekEndingDate]]+7</f>
        <v>42482</v>
      </c>
      <c r="V379" s="550">
        <f t="shared" si="28"/>
        <v>4</v>
      </c>
      <c r="W379" s="548">
        <f t="shared" si="29"/>
        <v>2016</v>
      </c>
    </row>
    <row r="380" spans="1:23" s="68" customFormat="1">
      <c r="A380" s="15" t="str">
        <f>INDEX(LoadMaster!$A:$A,MATCH(B380,LoadMaster!$C:$C,0))</f>
        <v>16860793</v>
      </c>
      <c r="B380" s="81">
        <v>7635016</v>
      </c>
      <c r="C380" s="15" t="str">
        <f>VLOOKUP(Table2[[#This Row],[BrokerConfNo]],LoadMaster!C:D,2,FALSE)</f>
        <v>Globaltranz</v>
      </c>
      <c r="D380" s="104">
        <v>42496</v>
      </c>
      <c r="E380" s="416" t="str">
        <f>IF(Table2[[#This Row],[UBActualReceived]]&gt;1,"Received","Pending")</f>
        <v>Received</v>
      </c>
      <c r="F380" s="134">
        <f>INDEX(LoadMaster!$CU:$CU,MATCH(B380,LoadMaster!$C:$C,0))</f>
        <v>650</v>
      </c>
      <c r="G380" s="132">
        <f>INDEX(LoadMaster!$CX:$CX,MATCH(B380,LoadMaster!$C:$C,0))</f>
        <v>624</v>
      </c>
      <c r="H380" s="132">
        <f>INDEX(LoadMaster!$CW:$CW,MATCH(B380,LoadMaster!$C:$C,0))</f>
        <v>604.5</v>
      </c>
      <c r="I380" s="330">
        <v>624</v>
      </c>
      <c r="J380" s="525">
        <v>604.5</v>
      </c>
      <c r="K380" s="134" t="str">
        <f t="shared" si="25"/>
        <v>Full</v>
      </c>
      <c r="L380" s="134">
        <f>INDEX(LoadMaster!$CT:$CT,MATCH(Table2[[#This Row],[BrokerConfNo]],LoadMaster!$C:$C,0))</f>
        <v>0</v>
      </c>
      <c r="M380" s="15" t="str">
        <f>INDEX(LoadMaster!$AO:$AO,MATCH(Table2[[#This Row],[BrokerConfNo]],LoadMaster!$C:$C,0))</f>
        <v>Arturo</v>
      </c>
      <c r="N380" s="104">
        <f t="shared" si="26"/>
        <v>42482</v>
      </c>
      <c r="O380" s="135">
        <f t="shared" si="27"/>
        <v>42489</v>
      </c>
      <c r="P380" s="104">
        <f>INDEX(LoadMaster!$M:$M,MATCH(B380,LoadMaster!$C:$C,0))</f>
        <v>42478</v>
      </c>
      <c r="Q380" s="15" t="str">
        <f>INDEX(LoadMaster!$P:$P,MATCH(B380,LoadMaster!$C:$C,0))</f>
        <v>Fresno</v>
      </c>
      <c r="R380" s="15" t="str">
        <f>INDEX(LoadMaster!$AH:$AH,MATCH(B380,LoadMaster!$C:$C,0))</f>
        <v>Reno</v>
      </c>
      <c r="S380" s="416" t="str">
        <f>INDEX(LoadMaster!$DC:$DC,MATCH(B380,LoadMaster!$C:$C,0))</f>
        <v>Harman</v>
      </c>
      <c r="T380" s="136">
        <f>INDEX(LoadMaster!$DA:$DA,MATCH(B380,LoadMaster!$C:$C,0))</f>
        <v>19.5</v>
      </c>
      <c r="U380" s="137">
        <f>Table2[[#This Row],[WeekEndingDate]]+7</f>
        <v>42489</v>
      </c>
      <c r="V380" s="15">
        <f t="shared" si="28"/>
        <v>4</v>
      </c>
      <c r="W380" s="416">
        <f t="shared" si="29"/>
        <v>2016</v>
      </c>
    </row>
    <row r="381" spans="1:23" s="68" customFormat="1">
      <c r="A381" s="15" t="str">
        <f>INDEX(LoadMaster!$A:$A,MATCH(B381,LoadMaster!$C:$C,0))</f>
        <v>31151549</v>
      </c>
      <c r="B381" s="552">
        <v>1948031</v>
      </c>
      <c r="C381" s="550" t="str">
        <f>VLOOKUP(Table2[[#This Row],[BrokerConfNo]],LoadMaster!C:D,2,FALSE)</f>
        <v>XPOLogistics</v>
      </c>
      <c r="D381" s="549">
        <v>42482</v>
      </c>
      <c r="E381" s="548" t="str">
        <f>IF(Table2[[#This Row],[UBActualReceived]]&gt;1,"Received","Pending")</f>
        <v>Received</v>
      </c>
      <c r="F381" s="241">
        <f>INDEX(LoadMaster!$CU:$CU,MATCH(B381,LoadMaster!$C:$C,0))</f>
        <v>600</v>
      </c>
      <c r="G381" s="132">
        <f>INDEX(LoadMaster!$CX:$CX,MATCH(B381,LoadMaster!$C:$C,0))</f>
        <v>582</v>
      </c>
      <c r="H381" s="132">
        <f>INDEX(LoadMaster!$CW:$CW,MATCH(B381,LoadMaster!$C:$C,0))</f>
        <v>558</v>
      </c>
      <c r="I381" s="338">
        <v>582</v>
      </c>
      <c r="J381" s="525">
        <v>558</v>
      </c>
      <c r="K381" s="241" t="str">
        <f t="shared" si="25"/>
        <v>Full</v>
      </c>
      <c r="L381" s="241">
        <f>INDEX(LoadMaster!$CT:$CT,MATCH(Table2[[#This Row],[BrokerConfNo]],LoadMaster!$C:$C,0))</f>
        <v>0</v>
      </c>
      <c r="M381" s="550" t="str">
        <f>INDEX(LoadMaster!$AO:$AO,MATCH(Table2[[#This Row],[BrokerConfNo]],LoadMaster!$C:$C,0))</f>
        <v>Albel</v>
      </c>
      <c r="N381" s="549">
        <f t="shared" si="26"/>
        <v>42482</v>
      </c>
      <c r="O381" s="242">
        <f t="shared" si="27"/>
        <v>42496</v>
      </c>
      <c r="P381" s="549">
        <f>INDEX(LoadMaster!$M:$M,MATCH(B381,LoadMaster!$C:$C,0))</f>
        <v>42478</v>
      </c>
      <c r="Q381" s="550" t="str">
        <f>INDEX(LoadMaster!$P:$P,MATCH(B381,LoadMaster!$C:$C,0))</f>
        <v>Carson City</v>
      </c>
      <c r="R381" s="550" t="str">
        <f>INDEX(LoadMaster!$AH:$AH,MATCH(B381,LoadMaster!$C:$C,0))</f>
        <v>Ivanhoe</v>
      </c>
      <c r="S381" s="416" t="str">
        <f>INDEX(LoadMaster!$DC:$DC,MATCH(B381,LoadMaster!$C:$C,0))</f>
        <v>Harman</v>
      </c>
      <c r="T381" s="567">
        <f>INDEX(LoadMaster!$DA:$DA,MATCH(B381,LoadMaster!$C:$C,0))</f>
        <v>24</v>
      </c>
      <c r="U381" s="243">
        <f>Table2[[#This Row],[WeekEndingDate]]+7</f>
        <v>42489</v>
      </c>
      <c r="V381" s="550">
        <f t="shared" si="28"/>
        <v>4</v>
      </c>
      <c r="W381" s="548">
        <f t="shared" si="29"/>
        <v>2016</v>
      </c>
    </row>
    <row r="382" spans="1:23" s="68" customFormat="1">
      <c r="A382" s="15" t="str">
        <f>INDEX(LoadMaster!$A:$A,MATCH(B382,LoadMaster!$C:$C,0))</f>
        <v>28070749</v>
      </c>
      <c r="B382" s="552">
        <v>7640228</v>
      </c>
      <c r="C382" s="550" t="str">
        <f>VLOOKUP(Table2[[#This Row],[BrokerConfNo]],LoadMaster!C:D,2,FALSE)</f>
        <v>Globaltranz</v>
      </c>
      <c r="D382" s="549">
        <v>42496</v>
      </c>
      <c r="E382" s="548" t="str">
        <f>IF(Table2[[#This Row],[UBActualReceived]]&gt;1,"Received","Pending")</f>
        <v>Received</v>
      </c>
      <c r="F382" s="241">
        <f>INDEX(LoadMaster!$CU:$CU,MATCH(B382,LoadMaster!$C:$C,0))</f>
        <v>650</v>
      </c>
      <c r="G382" s="132">
        <f>INDEX(LoadMaster!$CX:$CX,MATCH(B382,LoadMaster!$C:$C,0))</f>
        <v>624</v>
      </c>
      <c r="H382" s="132">
        <f>INDEX(LoadMaster!$CW:$CW,MATCH(B382,LoadMaster!$C:$C,0))</f>
        <v>604.5</v>
      </c>
      <c r="I382" s="338">
        <v>624</v>
      </c>
      <c r="J382" s="525">
        <v>604.5</v>
      </c>
      <c r="K382" s="241" t="str">
        <f t="shared" si="25"/>
        <v>Full</v>
      </c>
      <c r="L382" s="241">
        <f>INDEX(LoadMaster!$CT:$CT,MATCH(Table2[[#This Row],[BrokerConfNo]],LoadMaster!$C:$C,0))</f>
        <v>0</v>
      </c>
      <c r="M382" s="550" t="str">
        <f>INDEX(LoadMaster!$AO:$AO,MATCH(Table2[[#This Row],[BrokerConfNo]],LoadMaster!$C:$C,0))</f>
        <v>Albel</v>
      </c>
      <c r="N382" s="549">
        <f t="shared" si="26"/>
        <v>42482</v>
      </c>
      <c r="O382" s="242">
        <f t="shared" si="27"/>
        <v>42496</v>
      </c>
      <c r="P382" s="549">
        <f>INDEX(LoadMaster!$M:$M,MATCH(B382,LoadMaster!$C:$C,0))</f>
        <v>42479</v>
      </c>
      <c r="Q382" s="550" t="str">
        <f>INDEX(LoadMaster!$P:$P,MATCH(B382,LoadMaster!$C:$C,0))</f>
        <v>Fresno</v>
      </c>
      <c r="R382" s="550" t="str">
        <f>INDEX(LoadMaster!$AH:$AH,MATCH(B382,LoadMaster!$C:$C,0))</f>
        <v>Reno</v>
      </c>
      <c r="S382" s="416" t="str">
        <f>INDEX(LoadMaster!$DC:$DC,MATCH(B382,LoadMaster!$C:$C,0))</f>
        <v>Harman</v>
      </c>
      <c r="T382" s="567">
        <f>INDEX(LoadMaster!$DA:$DA,MATCH(B382,LoadMaster!$C:$C,0))</f>
        <v>19.5</v>
      </c>
      <c r="U382" s="243">
        <f>Table2[[#This Row],[WeekEndingDate]]+7</f>
        <v>42489</v>
      </c>
      <c r="V382" s="550">
        <f t="shared" si="28"/>
        <v>4</v>
      </c>
      <c r="W382" s="548">
        <f t="shared" si="29"/>
        <v>2016</v>
      </c>
    </row>
    <row r="383" spans="1:23" s="68" customFormat="1">
      <c r="A383" s="15" t="s">
        <v>3832</v>
      </c>
      <c r="B383" s="552">
        <v>1957337</v>
      </c>
      <c r="C383" s="550" t="str">
        <f>VLOOKUP(Table2[[#This Row],[BrokerConfNo]],LoadMaster!C:D,2,FALSE)</f>
        <v>XPOLogistics</v>
      </c>
      <c r="D383" s="549">
        <v>42500</v>
      </c>
      <c r="E383" s="548" t="str">
        <f>IF(Table2[[#This Row],[UBActualReceived]]&gt;1,"Received","Pending")</f>
        <v>Received</v>
      </c>
      <c r="F383" s="241">
        <f>INDEX(LoadMaster!$CU:$CU,MATCH(B383,LoadMaster!$C:$C,0))</f>
        <v>600</v>
      </c>
      <c r="G383" s="132">
        <f>INDEX(LoadMaster!$CX:$CX,MATCH(B383,LoadMaster!$C:$C,0))</f>
        <v>582</v>
      </c>
      <c r="H383" s="132">
        <v>279</v>
      </c>
      <c r="I383" s="338">
        <v>600</v>
      </c>
      <c r="J383" s="525">
        <v>279</v>
      </c>
      <c r="K383" s="241" t="str">
        <f t="shared" si="25"/>
        <v>Full</v>
      </c>
      <c r="L383" s="241">
        <f>INDEX(LoadMaster!$CT:$CT,MATCH(Table2[[#This Row],[BrokerConfNo]],LoadMaster!$C:$C,0))</f>
        <v>0</v>
      </c>
      <c r="M383" s="550" t="str">
        <f>INDEX(LoadMaster!$AO:$AO,MATCH(Table2[[#This Row],[BrokerConfNo]],LoadMaster!$C:$C,0))</f>
        <v>Arturo</v>
      </c>
      <c r="N383" s="549">
        <f t="shared" si="26"/>
        <v>42482</v>
      </c>
      <c r="O383" s="242">
        <f t="shared" si="27"/>
        <v>42489</v>
      </c>
      <c r="P383" s="549">
        <f>INDEX(LoadMaster!$M:$M,MATCH(B383,LoadMaster!$C:$C,0))</f>
        <v>42479</v>
      </c>
      <c r="Q383" s="550" t="str">
        <f>INDEX(LoadMaster!$P:$P,MATCH(B383,LoadMaster!$C:$C,0))</f>
        <v>Carson City</v>
      </c>
      <c r="R383" s="550" t="s">
        <v>3833</v>
      </c>
      <c r="S383" s="416" t="str">
        <f>INDEX(LoadMaster!$DC:$DC,MATCH(B383,LoadMaster!$C:$C,0))</f>
        <v>Harman</v>
      </c>
      <c r="T383" s="567">
        <f>INDEX(LoadMaster!$DA:$DA,MATCH(B383,LoadMaster!$C:$C,0))</f>
        <v>24</v>
      </c>
      <c r="U383" s="243">
        <f>Table2[[#This Row],[WeekEndingDate]]+7</f>
        <v>42489</v>
      </c>
      <c r="V383" s="550">
        <f t="shared" si="28"/>
        <v>4</v>
      </c>
      <c r="W383" s="548">
        <f t="shared" si="29"/>
        <v>2016</v>
      </c>
    </row>
    <row r="384" spans="1:23" s="393" customFormat="1">
      <c r="A384" s="391" t="s">
        <v>3834</v>
      </c>
      <c r="B384" s="392">
        <v>6843970</v>
      </c>
      <c r="C384" s="391" t="str">
        <f>VLOOKUP(Table2[[#This Row],[BrokerConfNo]],LoadMaster!C:D,2,FALSE)</f>
        <v>Tql</v>
      </c>
      <c r="D384" s="397" t="s">
        <v>123</v>
      </c>
      <c r="E384" s="393" t="s">
        <v>123</v>
      </c>
      <c r="F384" s="394" t="s">
        <v>123</v>
      </c>
      <c r="G384" s="395" t="s">
        <v>123</v>
      </c>
      <c r="H384" s="395">
        <v>300</v>
      </c>
      <c r="I384" s="396" t="s">
        <v>123</v>
      </c>
      <c r="J384" s="534">
        <v>300</v>
      </c>
      <c r="K384" s="394" t="str">
        <f t="shared" si="25"/>
        <v>Full</v>
      </c>
      <c r="L384" s="394">
        <f>INDEX(LoadMaster!$CT:$CT,MATCH(Table2[[#This Row],[BrokerConfNo]],LoadMaster!$C:$C,0))</f>
        <v>0</v>
      </c>
      <c r="M384" s="391" t="s">
        <v>3831</v>
      </c>
      <c r="N384" s="397">
        <f t="shared" si="26"/>
        <v>42482</v>
      </c>
      <c r="O384" s="398">
        <f t="shared" si="27"/>
        <v>42489</v>
      </c>
      <c r="P384" s="397">
        <v>42479</v>
      </c>
      <c r="Q384" s="391" t="str">
        <f>INDEX(LoadMaster!$P:$P,MATCH(B384,LoadMaster!$C:$C,0))</f>
        <v>Stockton</v>
      </c>
      <c r="R384" s="391" t="s">
        <v>3833</v>
      </c>
      <c r="S384" s="393" t="str">
        <f>INDEX(LoadMaster!$DC:$DC,MATCH(B384,LoadMaster!$C:$C,0))</f>
        <v>Harman</v>
      </c>
      <c r="T384" s="399">
        <f>INDEX(LoadMaster!$DA:$DA,MATCH(B384,LoadMaster!$C:$C,0))</f>
        <v>15</v>
      </c>
      <c r="U384" s="400">
        <f>Table2[[#This Row],[WeekEndingDate]]+7</f>
        <v>42489</v>
      </c>
      <c r="V384" s="391">
        <f t="shared" si="28"/>
        <v>4</v>
      </c>
      <c r="W384" s="393">
        <f t="shared" si="29"/>
        <v>2016</v>
      </c>
    </row>
    <row r="385" spans="1:23" s="393" customFormat="1">
      <c r="A385" s="391" t="s">
        <v>3835</v>
      </c>
      <c r="B385" s="392">
        <v>1957337</v>
      </c>
      <c r="C385" s="391" t="s">
        <v>2405</v>
      </c>
      <c r="D385" s="397" t="s">
        <v>123</v>
      </c>
      <c r="E385" s="393" t="s">
        <v>123</v>
      </c>
      <c r="F385" s="394" t="s">
        <v>123</v>
      </c>
      <c r="G385" s="395" t="s">
        <v>123</v>
      </c>
      <c r="H385" s="395">
        <v>279</v>
      </c>
      <c r="I385" s="396" t="s">
        <v>123</v>
      </c>
      <c r="J385" s="534">
        <v>279</v>
      </c>
      <c r="K385" s="394" t="str">
        <f t="shared" si="25"/>
        <v>Full</v>
      </c>
      <c r="L385" s="394">
        <f>INDEX(LoadMaster!$CT:$CT,MATCH(Table2[[#This Row],[BrokerConfNo]],LoadMaster!$C:$C,0))</f>
        <v>0</v>
      </c>
      <c r="M385" s="391" t="s">
        <v>3836</v>
      </c>
      <c r="N385" s="397">
        <v>42482</v>
      </c>
      <c r="O385" s="398">
        <v>42489</v>
      </c>
      <c r="P385" s="397">
        <v>42479</v>
      </c>
      <c r="Q385" s="391" t="s">
        <v>3833</v>
      </c>
      <c r="R385" s="391" t="s">
        <v>2168</v>
      </c>
      <c r="S385" s="393" t="str">
        <f>INDEX(LoadMaster!$DC:$DC,MATCH(B385,LoadMaster!$C:$C,0))</f>
        <v>Harman</v>
      </c>
      <c r="T385" s="399"/>
      <c r="U385" s="400">
        <v>42489</v>
      </c>
      <c r="V385" s="391">
        <v>4</v>
      </c>
      <c r="W385" s="393">
        <v>2016</v>
      </c>
    </row>
    <row r="386" spans="1:23" s="68" customFormat="1">
      <c r="A386" s="15" t="s">
        <v>3837</v>
      </c>
      <c r="B386" s="552">
        <v>6843970</v>
      </c>
      <c r="C386" s="550" t="s">
        <v>555</v>
      </c>
      <c r="D386" s="549">
        <v>42489</v>
      </c>
      <c r="E386" s="548" t="str">
        <f>IF(Table2[[#This Row],[UBActualReceived]]&gt;1,"Received","Pending")</f>
        <v>Received</v>
      </c>
      <c r="F386" s="241">
        <f>INDEX(LoadMaster!$CU:$CU,MATCH(B386,LoadMaster!$C:$C,0))</f>
        <v>375</v>
      </c>
      <c r="G386" s="132">
        <f>INDEX(LoadMaster!$CX:$CX,MATCH(B386,LoadMaster!$C:$C,0))</f>
        <v>363.75</v>
      </c>
      <c r="H386" s="132">
        <v>200</v>
      </c>
      <c r="I386" s="338">
        <v>363.75</v>
      </c>
      <c r="J386" s="525">
        <v>200</v>
      </c>
      <c r="K386" s="241" t="str">
        <f t="shared" ref="K386:K449" si="30">IF(I386&lt;G386, "Less", "Full")</f>
        <v>Full</v>
      </c>
      <c r="L386" s="241">
        <f>INDEX(LoadMaster!$CT:$CT,MATCH(Table2[[#This Row],[BrokerConfNo]],LoadMaster!$C:$C,0))</f>
        <v>0</v>
      </c>
      <c r="M386" s="550" t="str">
        <f>INDEX(LoadMaster!$AO:$AO,MATCH(Table2[[#This Row],[BrokerConfNo]],LoadMaster!$C:$C,0))</f>
        <v>Miguel Jaime</v>
      </c>
      <c r="N386" s="549">
        <v>42482</v>
      </c>
      <c r="O386" s="242">
        <v>42489</v>
      </c>
      <c r="P386" s="549">
        <v>42480</v>
      </c>
      <c r="Q386" s="550" t="s">
        <v>3833</v>
      </c>
      <c r="R386" s="550" t="s">
        <v>2610</v>
      </c>
      <c r="S386" s="416" t="str">
        <f>INDEX(LoadMaster!$DC:$DC,MATCH(B386,LoadMaster!$C:$C,0))</f>
        <v>Harman</v>
      </c>
      <c r="T386" s="567"/>
      <c r="U386" s="243">
        <v>42489</v>
      </c>
      <c r="V386" s="550">
        <v>4</v>
      </c>
      <c r="W386" s="548">
        <v>2016</v>
      </c>
    </row>
    <row r="387" spans="1:23">
      <c r="A387" s="15" t="str">
        <f>INDEX(LoadMaster!$A:$A,MATCH(B387,LoadMaster!$C:$C,0))</f>
        <v>23wnwn49</v>
      </c>
      <c r="B387" s="552">
        <v>5423</v>
      </c>
      <c r="C387" s="550" t="str">
        <f>VLOOKUP(Table2[[#This Row],[BrokerConfNo]],LoadMaster!C:D,2,FALSE)</f>
        <v>Fast Brokerage Inc.</v>
      </c>
      <c r="D387" s="550"/>
      <c r="E387" s="548" t="str">
        <f>IF(Table2[[#This Row],[UBActualReceived]]&gt;1,"Received","Pending")</f>
        <v>Pending</v>
      </c>
      <c r="F387" s="241">
        <f>INDEX(LoadMaster!$CU:$CU,MATCH(B387,LoadMaster!$C:$C,0))</f>
        <v>650</v>
      </c>
      <c r="G387" s="132">
        <f>INDEX(LoadMaster!$CX:$CX,MATCH(B387,LoadMaster!$C:$C,0))</f>
        <v>650</v>
      </c>
      <c r="H387" s="132">
        <f>INDEX(LoadMaster!$CW:$CW,MATCH(B387,LoadMaster!$C:$C,0))</f>
        <v>604.5</v>
      </c>
      <c r="I387" s="351"/>
      <c r="J387" s="533">
        <v>604.5</v>
      </c>
      <c r="K387" s="241" t="str">
        <f t="shared" si="30"/>
        <v>Less</v>
      </c>
      <c r="L387" s="241">
        <f>INDEX(LoadMaster!$CT:$CT,MATCH(Table2[[#This Row],[BrokerConfNo]],LoadMaster!$C:$C,0))</f>
        <v>0</v>
      </c>
      <c r="M387" s="550" t="str">
        <f>INDEX(LoadMaster!$AO:$AO,MATCH(Table2[[#This Row],[BrokerConfNo]],LoadMaster!$C:$C,0))</f>
        <v>Albel</v>
      </c>
      <c r="N387" s="549">
        <f t="shared" ref="N387:N404" si="31">(5-WEEKDAY(P387,2))+P387</f>
        <v>42482</v>
      </c>
      <c r="O387" s="242">
        <f t="shared" ref="O387:O404" si="32">IF(M387="Albel",((5-WEEKDAY(P387,2))+P387)+14,(((5-WEEKDAY(P387,2))+P387)+7))</f>
        <v>42496</v>
      </c>
      <c r="P387" s="549">
        <f>INDEX(LoadMaster!$M:$M,MATCH(B387,LoadMaster!$C:$C,0))</f>
        <v>42480</v>
      </c>
      <c r="Q387" s="550" t="str">
        <f>INDEX(LoadMaster!$P:$P,MATCH(B387,LoadMaster!$C:$C,0))</f>
        <v>FERNLEY</v>
      </c>
      <c r="R387" s="550" t="str">
        <f>INDEX(LoadMaster!$AH:$AH,MATCH(B387,LoadMaster!$C:$C,0))</f>
        <v>HAYWARD / FREMONT / SAN JOSE</v>
      </c>
      <c r="S387" s="416" t="str">
        <f>INDEX(LoadMaster!$DC:$DC,MATCH(B387,LoadMaster!$C:$C,0))</f>
        <v>Harman</v>
      </c>
      <c r="T387" s="567">
        <f>INDEX(LoadMaster!$DA:$DA,MATCH(B387,LoadMaster!$C:$C,0))</f>
        <v>45.5</v>
      </c>
      <c r="U387" s="243">
        <f>Table2[[#This Row],[WeekEndingDate]]+7</f>
        <v>42489</v>
      </c>
      <c r="V387" s="550">
        <f t="shared" ref="V387:V404" si="33">MONTH(P387)</f>
        <v>4</v>
      </c>
      <c r="W387" s="548">
        <f t="shared" ref="W387:W404" si="34">YEAR(P387)</f>
        <v>2016</v>
      </c>
    </row>
    <row r="388" spans="1:23">
      <c r="A388" s="15" t="str">
        <f>INDEX(LoadMaster!$A:$A,MATCH(B388,LoadMaster!$C:$C,0))</f>
        <v>81wnwn93</v>
      </c>
      <c r="B388" s="552">
        <v>6110081</v>
      </c>
      <c r="C388" s="550" t="str">
        <f>VLOOKUP(Table2[[#This Row],[BrokerConfNo]],LoadMaster!C:D,2,FALSE)</f>
        <v>JBS Logistics</v>
      </c>
      <c r="D388" s="549">
        <v>42498</v>
      </c>
      <c r="E388" s="548" t="str">
        <f>IF(Table2[[#This Row],[UBActualReceived]]&gt;1,"Received","Pending")</f>
        <v>Received</v>
      </c>
      <c r="F388" s="241">
        <f>INDEX(LoadMaster!$CU:$CU,MATCH(B388,LoadMaster!$C:$C,0))</f>
        <v>600</v>
      </c>
      <c r="G388" s="132">
        <f>INDEX(LoadMaster!$CX:$CX,MATCH(B388,LoadMaster!$C:$C,0))</f>
        <v>600</v>
      </c>
      <c r="H388" s="132">
        <f>INDEX(LoadMaster!$CW:$CW,MATCH(B388,LoadMaster!$C:$C,0))</f>
        <v>558</v>
      </c>
      <c r="I388" s="351">
        <v>600</v>
      </c>
      <c r="J388" s="533">
        <v>558</v>
      </c>
      <c r="K388" s="241" t="str">
        <f t="shared" si="30"/>
        <v>Full</v>
      </c>
      <c r="L388" s="241">
        <f>INDEX(LoadMaster!$CT:$CT,MATCH(Table2[[#This Row],[BrokerConfNo]],LoadMaster!$C:$C,0))</f>
        <v>0</v>
      </c>
      <c r="M388" s="550" t="str">
        <f>INDEX(LoadMaster!$AO:$AO,MATCH(Table2[[#This Row],[BrokerConfNo]],LoadMaster!$C:$C,0))</f>
        <v>Arturo</v>
      </c>
      <c r="N388" s="549">
        <f t="shared" si="31"/>
        <v>42482</v>
      </c>
      <c r="O388" s="242">
        <f t="shared" si="32"/>
        <v>42489</v>
      </c>
      <c r="P388" s="549">
        <f>INDEX(LoadMaster!$M:$M,MATCH(B388,LoadMaster!$C:$C,0))</f>
        <v>42480</v>
      </c>
      <c r="Q388" s="550" t="str">
        <f>INDEX(LoadMaster!$P:$P,MATCH(B388,LoadMaster!$C:$C,0))</f>
        <v>HAYWARD</v>
      </c>
      <c r="R388" s="550" t="str">
        <f>INDEX(LoadMaster!$AH:$AH,MATCH(B388,LoadMaster!$C:$C,0))</f>
        <v>CARSON CITY</v>
      </c>
      <c r="S388" s="416" t="str">
        <f>INDEX(LoadMaster!$DC:$DC,MATCH(B388,LoadMaster!$C:$C,0))</f>
        <v>Harman</v>
      </c>
      <c r="T388" s="567">
        <f>INDEX(LoadMaster!$DA:$DA,MATCH(B388,LoadMaster!$C:$C,0))</f>
        <v>42</v>
      </c>
      <c r="U388" s="243">
        <f>Table2[[#This Row],[WeekEndingDate]]+7</f>
        <v>42489</v>
      </c>
      <c r="V388" s="550">
        <f t="shared" si="33"/>
        <v>4</v>
      </c>
      <c r="W388" s="548">
        <f t="shared" si="34"/>
        <v>2016</v>
      </c>
    </row>
    <row r="389" spans="1:23" s="68" customFormat="1">
      <c r="A389" s="15" t="str">
        <f>INDEX(LoadMaster!$A:$A,MATCH(B389,LoadMaster!$C:$C,0))</f>
        <v>96303049</v>
      </c>
      <c r="B389" s="552">
        <v>7263196</v>
      </c>
      <c r="C389" s="550" t="str">
        <f>VLOOKUP(Table2[[#This Row],[BrokerConfNo]],LoadMaster!C:D,2,FALSE)</f>
        <v>Coyote</v>
      </c>
      <c r="D389" s="549">
        <v>42528</v>
      </c>
      <c r="E389" s="548" t="str">
        <f>IF(Table2[[#This Row],[UBActualReceived]]&gt;1,"Received","Pending")</f>
        <v>Received</v>
      </c>
      <c r="F389" s="241">
        <f>INDEX(LoadMaster!$CU:$CU,MATCH(B389,LoadMaster!$C:$C,0))</f>
        <v>650</v>
      </c>
      <c r="G389" s="132">
        <f>INDEX(LoadMaster!$CX:$CX,MATCH(B389,LoadMaster!$C:$C,0))</f>
        <v>630.5</v>
      </c>
      <c r="H389" s="132">
        <f>INDEX(LoadMaster!$CW:$CW,MATCH(B389,LoadMaster!$C:$C,0))</f>
        <v>604.5</v>
      </c>
      <c r="I389" s="338">
        <v>630.5</v>
      </c>
      <c r="J389" s="525">
        <v>604.5</v>
      </c>
      <c r="K389" s="241" t="str">
        <f t="shared" si="30"/>
        <v>Full</v>
      </c>
      <c r="L389" s="241">
        <f>INDEX(LoadMaster!$CT:$CT,MATCH(Table2[[#This Row],[BrokerConfNo]],LoadMaster!$C:$C,0))</f>
        <v>0</v>
      </c>
      <c r="M389" s="550" t="str">
        <f>INDEX(LoadMaster!$AO:$AO,MATCH(Table2[[#This Row],[BrokerConfNo]],LoadMaster!$C:$C,0))</f>
        <v>Albel</v>
      </c>
      <c r="N389" s="549">
        <f t="shared" si="31"/>
        <v>42482</v>
      </c>
      <c r="O389" s="242">
        <f t="shared" si="32"/>
        <v>42496</v>
      </c>
      <c r="P389" s="549">
        <f>INDEX(LoadMaster!$M:$M,MATCH(B389,LoadMaster!$C:$C,0))</f>
        <v>42481</v>
      </c>
      <c r="Q389" s="550" t="str">
        <f>INDEX(LoadMaster!$P:$P,MATCH(B389,LoadMaster!$C:$C,0))</f>
        <v>Modesto</v>
      </c>
      <c r="R389" s="550" t="str">
        <f>INDEX(LoadMaster!$AH:$AH,MATCH(B389,LoadMaster!$C:$C,0))</f>
        <v>Fallon</v>
      </c>
      <c r="S389" s="416" t="str">
        <f>INDEX(LoadMaster!$DC:$DC,MATCH(B389,LoadMaster!$C:$C,0))</f>
        <v>Harman</v>
      </c>
      <c r="T389" s="567">
        <f>INDEX(LoadMaster!$DA:$DA,MATCH(B389,LoadMaster!$C:$C,0))</f>
        <v>26</v>
      </c>
      <c r="U389" s="243">
        <f>Table2[[#This Row],[WeekEndingDate]]+7</f>
        <v>42489</v>
      </c>
      <c r="V389" s="550">
        <f t="shared" si="33"/>
        <v>4</v>
      </c>
      <c r="W389" s="548">
        <f t="shared" si="34"/>
        <v>2016</v>
      </c>
    </row>
    <row r="390" spans="1:23" s="68" customFormat="1">
      <c r="A390" s="15" t="str">
        <f>INDEX(LoadMaster!$A:$A,MATCH(B390,LoadMaster!$C:$C,0))</f>
        <v>5211wn93</v>
      </c>
      <c r="B390" s="552">
        <v>1957352</v>
      </c>
      <c r="C390" s="550" t="str">
        <f>VLOOKUP(Table2[[#This Row],[BrokerConfNo]],LoadMaster!C:D,2,FALSE)</f>
        <v>XPOLogistics</v>
      </c>
      <c r="D390" s="549">
        <v>42500</v>
      </c>
      <c r="E390" s="548" t="str">
        <f>IF(Table2[[#This Row],[UBActualReceived]]&gt;1,"Received","Pending")</f>
        <v>Received</v>
      </c>
      <c r="F390" s="241">
        <f>INDEX(LoadMaster!$CU:$CU,MATCH(B390,LoadMaster!$C:$C,0))</f>
        <v>600</v>
      </c>
      <c r="G390" s="132">
        <f>INDEX(LoadMaster!$CX:$CX,MATCH(B390,LoadMaster!$C:$C,0))</f>
        <v>582</v>
      </c>
      <c r="H390" s="132">
        <f>INDEX(LoadMaster!$CW:$CW,MATCH(B390,LoadMaster!$C:$C,0))</f>
        <v>558</v>
      </c>
      <c r="I390" s="338">
        <v>600</v>
      </c>
      <c r="J390" s="525">
        <v>558</v>
      </c>
      <c r="K390" s="241" t="str">
        <f t="shared" si="30"/>
        <v>Full</v>
      </c>
      <c r="L390" s="241">
        <f>INDEX(LoadMaster!$CT:$CT,MATCH(Table2[[#This Row],[BrokerConfNo]],LoadMaster!$C:$C,0))</f>
        <v>0</v>
      </c>
      <c r="M390" s="550" t="str">
        <f>INDEX(LoadMaster!$AO:$AO,MATCH(Table2[[#This Row],[BrokerConfNo]],LoadMaster!$C:$C,0))</f>
        <v>Arturo</v>
      </c>
      <c r="N390" s="549">
        <f t="shared" si="31"/>
        <v>42482</v>
      </c>
      <c r="O390" s="242">
        <f t="shared" si="32"/>
        <v>42489</v>
      </c>
      <c r="P390" s="549">
        <f>INDEX(LoadMaster!$M:$M,MATCH(B390,LoadMaster!$C:$C,0))</f>
        <v>42481</v>
      </c>
      <c r="Q390" s="550" t="str">
        <f>INDEX(LoadMaster!$P:$P,MATCH(B390,LoadMaster!$C:$C,0))</f>
        <v>Carson City</v>
      </c>
      <c r="R390" s="550" t="str">
        <f>INDEX(LoadMaster!$AH:$AH,MATCH(B390,LoadMaster!$C:$C,0))</f>
        <v>Ivanhoe</v>
      </c>
      <c r="S390" s="416" t="str">
        <f>INDEX(LoadMaster!$DC:$DC,MATCH(B390,LoadMaster!$C:$C,0))</f>
        <v>Harman</v>
      </c>
      <c r="T390" s="567">
        <f>INDEX(LoadMaster!$DA:$DA,MATCH(B390,LoadMaster!$C:$C,0))</f>
        <v>24</v>
      </c>
      <c r="U390" s="243">
        <f>Table2[[#This Row],[WeekEndingDate]]+7</f>
        <v>42489</v>
      </c>
      <c r="V390" s="550">
        <f t="shared" si="33"/>
        <v>4</v>
      </c>
      <c r="W390" s="548">
        <f t="shared" si="34"/>
        <v>2016</v>
      </c>
    </row>
    <row r="391" spans="1:23" s="68" customFormat="1">
      <c r="A391" s="15" t="str">
        <f>INDEX(LoadMaster!$A:$A,MATCH(B391,LoadMaster!$C:$C,0))</f>
        <v>62189793</v>
      </c>
      <c r="B391" s="552">
        <v>1750862</v>
      </c>
      <c r="C391" s="550" t="str">
        <f>VLOOKUP(Table2[[#This Row],[BrokerConfNo]],LoadMaster!C:D,2,FALSE)</f>
        <v>Interstate Distributor Co</v>
      </c>
      <c r="D391" s="549">
        <v>42496</v>
      </c>
      <c r="E391" s="548" t="str">
        <f>IF(Table2[[#This Row],[UBActualReceived]]&gt;1,"Received","Pending")</f>
        <v>Received</v>
      </c>
      <c r="F391" s="241">
        <f>INDEX(LoadMaster!$CU:$CU,MATCH(B391,LoadMaster!$C:$C,0))</f>
        <v>725</v>
      </c>
      <c r="G391" s="132">
        <f>INDEX(LoadMaster!$CX:$CX,MATCH(B391,LoadMaster!$C:$C,0))</f>
        <v>714.125</v>
      </c>
      <c r="H391" s="132">
        <f>INDEX(LoadMaster!$CW:$CW,MATCH(B391,LoadMaster!$C:$C,0))</f>
        <v>674.25</v>
      </c>
      <c r="I391" s="338">
        <v>714.125</v>
      </c>
      <c r="J391" s="525">
        <v>674.25</v>
      </c>
      <c r="K391" s="241" t="str">
        <f t="shared" si="30"/>
        <v>Full</v>
      </c>
      <c r="L391" s="241">
        <f>INDEX(LoadMaster!$CT:$CT,MATCH(Table2[[#This Row],[BrokerConfNo]],LoadMaster!$C:$C,0))</f>
        <v>0</v>
      </c>
      <c r="M391" s="550" t="str">
        <f>INDEX(LoadMaster!$AO:$AO,MATCH(Table2[[#This Row],[BrokerConfNo]],LoadMaster!$C:$C,0))</f>
        <v>Arturo</v>
      </c>
      <c r="N391" s="549">
        <f t="shared" si="31"/>
        <v>42489</v>
      </c>
      <c r="O391" s="242">
        <f t="shared" si="32"/>
        <v>42496</v>
      </c>
      <c r="P391" s="549">
        <f>INDEX(LoadMaster!$M:$M,MATCH(B391,LoadMaster!$C:$C,0))</f>
        <v>42485</v>
      </c>
      <c r="Q391" s="550" t="str">
        <f>INDEX(LoadMaster!$P:$P,MATCH(B391,LoadMaster!$C:$C,0))</f>
        <v>Fresno</v>
      </c>
      <c r="R391" s="550" t="str">
        <f>INDEX(LoadMaster!$AH:$AH,MATCH(B391,LoadMaster!$C:$C,0))</f>
        <v>MINDEN</v>
      </c>
      <c r="S391" s="416" t="str">
        <f>INDEX(LoadMaster!$DC:$DC,MATCH(B391,LoadMaster!$C:$C,0))</f>
        <v>Harman</v>
      </c>
      <c r="T391" s="567">
        <f>INDEX(LoadMaster!$DA:$DA,MATCH(B391,LoadMaster!$C:$C,0))</f>
        <v>39.875</v>
      </c>
      <c r="U391" s="243">
        <f>Table2[[#This Row],[WeekEndingDate]]+7</f>
        <v>42496</v>
      </c>
      <c r="V391" s="550">
        <f t="shared" si="33"/>
        <v>4</v>
      </c>
      <c r="W391" s="548">
        <f t="shared" si="34"/>
        <v>2016</v>
      </c>
    </row>
    <row r="392" spans="1:23" s="68" customFormat="1">
      <c r="A392" s="15" t="str">
        <f>INDEX(LoadMaster!$A:$A,MATCH(B392,LoadMaster!$C:$C,0))</f>
        <v>64559519</v>
      </c>
      <c r="B392" s="552">
        <v>1750864</v>
      </c>
      <c r="C392" s="550" t="str">
        <f>VLOOKUP(Table2[[#This Row],[BrokerConfNo]],LoadMaster!C:D,2,FALSE)</f>
        <v>Interstate Distributor Co</v>
      </c>
      <c r="D392" s="549">
        <v>42496</v>
      </c>
      <c r="E392" s="548" t="str">
        <f>IF(Table2[[#This Row],[UBActualReceived]]&gt;1,"Received","Pending")</f>
        <v>Received</v>
      </c>
      <c r="F392" s="241">
        <f>INDEX(LoadMaster!$CU:$CU,MATCH(B392,LoadMaster!$C:$C,0))</f>
        <v>725</v>
      </c>
      <c r="G392" s="132">
        <f>INDEX(LoadMaster!$CX:$CX,MATCH(B392,LoadMaster!$C:$C,0))</f>
        <v>714.125</v>
      </c>
      <c r="H392" s="132">
        <f>INDEX(LoadMaster!$CW:$CW,MATCH(B392,LoadMaster!$C:$C,0))</f>
        <v>674.25</v>
      </c>
      <c r="I392" s="338">
        <v>714.125</v>
      </c>
      <c r="J392" s="525">
        <v>674.25</v>
      </c>
      <c r="K392" s="241" t="str">
        <f t="shared" si="30"/>
        <v>Full</v>
      </c>
      <c r="L392" s="241">
        <f>INDEX(LoadMaster!$CT:$CT,MATCH(Table2[[#This Row],[BrokerConfNo]],LoadMaster!$C:$C,0))</f>
        <v>0</v>
      </c>
      <c r="M392" s="550" t="str">
        <f>INDEX(LoadMaster!$AO:$AO,MATCH(Table2[[#This Row],[BrokerConfNo]],LoadMaster!$C:$C,0))</f>
        <v>Miguel Jaime</v>
      </c>
      <c r="N392" s="549">
        <f t="shared" si="31"/>
        <v>42489</v>
      </c>
      <c r="O392" s="242">
        <f t="shared" si="32"/>
        <v>42496</v>
      </c>
      <c r="P392" s="549">
        <f>INDEX(LoadMaster!$M:$M,MATCH(B392,LoadMaster!$C:$C,0))</f>
        <v>42485</v>
      </c>
      <c r="Q392" s="550" t="str">
        <f>INDEX(LoadMaster!$P:$P,MATCH(B392,LoadMaster!$C:$C,0))</f>
        <v>FRESNO</v>
      </c>
      <c r="R392" s="550" t="str">
        <f>INDEX(LoadMaster!$AH:$AH,MATCH(B392,LoadMaster!$C:$C,0))</f>
        <v>MINDEN</v>
      </c>
      <c r="S392" s="416" t="str">
        <f>INDEX(LoadMaster!$DC:$DC,MATCH(B392,LoadMaster!$C:$C,0))</f>
        <v>Harman</v>
      </c>
      <c r="T392" s="567">
        <f>INDEX(LoadMaster!$DA:$DA,MATCH(B392,LoadMaster!$C:$C,0))</f>
        <v>39.875</v>
      </c>
      <c r="U392" s="243">
        <f>Table2[[#This Row],[WeekEndingDate]]+7</f>
        <v>42496</v>
      </c>
      <c r="V392" s="550">
        <f t="shared" si="33"/>
        <v>4</v>
      </c>
      <c r="W392" s="548">
        <f t="shared" si="34"/>
        <v>2016</v>
      </c>
    </row>
    <row r="393" spans="1:23" s="68" customFormat="1">
      <c r="A393" s="15" t="str">
        <f>INDEX(LoadMaster!$A:$A,MATCH(B393,LoadMaster!$C:$C,0))</f>
        <v>2094wn49</v>
      </c>
      <c r="B393" s="552">
        <v>55420</v>
      </c>
      <c r="C393" s="550" t="str">
        <f>VLOOKUP(Table2[[#This Row],[BrokerConfNo]],LoadMaster!C:D,2,FALSE)</f>
        <v xml:space="preserve">Its National </v>
      </c>
      <c r="D393" s="549">
        <v>42500</v>
      </c>
      <c r="E393" s="548" t="str">
        <f>IF(Table2[[#This Row],[UBActualReceived]]&gt;1,"Received","Pending")</f>
        <v>Received</v>
      </c>
      <c r="F393" s="241">
        <f>INDEX(LoadMaster!$CU:$CU,MATCH(B393,LoadMaster!$C:$C,0))</f>
        <v>600</v>
      </c>
      <c r="G393" s="132">
        <f>INDEX(LoadMaster!$CX:$CX,MATCH(B393,LoadMaster!$C:$C,0))</f>
        <v>582</v>
      </c>
      <c r="H393" s="132">
        <f>INDEX(LoadMaster!$CW:$CW,MATCH(B393,LoadMaster!$C:$C,0))</f>
        <v>558</v>
      </c>
      <c r="I393" s="338">
        <v>582</v>
      </c>
      <c r="J393" s="525">
        <v>558</v>
      </c>
      <c r="K393" s="241" t="str">
        <f t="shared" si="30"/>
        <v>Full</v>
      </c>
      <c r="L393" s="241">
        <f>INDEX(LoadMaster!$CT:$CT,MATCH(Table2[[#This Row],[BrokerConfNo]],LoadMaster!$C:$C,0))</f>
        <v>0</v>
      </c>
      <c r="M393" s="550" t="str">
        <f>INDEX(LoadMaster!$AO:$AO,MATCH(Table2[[#This Row],[BrokerConfNo]],LoadMaster!$C:$C,0))</f>
        <v>Albel</v>
      </c>
      <c r="N393" s="549">
        <f t="shared" si="31"/>
        <v>42489</v>
      </c>
      <c r="O393" s="242">
        <f t="shared" si="32"/>
        <v>42503</v>
      </c>
      <c r="P393" s="549">
        <f>INDEX(LoadMaster!$M:$M,MATCH(B393,LoadMaster!$C:$C,0))</f>
        <v>42485</v>
      </c>
      <c r="Q393" s="550" t="str">
        <f>INDEX(LoadMaster!$P:$P,MATCH(B393,LoadMaster!$C:$C,0))</f>
        <v>UNION CITY</v>
      </c>
      <c r="R393" s="550" t="str">
        <f>INDEX(LoadMaster!$AH:$AH,MATCH(B393,LoadMaster!$C:$C,0))</f>
        <v>RENO</v>
      </c>
      <c r="S393" s="416" t="str">
        <f>INDEX(LoadMaster!$DC:$DC,MATCH(B393,LoadMaster!$C:$C,0))</f>
        <v>Harman</v>
      </c>
      <c r="T393" s="567">
        <f>INDEX(LoadMaster!$DA:$DA,MATCH(B393,LoadMaster!$C:$C,0))</f>
        <v>24</v>
      </c>
      <c r="U393" s="243">
        <f>Table2[[#This Row],[WeekEndingDate]]+7</f>
        <v>42496</v>
      </c>
      <c r="V393" s="550">
        <f t="shared" si="33"/>
        <v>4</v>
      </c>
      <c r="W393" s="548">
        <f t="shared" si="34"/>
        <v>2016</v>
      </c>
    </row>
    <row r="394" spans="1:23" s="68" customFormat="1">
      <c r="A394" s="15" t="str">
        <f>INDEX(LoadMaster!$A:$A,MATCH(B394,LoadMaster!$C:$C,0))</f>
        <v>9817wn93</v>
      </c>
      <c r="B394" s="552">
        <v>1959498</v>
      </c>
      <c r="C394" s="550" t="str">
        <f>VLOOKUP(Table2[[#This Row],[BrokerConfNo]],LoadMaster!C:D,2,FALSE)</f>
        <v>XPOLogistics</v>
      </c>
      <c r="D394" s="549">
        <v>42500</v>
      </c>
      <c r="E394" s="548" t="str">
        <f>IF(Table2[[#This Row],[UBActualReceived]]&gt;1,"Received","Pending")</f>
        <v>Received</v>
      </c>
      <c r="F394" s="241">
        <f>INDEX(LoadMaster!$CU:$CU,MATCH(B394,LoadMaster!$C:$C,0))</f>
        <v>600</v>
      </c>
      <c r="G394" s="132">
        <f>INDEX(LoadMaster!$CX:$CX,MATCH(B394,LoadMaster!$C:$C,0))</f>
        <v>582</v>
      </c>
      <c r="H394" s="132">
        <f>INDEX(LoadMaster!$CW:$CW,MATCH(B394,LoadMaster!$C:$C,0))</f>
        <v>558</v>
      </c>
      <c r="I394" s="338">
        <v>600</v>
      </c>
      <c r="J394" s="525">
        <v>558</v>
      </c>
      <c r="K394" s="241" t="str">
        <f t="shared" si="30"/>
        <v>Full</v>
      </c>
      <c r="L394" s="241">
        <f>INDEX(LoadMaster!$CT:$CT,MATCH(Table2[[#This Row],[BrokerConfNo]],LoadMaster!$C:$C,0))</f>
        <v>0</v>
      </c>
      <c r="M394" s="550" t="str">
        <f>INDEX(LoadMaster!$AO:$AO,MATCH(Table2[[#This Row],[BrokerConfNo]],LoadMaster!$C:$C,0))</f>
        <v>Arturo</v>
      </c>
      <c r="N394" s="549">
        <f t="shared" si="31"/>
        <v>42489</v>
      </c>
      <c r="O394" s="242">
        <f t="shared" si="32"/>
        <v>42496</v>
      </c>
      <c r="P394" s="549">
        <f>INDEX(LoadMaster!$M:$M,MATCH(B394,LoadMaster!$C:$C,0))</f>
        <v>42486</v>
      </c>
      <c r="Q394" s="550" t="str">
        <f>INDEX(LoadMaster!$P:$P,MATCH(B394,LoadMaster!$C:$C,0))</f>
        <v>Carson City</v>
      </c>
      <c r="R394" s="550" t="str">
        <f>INDEX(LoadMaster!$AH:$AH,MATCH(B394,LoadMaster!$C:$C,0))</f>
        <v>Ivanhoe</v>
      </c>
      <c r="S394" s="416" t="str">
        <f>INDEX(LoadMaster!$DC:$DC,MATCH(B394,LoadMaster!$C:$C,0))</f>
        <v>Harman</v>
      </c>
      <c r="T394" s="567">
        <f>INDEX(LoadMaster!$DA:$DA,MATCH(B394,LoadMaster!$C:$C,0))</f>
        <v>24</v>
      </c>
      <c r="U394" s="243">
        <f>Table2[[#This Row],[WeekEndingDate]]+7</f>
        <v>42496</v>
      </c>
      <c r="V394" s="550">
        <f t="shared" si="33"/>
        <v>4</v>
      </c>
      <c r="W394" s="548">
        <f t="shared" si="34"/>
        <v>2016</v>
      </c>
    </row>
    <row r="395" spans="1:23" s="68" customFormat="1">
      <c r="A395" s="15" t="str">
        <f>INDEX(LoadMaster!$A:$A,MATCH(B395,LoadMaster!$C:$C,0))</f>
        <v>9516wn19</v>
      </c>
      <c r="B395" s="552">
        <v>1959495</v>
      </c>
      <c r="C395" s="550" t="str">
        <f>VLOOKUP(Table2[[#This Row],[BrokerConfNo]],LoadMaster!C:D,2,FALSE)</f>
        <v>XPOLogistics</v>
      </c>
      <c r="D395" s="549">
        <v>42500</v>
      </c>
      <c r="E395" s="548" t="str">
        <f>IF(Table2[[#This Row],[UBActualReceived]]&gt;1,"Received","Pending")</f>
        <v>Received</v>
      </c>
      <c r="F395" s="241">
        <f>INDEX(LoadMaster!$CU:$CU,MATCH(B395,LoadMaster!$C:$C,0))</f>
        <v>600</v>
      </c>
      <c r="G395" s="132">
        <f>INDEX(LoadMaster!$CX:$CX,MATCH(B395,LoadMaster!$C:$C,0))</f>
        <v>582</v>
      </c>
      <c r="H395" s="132">
        <f>INDEX(LoadMaster!$CW:$CW,MATCH(B395,LoadMaster!$C:$C,0))</f>
        <v>558</v>
      </c>
      <c r="I395" s="338">
        <v>600</v>
      </c>
      <c r="J395" s="525">
        <v>558</v>
      </c>
      <c r="K395" s="241" t="str">
        <f t="shared" si="30"/>
        <v>Full</v>
      </c>
      <c r="L395" s="241">
        <f>INDEX(LoadMaster!$CT:$CT,MATCH(Table2[[#This Row],[BrokerConfNo]],LoadMaster!$C:$C,0))</f>
        <v>0</v>
      </c>
      <c r="M395" s="550" t="str">
        <f>INDEX(LoadMaster!$AO:$AO,MATCH(Table2[[#This Row],[BrokerConfNo]],LoadMaster!$C:$C,0))</f>
        <v>Miguel Jaime</v>
      </c>
      <c r="N395" s="549">
        <f t="shared" si="31"/>
        <v>42489</v>
      </c>
      <c r="O395" s="242">
        <f t="shared" si="32"/>
        <v>42496</v>
      </c>
      <c r="P395" s="549">
        <f>INDEX(LoadMaster!$M:$M,MATCH(B395,LoadMaster!$C:$C,0))</f>
        <v>42486</v>
      </c>
      <c r="Q395" s="550" t="str">
        <f>INDEX(LoadMaster!$P:$P,MATCH(B395,LoadMaster!$C:$C,0))</f>
        <v>Carson City</v>
      </c>
      <c r="R395" s="550" t="str">
        <f>INDEX(LoadMaster!$AH:$AH,MATCH(B395,LoadMaster!$C:$C,0))</f>
        <v>Ivanhoe</v>
      </c>
      <c r="S395" s="416" t="str">
        <f>INDEX(LoadMaster!$DC:$DC,MATCH(B395,LoadMaster!$C:$C,0))</f>
        <v>Harman</v>
      </c>
      <c r="T395" s="567">
        <f>INDEX(LoadMaster!$DA:$DA,MATCH(B395,LoadMaster!$C:$C,0))</f>
        <v>24</v>
      </c>
      <c r="U395" s="243">
        <f>Table2[[#This Row],[WeekEndingDate]]+7</f>
        <v>42496</v>
      </c>
      <c r="V395" s="550">
        <f t="shared" si="33"/>
        <v>4</v>
      </c>
      <c r="W395" s="548">
        <f t="shared" si="34"/>
        <v>2016</v>
      </c>
    </row>
    <row r="396" spans="1:23" s="68" customFormat="1">
      <c r="A396" s="15" t="str">
        <f>INDEX(LoadMaster!$A:$A,MATCH(B396,LoadMaster!$C:$C,0))</f>
        <v>1318wn49</v>
      </c>
      <c r="B396" s="552">
        <v>1959513</v>
      </c>
      <c r="C396" s="550" t="str">
        <f>VLOOKUP(Table2[[#This Row],[BrokerConfNo]],LoadMaster!C:D,2,FALSE)</f>
        <v>XPOLogistics</v>
      </c>
      <c r="D396" s="549">
        <v>42500</v>
      </c>
      <c r="E396" s="548" t="str">
        <f>IF(Table2[[#This Row],[UBActualReceived]]&gt;1,"Received","Pending")</f>
        <v>Received</v>
      </c>
      <c r="F396" s="241">
        <f>INDEX(LoadMaster!$CU:$CU,MATCH(B396,LoadMaster!$C:$C,0))</f>
        <v>600</v>
      </c>
      <c r="G396" s="132">
        <f>INDEX(LoadMaster!$CX:$CX,MATCH(B396,LoadMaster!$C:$C,0))</f>
        <v>582</v>
      </c>
      <c r="H396" s="132">
        <f>INDEX(LoadMaster!$CW:$CW,MATCH(B396,LoadMaster!$C:$C,0))</f>
        <v>558</v>
      </c>
      <c r="I396" s="338">
        <v>600</v>
      </c>
      <c r="J396" s="525">
        <v>558</v>
      </c>
      <c r="K396" s="241" t="str">
        <f t="shared" si="30"/>
        <v>Full</v>
      </c>
      <c r="L396" s="241">
        <f>INDEX(LoadMaster!$CT:$CT,MATCH(Table2[[#This Row],[BrokerConfNo]],LoadMaster!$C:$C,0))</f>
        <v>0</v>
      </c>
      <c r="M396" s="550" t="str">
        <f>INDEX(LoadMaster!$AO:$AO,MATCH(Table2[[#This Row],[BrokerConfNo]],LoadMaster!$C:$C,0))</f>
        <v>Albel</v>
      </c>
      <c r="N396" s="549">
        <f t="shared" si="31"/>
        <v>42489</v>
      </c>
      <c r="O396" s="242">
        <f t="shared" si="32"/>
        <v>42503</v>
      </c>
      <c r="P396" s="549">
        <f>INDEX(LoadMaster!$M:$M,MATCH(B396,LoadMaster!$C:$C,0))</f>
        <v>42486</v>
      </c>
      <c r="Q396" s="550" t="str">
        <f>INDEX(LoadMaster!$P:$P,MATCH(B396,LoadMaster!$C:$C,0))</f>
        <v>Carson City</v>
      </c>
      <c r="R396" s="550" t="str">
        <f>INDEX(LoadMaster!$AH:$AH,MATCH(B396,LoadMaster!$C:$C,0))</f>
        <v>Ivanhoe</v>
      </c>
      <c r="S396" s="416" t="str">
        <f>INDEX(LoadMaster!$DC:$DC,MATCH(B396,LoadMaster!$C:$C,0))</f>
        <v>Harman</v>
      </c>
      <c r="T396" s="567">
        <f>INDEX(LoadMaster!$DA:$DA,MATCH(B396,LoadMaster!$C:$C,0))</f>
        <v>24</v>
      </c>
      <c r="U396" s="243">
        <f>Table2[[#This Row],[WeekEndingDate]]+7</f>
        <v>42496</v>
      </c>
      <c r="V396" s="550">
        <f t="shared" si="33"/>
        <v>4</v>
      </c>
      <c r="W396" s="548">
        <f t="shared" si="34"/>
        <v>2016</v>
      </c>
    </row>
    <row r="397" spans="1:23" s="68" customFormat="1">
      <c r="A397" s="15" t="str">
        <f>INDEX(LoadMaster!$A:$A,MATCH(B397,LoadMaster!$C:$C,0))</f>
        <v>01wnwn93</v>
      </c>
      <c r="B397" s="552">
        <v>7677201</v>
      </c>
      <c r="C397" s="550" t="str">
        <f>VLOOKUP(Table2[[#This Row],[BrokerConfNo]],LoadMaster!C:D,2,FALSE)</f>
        <v>Globaltranz</v>
      </c>
      <c r="D397" s="549">
        <v>42503</v>
      </c>
      <c r="E397" s="548" t="str">
        <f>IF(Table2[[#This Row],[UBActualReceived]]&gt;1,"Received","Pending")</f>
        <v>Received</v>
      </c>
      <c r="F397" s="241">
        <f>INDEX(LoadMaster!$CU:$CU,MATCH(B397,LoadMaster!$C:$C,0))</f>
        <v>650</v>
      </c>
      <c r="G397" s="132">
        <f>INDEX(LoadMaster!$CX:$CX,MATCH(B397,LoadMaster!$C:$C,0))</f>
        <v>624</v>
      </c>
      <c r="H397" s="132">
        <f>INDEX(LoadMaster!$CW:$CW,MATCH(B397,LoadMaster!$C:$C,0))</f>
        <v>604.5</v>
      </c>
      <c r="I397" s="338">
        <v>624</v>
      </c>
      <c r="J397" s="525">
        <v>604.5</v>
      </c>
      <c r="K397" s="241" t="str">
        <f t="shared" si="30"/>
        <v>Full</v>
      </c>
      <c r="L397" s="241">
        <f>INDEX(LoadMaster!$CT:$CT,MATCH(Table2[[#This Row],[BrokerConfNo]],LoadMaster!$C:$C,0))</f>
        <v>0</v>
      </c>
      <c r="M397" s="550" t="str">
        <f>INDEX(LoadMaster!$AO:$AO,MATCH(Table2[[#This Row],[BrokerConfNo]],LoadMaster!$C:$C,0))</f>
        <v>Arturo</v>
      </c>
      <c r="N397" s="549">
        <f t="shared" si="31"/>
        <v>42489</v>
      </c>
      <c r="O397" s="242">
        <f t="shared" si="32"/>
        <v>42496</v>
      </c>
      <c r="P397" s="549">
        <f>INDEX(LoadMaster!$M:$M,MATCH(B397,LoadMaster!$C:$C,0))</f>
        <v>42487</v>
      </c>
      <c r="Q397" s="550" t="str">
        <f>INDEX(LoadMaster!$P:$P,MATCH(B397,LoadMaster!$C:$C,0))</f>
        <v>Fresno</v>
      </c>
      <c r="R397" s="550" t="str">
        <f>INDEX(LoadMaster!$AH:$AH,MATCH(B397,LoadMaster!$C:$C,0))</f>
        <v>Reno</v>
      </c>
      <c r="S397" s="416" t="str">
        <f>INDEX(LoadMaster!$DC:$DC,MATCH(B397,LoadMaster!$C:$C,0))</f>
        <v>Harman</v>
      </c>
      <c r="T397" s="567">
        <f>INDEX(LoadMaster!$DA:$DA,MATCH(B397,LoadMaster!$C:$C,0))</f>
        <v>19.5</v>
      </c>
      <c r="U397" s="243">
        <f>Table2[[#This Row],[WeekEndingDate]]+7</f>
        <v>42496</v>
      </c>
      <c r="V397" s="550">
        <f t="shared" si="33"/>
        <v>4</v>
      </c>
      <c r="W397" s="548">
        <f t="shared" si="34"/>
        <v>2016</v>
      </c>
    </row>
    <row r="398" spans="1:23">
      <c r="A398" s="15" t="str">
        <f>INDEX(LoadMaster!$A:$A,MATCH(B398,LoadMaster!$C:$C,0))</f>
        <v>9815wn19</v>
      </c>
      <c r="B398" s="552">
        <v>3169398</v>
      </c>
      <c r="C398" s="550" t="str">
        <f>VLOOKUP(Table2[[#This Row],[BrokerConfNo]],LoadMaster!C:D,2,FALSE)</f>
        <v xml:space="preserve">Ryder Integrated Logistics, Inc </v>
      </c>
      <c r="D398" s="549">
        <v>42566</v>
      </c>
      <c r="E398" s="548" t="str">
        <f>IF(Table2[[#This Row],[UBActualReceived]]&gt;1,"Received","Pending")</f>
        <v>Received</v>
      </c>
      <c r="F398" s="241">
        <f>INDEX(LoadMaster!$CU:$CU,MATCH(B398,LoadMaster!$C:$C,0))</f>
        <v>500</v>
      </c>
      <c r="G398" s="132">
        <f>INDEX(LoadMaster!$CX:$CX,MATCH(B398,LoadMaster!$C:$C,0))</f>
        <v>500</v>
      </c>
      <c r="H398" s="132">
        <f>INDEX(LoadMaster!$CW:$CW,MATCH(B398,LoadMaster!$C:$C,0))</f>
        <v>465</v>
      </c>
      <c r="I398" s="351">
        <v>500</v>
      </c>
      <c r="J398" s="533">
        <v>465</v>
      </c>
      <c r="K398" s="241" t="str">
        <f t="shared" si="30"/>
        <v>Full</v>
      </c>
      <c r="L398" s="241">
        <f>INDEX(LoadMaster!$CT:$CT,MATCH(Table2[[#This Row],[BrokerConfNo]],LoadMaster!$C:$C,0))</f>
        <v>0</v>
      </c>
      <c r="M398" s="550" t="str">
        <f>INDEX(LoadMaster!$AO:$AO,MATCH(Table2[[#This Row],[BrokerConfNo]],LoadMaster!$C:$C,0))</f>
        <v>Miguel Jaime</v>
      </c>
      <c r="N398" s="549">
        <f t="shared" si="31"/>
        <v>42489</v>
      </c>
      <c r="O398" s="242">
        <f t="shared" si="32"/>
        <v>42496</v>
      </c>
      <c r="P398" s="549">
        <f>INDEX(LoadMaster!$M:$M,MATCH(B398,LoadMaster!$C:$C,0))</f>
        <v>42487</v>
      </c>
      <c r="Q398" s="550" t="str">
        <f>INDEX(LoadMaster!$P:$P,MATCH(B398,LoadMaster!$C:$C,0))</f>
        <v>VISALIA</v>
      </c>
      <c r="R398" s="550" t="str">
        <f>INDEX(LoadMaster!$AH:$AH,MATCH(B398,LoadMaster!$C:$C,0))</f>
        <v>WEST SACRAMENTO</v>
      </c>
      <c r="S398" s="416" t="str">
        <f>INDEX(LoadMaster!$DC:$DC,MATCH(B398,LoadMaster!$C:$C,0))</f>
        <v>Harman</v>
      </c>
      <c r="T398" s="567">
        <f>INDEX(LoadMaster!$DA:$DA,MATCH(B398,LoadMaster!$C:$C,0))</f>
        <v>35</v>
      </c>
      <c r="U398" s="243">
        <f>Table2[[#This Row],[WeekEndingDate]]+7</f>
        <v>42496</v>
      </c>
      <c r="V398" s="550">
        <f t="shared" si="33"/>
        <v>4</v>
      </c>
      <c r="W398" s="548">
        <f t="shared" si="34"/>
        <v>2016</v>
      </c>
    </row>
    <row r="399" spans="1:23" s="68" customFormat="1">
      <c r="A399" s="15" t="str">
        <f>INDEX(LoadMaster!$A:$A,MATCH(B399,LoadMaster!$C:$C,0))</f>
        <v>76875419</v>
      </c>
      <c r="B399" s="552">
        <v>142276</v>
      </c>
      <c r="C399" s="550" t="str">
        <f>VLOOKUP(Table2[[#This Row],[BrokerConfNo]],LoadMaster!C:D,2,FALSE)</f>
        <v>Pepsi Logistics Company Inc</v>
      </c>
      <c r="D399" s="549">
        <v>42499</v>
      </c>
      <c r="E399" s="548" t="str">
        <f>IF(Table2[[#This Row],[UBActualReceived]]&gt;1,"Received","Pending")</f>
        <v>Received</v>
      </c>
      <c r="F399" s="241">
        <f>INDEX(LoadMaster!$CU:$CU,MATCH(B399,LoadMaster!$C:$C,0))</f>
        <v>395.95</v>
      </c>
      <c r="G399" s="132">
        <f>INDEX(LoadMaster!$CX:$CX,MATCH(B399,LoadMaster!$C:$C,0))</f>
        <v>384.07149999999996</v>
      </c>
      <c r="H399" s="132">
        <f>INDEX(LoadMaster!$CW:$CW,MATCH(B399,LoadMaster!$C:$C,0))</f>
        <v>368.23349999999999</v>
      </c>
      <c r="I399" s="338">
        <v>384.47</v>
      </c>
      <c r="J399" s="525">
        <v>368.23349999999999</v>
      </c>
      <c r="K399" s="241" t="str">
        <f t="shared" si="30"/>
        <v>Full</v>
      </c>
      <c r="L399" s="241">
        <f>INDEX(LoadMaster!$CT:$CT,MATCH(Table2[[#This Row],[BrokerConfNo]],LoadMaster!$C:$C,0))</f>
        <v>0</v>
      </c>
      <c r="M399" s="550" t="str">
        <f>INDEX(LoadMaster!$AO:$AO,MATCH(Table2[[#This Row],[BrokerConfNo]],LoadMaster!$C:$C,0))</f>
        <v>Miguel Jaime</v>
      </c>
      <c r="N399" s="549">
        <f t="shared" si="31"/>
        <v>42489</v>
      </c>
      <c r="O399" s="242">
        <f t="shared" si="32"/>
        <v>42496</v>
      </c>
      <c r="P399" s="549">
        <f>INDEX(LoadMaster!$M:$M,MATCH(B399,LoadMaster!$C:$C,0))</f>
        <v>42488</v>
      </c>
      <c r="Q399" s="550" t="str">
        <f>INDEX(LoadMaster!$P:$P,MATCH(B399,LoadMaster!$C:$C,0))</f>
        <v>GOLD RIVER</v>
      </c>
      <c r="R399" s="550" t="str">
        <f>INDEX(LoadMaster!$AH:$AH,MATCH(B399,LoadMaster!$C:$C,0))</f>
        <v>SPARKS</v>
      </c>
      <c r="S399" s="416" t="str">
        <f>INDEX(LoadMaster!$DC:$DC,MATCH(B399,LoadMaster!$C:$C,0))</f>
        <v>Harman</v>
      </c>
      <c r="T399" s="567">
        <f>INDEX(LoadMaster!$DA:$DA,MATCH(B399,LoadMaster!$C:$C,0))</f>
        <v>15.837999999999997</v>
      </c>
      <c r="U399" s="243">
        <f>Table2[[#This Row],[WeekEndingDate]]+7</f>
        <v>42496</v>
      </c>
      <c r="V399" s="550">
        <f t="shared" si="33"/>
        <v>4</v>
      </c>
      <c r="W399" s="548">
        <f t="shared" si="34"/>
        <v>2016</v>
      </c>
    </row>
    <row r="400" spans="1:23" s="68" customFormat="1">
      <c r="A400" s="15" t="str">
        <f>INDEX(LoadMaster!$A:$A,MATCH(B400,LoadMaster!$C:$C,0))</f>
        <v>3672wn93</v>
      </c>
      <c r="B400" s="552">
        <v>1959536</v>
      </c>
      <c r="C400" s="550" t="str">
        <f>VLOOKUP(Table2[[#This Row],[BrokerConfNo]],LoadMaster!C:D,2,FALSE)</f>
        <v>XPOLogistics</v>
      </c>
      <c r="D400" s="549">
        <v>42500</v>
      </c>
      <c r="E400" s="548" t="str">
        <f>IF(Table2[[#This Row],[UBActualReceived]]&gt;1,"Received","Pending")</f>
        <v>Received</v>
      </c>
      <c r="F400" s="241">
        <f>INDEX(LoadMaster!$CU:$CU,MATCH(B400,LoadMaster!$C:$C,0))</f>
        <v>600</v>
      </c>
      <c r="G400" s="132">
        <f>INDEX(LoadMaster!$CX:$CX,MATCH(B400,LoadMaster!$C:$C,0))</f>
        <v>582</v>
      </c>
      <c r="H400" s="132">
        <f>INDEX(LoadMaster!$CW:$CW,MATCH(B400,LoadMaster!$C:$C,0))</f>
        <v>558</v>
      </c>
      <c r="I400" s="338">
        <v>600</v>
      </c>
      <c r="J400" s="525">
        <v>558</v>
      </c>
      <c r="K400" s="241" t="str">
        <f t="shared" si="30"/>
        <v>Full</v>
      </c>
      <c r="L400" s="241">
        <f>INDEX(LoadMaster!$CT:$CT,MATCH(Table2[[#This Row],[BrokerConfNo]],LoadMaster!$C:$C,0))</f>
        <v>0</v>
      </c>
      <c r="M400" s="550" t="str">
        <f>INDEX(LoadMaster!$AO:$AO,MATCH(Table2[[#This Row],[BrokerConfNo]],LoadMaster!$C:$C,0))</f>
        <v>Arturo</v>
      </c>
      <c r="N400" s="549">
        <f t="shared" si="31"/>
        <v>42489</v>
      </c>
      <c r="O400" s="242">
        <f t="shared" si="32"/>
        <v>42496</v>
      </c>
      <c r="P400" s="549">
        <f>INDEX(LoadMaster!$M:$M,MATCH(B400,LoadMaster!$C:$C,0))</f>
        <v>42488</v>
      </c>
      <c r="Q400" s="550" t="str">
        <f>INDEX(LoadMaster!$P:$P,MATCH(B400,LoadMaster!$C:$C,0))</f>
        <v>Carson City</v>
      </c>
      <c r="R400" s="550" t="str">
        <f>INDEX(LoadMaster!$AH:$AH,MATCH(B400,LoadMaster!$C:$C,0))</f>
        <v>Ivanhoe</v>
      </c>
      <c r="S400" s="416" t="str">
        <f>INDEX(LoadMaster!$DC:$DC,MATCH(B400,LoadMaster!$C:$C,0))</f>
        <v>Sunny</v>
      </c>
      <c r="T400" s="567">
        <f>INDEX(LoadMaster!$DA:$DA,MATCH(B400,LoadMaster!$C:$C,0))</f>
        <v>24</v>
      </c>
      <c r="U400" s="243">
        <f>Table2[[#This Row],[WeekEndingDate]]+7</f>
        <v>42496</v>
      </c>
      <c r="V400" s="550">
        <f t="shared" si="33"/>
        <v>4</v>
      </c>
      <c r="W400" s="548">
        <f t="shared" si="34"/>
        <v>2016</v>
      </c>
    </row>
    <row r="401" spans="1:23">
      <c r="A401" s="15" t="str">
        <f>INDEX(LoadMaster!$A:$A,MATCH(B401,LoadMaster!$C:$C,0))</f>
        <v>17848449</v>
      </c>
      <c r="B401" s="552">
        <v>11917</v>
      </c>
      <c r="C401" s="550" t="str">
        <f>VLOOKUP(Table2[[#This Row],[BrokerConfNo]],LoadMaster!C:D,2,FALSE)</f>
        <v>A1 Transport &amp; Freight Inc</v>
      </c>
      <c r="D401" s="549">
        <v>42557</v>
      </c>
      <c r="E401" s="548" t="str">
        <f>IF(Table2[[#This Row],[UBActualReceived]]&gt;1,"Received","Pending")</f>
        <v>Received</v>
      </c>
      <c r="F401" s="241">
        <f>INDEX(LoadMaster!$CU:$CU,MATCH(B401,LoadMaster!$C:$C,0))</f>
        <v>600</v>
      </c>
      <c r="G401" s="132">
        <f>INDEX(LoadMaster!$CX:$CX,MATCH(B401,LoadMaster!$C:$C,0))</f>
        <v>600</v>
      </c>
      <c r="H401" s="132">
        <f>INDEX(LoadMaster!$CW:$CW,MATCH(B401,LoadMaster!$C:$C,0))</f>
        <v>558</v>
      </c>
      <c r="I401" s="351">
        <v>600</v>
      </c>
      <c r="J401" s="533">
        <v>558</v>
      </c>
      <c r="K401" s="241" t="str">
        <f t="shared" si="30"/>
        <v>Full</v>
      </c>
      <c r="L401" s="241">
        <f>INDEX(LoadMaster!$CT:$CT,MATCH(Table2[[#This Row],[BrokerConfNo]],LoadMaster!$C:$C,0))</f>
        <v>0</v>
      </c>
      <c r="M401" s="550" t="str">
        <f>INDEX(LoadMaster!$AO:$AO,MATCH(Table2[[#This Row],[BrokerConfNo]],LoadMaster!$C:$C,0))</f>
        <v>Albel</v>
      </c>
      <c r="N401" s="549">
        <f t="shared" si="31"/>
        <v>42489</v>
      </c>
      <c r="O401" s="242">
        <f t="shared" si="32"/>
        <v>42503</v>
      </c>
      <c r="P401" s="549">
        <f>INDEX(LoadMaster!$M:$M,MATCH(B401,LoadMaster!$C:$C,0))</f>
        <v>42488</v>
      </c>
      <c r="Q401" s="550" t="str">
        <f>INDEX(LoadMaster!$P:$P,MATCH(B401,LoadMaster!$C:$C,0))</f>
        <v>Fresno</v>
      </c>
      <c r="R401" s="550" t="str">
        <f>INDEX(LoadMaster!$AH:$AH,MATCH(B401,LoadMaster!$C:$C,0))</f>
        <v>Red Bluff</v>
      </c>
      <c r="S401" s="416" t="str">
        <f>INDEX(LoadMaster!$DC:$DC,MATCH(B401,LoadMaster!$C:$C,0))</f>
        <v>Sunny</v>
      </c>
      <c r="T401" s="567">
        <f>INDEX(LoadMaster!$DA:$DA,MATCH(B401,LoadMaster!$C:$C,0))</f>
        <v>42</v>
      </c>
      <c r="U401" s="243">
        <f>Table2[[#This Row],[WeekEndingDate]]+7</f>
        <v>42496</v>
      </c>
      <c r="V401" s="550">
        <f t="shared" si="33"/>
        <v>4</v>
      </c>
      <c r="W401" s="548">
        <f t="shared" si="34"/>
        <v>2016</v>
      </c>
    </row>
    <row r="402" spans="1:23" s="68" customFormat="1">
      <c r="A402" s="15" t="str">
        <f>INDEX(LoadMaster!$A:$A,MATCH(B402,LoadMaster!$C:$C,0))</f>
        <v>4174wn93</v>
      </c>
      <c r="B402" s="552">
        <v>199907741</v>
      </c>
      <c r="C402" s="550" t="str">
        <f>VLOOKUP(Table2[[#This Row],[BrokerConfNo]],LoadMaster!C:D,2,FALSE)</f>
        <v>Ch Robinson</v>
      </c>
      <c r="D402" s="549">
        <v>42506</v>
      </c>
      <c r="E402" s="548" t="str">
        <f>IF(Table2[[#This Row],[UBActualReceived]]&gt;1,"Received","Pending")</f>
        <v>Received</v>
      </c>
      <c r="F402" s="241">
        <f>INDEX(LoadMaster!$CU:$CU,MATCH(B402,LoadMaster!$C:$C,0))</f>
        <v>1050</v>
      </c>
      <c r="G402" s="132">
        <f>INDEX(LoadMaster!$CX:$CX,MATCH(B402,LoadMaster!$C:$C,0))</f>
        <v>1029</v>
      </c>
      <c r="H402" s="132">
        <f>INDEX(LoadMaster!$CW:$CW,MATCH(B402,LoadMaster!$C:$C,0))</f>
        <v>976.5</v>
      </c>
      <c r="I402" s="338">
        <v>1029</v>
      </c>
      <c r="J402" s="525">
        <v>976.5</v>
      </c>
      <c r="K402" s="241" t="str">
        <f t="shared" si="30"/>
        <v>Full</v>
      </c>
      <c r="L402" s="241">
        <f>INDEX(LoadMaster!$CT:$CT,MATCH(Table2[[#This Row],[BrokerConfNo]],LoadMaster!$C:$C,0))</f>
        <v>0</v>
      </c>
      <c r="M402" s="550" t="str">
        <f>INDEX(LoadMaster!$AO:$AO,MATCH(Table2[[#This Row],[BrokerConfNo]],LoadMaster!$C:$C,0))</f>
        <v>Arturo</v>
      </c>
      <c r="N402" s="549">
        <f t="shared" si="31"/>
        <v>42489</v>
      </c>
      <c r="O402" s="242">
        <f t="shared" si="32"/>
        <v>42496</v>
      </c>
      <c r="P402" s="549">
        <f>INDEX(LoadMaster!$M:$M,MATCH(B402,LoadMaster!$C:$C,0))</f>
        <v>42489</v>
      </c>
      <c r="Q402" s="550" t="str">
        <f>INDEX(LoadMaster!$P:$P,MATCH(B402,LoadMaster!$C:$C,0))</f>
        <v>San Luis Obispo</v>
      </c>
      <c r="R402" s="550" t="str">
        <f>INDEX(LoadMaster!$AH:$AH,MATCH(B402,LoadMaster!$C:$C,0))</f>
        <v>Reno</v>
      </c>
      <c r="S402" s="416" t="str">
        <f>INDEX(LoadMaster!$DC:$DC,MATCH(B402,LoadMaster!$C:$C,0))</f>
        <v>Sunny</v>
      </c>
      <c r="T402" s="567">
        <f>INDEX(LoadMaster!$DA:$DA,MATCH(B402,LoadMaster!$C:$C,0))</f>
        <v>52.5</v>
      </c>
      <c r="U402" s="243">
        <f>Table2[[#This Row],[WeekEndingDate]]+7</f>
        <v>42496</v>
      </c>
      <c r="V402" s="550">
        <f t="shared" si="33"/>
        <v>4</v>
      </c>
      <c r="W402" s="548">
        <f t="shared" si="34"/>
        <v>2016</v>
      </c>
    </row>
    <row r="403" spans="1:23" s="68" customFormat="1">
      <c r="A403" s="15" t="str">
        <f>INDEX(LoadMaster!$A:$A,MATCH(B403,LoadMaster!$C:$C,0))</f>
        <v>77wnwn19</v>
      </c>
      <c r="B403" s="552">
        <v>373777</v>
      </c>
      <c r="C403" s="550" t="str">
        <f>VLOOKUP(Table2[[#This Row],[BrokerConfNo]],LoadMaster!C:D,2,FALSE)</f>
        <v>R2 Logistics</v>
      </c>
      <c r="D403" s="549">
        <v>42500</v>
      </c>
      <c r="E403" s="548" t="str">
        <f>IF(Table2[[#This Row],[UBActualReceived]]&gt;1,"Received","Pending")</f>
        <v>Received</v>
      </c>
      <c r="F403" s="241">
        <f>INDEX(LoadMaster!$CU:$CU,MATCH(B403,LoadMaster!$C:$C,0))</f>
        <v>875</v>
      </c>
      <c r="G403" s="132">
        <f>INDEX(LoadMaster!$CX:$CX,MATCH(B403,LoadMaster!$C:$C,0))</f>
        <v>840</v>
      </c>
      <c r="H403" s="132">
        <f>INDEX(LoadMaster!$CW:$CW,MATCH(B403,LoadMaster!$C:$C,0))</f>
        <v>813.75</v>
      </c>
      <c r="I403" s="338">
        <v>840</v>
      </c>
      <c r="J403" s="525">
        <v>813.75</v>
      </c>
      <c r="K403" s="241" t="str">
        <f t="shared" si="30"/>
        <v>Full</v>
      </c>
      <c r="L403" s="241">
        <f>INDEX(LoadMaster!$CT:$CT,MATCH(Table2[[#This Row],[BrokerConfNo]],LoadMaster!$C:$C,0))</f>
        <v>0</v>
      </c>
      <c r="M403" s="550" t="str">
        <f>INDEX(LoadMaster!$AO:$AO,MATCH(Table2[[#This Row],[BrokerConfNo]],LoadMaster!$C:$C,0))</f>
        <v>Miguel Jaime</v>
      </c>
      <c r="N403" s="549">
        <f t="shared" si="31"/>
        <v>42489</v>
      </c>
      <c r="O403" s="242">
        <f t="shared" si="32"/>
        <v>42496</v>
      </c>
      <c r="P403" s="549">
        <f>INDEX(LoadMaster!$M:$M,MATCH(B403,LoadMaster!$C:$C,0))</f>
        <v>42489</v>
      </c>
      <c r="Q403" s="550" t="str">
        <f>INDEX(LoadMaster!$P:$P,MATCH(B403,LoadMaster!$C:$C,0))</f>
        <v>SPARKS (WASHOE)</v>
      </c>
      <c r="R403" s="550" t="str">
        <f>INDEX(LoadMaster!$AH:$AH,MATCH(B403,LoadMaster!$C:$C,0))</f>
        <v>Watsonville/ Salinas/ Fresno</v>
      </c>
      <c r="S403" s="416" t="str">
        <f>INDEX(LoadMaster!$DC:$DC,MATCH(B403,LoadMaster!$C:$C,0))</f>
        <v>Sunny</v>
      </c>
      <c r="T403" s="567">
        <f>INDEX(LoadMaster!$DA:$DA,MATCH(B403,LoadMaster!$C:$C,0))</f>
        <v>26.25</v>
      </c>
      <c r="U403" s="243">
        <f>Table2[[#This Row],[WeekEndingDate]]+7</f>
        <v>42496</v>
      </c>
      <c r="V403" s="550">
        <f t="shared" si="33"/>
        <v>4</v>
      </c>
      <c r="W403" s="548">
        <f t="shared" si="34"/>
        <v>2016</v>
      </c>
    </row>
    <row r="404" spans="1:23">
      <c r="A404" s="15" t="str">
        <f>INDEX(LoadMaster!$A:$A,MATCH(B404,LoadMaster!$C:$C,0))</f>
        <v>91929249</v>
      </c>
      <c r="B404" s="552">
        <v>170691</v>
      </c>
      <c r="C404" s="550" t="str">
        <f>VLOOKUP(Table2[[#This Row],[BrokerConfNo]],LoadMaster!C:D,2,FALSE)</f>
        <v>ADM Logistics, Inc.</v>
      </c>
      <c r="D404" s="104">
        <v>42544</v>
      </c>
      <c r="E404" s="548" t="str">
        <f>IF(Table2[[#This Row],[UBActualReceived]]&gt;1,"Received","Pending")</f>
        <v>Received</v>
      </c>
      <c r="F404" s="241">
        <f>INDEX(LoadMaster!$CU:$CU,MATCH(B404,LoadMaster!$C:$C,0))</f>
        <v>575</v>
      </c>
      <c r="G404" s="132">
        <f>INDEX(LoadMaster!$CX:$CX,MATCH(B404,LoadMaster!$C:$C,0))</f>
        <v>575</v>
      </c>
      <c r="H404" s="132">
        <f>INDEX(LoadMaster!$CW:$CW,MATCH(B404,LoadMaster!$C:$C,0))</f>
        <v>534.75</v>
      </c>
      <c r="I404" s="351">
        <v>575</v>
      </c>
      <c r="J404" s="533">
        <v>534.75</v>
      </c>
      <c r="K404" s="241" t="str">
        <f t="shared" si="30"/>
        <v>Full</v>
      </c>
      <c r="L404" s="241">
        <f>INDEX(LoadMaster!$CT:$CT,MATCH(Table2[[#This Row],[BrokerConfNo]],LoadMaster!$C:$C,0))</f>
        <v>0</v>
      </c>
      <c r="M404" s="550" t="str">
        <f>INDEX(LoadMaster!$AO:$AO,MATCH(Table2[[#This Row],[BrokerConfNo]],LoadMaster!$C:$C,0))</f>
        <v>Albel</v>
      </c>
      <c r="N404" s="549">
        <f t="shared" si="31"/>
        <v>42489</v>
      </c>
      <c r="O404" s="242">
        <f t="shared" si="32"/>
        <v>42503</v>
      </c>
      <c r="P404" s="549">
        <f>INDEX(LoadMaster!$M:$M,MATCH(B404,LoadMaster!$C:$C,0))</f>
        <v>42489</v>
      </c>
      <c r="Q404" s="550" t="str">
        <f>INDEX(LoadMaster!$P:$P,MATCH(B404,LoadMaster!$C:$C,0))</f>
        <v>VINA</v>
      </c>
      <c r="R404" s="550" t="str">
        <f>INDEX(LoadMaster!$AH:$AH,MATCH(B404,LoadMaster!$C:$C,0))</f>
        <v>LODI</v>
      </c>
      <c r="S404" s="416" t="str">
        <f>INDEX(LoadMaster!$DC:$DC,MATCH(B404,LoadMaster!$C:$C,0))</f>
        <v>Sunny</v>
      </c>
      <c r="T404" s="567">
        <f>INDEX(LoadMaster!$DA:$DA,MATCH(B404,LoadMaster!$C:$C,0))</f>
        <v>40.25</v>
      </c>
      <c r="U404" s="243">
        <f>Table2[[#This Row],[WeekEndingDate]]+7</f>
        <v>42496</v>
      </c>
      <c r="V404" s="550">
        <f t="shared" si="33"/>
        <v>4</v>
      </c>
      <c r="W404" s="548">
        <f t="shared" si="34"/>
        <v>2016</v>
      </c>
    </row>
    <row r="405" spans="1:23" s="68" customFormat="1">
      <c r="A405" s="550" t="s">
        <v>3838</v>
      </c>
      <c r="B405" s="552">
        <v>24330601</v>
      </c>
      <c r="C405" s="550" t="s">
        <v>2703</v>
      </c>
      <c r="D405" s="549">
        <v>42528</v>
      </c>
      <c r="E405" s="548" t="str">
        <f>IF(Table2[[#This Row],[UBActualReceived]]&gt;1,"Received","Pending")</f>
        <v>Received</v>
      </c>
      <c r="F405" s="241">
        <v>575</v>
      </c>
      <c r="G405" s="134">
        <f>INDEX(LoadMaster!$CX:$CX,MATCH(B405,LoadMaster!$C:$C,0))</f>
        <v>563.5</v>
      </c>
      <c r="H405" s="241">
        <v>108</v>
      </c>
      <c r="I405" s="338">
        <v>575</v>
      </c>
      <c r="J405" s="525">
        <v>108</v>
      </c>
      <c r="K405" s="241" t="str">
        <f t="shared" si="30"/>
        <v>Full</v>
      </c>
      <c r="L405" s="241">
        <f>INDEX(LoadMaster!$CT:$CT,MATCH(Table2[[#This Row],[BrokerConfNo]],LoadMaster!$C:$C,0))</f>
        <v>0</v>
      </c>
      <c r="M405" s="550" t="s">
        <v>3839</v>
      </c>
      <c r="N405" s="549">
        <v>42496</v>
      </c>
      <c r="O405" s="242">
        <v>42503</v>
      </c>
      <c r="P405" s="549">
        <v>42492</v>
      </c>
      <c r="Q405" s="550" t="s">
        <v>2499</v>
      </c>
      <c r="R405" s="550" t="s">
        <v>3833</v>
      </c>
      <c r="S405" s="550" t="s">
        <v>133</v>
      </c>
      <c r="T405" s="567">
        <f>INDEX(LoadMaster!$DA:$DA,MATCH(B405,LoadMaster!$C:$C,0))</f>
        <v>-11.5</v>
      </c>
      <c r="U405" s="243">
        <v>42503</v>
      </c>
      <c r="V405" s="550">
        <v>5</v>
      </c>
      <c r="W405" s="548">
        <v>2016</v>
      </c>
    </row>
    <row r="406" spans="1:23" s="68" customFormat="1">
      <c r="A406" s="550" t="str">
        <f>INDEX(LoadMaster!$A:$A,MATCH(B406,LoadMaster!$C:$C,0))</f>
        <v>98555519</v>
      </c>
      <c r="B406" s="552">
        <v>7696998</v>
      </c>
      <c r="C406" s="550" t="str">
        <f>VLOOKUP(Table2[[#This Row],[BrokerConfNo]],LoadMaster!C:D,2,FALSE)</f>
        <v>Globaltranz</v>
      </c>
      <c r="D406" s="549">
        <v>42503</v>
      </c>
      <c r="E406" s="548" t="str">
        <f>IF(Table2[[#This Row],[UBActualReceived]]&gt;1,"Received","Pending")</f>
        <v>Received</v>
      </c>
      <c r="F406" s="241">
        <f>INDEX(LoadMaster!$CU:$CU,MATCH(B406,LoadMaster!$C:$C,0))</f>
        <v>650</v>
      </c>
      <c r="G406" s="134">
        <f>INDEX(LoadMaster!$CX:$CX,MATCH(B406,LoadMaster!$C:$C,0))</f>
        <v>624</v>
      </c>
      <c r="H406" s="241">
        <f>INDEX(LoadMaster!$CW:$CW,MATCH(B406,LoadMaster!$C:$C,0))</f>
        <v>604.5</v>
      </c>
      <c r="I406" s="338">
        <v>624</v>
      </c>
      <c r="J406" s="525">
        <v>604.5</v>
      </c>
      <c r="K406" s="241" t="str">
        <f t="shared" si="30"/>
        <v>Full</v>
      </c>
      <c r="L406" s="241">
        <f>INDEX(LoadMaster!$CT:$CT,MATCH(Table2[[#This Row],[BrokerConfNo]],LoadMaster!$C:$C,0))</f>
        <v>0</v>
      </c>
      <c r="M406" s="550" t="str">
        <f>INDEX(LoadMaster!$AO:$AO,MATCH(Table2[[#This Row],[BrokerConfNo]],LoadMaster!$C:$C,0))</f>
        <v>Miguel Jaime</v>
      </c>
      <c r="N406" s="549">
        <f>(5-WEEKDAY(P406,2))+P406</f>
        <v>42496</v>
      </c>
      <c r="O406" s="242">
        <f>IF(M406="Albel",((5-WEEKDAY(P406,2))+P406)+14,(((5-WEEKDAY(P406,2))+P406)+7))</f>
        <v>42503</v>
      </c>
      <c r="P406" s="549">
        <f>INDEX(LoadMaster!$M:$M,MATCH(B406,LoadMaster!$C:$C,0))</f>
        <v>42492</v>
      </c>
      <c r="Q406" s="550" t="str">
        <f>INDEX(LoadMaster!$P:$P,MATCH(B406,LoadMaster!$C:$C,0))</f>
        <v>Fresno</v>
      </c>
      <c r="R406" s="550" t="str">
        <f>INDEX(LoadMaster!$AH:$AH,MATCH(B406,LoadMaster!$C:$C,0))</f>
        <v>Reno</v>
      </c>
      <c r="S406" s="550" t="str">
        <f>INDEX(LoadMaster!$DC:$DC,MATCH(B406,LoadMaster!$C:$C,0))</f>
        <v>Sunny</v>
      </c>
      <c r="T406" s="567">
        <f>INDEX(LoadMaster!$DA:$DA,MATCH(B406,LoadMaster!$C:$C,0))</f>
        <v>19.5</v>
      </c>
      <c r="U406" s="243">
        <f>Table2[[#This Row],[WeekEndingDate]]+7</f>
        <v>42503</v>
      </c>
      <c r="V406" s="550">
        <f>MONTH(P406)</f>
        <v>5</v>
      </c>
      <c r="W406" s="548">
        <f>YEAR(P406)</f>
        <v>2016</v>
      </c>
    </row>
    <row r="407" spans="1:23" s="68" customFormat="1">
      <c r="A407" s="15" t="str">
        <f>INDEX(LoadMaster!$A:$A,MATCH(B407,LoadMaster!$C:$C,0))</f>
        <v>20667749</v>
      </c>
      <c r="B407" s="81">
        <v>6896920</v>
      </c>
      <c r="C407" s="15" t="str">
        <f>VLOOKUP(Table2[[#This Row],[BrokerConfNo]],LoadMaster!C:D,2,FALSE)</f>
        <v>TQL</v>
      </c>
      <c r="D407" s="549">
        <v>42500</v>
      </c>
      <c r="E407" s="416" t="str">
        <f>IF(Table2[[#This Row],[UBActualReceived]]&gt;1,"Received","Pending")</f>
        <v>Received</v>
      </c>
      <c r="F407" s="134">
        <f>INDEX(LoadMaster!$CU:$CU,MATCH(B407,LoadMaster!$C:$C,0))</f>
        <v>350</v>
      </c>
      <c r="G407" s="134">
        <f>INDEX(LoadMaster!$CX:$CX,MATCH(B407,LoadMaster!$C:$C,0))</f>
        <v>339.5</v>
      </c>
      <c r="H407" s="134">
        <f>INDEX(LoadMaster!$CW:$CW,MATCH(B407,LoadMaster!$C:$C,0))</f>
        <v>325.5</v>
      </c>
      <c r="I407" s="330">
        <v>339.5</v>
      </c>
      <c r="J407" s="525">
        <v>325.5</v>
      </c>
      <c r="K407" s="134" t="str">
        <f t="shared" si="30"/>
        <v>Full</v>
      </c>
      <c r="L407" s="134">
        <f>INDEX(LoadMaster!$CT:$CT,MATCH(Table2[[#This Row],[BrokerConfNo]],LoadMaster!$C:$C,0))</f>
        <v>0</v>
      </c>
      <c r="M407" s="15" t="str">
        <f>INDEX(LoadMaster!$AO:$AO,MATCH(Table2[[#This Row],[BrokerConfNo]],LoadMaster!$C:$C,0))</f>
        <v>Albel</v>
      </c>
      <c r="N407" s="104">
        <f>(5-WEEKDAY(P407,2))+P407</f>
        <v>42496</v>
      </c>
      <c r="O407" s="135">
        <f>IF(M407="Albel",((5-WEEKDAY(P407,2))+P407)+14,(((5-WEEKDAY(P407,2))+P407)+7))</f>
        <v>42510</v>
      </c>
      <c r="P407" s="104">
        <f>INDEX(LoadMaster!$M:$M,MATCH(B407,LoadMaster!$C:$C,0))</f>
        <v>42492</v>
      </c>
      <c r="Q407" s="15" t="str">
        <f>INDEX(LoadMaster!$P:$P,MATCH(B407,LoadMaster!$C:$C,0))</f>
        <v>MODESTO</v>
      </c>
      <c r="R407" s="15" t="str">
        <f>INDEX(LoadMaster!$AH:$AH,MATCH(B407,LoadMaster!$C:$C,0))</f>
        <v>Milpitas</v>
      </c>
      <c r="S407" s="15" t="str">
        <f>INDEX(LoadMaster!$DC:$DC,MATCH(B407,LoadMaster!$C:$C,0))</f>
        <v>Sunny</v>
      </c>
      <c r="T407" s="136">
        <f>INDEX(LoadMaster!$DA:$DA,MATCH(B407,LoadMaster!$C:$C,0))</f>
        <v>14</v>
      </c>
      <c r="U407" s="137">
        <f>Table2[[#This Row],[WeekEndingDate]]+7</f>
        <v>42503</v>
      </c>
      <c r="V407" s="15">
        <f>MONTH(P407)</f>
        <v>5</v>
      </c>
      <c r="W407" s="416">
        <f>YEAR(P407)</f>
        <v>2016</v>
      </c>
    </row>
    <row r="408" spans="1:23" s="393" customFormat="1">
      <c r="A408" s="391" t="s">
        <v>3840</v>
      </c>
      <c r="B408" s="392">
        <v>24330601</v>
      </c>
      <c r="C408" s="391" t="s">
        <v>2703</v>
      </c>
      <c r="D408" s="397" t="s">
        <v>123</v>
      </c>
      <c r="E408" s="393" t="s">
        <v>123</v>
      </c>
      <c r="F408" s="394" t="s">
        <v>123</v>
      </c>
      <c r="G408" s="394" t="s">
        <v>123</v>
      </c>
      <c r="H408" s="394">
        <v>460</v>
      </c>
      <c r="I408" s="396" t="s">
        <v>123</v>
      </c>
      <c r="J408" s="534">
        <v>460</v>
      </c>
      <c r="K408" s="394" t="str">
        <f t="shared" si="30"/>
        <v>Full</v>
      </c>
      <c r="L408" s="394">
        <f>INDEX(LoadMaster!$CT:$CT,MATCH(Table2[[#This Row],[BrokerConfNo]],LoadMaster!$C:$C,0))</f>
        <v>0</v>
      </c>
      <c r="M408" s="391" t="s">
        <v>3836</v>
      </c>
      <c r="N408" s="397">
        <v>42496</v>
      </c>
      <c r="O408" s="398">
        <v>42503</v>
      </c>
      <c r="P408" s="397">
        <v>42492</v>
      </c>
      <c r="Q408" s="391" t="s">
        <v>3833</v>
      </c>
      <c r="R408" s="391" t="s">
        <v>2466</v>
      </c>
      <c r="S408" s="391" t="s">
        <v>133</v>
      </c>
      <c r="T408" s="410">
        <v>0</v>
      </c>
      <c r="U408" s="400">
        <v>42503</v>
      </c>
      <c r="V408" s="391">
        <v>5</v>
      </c>
      <c r="W408" s="393">
        <v>2016</v>
      </c>
    </row>
    <row r="409" spans="1:23" s="68" customFormat="1">
      <c r="A409" s="550" t="str">
        <f>INDEX(LoadMaster!$A:$A,MATCH(B409,LoadMaster!$C:$C,0))</f>
        <v>5614wn93</v>
      </c>
      <c r="B409" s="552">
        <v>1987556</v>
      </c>
      <c r="C409" s="550" t="str">
        <f>VLOOKUP(Table2[[#This Row],[BrokerConfNo]],LoadMaster!C:D,2,FALSE)</f>
        <v>XPOLogistics</v>
      </c>
      <c r="D409" s="549">
        <v>42506</v>
      </c>
      <c r="E409" s="548" t="str">
        <f>IF(Table2[[#This Row],[UBActualReceived]]&gt;1,"Received","Pending")</f>
        <v>Received</v>
      </c>
      <c r="F409" s="241">
        <f>INDEX(LoadMaster!$CU:$CU,MATCH(B409,LoadMaster!$C:$C,0))</f>
        <v>600</v>
      </c>
      <c r="G409" s="134">
        <f>INDEX(LoadMaster!$CX:$CX,MATCH(B409,LoadMaster!$C:$C,0))</f>
        <v>582</v>
      </c>
      <c r="H409" s="241">
        <f>INDEX(LoadMaster!$CW:$CW,MATCH(B409,LoadMaster!$C:$C,0))</f>
        <v>558</v>
      </c>
      <c r="I409" s="338">
        <v>582</v>
      </c>
      <c r="J409" s="525">
        <v>558</v>
      </c>
      <c r="K409" s="241" t="str">
        <f t="shared" si="30"/>
        <v>Full</v>
      </c>
      <c r="L409" s="241">
        <f>INDEX(LoadMaster!$CT:$CT,MATCH(Table2[[#This Row],[BrokerConfNo]],LoadMaster!$C:$C,0))</f>
        <v>0</v>
      </c>
      <c r="M409" s="550" t="str">
        <f>INDEX(LoadMaster!$AO:$AO,MATCH(Table2[[#This Row],[BrokerConfNo]],LoadMaster!$C:$C,0))</f>
        <v>Arturo</v>
      </c>
      <c r="N409" s="549">
        <f>(5-WEEKDAY(P409,2))+P409</f>
        <v>42496</v>
      </c>
      <c r="O409" s="242">
        <f>IF(M409="Albel",((5-WEEKDAY(P409,2))+P409)+14,(((5-WEEKDAY(P409,2))+P409)+7))</f>
        <v>42503</v>
      </c>
      <c r="P409" s="549">
        <f>INDEX(LoadMaster!$M:$M,MATCH(B409,LoadMaster!$C:$C,0))</f>
        <v>42493</v>
      </c>
      <c r="Q409" s="550" t="str">
        <f>INDEX(LoadMaster!$P:$P,MATCH(B409,LoadMaster!$C:$C,0))</f>
        <v>Carson City</v>
      </c>
      <c r="R409" s="550" t="str">
        <f>INDEX(LoadMaster!$AH:$AH,MATCH(B409,LoadMaster!$C:$C,0))</f>
        <v>Ivanhoe</v>
      </c>
      <c r="S409" s="550" t="str">
        <f>INDEX(LoadMaster!$DC:$DC,MATCH(B409,LoadMaster!$C:$C,0))</f>
        <v>Sunny</v>
      </c>
      <c r="T409" s="567">
        <f>INDEX(LoadMaster!$DA:$DA,MATCH(B409,LoadMaster!$C:$C,0))</f>
        <v>24</v>
      </c>
      <c r="U409" s="243">
        <f>Table2[[#This Row],[WeekEndingDate]]+7</f>
        <v>42503</v>
      </c>
      <c r="V409" s="550">
        <f>MONTH(P409)</f>
        <v>5</v>
      </c>
      <c r="W409" s="548">
        <f>YEAR(P409)</f>
        <v>2016</v>
      </c>
    </row>
    <row r="410" spans="1:23">
      <c r="A410" s="550" t="s">
        <v>3841</v>
      </c>
      <c r="B410" s="552">
        <v>7698072</v>
      </c>
      <c r="C410" s="550" t="str">
        <f>VLOOKUP(Table2[[#This Row],[BrokerConfNo]],LoadMaster!C:D,2,FALSE)</f>
        <v>Globaltranz</v>
      </c>
      <c r="D410" s="549">
        <v>42518</v>
      </c>
      <c r="E410" s="548" t="str">
        <f>IF(Table2[[#This Row],[UBActualReceived]]&gt;1,"Received","Pending")</f>
        <v>Received</v>
      </c>
      <c r="F410" s="241">
        <f>INDEX(LoadMaster!$CU:$CU,MATCH(B410,LoadMaster!$C:$C,0))</f>
        <v>500</v>
      </c>
      <c r="G410" s="134">
        <f>INDEX(LoadMaster!$CX:$CX,MATCH(B410,LoadMaster!$C:$C,0))</f>
        <v>480</v>
      </c>
      <c r="H410" s="241">
        <v>100</v>
      </c>
      <c r="I410" s="351">
        <v>480</v>
      </c>
      <c r="J410" s="533">
        <v>100</v>
      </c>
      <c r="K410" s="241" t="str">
        <f t="shared" si="30"/>
        <v>Full</v>
      </c>
      <c r="L410" s="241">
        <f>INDEX(LoadMaster!$CT:$CT,MATCH(Table2[[#This Row],[BrokerConfNo]],LoadMaster!$C:$C,0))</f>
        <v>0</v>
      </c>
      <c r="M410" s="550" t="str">
        <f>INDEX(LoadMaster!$AO:$AO,MATCH(Table2[[#This Row],[BrokerConfNo]],LoadMaster!$C:$C,0))</f>
        <v>Albel</v>
      </c>
      <c r="N410" s="549">
        <f>(5-WEEKDAY(P410,2))+P410</f>
        <v>42496</v>
      </c>
      <c r="O410" s="242">
        <f>IF(M410="Albel",((5-WEEKDAY(P410,2))+P410)+14,(((5-WEEKDAY(P410,2))+P410)+7))</f>
        <v>42510</v>
      </c>
      <c r="P410" s="549">
        <f>INDEX(LoadMaster!$M:$M,MATCH(B410,LoadMaster!$C:$C,0))</f>
        <v>42493</v>
      </c>
      <c r="Q410" s="550" t="s">
        <v>3833</v>
      </c>
      <c r="R410" s="550" t="str">
        <f>INDEX(LoadMaster!$AH:$AH,MATCH(B410,LoadMaster!$C:$C,0))</f>
        <v>San Leandro</v>
      </c>
      <c r="S410" s="550" t="str">
        <f>INDEX(LoadMaster!$DC:$DC,MATCH(B410,LoadMaster!$C:$C,0))</f>
        <v>Sunny</v>
      </c>
      <c r="T410" s="567">
        <f>INDEX(LoadMaster!$DA:$DA,MATCH(B410,LoadMaster!$C:$C,0))</f>
        <v>-20</v>
      </c>
      <c r="U410" s="243">
        <f>Table2[[#This Row],[WeekEndingDate]]+7</f>
        <v>42503</v>
      </c>
      <c r="V410" s="550">
        <f>MONTH(P410)</f>
        <v>5</v>
      </c>
      <c r="W410" s="548">
        <f>YEAR(P410)</f>
        <v>2016</v>
      </c>
    </row>
    <row r="411" spans="1:23" s="393" customFormat="1">
      <c r="A411" s="391" t="s">
        <v>3842</v>
      </c>
      <c r="B411" s="392">
        <v>7698072</v>
      </c>
      <c r="C411" s="391" t="s">
        <v>2185</v>
      </c>
      <c r="D411" s="391" t="s">
        <v>123</v>
      </c>
      <c r="E411" s="393" t="s">
        <v>123</v>
      </c>
      <c r="F411" s="394" t="s">
        <v>123</v>
      </c>
      <c r="G411" s="394" t="s">
        <v>123</v>
      </c>
      <c r="H411" s="394">
        <v>400</v>
      </c>
      <c r="I411" s="396" t="s">
        <v>123</v>
      </c>
      <c r="J411" s="534">
        <v>400</v>
      </c>
      <c r="K411" s="394" t="str">
        <f t="shared" si="30"/>
        <v>Full</v>
      </c>
      <c r="L411" s="394">
        <f>INDEX(LoadMaster!$CT:$CT,MATCH(Table2[[#This Row],[BrokerConfNo]],LoadMaster!$C:$C,0))</f>
        <v>0</v>
      </c>
      <c r="M411" s="391" t="s">
        <v>3836</v>
      </c>
      <c r="N411" s="397">
        <v>42496</v>
      </c>
      <c r="O411" s="398">
        <v>42510</v>
      </c>
      <c r="P411" s="397">
        <v>42493</v>
      </c>
      <c r="Q411" s="391" t="s">
        <v>738</v>
      </c>
      <c r="R411" s="391" t="s">
        <v>3833</v>
      </c>
      <c r="S411" s="391" t="s">
        <v>133</v>
      </c>
      <c r="T411" s="399">
        <v>0</v>
      </c>
      <c r="U411" s="400">
        <v>42503</v>
      </c>
      <c r="V411" s="391">
        <v>5</v>
      </c>
      <c r="W411" s="393">
        <v>2016</v>
      </c>
    </row>
    <row r="412" spans="1:23" s="68" customFormat="1">
      <c r="A412" s="550" t="str">
        <f>INDEX(LoadMaster!$A:$A,MATCH(B412,LoadMaster!$C:$C,0))</f>
        <v>66189693</v>
      </c>
      <c r="B412" s="552">
        <v>1764466</v>
      </c>
      <c r="C412" s="550" t="str">
        <f>VLOOKUP(Table2[[#This Row],[BrokerConfNo]],LoadMaster!C:D,2,FALSE)</f>
        <v>Interstate Distributor Co</v>
      </c>
      <c r="D412" s="549">
        <v>42503</v>
      </c>
      <c r="E412" s="548" t="str">
        <f>IF(Table2[[#This Row],[UBActualReceived]]&gt;1,"Received","Pending")</f>
        <v>Received</v>
      </c>
      <c r="F412" s="241">
        <f>INDEX(LoadMaster!$CU:$CU,MATCH(B412,LoadMaster!$C:$C,0))</f>
        <v>725</v>
      </c>
      <c r="G412" s="134">
        <f>INDEX(LoadMaster!$CX:$CX,MATCH(B412,LoadMaster!$C:$C,0))</f>
        <v>714.125</v>
      </c>
      <c r="H412" s="241">
        <f>INDEX(LoadMaster!$CW:$CW,MATCH(B412,LoadMaster!$C:$C,0))</f>
        <v>674.25</v>
      </c>
      <c r="I412" s="338">
        <v>714.13</v>
      </c>
      <c r="J412" s="525">
        <v>674.25</v>
      </c>
      <c r="K412" s="241" t="str">
        <f t="shared" si="30"/>
        <v>Full</v>
      </c>
      <c r="L412" s="241">
        <f>INDEX(LoadMaster!$CT:$CT,MATCH(Table2[[#This Row],[BrokerConfNo]],LoadMaster!$C:$C,0))</f>
        <v>0</v>
      </c>
      <c r="M412" s="550" t="str">
        <f>INDEX(LoadMaster!$AO:$AO,MATCH(Table2[[#This Row],[BrokerConfNo]],LoadMaster!$C:$C,0))</f>
        <v>Arturo</v>
      </c>
      <c r="N412" s="549">
        <f t="shared" ref="N412:N418" si="35">(5-WEEKDAY(P412,2))+P412</f>
        <v>42496</v>
      </c>
      <c r="O412" s="242">
        <f t="shared" ref="O412:O418" si="36">IF(M412="Albel",((5-WEEKDAY(P412,2))+P412)+14,(((5-WEEKDAY(P412,2))+P412)+7))</f>
        <v>42503</v>
      </c>
      <c r="P412" s="549">
        <f>INDEX(LoadMaster!$M:$M,MATCH(B412,LoadMaster!$C:$C,0))</f>
        <v>42494</v>
      </c>
      <c r="Q412" s="550" t="str">
        <f>INDEX(LoadMaster!$P:$P,MATCH(B412,LoadMaster!$C:$C,0))</f>
        <v>FRESNO</v>
      </c>
      <c r="R412" s="550" t="str">
        <f>INDEX(LoadMaster!$AH:$AH,MATCH(B412,LoadMaster!$C:$C,0))</f>
        <v>SPARKS</v>
      </c>
      <c r="S412" s="550" t="str">
        <f>INDEX(LoadMaster!$DC:$DC,MATCH(B412,LoadMaster!$C:$C,0))</f>
        <v>Sunny</v>
      </c>
      <c r="T412" s="567">
        <f>INDEX(LoadMaster!$DA:$DA,MATCH(B412,LoadMaster!$C:$C,0))</f>
        <v>39.875</v>
      </c>
      <c r="U412" s="243">
        <f>Table2[[#This Row],[WeekEndingDate]]+7</f>
        <v>42503</v>
      </c>
      <c r="V412" s="550">
        <f t="shared" ref="V412:V418" si="37">MONTH(P412)</f>
        <v>5</v>
      </c>
      <c r="W412" s="548">
        <f t="shared" ref="W412:W418" si="38">YEAR(P412)</f>
        <v>2016</v>
      </c>
    </row>
    <row r="413" spans="1:23" s="68" customFormat="1">
      <c r="A413" s="550" t="str">
        <f>INDEX(LoadMaster!$A:$A,MATCH(B413,LoadMaster!$C:$C,0))</f>
        <v>19650019</v>
      </c>
      <c r="B413" s="552">
        <v>7348619</v>
      </c>
      <c r="C413" s="550" t="str">
        <f>VLOOKUP(Table2[[#This Row],[BrokerConfNo]],LoadMaster!C:D,2,FALSE)</f>
        <v>Coyote</v>
      </c>
      <c r="D413" s="549">
        <v>42501</v>
      </c>
      <c r="E413" s="548" t="str">
        <f>IF(Table2[[#This Row],[UBActualReceived]]&gt;1,"Received","Pending")</f>
        <v>Received</v>
      </c>
      <c r="F413" s="241">
        <f>INDEX(LoadMaster!$CU:$CU,MATCH(B413,LoadMaster!$C:$C,0))</f>
        <v>600</v>
      </c>
      <c r="G413" s="134">
        <f>INDEX(LoadMaster!$CX:$CX,MATCH(B413,LoadMaster!$C:$C,0))</f>
        <v>582</v>
      </c>
      <c r="H413" s="241">
        <f>INDEX(LoadMaster!$CW:$CW,MATCH(B413,LoadMaster!$C:$C,0))</f>
        <v>558</v>
      </c>
      <c r="I413" s="338">
        <v>582</v>
      </c>
      <c r="J413" s="525">
        <v>558</v>
      </c>
      <c r="K413" s="241" t="str">
        <f t="shared" si="30"/>
        <v>Full</v>
      </c>
      <c r="L413" s="241">
        <f>INDEX(LoadMaster!$CT:$CT,MATCH(Table2[[#This Row],[BrokerConfNo]],LoadMaster!$C:$C,0))</f>
        <v>0</v>
      </c>
      <c r="M413" s="550" t="str">
        <f>INDEX(LoadMaster!$AO:$AO,MATCH(Table2[[#This Row],[BrokerConfNo]],LoadMaster!$C:$C,0))</f>
        <v>Miguel Jaime</v>
      </c>
      <c r="N413" s="549">
        <f t="shared" si="35"/>
        <v>42496</v>
      </c>
      <c r="O413" s="242">
        <f t="shared" si="36"/>
        <v>42503</v>
      </c>
      <c r="P413" s="549">
        <f>INDEX(LoadMaster!$M:$M,MATCH(B413,LoadMaster!$C:$C,0))</f>
        <v>42495</v>
      </c>
      <c r="Q413" s="550" t="str">
        <f>INDEX(LoadMaster!$P:$P,MATCH(B413,LoadMaster!$C:$C,0))</f>
        <v>Reno</v>
      </c>
      <c r="R413" s="550" t="str">
        <f>INDEX(LoadMaster!$AH:$AH,MATCH(B413,LoadMaster!$C:$C,0))</f>
        <v>Fowler</v>
      </c>
      <c r="S413" s="550" t="str">
        <f>INDEX(LoadMaster!$DC:$DC,MATCH(B413,LoadMaster!$C:$C,0))</f>
        <v>Sunny</v>
      </c>
      <c r="T413" s="567">
        <f>INDEX(LoadMaster!$DA:$DA,MATCH(B413,LoadMaster!$C:$C,0))</f>
        <v>24</v>
      </c>
      <c r="U413" s="243">
        <f>Table2[[#This Row],[WeekEndingDate]]+7</f>
        <v>42503</v>
      </c>
      <c r="V413" s="550">
        <f t="shared" si="37"/>
        <v>5</v>
      </c>
      <c r="W413" s="548">
        <f t="shared" si="38"/>
        <v>2016</v>
      </c>
    </row>
    <row r="414" spans="1:23" s="68" customFormat="1">
      <c r="A414" s="550" t="str">
        <f>INDEX(LoadMaster!$A:$A,MATCH(B414,LoadMaster!$C:$C,0))</f>
        <v>08992349</v>
      </c>
      <c r="B414" s="552">
        <v>1766408</v>
      </c>
      <c r="C414" s="550" t="str">
        <f>VLOOKUP(Table2[[#This Row],[BrokerConfNo]],LoadMaster!C:D,2,FALSE)</f>
        <v>Interstate Distributor Co</v>
      </c>
      <c r="D414" s="549">
        <v>42503</v>
      </c>
      <c r="E414" s="548" t="str">
        <f>IF(Table2[[#This Row],[UBActualReceived]]&gt;1,"Received","Pending")</f>
        <v>Received</v>
      </c>
      <c r="F414" s="241">
        <f>INDEX(LoadMaster!$CU:$CU,MATCH(B414,LoadMaster!$C:$C,0))</f>
        <v>725</v>
      </c>
      <c r="G414" s="134">
        <f>INDEX(LoadMaster!$CX:$CX,MATCH(B414,LoadMaster!$C:$C,0))</f>
        <v>714.125</v>
      </c>
      <c r="H414" s="241">
        <f>INDEX(LoadMaster!$CW:$CW,MATCH(B414,LoadMaster!$C:$C,0))</f>
        <v>674.25</v>
      </c>
      <c r="I414" s="338">
        <v>714.13</v>
      </c>
      <c r="J414" s="525">
        <v>674.25</v>
      </c>
      <c r="K414" s="241" t="str">
        <f t="shared" si="30"/>
        <v>Full</v>
      </c>
      <c r="L414" s="241">
        <f>INDEX(LoadMaster!$CT:$CT,MATCH(Table2[[#This Row],[BrokerConfNo]],LoadMaster!$C:$C,0))</f>
        <v>0</v>
      </c>
      <c r="M414" s="550" t="str">
        <f>INDEX(LoadMaster!$AO:$AO,MATCH(Table2[[#This Row],[BrokerConfNo]],LoadMaster!$C:$C,0))</f>
        <v>Albel</v>
      </c>
      <c r="N414" s="549">
        <f t="shared" si="35"/>
        <v>42496</v>
      </c>
      <c r="O414" s="242">
        <f t="shared" si="36"/>
        <v>42510</v>
      </c>
      <c r="P414" s="549">
        <f>INDEX(LoadMaster!$M:$M,MATCH(B414,LoadMaster!$C:$C,0))</f>
        <v>42495</v>
      </c>
      <c r="Q414" s="550" t="str">
        <f>INDEX(LoadMaster!$P:$P,MATCH(B414,LoadMaster!$C:$C,0))</f>
        <v>FRESNO</v>
      </c>
      <c r="R414" s="550" t="str">
        <f>INDEX(LoadMaster!$AH:$AH,MATCH(B414,LoadMaster!$C:$C,0))</f>
        <v>MINDEN</v>
      </c>
      <c r="S414" s="550" t="str">
        <f>INDEX(LoadMaster!$DC:$DC,MATCH(B414,LoadMaster!$C:$C,0))</f>
        <v>Sunny</v>
      </c>
      <c r="T414" s="567">
        <f>INDEX(LoadMaster!$DA:$DA,MATCH(B414,LoadMaster!$C:$C,0))</f>
        <v>39.875</v>
      </c>
      <c r="U414" s="243">
        <f>Table2[[#This Row],[WeekEndingDate]]+7</f>
        <v>42503</v>
      </c>
      <c r="V414" s="550">
        <f t="shared" si="37"/>
        <v>5</v>
      </c>
      <c r="W414" s="548">
        <f t="shared" si="38"/>
        <v>2016</v>
      </c>
    </row>
    <row r="415" spans="1:23" s="68" customFormat="1">
      <c r="A415" s="550" t="str">
        <f>INDEX(LoadMaster!$A:$A,MATCH(B415,LoadMaster!$C:$C,0))</f>
        <v>20wnwn93</v>
      </c>
      <c r="B415" s="552">
        <v>1990320</v>
      </c>
      <c r="C415" s="550" t="str">
        <f>VLOOKUP(Table2[[#This Row],[BrokerConfNo]],LoadMaster!C:D,2,FALSE)</f>
        <v>XPOLogistics</v>
      </c>
      <c r="D415" s="549">
        <v>42506</v>
      </c>
      <c r="E415" s="548" t="str">
        <f>IF(Table2[[#This Row],[UBActualReceived]]&gt;1,"Received","Pending")</f>
        <v>Received</v>
      </c>
      <c r="F415" s="241">
        <f>INDEX(LoadMaster!$CU:$CU,MATCH(B415,LoadMaster!$C:$C,0))</f>
        <v>600</v>
      </c>
      <c r="G415" s="134">
        <f>INDEX(LoadMaster!$CX:$CX,MATCH(B415,LoadMaster!$C:$C,0))</f>
        <v>582</v>
      </c>
      <c r="H415" s="241">
        <f>INDEX(LoadMaster!$CW:$CW,MATCH(B415,LoadMaster!$C:$C,0))</f>
        <v>558</v>
      </c>
      <c r="I415" s="338">
        <v>582</v>
      </c>
      <c r="J415" s="525">
        <v>558</v>
      </c>
      <c r="K415" s="241" t="str">
        <f t="shared" si="30"/>
        <v>Full</v>
      </c>
      <c r="L415" s="241">
        <f>INDEX(LoadMaster!$CT:$CT,MATCH(Table2[[#This Row],[BrokerConfNo]],LoadMaster!$C:$C,0))</f>
        <v>0</v>
      </c>
      <c r="M415" s="550" t="str">
        <f>INDEX(LoadMaster!$AO:$AO,MATCH(Table2[[#This Row],[BrokerConfNo]],LoadMaster!$C:$C,0))</f>
        <v>Arturo</v>
      </c>
      <c r="N415" s="549">
        <f t="shared" si="35"/>
        <v>42496</v>
      </c>
      <c r="O415" s="242">
        <f t="shared" si="36"/>
        <v>42503</v>
      </c>
      <c r="P415" s="549">
        <f>INDEX(LoadMaster!$M:$M,MATCH(B415,LoadMaster!$C:$C,0))</f>
        <v>42495</v>
      </c>
      <c r="Q415" s="550" t="str">
        <f>INDEX(LoadMaster!$P:$P,MATCH(B415,LoadMaster!$C:$C,0))</f>
        <v>Carson City</v>
      </c>
      <c r="R415" s="550" t="str">
        <f>INDEX(LoadMaster!$AH:$AH,MATCH(B415,LoadMaster!$C:$C,0))</f>
        <v>Ivanhoe</v>
      </c>
      <c r="S415" s="550" t="str">
        <f>INDEX(LoadMaster!$DC:$DC,MATCH(B415,LoadMaster!$C:$C,0))</f>
        <v>Sunny</v>
      </c>
      <c r="T415" s="567">
        <f>INDEX(LoadMaster!$DA:$DA,MATCH(B415,LoadMaster!$C:$C,0))</f>
        <v>24</v>
      </c>
      <c r="U415" s="243">
        <f>Table2[[#This Row],[WeekEndingDate]]+7</f>
        <v>42503</v>
      </c>
      <c r="V415" s="550">
        <f t="shared" si="37"/>
        <v>5</v>
      </c>
      <c r="W415" s="548">
        <f t="shared" si="38"/>
        <v>2016</v>
      </c>
    </row>
    <row r="416" spans="1:23" s="68" customFormat="1">
      <c r="A416" s="550" t="str">
        <f>INDEX(LoadMaster!$A:$A,MATCH(B416,LoadMaster!$C:$C,0))</f>
        <v>7707wn93</v>
      </c>
      <c r="B416" s="552">
        <v>200642277</v>
      </c>
      <c r="C416" s="550" t="str">
        <f>VLOOKUP(Table2[[#This Row],[BrokerConfNo]],LoadMaster!C:D,2,FALSE)</f>
        <v>Ch Robinson</v>
      </c>
      <c r="D416" s="549">
        <v>42510</v>
      </c>
      <c r="E416" s="548" t="str">
        <f>IF(Table2[[#This Row],[UBActualReceived]]&gt;1,"Received","Pending")</f>
        <v>Received</v>
      </c>
      <c r="F416" s="241">
        <f>INDEX(LoadMaster!$CU:$CU,MATCH(B416,LoadMaster!$C:$C,0))</f>
        <v>550</v>
      </c>
      <c r="G416" s="134">
        <f>INDEX(LoadMaster!$CX:$CX,MATCH(B416,LoadMaster!$C:$C,0))</f>
        <v>539</v>
      </c>
      <c r="H416" s="241">
        <f>INDEX(LoadMaster!$CW:$CW,MATCH(B416,LoadMaster!$C:$C,0))</f>
        <v>511.5</v>
      </c>
      <c r="I416" s="338">
        <v>539</v>
      </c>
      <c r="J416" s="525">
        <v>511.5</v>
      </c>
      <c r="K416" s="241" t="str">
        <f t="shared" si="30"/>
        <v>Full</v>
      </c>
      <c r="L416" s="241">
        <f>INDEX(LoadMaster!$CT:$CT,MATCH(Table2[[#This Row],[BrokerConfNo]],LoadMaster!$C:$C,0))</f>
        <v>0</v>
      </c>
      <c r="M416" s="550" t="str">
        <f>INDEX(LoadMaster!$AO:$AO,MATCH(Table2[[#This Row],[BrokerConfNo]],LoadMaster!$C:$C,0))</f>
        <v>Arturo</v>
      </c>
      <c r="N416" s="549">
        <f t="shared" si="35"/>
        <v>42496</v>
      </c>
      <c r="O416" s="242">
        <f t="shared" si="36"/>
        <v>42503</v>
      </c>
      <c r="P416" s="549">
        <f>INDEX(LoadMaster!$M:$M,MATCH(B416,LoadMaster!$C:$C,0))</f>
        <v>42496</v>
      </c>
      <c r="Q416" s="550" t="str">
        <f>INDEX(LoadMaster!$P:$P,MATCH(B416,LoadMaster!$C:$C,0))</f>
        <v>Madera</v>
      </c>
      <c r="R416" s="550" t="str">
        <f>INDEX(LoadMaster!$AH:$AH,MATCH(B416,LoadMaster!$C:$C,0))</f>
        <v>Reno</v>
      </c>
      <c r="S416" s="550" t="str">
        <f>INDEX(LoadMaster!$DC:$DC,MATCH(B416,LoadMaster!$C:$C,0))</f>
        <v>Sunny</v>
      </c>
      <c r="T416" s="567">
        <f>INDEX(LoadMaster!$DA:$DA,MATCH(B416,LoadMaster!$C:$C,0))</f>
        <v>27.5</v>
      </c>
      <c r="U416" s="243">
        <f>Table2[[#This Row],[WeekEndingDate]]+7</f>
        <v>42503</v>
      </c>
      <c r="V416" s="550">
        <f t="shared" si="37"/>
        <v>5</v>
      </c>
      <c r="W416" s="548">
        <f t="shared" si="38"/>
        <v>2016</v>
      </c>
    </row>
    <row r="417" spans="1:23" s="68" customFormat="1">
      <c r="A417" s="550" t="s">
        <v>3843</v>
      </c>
      <c r="B417" s="552">
        <v>200666198</v>
      </c>
      <c r="C417" s="550" t="str">
        <f>VLOOKUP(Table2[[#This Row],[BrokerConfNo]],LoadMaster!C:D,2,FALSE)</f>
        <v>Ch Robinson</v>
      </c>
      <c r="D417" s="549">
        <v>42509</v>
      </c>
      <c r="E417" s="548" t="str">
        <f>IF(Table2[[#This Row],[UBActualReceived]]&gt;1,"Received","Pending")</f>
        <v>Received</v>
      </c>
      <c r="F417" s="241">
        <f>INDEX(LoadMaster!$CU:$CU,MATCH(B417,LoadMaster!$C:$C,0))</f>
        <v>400</v>
      </c>
      <c r="G417" s="134">
        <f>INDEX(LoadMaster!$CX:$CX,MATCH(B417,LoadMaster!$C:$C,0))</f>
        <v>392</v>
      </c>
      <c r="H417" s="241">
        <v>84</v>
      </c>
      <c r="I417" s="338">
        <v>392</v>
      </c>
      <c r="J417" s="525">
        <v>84</v>
      </c>
      <c r="K417" s="241" t="str">
        <f t="shared" si="30"/>
        <v>Full</v>
      </c>
      <c r="L417" s="241">
        <f>INDEX(LoadMaster!$CT:$CT,MATCH(Table2[[#This Row],[BrokerConfNo]],LoadMaster!$C:$C,0))</f>
        <v>0</v>
      </c>
      <c r="M417" s="550" t="s">
        <v>3839</v>
      </c>
      <c r="N417" s="549">
        <f t="shared" si="35"/>
        <v>42496</v>
      </c>
      <c r="O417" s="242">
        <f t="shared" si="36"/>
        <v>42510</v>
      </c>
      <c r="P417" s="549">
        <f>INDEX(LoadMaster!$M:$M,MATCH(B417,LoadMaster!$C:$C,0))</f>
        <v>42496</v>
      </c>
      <c r="Q417" s="550" t="str">
        <f>INDEX(LoadMaster!$P:$P,MATCH(B417,LoadMaster!$C:$C,0))</f>
        <v>Fresno</v>
      </c>
      <c r="R417" s="550" t="str">
        <f>INDEX(LoadMaster!$AH:$AH,MATCH(B417,LoadMaster!$C:$C,0))</f>
        <v>ANTIOCH</v>
      </c>
      <c r="S417" s="550" t="str">
        <f>INDEX(LoadMaster!$DC:$DC,MATCH(B417,LoadMaster!$C:$C,0))</f>
        <v>Sunny</v>
      </c>
      <c r="T417" s="567">
        <f>INDEX(LoadMaster!$DA:$DA,MATCH(B417,LoadMaster!$C:$C,0))</f>
        <v>-8</v>
      </c>
      <c r="U417" s="243">
        <f>Table2[[#This Row],[WeekEndingDate]]+7</f>
        <v>42503</v>
      </c>
      <c r="V417" s="550">
        <f t="shared" si="37"/>
        <v>5</v>
      </c>
      <c r="W417" s="548">
        <f t="shared" si="38"/>
        <v>2016</v>
      </c>
    </row>
    <row r="418" spans="1:23" s="68" customFormat="1">
      <c r="A418" s="550" t="s">
        <v>3844</v>
      </c>
      <c r="B418" s="552">
        <v>1991963</v>
      </c>
      <c r="C418" s="441">
        <v>68010119</v>
      </c>
      <c r="D418" s="549">
        <v>42509</v>
      </c>
      <c r="E418" s="548" t="str">
        <f>IF(Table2[[#This Row],[UBActualReceived]]&gt;1,"Received","Pending")</f>
        <v>Received</v>
      </c>
      <c r="F418" s="241">
        <f>INDEX(LoadMaster!$CU:$CU,MATCH(B418,LoadMaster!$C:$C,0))</f>
        <v>600</v>
      </c>
      <c r="G418" s="134">
        <f>INDEX(LoadMaster!$CX:$CX,MATCH(B418,LoadMaster!$C:$C,0))</f>
        <v>582</v>
      </c>
      <c r="H418" s="241">
        <v>265</v>
      </c>
      <c r="I418" s="338">
        <v>582</v>
      </c>
      <c r="J418" s="525">
        <v>265</v>
      </c>
      <c r="K418" s="241" t="str">
        <f t="shared" si="30"/>
        <v>Full</v>
      </c>
      <c r="L418" s="241">
        <f>INDEX(LoadMaster!$CT:$CT,MATCH(Table2[[#This Row],[BrokerConfNo]],LoadMaster!$C:$C,0))</f>
        <v>0</v>
      </c>
      <c r="M418" s="550" t="s">
        <v>3836</v>
      </c>
      <c r="N418" s="549">
        <f t="shared" si="35"/>
        <v>42496</v>
      </c>
      <c r="O418" s="242">
        <f t="shared" si="36"/>
        <v>42503</v>
      </c>
      <c r="P418" s="549">
        <f>INDEX(LoadMaster!$M:$M,MATCH(B418,LoadMaster!$C:$C,0))</f>
        <v>42496</v>
      </c>
      <c r="Q418" s="550" t="str">
        <f>INDEX(LoadMaster!$P:$P,MATCH(B418,LoadMaster!$C:$C,0))</f>
        <v>Carson City</v>
      </c>
      <c r="R418" s="550" t="str">
        <f>INDEX(LoadMaster!$AH:$AH,MATCH(B418,LoadMaster!$C:$C,0))</f>
        <v>Ivanhoe</v>
      </c>
      <c r="S418" s="550" t="str">
        <f>INDEX(LoadMaster!$DC:$DC,MATCH(B418,LoadMaster!$C:$C,0))</f>
        <v>Sunny</v>
      </c>
      <c r="T418" s="567">
        <f>INDEX(LoadMaster!$DA:$DA,MATCH(B418,LoadMaster!$C:$C,0))</f>
        <v>-18</v>
      </c>
      <c r="U418" s="243">
        <f>Table2[[#This Row],[WeekEndingDate]]+7</f>
        <v>42503</v>
      </c>
      <c r="V418" s="550">
        <f t="shared" si="37"/>
        <v>5</v>
      </c>
      <c r="W418" s="548">
        <f t="shared" si="38"/>
        <v>2016</v>
      </c>
    </row>
    <row r="419" spans="1:23" s="393" customFormat="1">
      <c r="A419" s="391" t="s">
        <v>3845</v>
      </c>
      <c r="B419" s="392">
        <v>200666198</v>
      </c>
      <c r="C419" s="391" t="s">
        <v>111</v>
      </c>
      <c r="D419" s="391" t="s">
        <v>123</v>
      </c>
      <c r="E419" s="393" t="s">
        <v>123</v>
      </c>
      <c r="F419" s="394" t="s">
        <v>123</v>
      </c>
      <c r="G419" s="394" t="s">
        <v>123</v>
      </c>
      <c r="H419" s="394">
        <v>324</v>
      </c>
      <c r="I419" s="396" t="s">
        <v>123</v>
      </c>
      <c r="J419" s="534">
        <v>324</v>
      </c>
      <c r="K419" s="394" t="str">
        <f t="shared" si="30"/>
        <v>Full</v>
      </c>
      <c r="L419" s="394">
        <f>INDEX(LoadMaster!$CT:$CT,MATCH(Table2[[#This Row],[BrokerConfNo]],LoadMaster!$C:$C,0))</f>
        <v>0</v>
      </c>
      <c r="M419" s="391" t="s">
        <v>3836</v>
      </c>
      <c r="N419" s="397">
        <v>42496</v>
      </c>
      <c r="O419" s="398">
        <v>42503</v>
      </c>
      <c r="P419" s="397">
        <v>42496</v>
      </c>
      <c r="Q419" s="391" t="s">
        <v>214</v>
      </c>
      <c r="R419" s="391" t="s">
        <v>2735</v>
      </c>
      <c r="S419" s="391" t="s">
        <v>133</v>
      </c>
      <c r="T419" s="410">
        <v>0</v>
      </c>
      <c r="U419" s="400">
        <v>42503</v>
      </c>
      <c r="V419" s="391">
        <v>5</v>
      </c>
      <c r="W419" s="393">
        <v>2016</v>
      </c>
    </row>
    <row r="420" spans="1:23" s="393" customFormat="1">
      <c r="A420" s="391" t="s">
        <v>3846</v>
      </c>
      <c r="B420" s="392">
        <v>1991963</v>
      </c>
      <c r="C420" s="391" t="s">
        <v>2405</v>
      </c>
      <c r="D420" s="391" t="s">
        <v>123</v>
      </c>
      <c r="E420" s="393" t="s">
        <v>123</v>
      </c>
      <c r="F420" s="394" t="s">
        <v>123</v>
      </c>
      <c r="G420" s="394" t="s">
        <v>123</v>
      </c>
      <c r="H420" s="394">
        <v>335</v>
      </c>
      <c r="I420" s="396" t="s">
        <v>123</v>
      </c>
      <c r="J420" s="534">
        <v>335</v>
      </c>
      <c r="K420" s="394" t="str">
        <f t="shared" si="30"/>
        <v>Full</v>
      </c>
      <c r="L420" s="394">
        <f>INDEX(LoadMaster!$CT:$CT,MATCH(Table2[[#This Row],[BrokerConfNo]],LoadMaster!$C:$C,0))</f>
        <v>0</v>
      </c>
      <c r="M420" s="391" t="s">
        <v>3839</v>
      </c>
      <c r="N420" s="397">
        <v>42496</v>
      </c>
      <c r="O420" s="398">
        <v>42510</v>
      </c>
      <c r="P420" s="397">
        <v>42496</v>
      </c>
      <c r="Q420" s="391" t="s">
        <v>2408</v>
      </c>
      <c r="R420" s="391" t="s">
        <v>3833</v>
      </c>
      <c r="S420" s="391" t="s">
        <v>133</v>
      </c>
      <c r="T420" s="399">
        <v>0</v>
      </c>
      <c r="U420" s="400">
        <v>42503</v>
      </c>
      <c r="V420" s="391">
        <v>5</v>
      </c>
      <c r="W420" s="393">
        <v>2016</v>
      </c>
    </row>
    <row r="421" spans="1:23" s="68" customFormat="1">
      <c r="A421" s="550" t="str">
        <f>INDEX(LoadMaster!$A:$A,MATCH(B421,LoadMaster!$C:$C,0))</f>
        <v>9387XX49</v>
      </c>
      <c r="B421" s="552">
        <v>200661393</v>
      </c>
      <c r="C421" s="550" t="str">
        <f>VLOOKUP(Table2[[#This Row],[BrokerConfNo]],LoadMaster!C:D,2,FALSE)</f>
        <v>Ch Robinson</v>
      </c>
      <c r="D421" s="549">
        <v>42510</v>
      </c>
      <c r="E421" s="548" t="str">
        <f>IF(Table2[[#This Row],[UBActualReceived]]&gt;1,"Received","Pending")</f>
        <v>Received</v>
      </c>
      <c r="F421" s="241">
        <f>INDEX(LoadMaster!$CU:$CU,MATCH(B421,LoadMaster!$C:$C,0))</f>
        <v>800</v>
      </c>
      <c r="G421" s="134">
        <f>INDEX(LoadMaster!$CX:$CX,MATCH(B421,LoadMaster!$C:$C,0))</f>
        <v>784</v>
      </c>
      <c r="H421" s="241">
        <f>INDEX(LoadMaster!$CW:$CW,MATCH(B421,LoadMaster!$C:$C,0))</f>
        <v>744</v>
      </c>
      <c r="I421" s="338">
        <v>784</v>
      </c>
      <c r="J421" s="525">
        <v>744</v>
      </c>
      <c r="K421" s="241" t="str">
        <f t="shared" si="30"/>
        <v>Full</v>
      </c>
      <c r="L421" s="241">
        <f>INDEX(LoadMaster!$CT:$CT,MATCH(Table2[[#This Row],[BrokerConfNo]],LoadMaster!$C:$C,0))</f>
        <v>0</v>
      </c>
      <c r="M421" s="550" t="str">
        <f>INDEX(LoadMaster!$AO:$AO,MATCH(Table2[[#This Row],[BrokerConfNo]],LoadMaster!$C:$C,0))</f>
        <v>Albel</v>
      </c>
      <c r="N421" s="549">
        <f t="shared" ref="N421:N452" si="39">(5-WEEKDAY(P421,2))+P421</f>
        <v>42503</v>
      </c>
      <c r="O421" s="242">
        <f t="shared" ref="O421:O452" si="40">IF(M421="Albel",((5-WEEKDAY(P421,2))+P421)+14,(((5-WEEKDAY(P421,2))+P421)+7))</f>
        <v>42517</v>
      </c>
      <c r="P421" s="549">
        <f>INDEX(LoadMaster!$M:$M,MATCH(B421,LoadMaster!$C:$C,0))</f>
        <v>42499</v>
      </c>
      <c r="Q421" s="550" t="str">
        <f>INDEX(LoadMaster!$P:$P,MATCH(B421,LoadMaster!$C:$C,0))</f>
        <v>SAN LORENZO</v>
      </c>
      <c r="R421" s="550" t="str">
        <f>INDEX(LoadMaster!$AH:$AH,MATCH(B421,LoadMaster!$C:$C,0))</f>
        <v>Herlong</v>
      </c>
      <c r="S421" s="550" t="str">
        <f>INDEX(LoadMaster!$DC:$DC,MATCH(B421,LoadMaster!$C:$C,0))</f>
        <v>Sunny</v>
      </c>
      <c r="T421" s="567">
        <f>INDEX(LoadMaster!$DA:$DA,MATCH(B421,LoadMaster!$C:$C,0))</f>
        <v>40</v>
      </c>
      <c r="U421" s="243">
        <f>Table2[[#This Row],[WeekEndingDate]]+7</f>
        <v>42510</v>
      </c>
      <c r="V421" s="550">
        <f t="shared" ref="V421:V452" si="41">MONTH(P421)</f>
        <v>5</v>
      </c>
      <c r="W421" s="548">
        <f t="shared" ref="W421:W452" si="42">YEAR(P421)</f>
        <v>2016</v>
      </c>
    </row>
    <row r="422" spans="1:23" s="68" customFormat="1">
      <c r="A422" s="550" t="str">
        <f>INDEX(LoadMaster!$A:$A,MATCH(B422,LoadMaster!$C:$C,0))</f>
        <v>64474719</v>
      </c>
      <c r="B422" s="552">
        <v>7356964</v>
      </c>
      <c r="C422" s="550" t="str">
        <f>VLOOKUP(Table2[[#This Row],[BrokerConfNo]],LoadMaster!C:D,2,FALSE)</f>
        <v>Coyote</v>
      </c>
      <c r="D422" s="549">
        <v>42508</v>
      </c>
      <c r="E422" s="548" t="str">
        <f>IF(Table2[[#This Row],[UBActualReceived]]&gt;1,"Received","Pending")</f>
        <v>Received</v>
      </c>
      <c r="F422" s="241">
        <f>INDEX(LoadMaster!$CU:$CU,MATCH(B422,LoadMaster!$C:$C,0))</f>
        <v>750</v>
      </c>
      <c r="G422" s="134">
        <f>INDEX(LoadMaster!$CX:$CX,MATCH(B422,LoadMaster!$C:$C,0))</f>
        <v>727.5</v>
      </c>
      <c r="H422" s="241">
        <f>INDEX(LoadMaster!$CW:$CW,MATCH(B422,LoadMaster!$C:$C,0))</f>
        <v>697.5</v>
      </c>
      <c r="I422" s="338">
        <v>727.5</v>
      </c>
      <c r="J422" s="525">
        <v>697.5</v>
      </c>
      <c r="K422" s="241" t="str">
        <f t="shared" si="30"/>
        <v>Full</v>
      </c>
      <c r="L422" s="241">
        <f>INDEX(LoadMaster!$CT:$CT,MATCH(Table2[[#This Row],[BrokerConfNo]],LoadMaster!$C:$C,0))</f>
        <v>0</v>
      </c>
      <c r="M422" s="550" t="str">
        <f>INDEX(LoadMaster!$AO:$AO,MATCH(Table2[[#This Row],[BrokerConfNo]],LoadMaster!$C:$C,0))</f>
        <v>Miguel Jaime</v>
      </c>
      <c r="N422" s="549">
        <f t="shared" si="39"/>
        <v>42503</v>
      </c>
      <c r="O422" s="242">
        <f t="shared" si="40"/>
        <v>42510</v>
      </c>
      <c r="P422" s="549">
        <f>INDEX(LoadMaster!$M:$M,MATCH(B422,LoadMaster!$C:$C,0))</f>
        <v>42499</v>
      </c>
      <c r="Q422" s="550" t="str">
        <f>INDEX(LoadMaster!$P:$P,MATCH(B422,LoadMaster!$C:$C,0))</f>
        <v>Hanford</v>
      </c>
      <c r="R422" s="550" t="str">
        <f>INDEX(LoadMaster!$AH:$AH,MATCH(B422,LoadMaster!$C:$C,0))</f>
        <v>Redding</v>
      </c>
      <c r="S422" s="550" t="str">
        <f>INDEX(LoadMaster!$DC:$DC,MATCH(B422,LoadMaster!$C:$C,0))</f>
        <v>Sunny</v>
      </c>
      <c r="T422" s="567">
        <f>INDEX(LoadMaster!$DA:$DA,MATCH(B422,LoadMaster!$C:$C,0))</f>
        <v>30</v>
      </c>
      <c r="U422" s="243">
        <f>Table2[[#This Row],[WeekEndingDate]]+7</f>
        <v>42510</v>
      </c>
      <c r="V422" s="550">
        <f t="shared" si="41"/>
        <v>5</v>
      </c>
      <c r="W422" s="548">
        <f t="shared" si="42"/>
        <v>2016</v>
      </c>
    </row>
    <row r="423" spans="1:23" s="68" customFormat="1">
      <c r="A423" s="550" t="str">
        <f>INDEX(LoadMaster!$A:$A,MATCH(B423,LoadMaster!$C:$C,0))</f>
        <v>86191993</v>
      </c>
      <c r="B423" s="552">
        <v>1991986</v>
      </c>
      <c r="C423" s="550" t="str">
        <f>VLOOKUP(Table2[[#This Row],[BrokerConfNo]],LoadMaster!C:D,2,FALSE)</f>
        <v>XPOLogistics</v>
      </c>
      <c r="D423" s="549">
        <v>42509</v>
      </c>
      <c r="E423" s="548" t="str">
        <f>IF(Table2[[#This Row],[UBActualReceived]]&gt;1,"Received","Pending")</f>
        <v>Received</v>
      </c>
      <c r="F423" s="241">
        <f>INDEX(LoadMaster!$CU:$CU,MATCH(B423,LoadMaster!$C:$C,0))</f>
        <v>600</v>
      </c>
      <c r="G423" s="134">
        <f>INDEX(LoadMaster!$CX:$CX,MATCH(B423,LoadMaster!$C:$C,0))</f>
        <v>582</v>
      </c>
      <c r="H423" s="241">
        <f>INDEX(LoadMaster!$CW:$CW,MATCH(B423,LoadMaster!$C:$C,0))</f>
        <v>558</v>
      </c>
      <c r="I423" s="338">
        <v>582</v>
      </c>
      <c r="J423" s="525">
        <v>558</v>
      </c>
      <c r="K423" s="241" t="str">
        <f t="shared" si="30"/>
        <v>Full</v>
      </c>
      <c r="L423" s="241">
        <f>INDEX(LoadMaster!$CT:$CT,MATCH(Table2[[#This Row],[BrokerConfNo]],LoadMaster!$C:$C,0))</f>
        <v>0</v>
      </c>
      <c r="M423" s="550" t="str">
        <f>INDEX(LoadMaster!$AO:$AO,MATCH(Table2[[#This Row],[BrokerConfNo]],LoadMaster!$C:$C,0))</f>
        <v>Arturo</v>
      </c>
      <c r="N423" s="549">
        <f t="shared" si="39"/>
        <v>42503</v>
      </c>
      <c r="O423" s="242">
        <f t="shared" si="40"/>
        <v>42510</v>
      </c>
      <c r="P423" s="549">
        <f>INDEX(LoadMaster!$M:$M,MATCH(B423,LoadMaster!$C:$C,0))</f>
        <v>42499</v>
      </c>
      <c r="Q423" s="550" t="str">
        <f>INDEX(LoadMaster!$P:$P,MATCH(B423,LoadMaster!$C:$C,0))</f>
        <v>Carson City,</v>
      </c>
      <c r="R423" s="550" t="str">
        <f>INDEX(LoadMaster!$AH:$AH,MATCH(B423,LoadMaster!$C:$C,0))</f>
        <v>Ivanhoe</v>
      </c>
      <c r="S423" s="550" t="str">
        <f>INDEX(LoadMaster!$DC:$DC,MATCH(B423,LoadMaster!$C:$C,0))</f>
        <v>Sunny</v>
      </c>
      <c r="T423" s="567">
        <f>INDEX(LoadMaster!$DA:$DA,MATCH(B423,LoadMaster!$C:$C,0))</f>
        <v>24</v>
      </c>
      <c r="U423" s="243">
        <f>Table2[[#This Row],[WeekEndingDate]]+7</f>
        <v>42510</v>
      </c>
      <c r="V423" s="550">
        <f t="shared" si="41"/>
        <v>5</v>
      </c>
      <c r="W423" s="548">
        <f t="shared" si="42"/>
        <v>2016</v>
      </c>
    </row>
    <row r="424" spans="1:23" s="68" customFormat="1">
      <c r="A424" s="550" t="str">
        <f>INDEX(LoadMaster!$A:$A,MATCH(B424,LoadMaster!$C:$C,0))</f>
        <v>22404019</v>
      </c>
      <c r="B424" s="552">
        <v>7354822</v>
      </c>
      <c r="C424" s="550" t="str">
        <f>VLOOKUP(Table2[[#This Row],[BrokerConfNo]],LoadMaster!C:D,2,FALSE)</f>
        <v>Coyote</v>
      </c>
      <c r="D424" s="549">
        <v>42508</v>
      </c>
      <c r="E424" s="548" t="str">
        <f>IF(Table2[[#This Row],[UBActualReceived]]&gt;1,"Received","Pending")</f>
        <v>Received</v>
      </c>
      <c r="F424" s="241">
        <f>INDEX(LoadMaster!$CU:$CU,MATCH(B424,LoadMaster!$C:$C,0))</f>
        <v>300</v>
      </c>
      <c r="G424" s="134">
        <f>INDEX(LoadMaster!$CX:$CX,MATCH(B424,LoadMaster!$C:$C,0))</f>
        <v>291</v>
      </c>
      <c r="H424" s="241">
        <f>INDEX(LoadMaster!$CW:$CW,MATCH(B424,LoadMaster!$C:$C,0))</f>
        <v>279</v>
      </c>
      <c r="I424" s="338">
        <v>291</v>
      </c>
      <c r="J424" s="525">
        <v>279</v>
      </c>
      <c r="K424" s="241" t="str">
        <f t="shared" si="30"/>
        <v>Full</v>
      </c>
      <c r="L424" s="241">
        <f>INDEX(LoadMaster!$CT:$CT,MATCH(Table2[[#This Row],[BrokerConfNo]],LoadMaster!$C:$C,0))</f>
        <v>0</v>
      </c>
      <c r="M424" s="550" t="str">
        <f>INDEX(LoadMaster!$AO:$AO,MATCH(Table2[[#This Row],[BrokerConfNo]],LoadMaster!$C:$C,0))</f>
        <v>Miguel Jaime</v>
      </c>
      <c r="N424" s="549">
        <f t="shared" si="39"/>
        <v>42503</v>
      </c>
      <c r="O424" s="242">
        <f t="shared" si="40"/>
        <v>42510</v>
      </c>
      <c r="P424" s="549">
        <f>INDEX(LoadMaster!$M:$M,MATCH(B424,LoadMaster!$C:$C,0))</f>
        <v>42500</v>
      </c>
      <c r="Q424" s="550" t="str">
        <f>INDEX(LoadMaster!$P:$P,MATCH(B424,LoadMaster!$C:$C,0))</f>
        <v>Orland</v>
      </c>
      <c r="R424" s="550" t="str">
        <f>INDEX(LoadMaster!$AH:$AH,MATCH(B424,LoadMaster!$C:$C,0))</f>
        <v>Lodi</v>
      </c>
      <c r="S424" s="550" t="str">
        <f>INDEX(LoadMaster!$DC:$DC,MATCH(B424,LoadMaster!$C:$C,0))</f>
        <v>Sunny</v>
      </c>
      <c r="T424" s="567">
        <f>INDEX(LoadMaster!$DA:$DA,MATCH(B424,LoadMaster!$C:$C,0))</f>
        <v>12</v>
      </c>
      <c r="U424" s="243">
        <f>Table2[[#This Row],[WeekEndingDate]]+7</f>
        <v>42510</v>
      </c>
      <c r="V424" s="550">
        <f t="shared" si="41"/>
        <v>5</v>
      </c>
      <c r="W424" s="548">
        <f t="shared" si="42"/>
        <v>2016</v>
      </c>
    </row>
    <row r="425" spans="1:23" s="68" customFormat="1">
      <c r="A425" s="550" t="str">
        <f>INDEX(LoadMaster!$A:$A,MATCH(B425,LoadMaster!$C:$C,0))</f>
        <v>92846993</v>
      </c>
      <c r="B425" s="552">
        <v>1771792</v>
      </c>
      <c r="C425" s="550" t="str">
        <f>VLOOKUP(Table2[[#This Row],[BrokerConfNo]],LoadMaster!C:D,2,FALSE)</f>
        <v>Interstate Distributor Co</v>
      </c>
      <c r="D425" s="549">
        <v>42509</v>
      </c>
      <c r="E425" s="548" t="str">
        <f>IF(Table2[[#This Row],[UBActualReceived]]&gt;1,"Received","Pending")</f>
        <v>Received</v>
      </c>
      <c r="F425" s="241">
        <f>INDEX(LoadMaster!$CU:$CU,MATCH(B425,LoadMaster!$C:$C,0))</f>
        <v>775</v>
      </c>
      <c r="G425" s="134">
        <f>INDEX(LoadMaster!$CX:$CX,MATCH(B425,LoadMaster!$C:$C,0))</f>
        <v>763.375</v>
      </c>
      <c r="H425" s="241">
        <f>INDEX(LoadMaster!$CW:$CW,MATCH(B425,LoadMaster!$C:$C,0))</f>
        <v>720.75</v>
      </c>
      <c r="I425" s="338">
        <v>763.38</v>
      </c>
      <c r="J425" s="525">
        <v>720.75</v>
      </c>
      <c r="K425" s="241" t="str">
        <f t="shared" si="30"/>
        <v>Full</v>
      </c>
      <c r="L425" s="241">
        <f>INDEX(LoadMaster!$CT:$CT,MATCH(Table2[[#This Row],[BrokerConfNo]],LoadMaster!$C:$C,0))</f>
        <v>0</v>
      </c>
      <c r="M425" s="550" t="str">
        <f>INDEX(LoadMaster!$AO:$AO,MATCH(Table2[[#This Row],[BrokerConfNo]],LoadMaster!$C:$C,0))</f>
        <v>Arturo</v>
      </c>
      <c r="N425" s="549">
        <f t="shared" si="39"/>
        <v>42503</v>
      </c>
      <c r="O425" s="242">
        <f t="shared" si="40"/>
        <v>42510</v>
      </c>
      <c r="P425" s="549">
        <f>INDEX(LoadMaster!$M:$M,MATCH(B425,LoadMaster!$C:$C,0))</f>
        <v>42500</v>
      </c>
      <c r="Q425" s="550" t="str">
        <f>INDEX(LoadMaster!$P:$P,MATCH(B425,LoadMaster!$C:$C,0))</f>
        <v>FRESNO / STOCKTON</v>
      </c>
      <c r="R425" s="550" t="str">
        <f>INDEX(LoadMaster!$AH:$AH,MATCH(B425,LoadMaster!$C:$C,0))</f>
        <v>MINDEN</v>
      </c>
      <c r="S425" s="550" t="str">
        <f>INDEX(LoadMaster!$DC:$DC,MATCH(B425,LoadMaster!$C:$C,0))</f>
        <v>Sunny</v>
      </c>
      <c r="T425" s="567">
        <f>INDEX(LoadMaster!$DA:$DA,MATCH(B425,LoadMaster!$C:$C,0))</f>
        <v>42.625</v>
      </c>
      <c r="U425" s="243">
        <f>Table2[[#This Row],[WeekEndingDate]]+7</f>
        <v>42510</v>
      </c>
      <c r="V425" s="550">
        <f t="shared" si="41"/>
        <v>5</v>
      </c>
      <c r="W425" s="548">
        <f t="shared" si="42"/>
        <v>2016</v>
      </c>
    </row>
    <row r="426" spans="1:23" s="68" customFormat="1">
      <c r="A426" s="550" t="str">
        <f>INDEX(LoadMaster!$A:$A,MATCH(B426,LoadMaster!$C:$C,0))</f>
        <v>11161649</v>
      </c>
      <c r="B426" s="552">
        <v>1990311</v>
      </c>
      <c r="C426" s="550" t="str">
        <f>VLOOKUP(Table2[[#This Row],[BrokerConfNo]],LoadMaster!C:D,2,FALSE)</f>
        <v>XPOLogistics</v>
      </c>
      <c r="D426" s="549">
        <v>42509</v>
      </c>
      <c r="E426" s="548" t="str">
        <f>IF(Table2[[#This Row],[UBActualReceived]]&gt;1,"Received","Pending")</f>
        <v>Received</v>
      </c>
      <c r="F426" s="241">
        <f>INDEX(LoadMaster!$CU:$CU,MATCH(B426,LoadMaster!$C:$C,0))</f>
        <v>600</v>
      </c>
      <c r="G426" s="134">
        <f>INDEX(LoadMaster!$CX:$CX,MATCH(B426,LoadMaster!$C:$C,0))</f>
        <v>582</v>
      </c>
      <c r="H426" s="241">
        <f>INDEX(LoadMaster!$CW:$CW,MATCH(B426,LoadMaster!$C:$C,0))</f>
        <v>558</v>
      </c>
      <c r="I426" s="338">
        <v>582</v>
      </c>
      <c r="J426" s="525">
        <v>558</v>
      </c>
      <c r="K426" s="241" t="str">
        <f t="shared" si="30"/>
        <v>Full</v>
      </c>
      <c r="L426" s="241">
        <f>INDEX(LoadMaster!$CT:$CT,MATCH(Table2[[#This Row],[BrokerConfNo]],LoadMaster!$C:$C,0))</f>
        <v>0</v>
      </c>
      <c r="M426" s="550" t="str">
        <f>INDEX(LoadMaster!$AO:$AO,MATCH(Table2[[#This Row],[BrokerConfNo]],LoadMaster!$C:$C,0))</f>
        <v>Albel</v>
      </c>
      <c r="N426" s="549">
        <f t="shared" si="39"/>
        <v>42503</v>
      </c>
      <c r="O426" s="242">
        <f t="shared" si="40"/>
        <v>42517</v>
      </c>
      <c r="P426" s="549">
        <f>INDEX(LoadMaster!$M:$M,MATCH(B426,LoadMaster!$C:$C,0))</f>
        <v>42500</v>
      </c>
      <c r="Q426" s="550" t="str">
        <f>INDEX(LoadMaster!$P:$P,MATCH(B426,LoadMaster!$C:$C,0))</f>
        <v>Carson City,</v>
      </c>
      <c r="R426" s="550" t="str">
        <f>INDEX(LoadMaster!$AH:$AH,MATCH(B426,LoadMaster!$C:$C,0))</f>
        <v>Ivanhoe</v>
      </c>
      <c r="S426" s="550" t="str">
        <f>INDEX(LoadMaster!$DC:$DC,MATCH(B426,LoadMaster!$C:$C,0))</f>
        <v>Sunny</v>
      </c>
      <c r="T426" s="567">
        <f>INDEX(LoadMaster!$DA:$DA,MATCH(B426,LoadMaster!$C:$C,0))</f>
        <v>24</v>
      </c>
      <c r="U426" s="243">
        <f>Table2[[#This Row],[WeekEndingDate]]+7</f>
        <v>42510</v>
      </c>
      <c r="V426" s="550">
        <f t="shared" si="41"/>
        <v>5</v>
      </c>
      <c r="W426" s="548">
        <f t="shared" si="42"/>
        <v>2016</v>
      </c>
    </row>
    <row r="427" spans="1:23" s="68" customFormat="1">
      <c r="A427" s="550" t="str">
        <f>INDEX(LoadMaster!$A:$A,MATCH(B427,LoadMaster!$C:$C,0))</f>
        <v>74247749</v>
      </c>
      <c r="B427" s="552">
        <v>200889174</v>
      </c>
      <c r="C427" s="550" t="str">
        <f>VLOOKUP(Table2[[#This Row],[BrokerConfNo]],LoadMaster!C:D,2,FALSE)</f>
        <v>Ch Robinson</v>
      </c>
      <c r="D427" s="549">
        <v>42510</v>
      </c>
      <c r="E427" s="548" t="str">
        <f>IF(Table2[[#This Row],[UBActualReceived]]&gt;1,"Received","Pending")</f>
        <v>Received</v>
      </c>
      <c r="F427" s="241">
        <f>INDEX(LoadMaster!$CU:$CU,MATCH(B427,LoadMaster!$C:$C,0))</f>
        <v>600</v>
      </c>
      <c r="G427" s="134">
        <f>INDEX(LoadMaster!$CX:$CX,MATCH(B427,LoadMaster!$C:$C,0))</f>
        <v>588</v>
      </c>
      <c r="H427" s="241">
        <f>INDEX(LoadMaster!$CW:$CW,MATCH(B427,LoadMaster!$C:$C,0))</f>
        <v>558</v>
      </c>
      <c r="I427" s="338">
        <v>588</v>
      </c>
      <c r="J427" s="525">
        <v>558</v>
      </c>
      <c r="K427" s="241" t="str">
        <f t="shared" si="30"/>
        <v>Full</v>
      </c>
      <c r="L427" s="241">
        <f>INDEX(LoadMaster!$CT:$CT,MATCH(Table2[[#This Row],[BrokerConfNo]],LoadMaster!$C:$C,0))</f>
        <v>0</v>
      </c>
      <c r="M427" s="550" t="str">
        <f>INDEX(LoadMaster!$AO:$AO,MATCH(Table2[[#This Row],[BrokerConfNo]],LoadMaster!$C:$C,0))</f>
        <v>Albel</v>
      </c>
      <c r="N427" s="549">
        <f t="shared" si="39"/>
        <v>42503</v>
      </c>
      <c r="O427" s="242">
        <f t="shared" si="40"/>
        <v>42517</v>
      </c>
      <c r="P427" s="549">
        <f>INDEX(LoadMaster!$M:$M,MATCH(B427,LoadMaster!$C:$C,0))</f>
        <v>42501</v>
      </c>
      <c r="Q427" s="550" t="str">
        <f>INDEX(LoadMaster!$P:$P,MATCH(B427,LoadMaster!$C:$C,0))</f>
        <v>FRESNO</v>
      </c>
      <c r="R427" s="550" t="str">
        <f>INDEX(LoadMaster!$AH:$AH,MATCH(B427,LoadMaster!$C:$C,0))</f>
        <v>Grass Valley</v>
      </c>
      <c r="S427" s="550" t="str">
        <f>INDEX(LoadMaster!$DC:$DC,MATCH(B427,LoadMaster!$C:$C,0))</f>
        <v>Sunny</v>
      </c>
      <c r="T427" s="567">
        <f>INDEX(LoadMaster!$DA:$DA,MATCH(B427,LoadMaster!$C:$C,0))</f>
        <v>30</v>
      </c>
      <c r="U427" s="243">
        <f>Table2[[#This Row],[WeekEndingDate]]+7</f>
        <v>42510</v>
      </c>
      <c r="V427" s="550">
        <f t="shared" si="41"/>
        <v>5</v>
      </c>
      <c r="W427" s="548">
        <f t="shared" si="42"/>
        <v>2016</v>
      </c>
    </row>
    <row r="428" spans="1:23" s="68" customFormat="1">
      <c r="A428" s="550" t="str">
        <f>INDEX(LoadMaster!$A:$A,MATCH(B428,LoadMaster!$C:$C,0))</f>
        <v>14wnwn19</v>
      </c>
      <c r="B428" s="552">
        <v>6951814</v>
      </c>
      <c r="C428" s="550" t="str">
        <f>VLOOKUP(Table2[[#This Row],[BrokerConfNo]],LoadMaster!C:D,2,FALSE)</f>
        <v>TQL</v>
      </c>
      <c r="D428" s="549">
        <v>42513</v>
      </c>
      <c r="E428" s="548" t="str">
        <f>IF(Table2[[#This Row],[UBActualReceived]]&gt;1,"Received","Pending")</f>
        <v>Received</v>
      </c>
      <c r="F428" s="241">
        <f>INDEX(LoadMaster!$CU:$CU,MATCH(B428,LoadMaster!$C:$C,0))</f>
        <v>625</v>
      </c>
      <c r="G428" s="134">
        <f>INDEX(LoadMaster!$CX:$CX,MATCH(B428,LoadMaster!$C:$C,0))</f>
        <v>606.25</v>
      </c>
      <c r="H428" s="241">
        <f>INDEX(LoadMaster!$CW:$CW,MATCH(B428,LoadMaster!$C:$C,0))</f>
        <v>581.25</v>
      </c>
      <c r="I428" s="338">
        <v>606.25</v>
      </c>
      <c r="J428" s="525">
        <v>581.25</v>
      </c>
      <c r="K428" s="241" t="str">
        <f t="shared" si="30"/>
        <v>Full</v>
      </c>
      <c r="L428" s="241">
        <f>INDEX(LoadMaster!$CT:$CT,MATCH(Table2[[#This Row],[BrokerConfNo]],LoadMaster!$C:$C,0))</f>
        <v>0</v>
      </c>
      <c r="M428" s="550" t="str">
        <f>INDEX(LoadMaster!$AO:$AO,MATCH(Table2[[#This Row],[BrokerConfNo]],LoadMaster!$C:$C,0))</f>
        <v>Miguel Jaime</v>
      </c>
      <c r="N428" s="549">
        <f t="shared" si="39"/>
        <v>42503</v>
      </c>
      <c r="O428" s="242">
        <f t="shared" si="40"/>
        <v>42510</v>
      </c>
      <c r="P428" s="549">
        <f>INDEX(LoadMaster!$M:$M,MATCH(B428,LoadMaster!$C:$C,0))</f>
        <v>42501</v>
      </c>
      <c r="Q428" s="550" t="str">
        <f>INDEX(LoadMaster!$P:$P,MATCH(B428,LoadMaster!$C:$C,0))</f>
        <v>Madera</v>
      </c>
      <c r="R428" s="550" t="str">
        <f>INDEX(LoadMaster!$AH:$AH,MATCH(B428,LoadMaster!$C:$C,0))</f>
        <v>Sparks / Reno</v>
      </c>
      <c r="S428" s="550" t="str">
        <f>INDEX(LoadMaster!$DC:$DC,MATCH(B428,LoadMaster!$C:$C,0))</f>
        <v>Sunny</v>
      </c>
      <c r="T428" s="567">
        <f>INDEX(LoadMaster!$DA:$DA,MATCH(B428,LoadMaster!$C:$C,0))</f>
        <v>25</v>
      </c>
      <c r="U428" s="243">
        <f>Table2[[#This Row],[WeekEndingDate]]+7</f>
        <v>42510</v>
      </c>
      <c r="V428" s="550">
        <f t="shared" si="41"/>
        <v>5</v>
      </c>
      <c r="W428" s="548">
        <f t="shared" si="42"/>
        <v>2016</v>
      </c>
    </row>
    <row r="429" spans="1:23" s="68" customFormat="1">
      <c r="A429" s="550" t="str">
        <f>INDEX(LoadMaster!$A:$A,MATCH(B429,LoadMaster!$C:$C,0))</f>
        <v>27444493</v>
      </c>
      <c r="B429" s="552">
        <v>1992027</v>
      </c>
      <c r="C429" s="550" t="str">
        <f>VLOOKUP(Table2[[#This Row],[BrokerConfNo]],LoadMaster!C:D,2,FALSE)</f>
        <v>XPOLogistics</v>
      </c>
      <c r="D429" s="549">
        <v>42508</v>
      </c>
      <c r="E429" s="548" t="str">
        <f>IF(Table2[[#This Row],[UBActualReceived]]&gt;1,"Received","Pending")</f>
        <v>Received</v>
      </c>
      <c r="F429" s="241">
        <f>INDEX(LoadMaster!$CU:$CU,MATCH(B429,LoadMaster!$C:$C,0))</f>
        <v>600</v>
      </c>
      <c r="G429" s="134">
        <f>INDEX(LoadMaster!$CX:$CX,MATCH(B429,LoadMaster!$C:$C,0))</f>
        <v>582</v>
      </c>
      <c r="H429" s="241">
        <f>INDEX(LoadMaster!$CW:$CW,MATCH(B429,LoadMaster!$C:$C,0))</f>
        <v>558</v>
      </c>
      <c r="I429" s="338">
        <v>582</v>
      </c>
      <c r="J429" s="525">
        <v>558</v>
      </c>
      <c r="K429" s="241" t="str">
        <f t="shared" si="30"/>
        <v>Full</v>
      </c>
      <c r="L429" s="241">
        <f>INDEX(LoadMaster!$CT:$CT,MATCH(Table2[[#This Row],[BrokerConfNo]],LoadMaster!$C:$C,0))</f>
        <v>0</v>
      </c>
      <c r="M429" s="550" t="str">
        <f>INDEX(LoadMaster!$AO:$AO,MATCH(Table2[[#This Row],[BrokerConfNo]],LoadMaster!$C:$C,0))</f>
        <v>Arturo</v>
      </c>
      <c r="N429" s="549">
        <f t="shared" si="39"/>
        <v>42503</v>
      </c>
      <c r="O429" s="242">
        <f t="shared" si="40"/>
        <v>42510</v>
      </c>
      <c r="P429" s="549">
        <f>INDEX(LoadMaster!$M:$M,MATCH(B429,LoadMaster!$C:$C,0))</f>
        <v>42501</v>
      </c>
      <c r="Q429" s="550" t="str">
        <f>INDEX(LoadMaster!$P:$P,MATCH(B429,LoadMaster!$C:$C,0))</f>
        <v>Carson City</v>
      </c>
      <c r="R429" s="550" t="str">
        <f>INDEX(LoadMaster!$AH:$AH,MATCH(B429,LoadMaster!$C:$C,0))</f>
        <v>Ivanhoe</v>
      </c>
      <c r="S429" s="550" t="str">
        <f>INDEX(LoadMaster!$DC:$DC,MATCH(B429,LoadMaster!$C:$C,0))</f>
        <v>Sunny</v>
      </c>
      <c r="T429" s="567">
        <f>INDEX(LoadMaster!$DA:$DA,MATCH(B429,LoadMaster!$C:$C,0))</f>
        <v>24</v>
      </c>
      <c r="U429" s="243">
        <f>Table2[[#This Row],[WeekEndingDate]]+7</f>
        <v>42510</v>
      </c>
      <c r="V429" s="550">
        <f t="shared" si="41"/>
        <v>5</v>
      </c>
      <c r="W429" s="548">
        <f t="shared" si="42"/>
        <v>2016</v>
      </c>
    </row>
    <row r="430" spans="1:23" s="68" customFormat="1">
      <c r="A430" s="550" t="str">
        <f>INDEX(LoadMaster!$A:$A,MATCH(B430,LoadMaster!$C:$C,0))</f>
        <v>50474719</v>
      </c>
      <c r="B430" s="552">
        <v>1992050</v>
      </c>
      <c r="C430" s="550" t="str">
        <f>VLOOKUP(Table2[[#This Row],[BrokerConfNo]],LoadMaster!C:D,2,FALSE)</f>
        <v>XPOLogistics</v>
      </c>
      <c r="D430" s="549">
        <v>42508</v>
      </c>
      <c r="E430" s="548" t="str">
        <f>IF(Table2[[#This Row],[UBActualReceived]]&gt;1,"Received","Pending")</f>
        <v>Received</v>
      </c>
      <c r="F430" s="241">
        <f>INDEX(LoadMaster!$CU:$CU,MATCH(B430,LoadMaster!$C:$C,0))</f>
        <v>600</v>
      </c>
      <c r="G430" s="134">
        <f>INDEX(LoadMaster!$CX:$CX,MATCH(B430,LoadMaster!$C:$C,0))</f>
        <v>582</v>
      </c>
      <c r="H430" s="241">
        <f>INDEX(LoadMaster!$CW:$CW,MATCH(B430,LoadMaster!$C:$C,0))</f>
        <v>558</v>
      </c>
      <c r="I430" s="338">
        <v>582</v>
      </c>
      <c r="J430" s="525">
        <v>558</v>
      </c>
      <c r="K430" s="241" t="str">
        <f t="shared" si="30"/>
        <v>Full</v>
      </c>
      <c r="L430" s="241">
        <f>INDEX(LoadMaster!$CT:$CT,MATCH(Table2[[#This Row],[BrokerConfNo]],LoadMaster!$C:$C,0))</f>
        <v>0</v>
      </c>
      <c r="M430" s="550" t="str">
        <f>INDEX(LoadMaster!$AO:$AO,MATCH(Table2[[#This Row],[BrokerConfNo]],LoadMaster!$C:$C,0))</f>
        <v>Miguel Jaime</v>
      </c>
      <c r="N430" s="549">
        <f t="shared" si="39"/>
        <v>42503</v>
      </c>
      <c r="O430" s="242">
        <f t="shared" si="40"/>
        <v>42510</v>
      </c>
      <c r="P430" s="549">
        <f>INDEX(LoadMaster!$M:$M,MATCH(B430,LoadMaster!$C:$C,0))</f>
        <v>42502</v>
      </c>
      <c r="Q430" s="550" t="str">
        <f>INDEX(LoadMaster!$P:$P,MATCH(B430,LoadMaster!$C:$C,0))</f>
        <v>Carson City</v>
      </c>
      <c r="R430" s="550" t="str">
        <f>INDEX(LoadMaster!$AH:$AH,MATCH(B430,LoadMaster!$C:$C,0))</f>
        <v>Ivanhoe</v>
      </c>
      <c r="S430" s="550" t="str">
        <f>INDEX(LoadMaster!$DC:$DC,MATCH(B430,LoadMaster!$C:$C,0))</f>
        <v>Sunny</v>
      </c>
      <c r="T430" s="567">
        <f>INDEX(LoadMaster!$DA:$DA,MATCH(B430,LoadMaster!$C:$C,0))</f>
        <v>24</v>
      </c>
      <c r="U430" s="243">
        <f>Table2[[#This Row],[WeekEndingDate]]+7</f>
        <v>42510</v>
      </c>
      <c r="V430" s="550">
        <f t="shared" si="41"/>
        <v>5</v>
      </c>
      <c r="W430" s="548">
        <f t="shared" si="42"/>
        <v>2016</v>
      </c>
    </row>
    <row r="431" spans="1:23">
      <c r="A431" s="550" t="str">
        <f>INDEX(LoadMaster!$A:$A,MATCH(B431,LoadMaster!$C:$C,0))</f>
        <v>82wnwn49</v>
      </c>
      <c r="B431" s="552">
        <v>42282</v>
      </c>
      <c r="C431" s="550" t="str">
        <f>VLOOKUP(Table2[[#This Row],[BrokerConfNo]],LoadMaster!C:D,2,FALSE)</f>
        <v>CTS</v>
      </c>
      <c r="D431" s="549">
        <v>42557</v>
      </c>
      <c r="E431" s="548" t="str">
        <f>IF(Table2[[#This Row],[UBActualReceived]]&gt;1,"Received","Pending")</f>
        <v>Received</v>
      </c>
      <c r="F431" s="241">
        <f>INDEX(LoadMaster!$CU:$CU,MATCH(B431,LoadMaster!$C:$C,0))</f>
        <v>500</v>
      </c>
      <c r="G431" s="134">
        <f>INDEX(LoadMaster!$CX:$CX,MATCH(B431,LoadMaster!$C:$C,0))</f>
        <v>500</v>
      </c>
      <c r="H431" s="241">
        <f>INDEX(LoadMaster!$CW:$CW,MATCH(B431,LoadMaster!$C:$C,0))</f>
        <v>465</v>
      </c>
      <c r="I431" s="351">
        <v>500</v>
      </c>
      <c r="J431" s="533">
        <v>465</v>
      </c>
      <c r="K431" s="241" t="str">
        <f t="shared" si="30"/>
        <v>Full</v>
      </c>
      <c r="L431" s="241">
        <f>INDEX(LoadMaster!$CT:$CT,MATCH(Table2[[#This Row],[BrokerConfNo]],LoadMaster!$C:$C,0))</f>
        <v>0</v>
      </c>
      <c r="M431" s="550" t="str">
        <f>INDEX(LoadMaster!$AO:$AO,MATCH(Table2[[#This Row],[BrokerConfNo]],LoadMaster!$C:$C,0))</f>
        <v>Albel</v>
      </c>
      <c r="N431" s="549">
        <f t="shared" si="39"/>
        <v>42503</v>
      </c>
      <c r="O431" s="242">
        <f t="shared" si="40"/>
        <v>42517</v>
      </c>
      <c r="P431" s="549">
        <f>INDEX(LoadMaster!$M:$M,MATCH(B431,LoadMaster!$C:$C,0))</f>
        <v>42502</v>
      </c>
      <c r="Q431" s="550" t="str">
        <f>INDEX(LoadMaster!$P:$P,MATCH(B431,LoadMaster!$C:$C,0))</f>
        <v>West Sacramento</v>
      </c>
      <c r="R431" s="550" t="str">
        <f>INDEX(LoadMaster!$AH:$AH,MATCH(B431,LoadMaster!$C:$C,0))</f>
        <v>Hanford</v>
      </c>
      <c r="S431" s="550" t="str">
        <f>INDEX(LoadMaster!$DC:$DC,MATCH(B431,LoadMaster!$C:$C,0))</f>
        <v>Sunny</v>
      </c>
      <c r="T431" s="567">
        <f>INDEX(LoadMaster!$DA:$DA,MATCH(B431,LoadMaster!$C:$C,0))</f>
        <v>35</v>
      </c>
      <c r="U431" s="243">
        <f>Table2[[#This Row],[WeekEndingDate]]+7</f>
        <v>42510</v>
      </c>
      <c r="V431" s="550">
        <f t="shared" si="41"/>
        <v>5</v>
      </c>
      <c r="W431" s="548">
        <f t="shared" si="42"/>
        <v>2016</v>
      </c>
    </row>
    <row r="432" spans="1:23">
      <c r="A432" s="550" t="str">
        <f>INDEX(LoadMaster!$A:$A,MATCH(B432,LoadMaster!$C:$C,0))</f>
        <v>29wnwn93</v>
      </c>
      <c r="B432" s="552">
        <v>690329</v>
      </c>
      <c r="C432" s="550" t="str">
        <f>VLOOKUP(Table2[[#This Row],[BrokerConfNo]],LoadMaster!C:D,2,FALSE)</f>
        <v>Fetch Logistics, Inc.</v>
      </c>
      <c r="D432" s="549">
        <v>42529</v>
      </c>
      <c r="E432" s="548" t="str">
        <f>IF(Table2[[#This Row],[UBActualReceived]]&gt;1,"Received","Pending")</f>
        <v>Received</v>
      </c>
      <c r="F432" s="241">
        <f>INDEX(LoadMaster!$CU:$CU,MATCH(B432,LoadMaster!$C:$C,0))</f>
        <v>725</v>
      </c>
      <c r="G432" s="134">
        <f>INDEX(LoadMaster!$CX:$CX,MATCH(B432,LoadMaster!$C:$C,0))</f>
        <v>703.25</v>
      </c>
      <c r="H432" s="241">
        <f>INDEX(LoadMaster!$CW:$CW,MATCH(B432,LoadMaster!$C:$C,0))</f>
        <v>674.25</v>
      </c>
      <c r="I432" s="351">
        <v>703.25</v>
      </c>
      <c r="J432" s="533">
        <v>674.25</v>
      </c>
      <c r="K432" s="241" t="str">
        <f t="shared" si="30"/>
        <v>Full</v>
      </c>
      <c r="L432" s="241">
        <f>INDEX(LoadMaster!$CT:$CT,MATCH(Table2[[#This Row],[BrokerConfNo]],LoadMaster!$C:$C,0))</f>
        <v>0</v>
      </c>
      <c r="M432" s="550" t="str">
        <f>INDEX(LoadMaster!$AO:$AO,MATCH(Table2[[#This Row],[BrokerConfNo]],LoadMaster!$C:$C,0))</f>
        <v>Arturo</v>
      </c>
      <c r="N432" s="549">
        <f t="shared" si="39"/>
        <v>42503</v>
      </c>
      <c r="O432" s="242">
        <f t="shared" si="40"/>
        <v>42510</v>
      </c>
      <c r="P432" s="549">
        <f>INDEX(LoadMaster!$M:$M,MATCH(B432,LoadMaster!$C:$C,0))</f>
        <v>42502</v>
      </c>
      <c r="Q432" s="550" t="str">
        <f>INDEX(LoadMaster!$P:$P,MATCH(B432,LoadMaster!$C:$C,0))</f>
        <v xml:space="preserve">Clovis </v>
      </c>
      <c r="R432" s="550" t="str">
        <f>INDEX(LoadMaster!$AH:$AH,MATCH(B432,LoadMaster!$C:$C,0))</f>
        <v>Reno</v>
      </c>
      <c r="S432" s="550" t="str">
        <f>INDEX(LoadMaster!$DC:$DC,MATCH(B432,LoadMaster!$C:$C,0))</f>
        <v>Sunny</v>
      </c>
      <c r="T432" s="567">
        <f>INDEX(LoadMaster!$DA:$DA,MATCH(B432,LoadMaster!$C:$C,0))</f>
        <v>29</v>
      </c>
      <c r="U432" s="243">
        <f>Table2[[#This Row],[WeekEndingDate]]+7</f>
        <v>42510</v>
      </c>
      <c r="V432" s="550">
        <f t="shared" si="41"/>
        <v>5</v>
      </c>
      <c r="W432" s="548">
        <f t="shared" si="42"/>
        <v>2016</v>
      </c>
    </row>
    <row r="433" spans="1:23" s="68" customFormat="1">
      <c r="A433" s="550" t="str">
        <f>INDEX(LoadMaster!$A:$A,MATCH(B433,LoadMaster!$C:$C,0))</f>
        <v>55111193</v>
      </c>
      <c r="B433" s="552">
        <v>2013255</v>
      </c>
      <c r="C433" s="550" t="str">
        <f>VLOOKUP(Table2[[#This Row],[BrokerConfNo]],LoadMaster!C:D,2,FALSE)</f>
        <v>XPOLogistics</v>
      </c>
      <c r="D433" s="549">
        <v>42522</v>
      </c>
      <c r="E433" s="548" t="str">
        <f>IF(Table2[[#This Row],[UBActualReceived]]&gt;1,"Received","Pending")</f>
        <v>Received</v>
      </c>
      <c r="F433" s="241">
        <f>INDEX(LoadMaster!$CU:$CU,MATCH(B433,LoadMaster!$C:$C,0))</f>
        <v>600</v>
      </c>
      <c r="G433" s="134">
        <f>INDEX(LoadMaster!$CX:$CX,MATCH(B433,LoadMaster!$C:$C,0))</f>
        <v>582</v>
      </c>
      <c r="H433" s="241">
        <f>INDEX(LoadMaster!$CW:$CW,MATCH(B433,LoadMaster!$C:$C,0))</f>
        <v>558</v>
      </c>
      <c r="I433" s="338">
        <v>600</v>
      </c>
      <c r="J433" s="525">
        <v>558</v>
      </c>
      <c r="K433" s="241" t="str">
        <f t="shared" si="30"/>
        <v>Full</v>
      </c>
      <c r="L433" s="241">
        <f>INDEX(LoadMaster!$CT:$CT,MATCH(Table2[[#This Row],[BrokerConfNo]],LoadMaster!$C:$C,0))</f>
        <v>0</v>
      </c>
      <c r="M433" s="550" t="str">
        <f>INDEX(LoadMaster!$AO:$AO,MATCH(Table2[[#This Row],[BrokerConfNo]],LoadMaster!$C:$C,0))</f>
        <v>Arturo</v>
      </c>
      <c r="N433" s="549">
        <f t="shared" si="39"/>
        <v>42503</v>
      </c>
      <c r="O433" s="242">
        <f t="shared" si="40"/>
        <v>42510</v>
      </c>
      <c r="P433" s="549">
        <f>INDEX(LoadMaster!$M:$M,MATCH(B433,LoadMaster!$C:$C,0))</f>
        <v>42503</v>
      </c>
      <c r="Q433" s="550" t="str">
        <f>INDEX(LoadMaster!$P:$P,MATCH(B433,LoadMaster!$C:$C,0))</f>
        <v>Carson City</v>
      </c>
      <c r="R433" s="550" t="str">
        <f>INDEX(LoadMaster!$AH:$AH,MATCH(B433,LoadMaster!$C:$C,0))</f>
        <v>Ivanhoe</v>
      </c>
      <c r="S433" s="550" t="str">
        <f>INDEX(LoadMaster!$DC:$DC,MATCH(B433,LoadMaster!$C:$C,0))</f>
        <v>Sunny</v>
      </c>
      <c r="T433" s="567">
        <f>INDEX(LoadMaster!$DA:$DA,MATCH(B433,LoadMaster!$C:$C,0))</f>
        <v>24</v>
      </c>
      <c r="U433" s="243">
        <f>Table2[[#This Row],[WeekEndingDate]]+7</f>
        <v>42510</v>
      </c>
      <c r="V433" s="550">
        <f t="shared" si="41"/>
        <v>5</v>
      </c>
      <c r="W433" s="548">
        <f t="shared" si="42"/>
        <v>2016</v>
      </c>
    </row>
    <row r="434" spans="1:23">
      <c r="A434" s="550" t="str">
        <f>INDEX(LoadMaster!$A:$A,MATCH(B434,LoadMaster!$C:$C,0))</f>
        <v>18wnwn49</v>
      </c>
      <c r="B434" s="552">
        <v>42318</v>
      </c>
      <c r="C434" s="550" t="str">
        <f>VLOOKUP(Table2[[#This Row],[BrokerConfNo]],LoadMaster!C:D,2,FALSE)</f>
        <v>CTS</v>
      </c>
      <c r="D434" s="550"/>
      <c r="E434" s="548" t="str">
        <f>IF(Table2[[#This Row],[UBActualReceived]]&gt;1,"Received","Pending")</f>
        <v>Pending</v>
      </c>
      <c r="F434" s="241">
        <f>INDEX(LoadMaster!$CU:$CU,MATCH(B434,LoadMaster!$C:$C,0))</f>
        <v>400</v>
      </c>
      <c r="G434" s="134">
        <f>INDEX(LoadMaster!$CX:$CX,MATCH(B434,LoadMaster!$C:$C,0))</f>
        <v>400</v>
      </c>
      <c r="H434" s="241">
        <f>INDEX(LoadMaster!$CW:$CW,MATCH(B434,LoadMaster!$C:$C,0))</f>
        <v>372</v>
      </c>
      <c r="I434" s="351"/>
      <c r="J434" s="533">
        <v>372</v>
      </c>
      <c r="K434" s="241" t="str">
        <f t="shared" si="30"/>
        <v>Less</v>
      </c>
      <c r="L434" s="241">
        <f>INDEX(LoadMaster!$CT:$CT,MATCH(Table2[[#This Row],[BrokerConfNo]],LoadMaster!$C:$C,0))</f>
        <v>0</v>
      </c>
      <c r="M434" s="550" t="str">
        <f>INDEX(LoadMaster!$AO:$AO,MATCH(Table2[[#This Row],[BrokerConfNo]],LoadMaster!$C:$C,0))</f>
        <v>Albel</v>
      </c>
      <c r="N434" s="549">
        <f t="shared" si="39"/>
        <v>42503</v>
      </c>
      <c r="O434" s="242">
        <f t="shared" si="40"/>
        <v>42517</v>
      </c>
      <c r="P434" s="549">
        <f>INDEX(LoadMaster!$M:$M,MATCH(B434,LoadMaster!$C:$C,0))</f>
        <v>42503</v>
      </c>
      <c r="Q434" s="550" t="str">
        <f>INDEX(LoadMaster!$P:$P,MATCH(B434,LoadMaster!$C:$C,0))</f>
        <v>Hanford</v>
      </c>
      <c r="R434" s="550" t="str">
        <f>INDEX(LoadMaster!$AH:$AH,MATCH(B434,LoadMaster!$C:$C,0))</f>
        <v>West Sacramento</v>
      </c>
      <c r="S434" s="550" t="str">
        <f>INDEX(LoadMaster!$DC:$DC,MATCH(B434,LoadMaster!$C:$C,0))</f>
        <v>Sunny</v>
      </c>
      <c r="T434" s="567">
        <f>INDEX(LoadMaster!$DA:$DA,MATCH(B434,LoadMaster!$C:$C,0))</f>
        <v>28</v>
      </c>
      <c r="U434" s="243">
        <f>Table2[[#This Row],[WeekEndingDate]]+7</f>
        <v>42510</v>
      </c>
      <c r="V434" s="550">
        <f t="shared" si="41"/>
        <v>5</v>
      </c>
      <c r="W434" s="548">
        <f t="shared" si="42"/>
        <v>2016</v>
      </c>
    </row>
    <row r="435" spans="1:23">
      <c r="A435" s="550" t="str">
        <f>INDEX(LoadMaster!$A:$A,MATCH(B435,LoadMaster!$C:$C,0))</f>
        <v>88wnwn49</v>
      </c>
      <c r="B435" s="552">
        <v>156088</v>
      </c>
      <c r="C435" s="550" t="str">
        <f>VLOOKUP(Table2[[#This Row],[BrokerConfNo]],LoadMaster!C:D,2,FALSE)</f>
        <v>KTI Logistics, LLC</v>
      </c>
      <c r="D435" s="549">
        <v>42524</v>
      </c>
      <c r="E435" s="548" t="str">
        <f>IF(Table2[[#This Row],[UBActualReceived]]&gt;1,"Received","Pending")</f>
        <v>Received</v>
      </c>
      <c r="F435" s="241">
        <f>INDEX(LoadMaster!$CU:$CU,MATCH(B435,LoadMaster!$C:$C,0))</f>
        <v>800</v>
      </c>
      <c r="G435" s="134">
        <f>INDEX(LoadMaster!$CX:$CX,MATCH(B435,LoadMaster!$C:$C,0))</f>
        <v>776</v>
      </c>
      <c r="H435" s="241">
        <f>INDEX(LoadMaster!$CW:$CW,MATCH(B435,LoadMaster!$C:$C,0))</f>
        <v>744</v>
      </c>
      <c r="I435" s="351">
        <v>776</v>
      </c>
      <c r="J435" s="533">
        <v>744</v>
      </c>
      <c r="K435" s="241" t="str">
        <f t="shared" si="30"/>
        <v>Full</v>
      </c>
      <c r="L435" s="241">
        <f>INDEX(LoadMaster!$CT:$CT,MATCH(Table2[[#This Row],[BrokerConfNo]],LoadMaster!$C:$C,0))</f>
        <v>0</v>
      </c>
      <c r="M435" s="550" t="str">
        <f>INDEX(LoadMaster!$AO:$AO,MATCH(Table2[[#This Row],[BrokerConfNo]],LoadMaster!$C:$C,0))</f>
        <v>Albel</v>
      </c>
      <c r="N435" s="549">
        <f t="shared" si="39"/>
        <v>42503</v>
      </c>
      <c r="O435" s="242">
        <f t="shared" si="40"/>
        <v>42517</v>
      </c>
      <c r="P435" s="549">
        <f>INDEX(LoadMaster!$M:$M,MATCH(B435,LoadMaster!$C:$C,0))</f>
        <v>42503</v>
      </c>
      <c r="Q435" s="550" t="str">
        <f>INDEX(LoadMaster!$P:$P,MATCH(B435,LoadMaster!$C:$C,0))</f>
        <v>Hanford</v>
      </c>
      <c r="R435" s="550" t="str">
        <f>INDEX(LoadMaster!$AH:$AH,MATCH(B435,LoadMaster!$C:$C,0))</f>
        <v>West Sacramento / San Rafael / Santa Rosa</v>
      </c>
      <c r="S435" s="550" t="str">
        <f>INDEX(LoadMaster!$DC:$DC,MATCH(B435,LoadMaster!$C:$C,0))</f>
        <v>Sunny</v>
      </c>
      <c r="T435" s="567">
        <f>INDEX(LoadMaster!$DA:$DA,MATCH(B435,LoadMaster!$C:$C,0))</f>
        <v>32</v>
      </c>
      <c r="U435" s="243">
        <f>Table2[[#This Row],[WeekEndingDate]]+7</f>
        <v>42510</v>
      </c>
      <c r="V435" s="550">
        <f t="shared" si="41"/>
        <v>5</v>
      </c>
      <c r="W435" s="548">
        <f t="shared" si="42"/>
        <v>2016</v>
      </c>
    </row>
    <row r="436" spans="1:23">
      <c r="A436" s="550" t="str">
        <f>INDEX(LoadMaster!$A:$A,MATCH(B436,LoadMaster!$C:$C,0))</f>
        <v>6 353519</v>
      </c>
      <c r="B436" s="552" t="s">
        <v>2794</v>
      </c>
      <c r="C436" s="550" t="str">
        <f>VLOOKUP(Table2[[#This Row],[BrokerConfNo]],LoadMaster!C:D,2,FALSE)</f>
        <v>Veritiv</v>
      </c>
      <c r="D436" s="549">
        <v>42543</v>
      </c>
      <c r="E436" s="548" t="str">
        <f>IF(Table2[[#This Row],[UBActualReceived]]&gt;1,"Received","Pending")</f>
        <v>Received</v>
      </c>
      <c r="F436" s="241">
        <f>INDEX(LoadMaster!$CU:$CU,MATCH(B436,LoadMaster!$C:$C,0))</f>
        <v>425</v>
      </c>
      <c r="G436" s="134">
        <f>INDEX(LoadMaster!$CX:$CX,MATCH(B436,LoadMaster!$C:$C,0))</f>
        <v>425</v>
      </c>
      <c r="H436" s="241">
        <f>INDEX(LoadMaster!$CW:$CW,MATCH(B436,LoadMaster!$C:$C,0))</f>
        <v>395.25</v>
      </c>
      <c r="I436" s="351">
        <v>425</v>
      </c>
      <c r="J436" s="533">
        <v>395.25</v>
      </c>
      <c r="K436" s="241" t="str">
        <f t="shared" si="30"/>
        <v>Full</v>
      </c>
      <c r="L436" s="241">
        <f>INDEX(LoadMaster!$CT:$CT,MATCH(Table2[[#This Row],[BrokerConfNo]],LoadMaster!$C:$C,0))</f>
        <v>0</v>
      </c>
      <c r="M436" s="550" t="str">
        <f>INDEX(LoadMaster!$AO:$AO,MATCH(Table2[[#This Row],[BrokerConfNo]],LoadMaster!$C:$C,0))</f>
        <v>Miguel Jaime</v>
      </c>
      <c r="N436" s="549">
        <f t="shared" si="39"/>
        <v>42503</v>
      </c>
      <c r="O436" s="242">
        <f t="shared" si="40"/>
        <v>42510</v>
      </c>
      <c r="P436" s="549">
        <f>INDEX(LoadMaster!$M:$M,MATCH(B436,LoadMaster!$C:$C,0))</f>
        <v>42503</v>
      </c>
      <c r="Q436" s="550" t="str">
        <f>INDEX(LoadMaster!$P:$P,MATCH(B436,LoadMaster!$C:$C,0))</f>
        <v>Madera</v>
      </c>
      <c r="R436" s="550" t="str">
        <f>INDEX(LoadMaster!$AH:$AH,MATCH(B436,LoadMaster!$C:$C,0))</f>
        <v>Rocklin</v>
      </c>
      <c r="S436" s="550" t="str">
        <f>INDEX(LoadMaster!$DC:$DC,MATCH(B436,LoadMaster!$C:$C,0))</f>
        <v>Sunny</v>
      </c>
      <c r="T436" s="567">
        <f>INDEX(LoadMaster!$DA:$DA,MATCH(B436,LoadMaster!$C:$C,0))</f>
        <v>29.75</v>
      </c>
      <c r="U436" s="243">
        <f>Table2[[#This Row],[WeekEndingDate]]+7</f>
        <v>42510</v>
      </c>
      <c r="V436" s="550">
        <f t="shared" si="41"/>
        <v>5</v>
      </c>
      <c r="W436" s="548">
        <f t="shared" si="42"/>
        <v>2016</v>
      </c>
    </row>
    <row r="437" spans="1:23" s="68" customFormat="1">
      <c r="A437" s="550" t="str">
        <f>INDEX(LoadMaster!$A:$A,MATCH(B437,LoadMaster!$C:$C,0))</f>
        <v>6 717149</v>
      </c>
      <c r="B437" s="552" t="s">
        <v>2824</v>
      </c>
      <c r="C437" s="550" t="str">
        <f>VLOOKUP(Table2[[#This Row],[BrokerConfNo]],LoadMaster!C:D,2,FALSE)</f>
        <v>Schenider</v>
      </c>
      <c r="D437" s="549">
        <v>42526</v>
      </c>
      <c r="E437" s="548" t="str">
        <f>IF(Table2[[#This Row],[UBActualReceived]]&gt;1,"Received","Pending")</f>
        <v>Received</v>
      </c>
      <c r="F437" s="241">
        <f>INDEX(LoadMaster!$CU:$CU,MATCH(B437,LoadMaster!$C:$C,0))</f>
        <v>600</v>
      </c>
      <c r="G437" s="134">
        <f>INDEX(LoadMaster!$CX:$CX,MATCH(B437,LoadMaster!$C:$C,0))</f>
        <v>588</v>
      </c>
      <c r="H437" s="241">
        <f>INDEX(LoadMaster!$CW:$CW,MATCH(B437,LoadMaster!$C:$C,0))</f>
        <v>600</v>
      </c>
      <c r="I437" s="338">
        <v>588</v>
      </c>
      <c r="J437" s="525">
        <v>600</v>
      </c>
      <c r="K437" s="241" t="str">
        <f t="shared" si="30"/>
        <v>Full</v>
      </c>
      <c r="L437" s="241">
        <f>INDEX(LoadMaster!$CT:$CT,MATCH(Table2[[#This Row],[BrokerConfNo]],LoadMaster!$C:$C,0))</f>
        <v>0</v>
      </c>
      <c r="M437" s="550" t="str">
        <f>INDEX(LoadMaster!$AO:$AO,MATCH(Table2[[#This Row],[BrokerConfNo]],LoadMaster!$C:$C,0))</f>
        <v>Albel</v>
      </c>
      <c r="N437" s="549">
        <f t="shared" si="39"/>
        <v>42510</v>
      </c>
      <c r="O437" s="242">
        <f t="shared" si="40"/>
        <v>42524</v>
      </c>
      <c r="P437" s="549">
        <f>INDEX(LoadMaster!$M:$M,MATCH(B437,LoadMaster!$C:$C,0))</f>
        <v>42506</v>
      </c>
      <c r="Q437" s="550" t="str">
        <f>INDEX(LoadMaster!$P:$P,MATCH(B437,LoadMaster!$C:$C,0))</f>
        <v>RICHMOND / SAN LEANDRO</v>
      </c>
      <c r="R437" s="550" t="str">
        <f>INDEX(LoadMaster!$AH:$AH,MATCH(B437,LoadMaster!$C:$C,0))</f>
        <v>RENO / SPARKS</v>
      </c>
      <c r="S437" s="550" t="str">
        <f>INDEX(LoadMaster!$DC:$DC,MATCH(B437,LoadMaster!$C:$C,0))</f>
        <v>Sunny</v>
      </c>
      <c r="T437" s="567">
        <f>INDEX(LoadMaster!$DA:$DA,MATCH(B437,LoadMaster!$C:$C,0))</f>
        <v>-12</v>
      </c>
      <c r="U437" s="243">
        <f>Table2[[#This Row],[WeekEndingDate]]+7</f>
        <v>42517</v>
      </c>
      <c r="V437" s="550">
        <f t="shared" si="41"/>
        <v>5</v>
      </c>
      <c r="W437" s="548">
        <f t="shared" si="42"/>
        <v>2016</v>
      </c>
    </row>
    <row r="438" spans="1:23" s="68" customFormat="1">
      <c r="A438" s="550" t="str">
        <f>INDEX(LoadMaster!$A:$A,MATCH(B438,LoadMaster!$C:$C,0))</f>
        <v>56151519</v>
      </c>
      <c r="B438" s="552">
        <v>2016056</v>
      </c>
      <c r="C438" s="550" t="str">
        <f>VLOOKUP(Table2[[#This Row],[BrokerConfNo]],LoadMaster!C:D,2,FALSE)</f>
        <v>XPOLogistics</v>
      </c>
      <c r="D438" s="549">
        <v>42515</v>
      </c>
      <c r="E438" s="548" t="str">
        <f>IF(Table2[[#This Row],[UBActualReceived]]&gt;1,"Received","Pending")</f>
        <v>Received</v>
      </c>
      <c r="F438" s="241">
        <f>INDEX(LoadMaster!$CU:$CU,MATCH(B438,LoadMaster!$C:$C,0))</f>
        <v>600</v>
      </c>
      <c r="G438" s="134">
        <f>INDEX(LoadMaster!$CX:$CX,MATCH(B438,LoadMaster!$C:$C,0))</f>
        <v>582</v>
      </c>
      <c r="H438" s="241">
        <f>INDEX(LoadMaster!$CW:$CW,MATCH(B438,LoadMaster!$C:$C,0))</f>
        <v>558</v>
      </c>
      <c r="I438" s="338">
        <v>582</v>
      </c>
      <c r="J438" s="525">
        <v>558</v>
      </c>
      <c r="K438" s="241" t="str">
        <f t="shared" si="30"/>
        <v>Full</v>
      </c>
      <c r="L438" s="241">
        <f>INDEX(LoadMaster!$CT:$CT,MATCH(Table2[[#This Row],[BrokerConfNo]],LoadMaster!$C:$C,0))</f>
        <v>0</v>
      </c>
      <c r="M438" s="550" t="str">
        <f>INDEX(LoadMaster!$AO:$AO,MATCH(Table2[[#This Row],[BrokerConfNo]],LoadMaster!$C:$C,0))</f>
        <v>Miguel Jaime</v>
      </c>
      <c r="N438" s="549">
        <f t="shared" si="39"/>
        <v>42510</v>
      </c>
      <c r="O438" s="242">
        <f t="shared" si="40"/>
        <v>42517</v>
      </c>
      <c r="P438" s="549">
        <f>INDEX(LoadMaster!$M:$M,MATCH(B438,LoadMaster!$C:$C,0))</f>
        <v>42506</v>
      </c>
      <c r="Q438" s="550" t="str">
        <f>INDEX(LoadMaster!$P:$P,MATCH(B438,LoadMaster!$C:$C,0))</f>
        <v>Carson City</v>
      </c>
      <c r="R438" s="550" t="str">
        <f>INDEX(LoadMaster!$AH:$AH,MATCH(B438,LoadMaster!$C:$C,0))</f>
        <v>Ivanhoe</v>
      </c>
      <c r="S438" s="550" t="str">
        <f>INDEX(LoadMaster!$DC:$DC,MATCH(B438,LoadMaster!$C:$C,0))</f>
        <v>Sunny</v>
      </c>
      <c r="T438" s="567">
        <f>INDEX(LoadMaster!$DA:$DA,MATCH(B438,LoadMaster!$C:$C,0))</f>
        <v>24</v>
      </c>
      <c r="U438" s="243">
        <f>Table2[[#This Row],[WeekEndingDate]]+7</f>
        <v>42517</v>
      </c>
      <c r="V438" s="550">
        <f t="shared" si="41"/>
        <v>5</v>
      </c>
      <c r="W438" s="548">
        <f t="shared" si="42"/>
        <v>2016</v>
      </c>
    </row>
    <row r="439" spans="1:23">
      <c r="A439" s="550" t="str">
        <f>INDEX(LoadMaster!$A:$A,MATCH(B439,LoadMaster!$C:$C,0))</f>
        <v>03wnwn19</v>
      </c>
      <c r="B439" s="552">
        <v>51203</v>
      </c>
      <c r="C439" s="550" t="str">
        <f>VLOOKUP(Table2[[#This Row],[BrokerConfNo]],LoadMaster!C:D,2,FALSE)</f>
        <v>Cargobarn Inc.</v>
      </c>
      <c r="D439" s="549">
        <v>42518</v>
      </c>
      <c r="E439" s="548" t="str">
        <f>IF(Table2[[#This Row],[UBActualReceived]]&gt;1,"Received","Pending")</f>
        <v>Received</v>
      </c>
      <c r="F439" s="241">
        <f>INDEX(LoadMaster!$CU:$CU,MATCH(B439,LoadMaster!$C:$C,0))</f>
        <v>450</v>
      </c>
      <c r="G439" s="134">
        <f>INDEX(LoadMaster!$CX:$CX,MATCH(B439,LoadMaster!$C:$C,0))</f>
        <v>436.5</v>
      </c>
      <c r="H439" s="241">
        <f>INDEX(LoadMaster!$CW:$CW,MATCH(B439,LoadMaster!$C:$C,0))</f>
        <v>418.5</v>
      </c>
      <c r="I439" s="351">
        <v>436.5</v>
      </c>
      <c r="J439" s="533">
        <v>418.5</v>
      </c>
      <c r="K439" s="241" t="str">
        <f t="shared" si="30"/>
        <v>Full</v>
      </c>
      <c r="L439" s="241">
        <f>INDEX(LoadMaster!$CT:$CT,MATCH(Table2[[#This Row],[BrokerConfNo]],LoadMaster!$C:$C,0))</f>
        <v>0</v>
      </c>
      <c r="M439" s="550" t="str">
        <f>INDEX(LoadMaster!$AO:$AO,MATCH(Table2[[#This Row],[BrokerConfNo]],LoadMaster!$C:$C,0))</f>
        <v>Miguel Jaime</v>
      </c>
      <c r="N439" s="549">
        <f t="shared" si="39"/>
        <v>42510</v>
      </c>
      <c r="O439" s="242">
        <f t="shared" si="40"/>
        <v>42517</v>
      </c>
      <c r="P439" s="549">
        <f>INDEX(LoadMaster!$M:$M,MATCH(B439,LoadMaster!$C:$C,0))</f>
        <v>42506</v>
      </c>
      <c r="Q439" s="550" t="str">
        <f>INDEX(LoadMaster!$P:$P,MATCH(B439,LoadMaster!$C:$C,0))</f>
        <v>RANCHO CORDOV</v>
      </c>
      <c r="R439" s="550" t="str">
        <f>INDEX(LoadMaster!$AH:$AH,MATCH(B439,LoadMaster!$C:$C,0))</f>
        <v>RENO</v>
      </c>
      <c r="S439" s="550" t="str">
        <f>INDEX(LoadMaster!$DC:$DC,MATCH(B439,LoadMaster!$C:$C,0))</f>
        <v>Sunny</v>
      </c>
      <c r="T439" s="567">
        <f>INDEX(LoadMaster!$DA:$DA,MATCH(B439,LoadMaster!$C:$C,0))</f>
        <v>18</v>
      </c>
      <c r="U439" s="243">
        <f>Table2[[#This Row],[WeekEndingDate]]+7</f>
        <v>42517</v>
      </c>
      <c r="V439" s="550">
        <f t="shared" si="41"/>
        <v>5</v>
      </c>
      <c r="W439" s="548">
        <f t="shared" si="42"/>
        <v>2016</v>
      </c>
    </row>
    <row r="440" spans="1:23">
      <c r="A440" s="550" t="str">
        <f>INDEX(LoadMaster!$A:$A,MATCH(B440,LoadMaster!$C:$C,0))</f>
        <v>61860793</v>
      </c>
      <c r="B440" s="552">
        <v>388461</v>
      </c>
      <c r="C440" s="550" t="str">
        <f>VLOOKUP(Table2[[#This Row],[BrokerConfNo]],LoadMaster!C:D,2,FALSE)</f>
        <v>Circle 8 Logistics</v>
      </c>
      <c r="D440" s="549">
        <v>42531</v>
      </c>
      <c r="E440" s="548" t="str">
        <f>IF(Table2[[#This Row],[UBActualReceived]]&gt;1,"Received","Pending")</f>
        <v>Received</v>
      </c>
      <c r="F440" s="241">
        <f>INDEX(LoadMaster!$CU:$CU,MATCH(B440,LoadMaster!$C:$C,0))</f>
        <v>650</v>
      </c>
      <c r="G440" s="134">
        <f>INDEX(LoadMaster!$CX:$CX,MATCH(B440,LoadMaster!$C:$C,0))</f>
        <v>630.5</v>
      </c>
      <c r="H440" s="241">
        <f>INDEX(LoadMaster!$CW:$CW,MATCH(B440,LoadMaster!$C:$C,0))</f>
        <v>604.5</v>
      </c>
      <c r="I440" s="351">
        <v>630.5</v>
      </c>
      <c r="J440" s="533">
        <v>604.5</v>
      </c>
      <c r="K440" s="241" t="str">
        <f t="shared" si="30"/>
        <v>Full</v>
      </c>
      <c r="L440" s="241">
        <f>INDEX(LoadMaster!$CT:$CT,MATCH(Table2[[#This Row],[BrokerConfNo]],LoadMaster!$C:$C,0))</f>
        <v>0</v>
      </c>
      <c r="M440" s="550" t="str">
        <f>INDEX(LoadMaster!$AO:$AO,MATCH(Table2[[#This Row],[BrokerConfNo]],LoadMaster!$C:$C,0))</f>
        <v>Arturo</v>
      </c>
      <c r="N440" s="549">
        <f t="shared" si="39"/>
        <v>42510</v>
      </c>
      <c r="O440" s="242">
        <f t="shared" si="40"/>
        <v>42517</v>
      </c>
      <c r="P440" s="549">
        <f>INDEX(LoadMaster!$M:$M,MATCH(B440,LoadMaster!$C:$C,0))</f>
        <v>42506</v>
      </c>
      <c r="Q440" s="550" t="str">
        <f>INDEX(LoadMaster!$P:$P,MATCH(B440,LoadMaster!$C:$C,0))</f>
        <v>Fresno</v>
      </c>
      <c r="R440" s="550" t="str">
        <f>INDEX(LoadMaster!$AH:$AH,MATCH(B440,LoadMaster!$C:$C,0))</f>
        <v>RENO</v>
      </c>
      <c r="S440" s="550" t="str">
        <f>INDEX(LoadMaster!$DC:$DC,MATCH(B440,LoadMaster!$C:$C,0))</f>
        <v>Sunny</v>
      </c>
      <c r="T440" s="567">
        <f>INDEX(LoadMaster!$DA:$DA,MATCH(B440,LoadMaster!$C:$C,0))</f>
        <v>26</v>
      </c>
      <c r="U440" s="243">
        <f>Table2[[#This Row],[WeekEndingDate]]+7</f>
        <v>42517</v>
      </c>
      <c r="V440" s="550">
        <f t="shared" si="41"/>
        <v>5</v>
      </c>
      <c r="W440" s="548">
        <f t="shared" si="42"/>
        <v>2016</v>
      </c>
    </row>
    <row r="441" spans="1:23" s="68" customFormat="1">
      <c r="A441" s="550" t="str">
        <f>INDEX(LoadMaster!$A:$A,MATCH(B441,LoadMaster!$C:$C,0))</f>
        <v>22191993</v>
      </c>
      <c r="B441" s="552">
        <v>2018722</v>
      </c>
      <c r="C441" s="550" t="str">
        <f>VLOOKUP(Table2[[#This Row],[BrokerConfNo]],LoadMaster!C:D,2,FALSE)</f>
        <v>XPOLogistics</v>
      </c>
      <c r="D441" s="549">
        <v>42522</v>
      </c>
      <c r="E441" s="548" t="str">
        <f>IF(Table2[[#This Row],[UBActualReceived]]&gt;1,"Received","Pending")</f>
        <v>Received</v>
      </c>
      <c r="F441" s="241">
        <f>INDEX(LoadMaster!$CU:$CU,MATCH(B441,LoadMaster!$C:$C,0))</f>
        <v>600</v>
      </c>
      <c r="G441" s="134">
        <f>INDEX(LoadMaster!$CX:$CX,MATCH(B441,LoadMaster!$C:$C,0))</f>
        <v>582</v>
      </c>
      <c r="H441" s="241">
        <f>INDEX(LoadMaster!$CW:$CW,MATCH(B441,LoadMaster!$C:$C,0))</f>
        <v>558</v>
      </c>
      <c r="I441" s="338">
        <v>600</v>
      </c>
      <c r="J441" s="525">
        <v>558</v>
      </c>
      <c r="K441" s="241" t="str">
        <f t="shared" si="30"/>
        <v>Full</v>
      </c>
      <c r="L441" s="241">
        <f>INDEX(LoadMaster!$CT:$CT,MATCH(Table2[[#This Row],[BrokerConfNo]],LoadMaster!$C:$C,0))</f>
        <v>0</v>
      </c>
      <c r="M441" s="550" t="str">
        <f>INDEX(LoadMaster!$AO:$AO,MATCH(Table2[[#This Row],[BrokerConfNo]],LoadMaster!$C:$C,0))</f>
        <v>Arturo</v>
      </c>
      <c r="N441" s="549">
        <f t="shared" si="39"/>
        <v>42510</v>
      </c>
      <c r="O441" s="242">
        <f t="shared" si="40"/>
        <v>42517</v>
      </c>
      <c r="P441" s="549">
        <f>INDEX(LoadMaster!$M:$M,MATCH(B441,LoadMaster!$C:$C,0))</f>
        <v>42507</v>
      </c>
      <c r="Q441" s="550" t="str">
        <f>INDEX(LoadMaster!$P:$P,MATCH(B441,LoadMaster!$C:$C,0))</f>
        <v>Carson City</v>
      </c>
      <c r="R441" s="550" t="str">
        <f>INDEX(LoadMaster!$AH:$AH,MATCH(B441,LoadMaster!$C:$C,0))</f>
        <v>Ivanhoe</v>
      </c>
      <c r="S441" s="550" t="str">
        <f>INDEX(LoadMaster!$DC:$DC,MATCH(B441,LoadMaster!$C:$C,0))</f>
        <v>Sunny</v>
      </c>
      <c r="T441" s="567">
        <f>INDEX(LoadMaster!$DA:$DA,MATCH(B441,LoadMaster!$C:$C,0))</f>
        <v>24</v>
      </c>
      <c r="U441" s="243">
        <f>Table2[[#This Row],[WeekEndingDate]]+7</f>
        <v>42517</v>
      </c>
      <c r="V441" s="550">
        <f t="shared" si="41"/>
        <v>5</v>
      </c>
      <c r="W441" s="548">
        <f t="shared" si="42"/>
        <v>2016</v>
      </c>
    </row>
    <row r="442" spans="1:23">
      <c r="A442" s="550" t="str">
        <f>INDEX(LoadMaster!$A:$A,MATCH(B442,LoadMaster!$C:$C,0))</f>
        <v>15wnwn93</v>
      </c>
      <c r="B442" s="552">
        <v>74192215</v>
      </c>
      <c r="C442" s="550" t="str">
        <f>VLOOKUP(Table2[[#This Row],[BrokerConfNo]],LoadMaster!C:D,2,FALSE)</f>
        <v>Freightquote</v>
      </c>
      <c r="D442" s="549">
        <v>75412</v>
      </c>
      <c r="E442" s="548" t="str">
        <f>IF(Table2[[#This Row],[UBActualReceived]]&gt;1,"Received","Pending")</f>
        <v>Received</v>
      </c>
      <c r="F442" s="241">
        <f>INDEX(LoadMaster!$CU:$CU,MATCH(B442,LoadMaster!$C:$C,0))</f>
        <v>525</v>
      </c>
      <c r="G442" s="134">
        <f>INDEX(LoadMaster!$CX:$CX,MATCH(B442,LoadMaster!$C:$C,0))</f>
        <v>509.25</v>
      </c>
      <c r="H442" s="241">
        <f>INDEX(LoadMaster!$CW:$CW,MATCH(B442,LoadMaster!$C:$C,0))</f>
        <v>488.25</v>
      </c>
      <c r="I442" s="351">
        <v>525</v>
      </c>
      <c r="J442" s="533">
        <v>488.25</v>
      </c>
      <c r="K442" s="241" t="str">
        <f t="shared" si="30"/>
        <v>Full</v>
      </c>
      <c r="L442" s="241">
        <f>INDEX(LoadMaster!$CT:$CT,MATCH(Table2[[#This Row],[BrokerConfNo]],LoadMaster!$C:$C,0))</f>
        <v>0</v>
      </c>
      <c r="M442" s="550" t="str">
        <f>INDEX(LoadMaster!$AO:$AO,MATCH(Table2[[#This Row],[BrokerConfNo]],LoadMaster!$C:$C,0))</f>
        <v>Arturo</v>
      </c>
      <c r="N442" s="549">
        <f t="shared" si="39"/>
        <v>42510</v>
      </c>
      <c r="O442" s="242">
        <f t="shared" si="40"/>
        <v>42517</v>
      </c>
      <c r="P442" s="549">
        <f>INDEX(LoadMaster!$M:$M,MATCH(B442,LoadMaster!$C:$C,0))</f>
        <v>42507</v>
      </c>
      <c r="Q442" s="550" t="str">
        <f>INDEX(LoadMaster!$P:$P,MATCH(B442,LoadMaster!$C:$C,0))</f>
        <v>Corcoran </v>
      </c>
      <c r="R442" s="550" t="str">
        <f>INDEX(LoadMaster!$AH:$AH,MATCH(B442,LoadMaster!$C:$C,0))</f>
        <v>Salinas</v>
      </c>
      <c r="S442" s="550" t="str">
        <f>INDEX(LoadMaster!$DC:$DC,MATCH(B442,LoadMaster!$C:$C,0))</f>
        <v>Sunny</v>
      </c>
      <c r="T442" s="567">
        <f>INDEX(LoadMaster!$DA:$DA,MATCH(B442,LoadMaster!$C:$C,0))</f>
        <v>21</v>
      </c>
      <c r="U442" s="243">
        <f>Table2[[#This Row],[WeekEndingDate]]+7</f>
        <v>42517</v>
      </c>
      <c r="V442" s="550">
        <f t="shared" si="41"/>
        <v>5</v>
      </c>
      <c r="W442" s="548">
        <f t="shared" si="42"/>
        <v>2016</v>
      </c>
    </row>
    <row r="443" spans="1:23" s="68" customFormat="1">
      <c r="A443" s="550" t="str">
        <f>INDEX(LoadMaster!$A:$A,MATCH(B443,LoadMaster!$C:$C,0))</f>
        <v>69353593</v>
      </c>
      <c r="B443" s="552" t="s">
        <v>2847</v>
      </c>
      <c r="C443" s="550" t="str">
        <f>VLOOKUP(Table2[[#This Row],[BrokerConfNo]],LoadMaster!C:D,2,FALSE)</f>
        <v>Schenider</v>
      </c>
      <c r="D443" s="549">
        <v>42528</v>
      </c>
      <c r="E443" s="548" t="str">
        <f>IF(Table2[[#This Row],[UBActualReceived]]&gt;1,"Received","Pending")</f>
        <v>Received</v>
      </c>
      <c r="F443" s="241">
        <f>INDEX(LoadMaster!$CU:$CU,MATCH(B443,LoadMaster!$C:$C,0))</f>
        <v>600</v>
      </c>
      <c r="G443" s="134">
        <f>INDEX(LoadMaster!$CX:$CX,MATCH(B443,LoadMaster!$C:$C,0))</f>
        <v>588</v>
      </c>
      <c r="H443" s="241">
        <f>INDEX(LoadMaster!$CW:$CW,MATCH(B443,LoadMaster!$C:$C,0))</f>
        <v>558</v>
      </c>
      <c r="I443" s="338">
        <v>588</v>
      </c>
      <c r="J443" s="525">
        <v>558</v>
      </c>
      <c r="K443" s="241" t="str">
        <f t="shared" si="30"/>
        <v>Full</v>
      </c>
      <c r="L443" s="241">
        <f>INDEX(LoadMaster!$CT:$CT,MATCH(Table2[[#This Row],[BrokerConfNo]],LoadMaster!$C:$C,0))</f>
        <v>0</v>
      </c>
      <c r="M443" s="550" t="str">
        <f>INDEX(LoadMaster!$AO:$AO,MATCH(Table2[[#This Row],[BrokerConfNo]],LoadMaster!$C:$C,0))</f>
        <v>Arturo</v>
      </c>
      <c r="N443" s="549">
        <f t="shared" si="39"/>
        <v>42510</v>
      </c>
      <c r="O443" s="242">
        <f t="shared" si="40"/>
        <v>42517</v>
      </c>
      <c r="P443" s="549">
        <f>INDEX(LoadMaster!$M:$M,MATCH(B443,LoadMaster!$C:$C,0))</f>
        <v>42508</v>
      </c>
      <c r="Q443" s="550" t="str">
        <f>INDEX(LoadMaster!$P:$P,MATCH(B443,LoadMaster!$C:$C,0))</f>
        <v>TURLOCK</v>
      </c>
      <c r="R443" s="550" t="str">
        <f>INDEX(LoadMaster!$AH:$AH,MATCH(B443,LoadMaster!$C:$C,0))</f>
        <v>SPARKS</v>
      </c>
      <c r="S443" s="550" t="str">
        <f>INDEX(LoadMaster!$DC:$DC,MATCH(B443,LoadMaster!$C:$C,0))</f>
        <v>Sunny</v>
      </c>
      <c r="T443" s="567">
        <f>INDEX(LoadMaster!$DA:$DA,MATCH(B443,LoadMaster!$C:$C,0))</f>
        <v>30</v>
      </c>
      <c r="U443" s="243">
        <f>Table2[[#This Row],[WeekEndingDate]]+7</f>
        <v>42517</v>
      </c>
      <c r="V443" s="550">
        <f t="shared" si="41"/>
        <v>5</v>
      </c>
      <c r="W443" s="548">
        <f t="shared" si="42"/>
        <v>2016</v>
      </c>
    </row>
    <row r="444" spans="1:23">
      <c r="A444" s="550" t="str">
        <f>INDEX(LoadMaster!$A:$A,MATCH(B444,LoadMaster!$C:$C,0))</f>
        <v>81030419</v>
      </c>
      <c r="B444" s="552">
        <v>24502281</v>
      </c>
      <c r="C444" s="550" t="str">
        <f>VLOOKUP(Table2[[#This Row],[BrokerConfNo]],LoadMaster!C:D,2,FALSE)</f>
        <v>Echo Global Logistics Inc.</v>
      </c>
      <c r="D444" s="549">
        <v>42549</v>
      </c>
      <c r="E444" s="548" t="str">
        <f>IF(Table2[[#This Row],[UBActualReceived]]&gt;1,"Received","Pending")</f>
        <v>Received</v>
      </c>
      <c r="F444" s="241">
        <f>INDEX(LoadMaster!$CU:$CU,MATCH(B444,LoadMaster!$C:$C,0))</f>
        <v>1000</v>
      </c>
      <c r="G444" s="134">
        <f>INDEX(LoadMaster!$CX:$CX,MATCH(B444,LoadMaster!$C:$C,0))</f>
        <v>1000</v>
      </c>
      <c r="H444" s="241">
        <f>INDEX(LoadMaster!$CW:$CW,MATCH(B444,LoadMaster!$C:$C,0))</f>
        <v>930</v>
      </c>
      <c r="I444" s="351">
        <v>1000</v>
      </c>
      <c r="J444" s="533">
        <v>930</v>
      </c>
      <c r="K444" s="241" t="str">
        <f t="shared" si="30"/>
        <v>Full</v>
      </c>
      <c r="L444" s="241">
        <f>INDEX(LoadMaster!$CT:$CT,MATCH(Table2[[#This Row],[BrokerConfNo]],LoadMaster!$C:$C,0))</f>
        <v>0</v>
      </c>
      <c r="M444" s="550" t="str">
        <f>INDEX(LoadMaster!$AO:$AO,MATCH(Table2[[#This Row],[BrokerConfNo]],LoadMaster!$C:$C,0))</f>
        <v>Miguel Jaime</v>
      </c>
      <c r="N444" s="549">
        <f t="shared" si="39"/>
        <v>42510</v>
      </c>
      <c r="O444" s="242">
        <f t="shared" si="40"/>
        <v>42517</v>
      </c>
      <c r="P444" s="549">
        <f>INDEX(LoadMaster!$M:$M,MATCH(B444,LoadMaster!$C:$C,0))</f>
        <v>42508</v>
      </c>
      <c r="Q444" s="550" t="str">
        <f>INDEX(LoadMaster!$P:$P,MATCH(B444,LoadMaster!$C:$C,0))</f>
        <v>OLANCHA</v>
      </c>
      <c r="R444" s="550" t="str">
        <f>INDEX(LoadMaster!$AH:$AH,MATCH(B444,LoadMaster!$C:$C,0))</f>
        <v>SPARKS</v>
      </c>
      <c r="S444" s="550" t="str">
        <f>INDEX(LoadMaster!$DC:$DC,MATCH(B444,LoadMaster!$C:$C,0))</f>
        <v>Sunny</v>
      </c>
      <c r="T444" s="567">
        <f>INDEX(LoadMaster!$DA:$DA,MATCH(B444,LoadMaster!$C:$C,0))</f>
        <v>70</v>
      </c>
      <c r="U444" s="243">
        <f>Table2[[#This Row],[WeekEndingDate]]+7</f>
        <v>42517</v>
      </c>
      <c r="V444" s="550">
        <f t="shared" si="41"/>
        <v>5</v>
      </c>
      <c r="W444" s="548">
        <f t="shared" si="42"/>
        <v>2016</v>
      </c>
    </row>
    <row r="445" spans="1:23" s="68" customFormat="1">
      <c r="A445" s="550" t="str">
        <f>INDEX(LoadMaster!$A:$A,MATCH(B445,LoadMaster!$C:$C,0))</f>
        <v>06101093</v>
      </c>
      <c r="B445" s="552">
        <v>2018806</v>
      </c>
      <c r="C445" s="550" t="str">
        <f>VLOOKUP(Table2[[#This Row],[BrokerConfNo]],LoadMaster!C:D,2,FALSE)</f>
        <v>XPOLogistics</v>
      </c>
      <c r="D445" s="549">
        <v>42522</v>
      </c>
      <c r="E445" s="548" t="str">
        <f>IF(Table2[[#This Row],[UBActualReceived]]&gt;1,"Received","Pending")</f>
        <v>Received</v>
      </c>
      <c r="F445" s="241">
        <f>INDEX(LoadMaster!$CU:$CU,MATCH(B445,LoadMaster!$C:$C,0))</f>
        <v>600</v>
      </c>
      <c r="G445" s="134">
        <f>INDEX(LoadMaster!$CX:$CX,MATCH(B445,LoadMaster!$C:$C,0))</f>
        <v>582</v>
      </c>
      <c r="H445" s="241">
        <f>INDEX(LoadMaster!$CW:$CW,MATCH(B445,LoadMaster!$C:$C,0))</f>
        <v>558</v>
      </c>
      <c r="I445" s="338">
        <v>600</v>
      </c>
      <c r="J445" s="525">
        <v>558</v>
      </c>
      <c r="K445" s="241" t="str">
        <f t="shared" si="30"/>
        <v>Full</v>
      </c>
      <c r="L445" s="241">
        <f>INDEX(LoadMaster!$CT:$CT,MATCH(Table2[[#This Row],[BrokerConfNo]],LoadMaster!$C:$C,0))</f>
        <v>0</v>
      </c>
      <c r="M445" s="550" t="str">
        <f>INDEX(LoadMaster!$AO:$AO,MATCH(Table2[[#This Row],[BrokerConfNo]],LoadMaster!$C:$C,0))</f>
        <v>Arturo</v>
      </c>
      <c r="N445" s="549">
        <f t="shared" si="39"/>
        <v>42510</v>
      </c>
      <c r="O445" s="242">
        <f t="shared" si="40"/>
        <v>42517</v>
      </c>
      <c r="P445" s="549">
        <f>INDEX(LoadMaster!$M:$M,MATCH(B445,LoadMaster!$C:$C,0))</f>
        <v>42509</v>
      </c>
      <c r="Q445" s="550" t="str">
        <f>INDEX(LoadMaster!$P:$P,MATCH(B445,LoadMaster!$C:$C,0))</f>
        <v>Carson City</v>
      </c>
      <c r="R445" s="550" t="str">
        <f>INDEX(LoadMaster!$AH:$AH,MATCH(B445,LoadMaster!$C:$C,0))</f>
        <v>Ivanhoe</v>
      </c>
      <c r="S445" s="550" t="str">
        <f>INDEX(LoadMaster!$DC:$DC,MATCH(B445,LoadMaster!$C:$C,0))</f>
        <v>Sunny</v>
      </c>
      <c r="T445" s="567">
        <f>INDEX(LoadMaster!$DA:$DA,MATCH(B445,LoadMaster!$C:$C,0))</f>
        <v>24</v>
      </c>
      <c r="U445" s="243">
        <f>Table2[[#This Row],[WeekEndingDate]]+7</f>
        <v>42517</v>
      </c>
      <c r="V445" s="550">
        <f t="shared" si="41"/>
        <v>5</v>
      </c>
      <c r="W445" s="548">
        <f t="shared" si="42"/>
        <v>2016</v>
      </c>
    </row>
    <row r="446" spans="1:23">
      <c r="A446" s="550" t="str">
        <f>INDEX(LoadMaster!$A:$A,MATCH(B446,LoadMaster!$C:$C,0))</f>
        <v>36wnwn19</v>
      </c>
      <c r="B446" s="552">
        <v>51436</v>
      </c>
      <c r="C446" s="550" t="str">
        <f>VLOOKUP(Table2[[#This Row],[BrokerConfNo]],LoadMaster!C:D,2,FALSE)</f>
        <v>Cargobarn Inc.</v>
      </c>
      <c r="D446" s="549">
        <v>42518</v>
      </c>
      <c r="E446" s="548" t="str">
        <f>IF(Table2[[#This Row],[UBActualReceived]]&gt;1,"Received","Pending")</f>
        <v>Received</v>
      </c>
      <c r="F446" s="241">
        <f>INDEX(LoadMaster!$CU:$CU,MATCH(B446,LoadMaster!$C:$C,0))</f>
        <v>900</v>
      </c>
      <c r="G446" s="134">
        <f>INDEX(LoadMaster!$CX:$CX,MATCH(B446,LoadMaster!$C:$C,0))</f>
        <v>873</v>
      </c>
      <c r="H446" s="241">
        <f>INDEX(LoadMaster!$CW:$CW,MATCH(B446,LoadMaster!$C:$C,0))</f>
        <v>837</v>
      </c>
      <c r="I446" s="351">
        <v>873</v>
      </c>
      <c r="J446" s="533">
        <v>837</v>
      </c>
      <c r="K446" s="241" t="str">
        <f t="shared" si="30"/>
        <v>Full</v>
      </c>
      <c r="L446" s="241">
        <f>INDEX(LoadMaster!$CT:$CT,MATCH(Table2[[#This Row],[BrokerConfNo]],LoadMaster!$C:$C,0))</f>
        <v>0</v>
      </c>
      <c r="M446" s="550" t="str">
        <f>INDEX(LoadMaster!$AO:$AO,MATCH(Table2[[#This Row],[BrokerConfNo]],LoadMaster!$C:$C,0))</f>
        <v>Miguel Jaime</v>
      </c>
      <c r="N446" s="549">
        <f t="shared" si="39"/>
        <v>42510</v>
      </c>
      <c r="O446" s="242">
        <f t="shared" si="40"/>
        <v>42517</v>
      </c>
      <c r="P446" s="549">
        <f>INDEX(LoadMaster!$M:$M,MATCH(B446,LoadMaster!$C:$C,0))</f>
        <v>42509</v>
      </c>
      <c r="Q446" s="550" t="str">
        <f>INDEX(LoadMaster!$P:$P,MATCH(B446,LoadMaster!$C:$C,0))</f>
        <v>CARSON CITY</v>
      </c>
      <c r="R446" s="550" t="str">
        <f>INDEX(LoadMaster!$AH:$AH,MATCH(B446,LoadMaster!$C:$C,0))</f>
        <v>SANTA FE SPRING / COMMERCE</v>
      </c>
      <c r="S446" s="550" t="str">
        <f>INDEX(LoadMaster!$DC:$DC,MATCH(B446,LoadMaster!$C:$C,0))</f>
        <v>Sunny</v>
      </c>
      <c r="T446" s="567">
        <f>INDEX(LoadMaster!$DA:$DA,MATCH(B446,LoadMaster!$C:$C,0))</f>
        <v>36</v>
      </c>
      <c r="U446" s="243">
        <f>Table2[[#This Row],[WeekEndingDate]]+7</f>
        <v>42517</v>
      </c>
      <c r="V446" s="550">
        <f t="shared" si="41"/>
        <v>5</v>
      </c>
      <c r="W446" s="548">
        <f t="shared" si="42"/>
        <v>2016</v>
      </c>
    </row>
    <row r="447" spans="1:23">
      <c r="A447" s="550" t="str">
        <f>INDEX(LoadMaster!$A:$A,MATCH(B447,LoadMaster!$C:$C,0))</f>
        <v>79wnwn49</v>
      </c>
      <c r="B447" s="552">
        <v>616479</v>
      </c>
      <c r="C447" s="550" t="str">
        <f>VLOOKUP(Table2[[#This Row],[BrokerConfNo]],LoadMaster!C:D,2,FALSE)</f>
        <v>Nolan Tranportation Group Inc.</v>
      </c>
      <c r="D447" s="549">
        <v>42541</v>
      </c>
      <c r="E447" s="548" t="str">
        <f>IF(Table2[[#This Row],[UBActualReceived]]&gt;1,"Received","Pending")</f>
        <v>Received</v>
      </c>
      <c r="F447" s="241">
        <f>INDEX(LoadMaster!$CU:$CU,MATCH(B447,LoadMaster!$C:$C,0))</f>
        <v>400</v>
      </c>
      <c r="G447" s="134">
        <f>INDEX(LoadMaster!$CX:$CX,MATCH(B447,LoadMaster!$C:$C,0))</f>
        <v>400</v>
      </c>
      <c r="H447" s="241">
        <f>INDEX(LoadMaster!$CW:$CW,MATCH(B447,LoadMaster!$C:$C,0))</f>
        <v>372</v>
      </c>
      <c r="I447" s="351">
        <v>400</v>
      </c>
      <c r="J447" s="533">
        <v>372</v>
      </c>
      <c r="K447" s="241" t="str">
        <f t="shared" si="30"/>
        <v>Full</v>
      </c>
      <c r="L447" s="241">
        <f>INDEX(LoadMaster!$CT:$CT,MATCH(Table2[[#This Row],[BrokerConfNo]],LoadMaster!$C:$C,0))</f>
        <v>0</v>
      </c>
      <c r="M447" s="550" t="str">
        <f>INDEX(LoadMaster!$AO:$AO,MATCH(Table2[[#This Row],[BrokerConfNo]],LoadMaster!$C:$C,0))</f>
        <v>Albel</v>
      </c>
      <c r="N447" s="549">
        <f t="shared" si="39"/>
        <v>42510</v>
      </c>
      <c r="O447" s="242">
        <f t="shared" si="40"/>
        <v>42524</v>
      </c>
      <c r="P447" s="549">
        <f>INDEX(LoadMaster!$M:$M,MATCH(B447,LoadMaster!$C:$C,0))</f>
        <v>42509</v>
      </c>
      <c r="Q447" s="550" t="str">
        <f>INDEX(LoadMaster!$P:$P,MATCH(B447,LoadMaster!$C:$C,0))</f>
        <v>LATHROP</v>
      </c>
      <c r="R447" s="550" t="str">
        <f>INDEX(LoadMaster!$AH:$AH,MATCH(B447,LoadMaster!$C:$C,0))</f>
        <v>WINDSOR</v>
      </c>
      <c r="S447" s="550" t="str">
        <f>INDEX(LoadMaster!$DC:$DC,MATCH(B447,LoadMaster!$C:$C,0))</f>
        <v>Sunny</v>
      </c>
      <c r="T447" s="567">
        <f>INDEX(LoadMaster!$DA:$DA,MATCH(B447,LoadMaster!$C:$C,0))</f>
        <v>28</v>
      </c>
      <c r="U447" s="243">
        <f>Table2[[#This Row],[WeekEndingDate]]+7</f>
        <v>42517</v>
      </c>
      <c r="V447" s="550">
        <f t="shared" si="41"/>
        <v>5</v>
      </c>
      <c r="W447" s="548">
        <f t="shared" si="42"/>
        <v>2016</v>
      </c>
    </row>
    <row r="448" spans="1:23">
      <c r="A448" s="15" t="str">
        <f>INDEX(LoadMaster!$A:$A,MATCH(B448,LoadMaster!$C:$C,0))</f>
        <v>57wnng49</v>
      </c>
      <c r="B448" s="81">
        <v>627457</v>
      </c>
      <c r="C448" s="15" t="str">
        <f>VLOOKUP(Table2[[#This Row],[BrokerConfNo]],LoadMaster!C:D,2,FALSE)</f>
        <v>Nolan Tranportation Group Inc.</v>
      </c>
      <c r="D448" s="549">
        <v>42541</v>
      </c>
      <c r="E448" s="416" t="str">
        <f>IF(Table2[[#This Row],[UBActualReceived]]&gt;1,"Received","Pending")</f>
        <v>Received</v>
      </c>
      <c r="F448" s="134">
        <f>INDEX(LoadMaster!$CU:$CU,MATCH(B448,LoadMaster!$C:$C,0))</f>
        <v>700</v>
      </c>
      <c r="G448" s="134">
        <f>INDEX(LoadMaster!$CX:$CX,MATCH(B448,LoadMaster!$C:$C,0))</f>
        <v>700</v>
      </c>
      <c r="H448" s="134">
        <f>INDEX(LoadMaster!$CW:$CW,MATCH(B448,LoadMaster!$C:$C,0))</f>
        <v>651</v>
      </c>
      <c r="I448" s="350">
        <v>700</v>
      </c>
      <c r="J448" s="533">
        <v>651</v>
      </c>
      <c r="K448" s="134" t="str">
        <f t="shared" si="30"/>
        <v>Full</v>
      </c>
      <c r="L448" s="134">
        <f>INDEX(LoadMaster!$CT:$CT,MATCH(Table2[[#This Row],[BrokerConfNo]],LoadMaster!$C:$C,0))</f>
        <v>0</v>
      </c>
      <c r="M448" s="15" t="str">
        <f>INDEX(LoadMaster!$AO:$AO,MATCH(Table2[[#This Row],[BrokerConfNo]],LoadMaster!$C:$C,0))</f>
        <v>Albel</v>
      </c>
      <c r="N448" s="104">
        <f t="shared" si="39"/>
        <v>42510</v>
      </c>
      <c r="O448" s="135">
        <f t="shared" si="40"/>
        <v>42524</v>
      </c>
      <c r="P448" s="104">
        <f>INDEX(LoadMaster!$M:$M,MATCH(B448,LoadMaster!$C:$C,0))</f>
        <v>42509</v>
      </c>
      <c r="Q448" s="15" t="str">
        <f>INDEX(LoadMaster!$P:$P,MATCH(B448,LoadMaster!$C:$C,0))</f>
        <v>S. SAN FRANCISCO</v>
      </c>
      <c r="R448" s="15" t="str">
        <f>INDEX(LoadMaster!$AH:$AH,MATCH(B448,LoadMaster!$C:$C,0))</f>
        <v>SPARKS</v>
      </c>
      <c r="S448" s="15" t="str">
        <f>INDEX(LoadMaster!$DC:$DC,MATCH(B448,LoadMaster!$C:$C,0))</f>
        <v>Sunny</v>
      </c>
      <c r="T448" s="136">
        <f>INDEX(LoadMaster!$DA:$DA,MATCH(B448,LoadMaster!$C:$C,0))</f>
        <v>49</v>
      </c>
      <c r="U448" s="137">
        <f>Table2[[#This Row],[WeekEndingDate]]+7</f>
        <v>42517</v>
      </c>
      <c r="V448" s="15">
        <f t="shared" si="41"/>
        <v>5</v>
      </c>
      <c r="W448" s="416">
        <f t="shared" si="42"/>
        <v>2016</v>
      </c>
    </row>
    <row r="449" spans="1:23">
      <c r="A449" s="550" t="str">
        <f>INDEX(LoadMaster!$A:$A,MATCH(B449,LoadMaster!$C:$C,0))</f>
        <v>01898949</v>
      </c>
      <c r="B449" s="552">
        <v>2018801</v>
      </c>
      <c r="C449" s="550" t="str">
        <f>VLOOKUP(Table2[[#This Row],[BrokerConfNo]],LoadMaster!C:D,2,FALSE)</f>
        <v>XPOLogistics</v>
      </c>
      <c r="D449" s="549">
        <v>42552</v>
      </c>
      <c r="E449" s="548" t="str">
        <f>IF(Table2[[#This Row],[UBActualReceived]]&gt;1,"Received","Pending")</f>
        <v>Received</v>
      </c>
      <c r="F449" s="241">
        <f>INDEX(LoadMaster!$CU:$CU,MATCH(B449,LoadMaster!$C:$C,0))</f>
        <v>750</v>
      </c>
      <c r="G449" s="134">
        <f>INDEX(LoadMaster!$CX:$CX,MATCH(B449,LoadMaster!$C:$C,0))</f>
        <v>727.5</v>
      </c>
      <c r="H449" s="241">
        <f>INDEX(LoadMaster!$CW:$CW,MATCH(B449,LoadMaster!$C:$C,0))</f>
        <v>702.75</v>
      </c>
      <c r="I449" s="351">
        <v>750</v>
      </c>
      <c r="J449" s="533">
        <v>702.75</v>
      </c>
      <c r="K449" s="241" t="str">
        <f t="shared" si="30"/>
        <v>Full</v>
      </c>
      <c r="L449" s="241">
        <f>INDEX(LoadMaster!$CT:$CT,MATCH(Table2[[#This Row],[BrokerConfNo]],LoadMaster!$C:$C,0))</f>
        <v>75</v>
      </c>
      <c r="M449" s="550" t="str">
        <f>INDEX(LoadMaster!$AO:$AO,MATCH(Table2[[#This Row],[BrokerConfNo]],LoadMaster!$C:$C,0))</f>
        <v>Albel</v>
      </c>
      <c r="N449" s="549">
        <f t="shared" si="39"/>
        <v>42510</v>
      </c>
      <c r="O449" s="242">
        <f t="shared" si="40"/>
        <v>42524</v>
      </c>
      <c r="P449" s="549">
        <f>INDEX(LoadMaster!$M:$M,MATCH(B449,LoadMaster!$C:$C,0))</f>
        <v>42509</v>
      </c>
      <c r="Q449" s="550" t="str">
        <f>INDEX(LoadMaster!$P:$P,MATCH(B449,LoadMaster!$C:$C,0))</f>
        <v>Carson City</v>
      </c>
      <c r="R449" s="550" t="str">
        <f>INDEX(LoadMaster!$AH:$AH,MATCH(B449,LoadMaster!$C:$C,0))</f>
        <v>Ivanhoe</v>
      </c>
      <c r="S449" s="550" t="str">
        <f>INDEX(LoadMaster!$DC:$DC,MATCH(B449,LoadMaster!$C:$C,0))</f>
        <v>Sunny</v>
      </c>
      <c r="T449" s="567">
        <f>INDEX(LoadMaster!$DA:$DA,MATCH(B449,LoadMaster!$C:$C,0))</f>
        <v>24.75</v>
      </c>
      <c r="U449" s="243">
        <f>Table2[[#This Row],[WeekEndingDate]]+7</f>
        <v>42517</v>
      </c>
      <c r="V449" s="550">
        <f t="shared" si="41"/>
        <v>5</v>
      </c>
      <c r="W449" s="548">
        <f t="shared" si="42"/>
        <v>2016</v>
      </c>
    </row>
    <row r="450" spans="1:23" s="68" customFormat="1">
      <c r="A450" s="550" t="str">
        <f>INDEX(LoadMaster!$A:$A,MATCH(B450,LoadMaster!$C:$C,0))</f>
        <v>96010119</v>
      </c>
      <c r="B450" s="552">
        <v>201572596</v>
      </c>
      <c r="C450" s="550" t="str">
        <f>VLOOKUP(Table2[[#This Row],[BrokerConfNo]],LoadMaster!C:D,2,FALSE)</f>
        <v>Ch Robinson</v>
      </c>
      <c r="D450" s="549">
        <v>42528</v>
      </c>
      <c r="E450" s="548" t="str">
        <f>IF(Table2[[#This Row],[UBActualReceived]]&gt;1,"Received","Pending")</f>
        <v>Received</v>
      </c>
      <c r="F450" s="241">
        <f>INDEX(LoadMaster!$CU:$CU,MATCH(B450,LoadMaster!$C:$C,0))</f>
        <v>950</v>
      </c>
      <c r="G450" s="134">
        <f>INDEX(LoadMaster!$CX:$CX,MATCH(B450,LoadMaster!$C:$C,0))</f>
        <v>931</v>
      </c>
      <c r="H450" s="241">
        <f>INDEX(LoadMaster!$CW:$CW,MATCH(B450,LoadMaster!$C:$C,0))</f>
        <v>883.5</v>
      </c>
      <c r="I450" s="338">
        <v>931</v>
      </c>
      <c r="J450" s="525">
        <v>883.5</v>
      </c>
      <c r="K450" s="241" t="str">
        <f t="shared" ref="K450:K479" si="43">IF(I450&lt;G450, "Less", "Full")</f>
        <v>Full</v>
      </c>
      <c r="L450" s="241">
        <f>INDEX(LoadMaster!$CT:$CT,MATCH(Table2[[#This Row],[BrokerConfNo]],LoadMaster!$C:$C,0))</f>
        <v>0</v>
      </c>
      <c r="M450" s="550" t="str">
        <f>INDEX(LoadMaster!$AO:$AO,MATCH(Table2[[#This Row],[BrokerConfNo]],LoadMaster!$C:$C,0))</f>
        <v>Miguel Jaime</v>
      </c>
      <c r="N450" s="549">
        <f t="shared" si="39"/>
        <v>42510</v>
      </c>
      <c r="O450" s="242">
        <f t="shared" si="40"/>
        <v>42517</v>
      </c>
      <c r="P450" s="549">
        <f>INDEX(LoadMaster!$M:$M,MATCH(B450,LoadMaster!$C:$C,0))</f>
        <v>42510</v>
      </c>
      <c r="Q450" s="550" t="str">
        <f>INDEX(LoadMaster!$P:$P,MATCH(B450,LoadMaster!$C:$C,0))</f>
        <v>COMPTON</v>
      </c>
      <c r="R450" s="550" t="str">
        <f>INDEX(LoadMaster!$AH:$AH,MATCH(B450,LoadMaster!$C:$C,0))</f>
        <v>FREMONT</v>
      </c>
      <c r="S450" s="550" t="str">
        <f>INDEX(LoadMaster!$DC:$DC,MATCH(B450,LoadMaster!$C:$C,0))</f>
        <v>Sunny</v>
      </c>
      <c r="T450" s="567">
        <f>INDEX(LoadMaster!$DA:$DA,MATCH(B450,LoadMaster!$C:$C,0))</f>
        <v>47.5</v>
      </c>
      <c r="U450" s="243">
        <f>Table2[[#This Row],[WeekEndingDate]]+7</f>
        <v>42517</v>
      </c>
      <c r="V450" s="550">
        <f t="shared" si="41"/>
        <v>5</v>
      </c>
      <c r="W450" s="548">
        <f t="shared" si="42"/>
        <v>2016</v>
      </c>
    </row>
    <row r="451" spans="1:23" s="68" customFormat="1">
      <c r="A451" s="550" t="str">
        <f>INDEX(LoadMaster!$A:$A,MATCH(B451,LoadMaster!$C:$C,0))</f>
        <v>30267593</v>
      </c>
      <c r="B451" s="552">
        <v>7430830</v>
      </c>
      <c r="C451" s="550" t="str">
        <f>VLOOKUP(Table2[[#This Row],[BrokerConfNo]],LoadMaster!C:D,2,FALSE)</f>
        <v>Coyote</v>
      </c>
      <c r="D451" s="549">
        <v>42528</v>
      </c>
      <c r="E451" s="548" t="str">
        <f>IF(Table2[[#This Row],[UBActualReceived]]&gt;1,"Received","Pending")</f>
        <v>Received</v>
      </c>
      <c r="F451" s="241">
        <f>INDEX(LoadMaster!$CU:$CU,MATCH(B451,LoadMaster!$C:$C,0))</f>
        <v>775</v>
      </c>
      <c r="G451" s="134">
        <f>INDEX(LoadMaster!$CX:$CX,MATCH(B451,LoadMaster!$C:$C,0))</f>
        <v>751.75</v>
      </c>
      <c r="H451" s="241">
        <f>INDEX(LoadMaster!$CW:$CW,MATCH(B451,LoadMaster!$C:$C,0))</f>
        <v>720.75</v>
      </c>
      <c r="I451" s="338">
        <v>751</v>
      </c>
      <c r="J451" s="525">
        <v>720.75</v>
      </c>
      <c r="K451" s="241" t="str">
        <f t="shared" si="43"/>
        <v>Less</v>
      </c>
      <c r="L451" s="241">
        <f>INDEX(LoadMaster!$CT:$CT,MATCH(Table2[[#This Row],[BrokerConfNo]],LoadMaster!$C:$C,0))</f>
        <v>0</v>
      </c>
      <c r="M451" s="550" t="str">
        <f>INDEX(LoadMaster!$AO:$AO,MATCH(Table2[[#This Row],[BrokerConfNo]],LoadMaster!$C:$C,0))</f>
        <v>Arturo</v>
      </c>
      <c r="N451" s="549">
        <f t="shared" si="39"/>
        <v>42510</v>
      </c>
      <c r="O451" s="242">
        <f t="shared" si="40"/>
        <v>42517</v>
      </c>
      <c r="P451" s="549">
        <f>INDEX(LoadMaster!$M:$M,MATCH(B451,LoadMaster!$C:$C,0))</f>
        <v>42510</v>
      </c>
      <c r="Q451" s="550" t="str">
        <f>INDEX(LoadMaster!$P:$P,MATCH(B451,LoadMaster!$C:$C,0))</f>
        <v>Chowchilla</v>
      </c>
      <c r="R451" s="550" t="str">
        <f>INDEX(LoadMaster!$AH:$AH,MATCH(B451,LoadMaster!$C:$C,0))</f>
        <v>Redding</v>
      </c>
      <c r="S451" s="550" t="str">
        <f>INDEX(LoadMaster!$DC:$DC,MATCH(B451,LoadMaster!$C:$C,0))</f>
        <v>Sunny</v>
      </c>
      <c r="T451" s="567">
        <f>INDEX(LoadMaster!$DA:$DA,MATCH(B451,LoadMaster!$C:$C,0))</f>
        <v>31</v>
      </c>
      <c r="U451" s="243">
        <f>Table2[[#This Row],[WeekEndingDate]]+7</f>
        <v>42517</v>
      </c>
      <c r="V451" s="550">
        <f t="shared" si="41"/>
        <v>5</v>
      </c>
      <c r="W451" s="548">
        <f t="shared" si="42"/>
        <v>2016</v>
      </c>
    </row>
    <row r="452" spans="1:23" s="68" customFormat="1">
      <c r="A452" s="550" t="str">
        <f>INDEX(LoadMaster!$A:$A,MATCH(B452,LoadMaster!$C:$C,0))</f>
        <v>57111193</v>
      </c>
      <c r="B452" s="552">
        <v>7407657</v>
      </c>
      <c r="C452" s="550" t="str">
        <f>VLOOKUP(Table2[[#This Row],[BrokerConfNo]],LoadMaster!C:D,2,FALSE)</f>
        <v>Coyote</v>
      </c>
      <c r="D452" s="549">
        <v>42528</v>
      </c>
      <c r="E452" s="548" t="str">
        <f>IF(Table2[[#This Row],[UBActualReceived]]&gt;1,"Received","Pending")</f>
        <v>Received</v>
      </c>
      <c r="F452" s="241">
        <f>INDEX(LoadMaster!$CU:$CU,MATCH(B452,LoadMaster!$C:$C,0))</f>
        <v>300</v>
      </c>
      <c r="G452" s="134">
        <f>INDEX(LoadMaster!$CX:$CX,MATCH(B452,LoadMaster!$C:$C,0))</f>
        <v>291</v>
      </c>
      <c r="H452" s="241">
        <f>INDEX(LoadMaster!$CW:$CW,MATCH(B452,LoadMaster!$C:$C,0))</f>
        <v>279</v>
      </c>
      <c r="I452" s="338">
        <v>291</v>
      </c>
      <c r="J452" s="525">
        <v>279</v>
      </c>
      <c r="K452" s="241" t="str">
        <f t="shared" si="43"/>
        <v>Full</v>
      </c>
      <c r="L452" s="241">
        <f>INDEX(LoadMaster!$CT:$CT,MATCH(Table2[[#This Row],[BrokerConfNo]],LoadMaster!$C:$C,0))</f>
        <v>0</v>
      </c>
      <c r="M452" s="550" t="str">
        <f>INDEX(LoadMaster!$AO:$AO,MATCH(Table2[[#This Row],[BrokerConfNo]],LoadMaster!$C:$C,0))</f>
        <v>Arturo</v>
      </c>
      <c r="N452" s="549">
        <f t="shared" si="39"/>
        <v>42517</v>
      </c>
      <c r="O452" s="242">
        <f t="shared" si="40"/>
        <v>42524</v>
      </c>
      <c r="P452" s="549">
        <f>INDEX(LoadMaster!$M:$M,MATCH(B452,LoadMaster!$C:$C,0))</f>
        <v>42513</v>
      </c>
      <c r="Q452" s="550" t="str">
        <f>INDEX(LoadMaster!$P:$P,MATCH(B452,LoadMaster!$C:$C,0))</f>
        <v>Orland</v>
      </c>
      <c r="R452" s="550" t="str">
        <f>INDEX(LoadMaster!$AH:$AH,MATCH(B452,LoadMaster!$C:$C,0))</f>
        <v>LODI</v>
      </c>
      <c r="S452" s="550" t="str">
        <f>INDEX(LoadMaster!$DC:$DC,MATCH(B452,LoadMaster!$C:$C,0))</f>
        <v>Sunny</v>
      </c>
      <c r="T452" s="567">
        <f>INDEX(LoadMaster!$DA:$DA,MATCH(B452,LoadMaster!$C:$C,0))</f>
        <v>12</v>
      </c>
      <c r="U452" s="243">
        <f>Table2[[#This Row],[WeekEndingDate]]+7</f>
        <v>42524</v>
      </c>
      <c r="V452" s="550">
        <f t="shared" si="41"/>
        <v>5</v>
      </c>
      <c r="W452" s="548">
        <f t="shared" si="42"/>
        <v>2016</v>
      </c>
    </row>
    <row r="453" spans="1:23" s="68" customFormat="1">
      <c r="A453" s="550" t="str">
        <f>INDEX(LoadMaster!$A:$A,MATCH(B453,LoadMaster!$C:$C,0))</f>
        <v>5011wn19</v>
      </c>
      <c r="B453" s="552">
        <v>7438250</v>
      </c>
      <c r="C453" s="550" t="str">
        <f>VLOOKUP(Table2[[#This Row],[BrokerConfNo]],LoadMaster!C:D,2,FALSE)</f>
        <v>Coyote</v>
      </c>
      <c r="D453" s="549">
        <v>42524</v>
      </c>
      <c r="E453" s="548" t="str">
        <f>IF(Table2[[#This Row],[UBActualReceived]]&gt;1,"Received","Pending")</f>
        <v>Received</v>
      </c>
      <c r="F453" s="241">
        <f>INDEX(LoadMaster!$CU:$CU,MATCH(B453,LoadMaster!$C:$C,0))</f>
        <v>685</v>
      </c>
      <c r="G453" s="134">
        <f>INDEX(LoadMaster!$CX:$CX,MATCH(B453,LoadMaster!$C:$C,0))</f>
        <v>664.44999999999993</v>
      </c>
      <c r="H453" s="241">
        <f>INDEX(LoadMaster!$CW:$CW,MATCH(B453,LoadMaster!$C:$C,0))</f>
        <v>637.05000000000007</v>
      </c>
      <c r="I453" s="338">
        <v>664.45</v>
      </c>
      <c r="J453" s="525">
        <v>637.05000000000007</v>
      </c>
      <c r="K453" s="241" t="str">
        <f t="shared" si="43"/>
        <v>Full</v>
      </c>
      <c r="L453" s="241">
        <f>INDEX(LoadMaster!$CT:$CT,MATCH(Table2[[#This Row],[BrokerConfNo]],LoadMaster!$C:$C,0))</f>
        <v>0</v>
      </c>
      <c r="M453" s="550" t="str">
        <f>INDEX(LoadMaster!$AO:$AO,MATCH(Table2[[#This Row],[BrokerConfNo]],LoadMaster!$C:$C,0))</f>
        <v>Miguel Jaime</v>
      </c>
      <c r="N453" s="549">
        <f t="shared" ref="N453:N479" si="44">(5-WEEKDAY(P453,2))+P453</f>
        <v>42517</v>
      </c>
      <c r="O453" s="242">
        <f t="shared" ref="O453:O479" si="45">IF(M453="Albel",((5-WEEKDAY(P453,2))+P453)+14,(((5-WEEKDAY(P453,2))+P453)+7))</f>
        <v>42524</v>
      </c>
      <c r="P453" s="549">
        <f>INDEX(LoadMaster!$M:$M,MATCH(B453,LoadMaster!$C:$C,0))</f>
        <v>42513</v>
      </c>
      <c r="Q453" s="550" t="str">
        <f>INDEX(LoadMaster!$P:$P,MATCH(B453,LoadMaster!$C:$C,0))</f>
        <v>Milpitas</v>
      </c>
      <c r="R453" s="550" t="str">
        <f>INDEX(LoadMaster!$AH:$AH,MATCH(B453,LoadMaster!$C:$C,0))</f>
        <v>Corning</v>
      </c>
      <c r="S453" s="550" t="str">
        <f>INDEX(LoadMaster!$DC:$DC,MATCH(B453,LoadMaster!$C:$C,0))</f>
        <v>Sunny</v>
      </c>
      <c r="T453" s="567">
        <f>INDEX(LoadMaster!$DA:$DA,MATCH(B453,LoadMaster!$C:$C,0))</f>
        <v>27.399999999999931</v>
      </c>
      <c r="U453" s="243">
        <f>Table2[[#This Row],[WeekEndingDate]]+7</f>
        <v>42524</v>
      </c>
      <c r="V453" s="550">
        <f t="shared" ref="V453:V479" si="46">MONTH(P453)</f>
        <v>5</v>
      </c>
      <c r="W453" s="548">
        <f t="shared" ref="W453:W479" si="47">YEAR(P453)</f>
        <v>2016</v>
      </c>
    </row>
    <row r="454" spans="1:23">
      <c r="A454" s="550" t="str">
        <f>INDEX(LoadMaster!$A:$A,MATCH(B454,LoadMaster!$C:$C,0))</f>
        <v>12wnwn49</v>
      </c>
      <c r="B454" s="552">
        <v>7792212</v>
      </c>
      <c r="C454" s="550" t="str">
        <f>VLOOKUP(Table2[[#This Row],[BrokerConfNo]],LoadMaster!C:D,2,FALSE)</f>
        <v>Globaltranz</v>
      </c>
      <c r="D454" s="549">
        <v>42552</v>
      </c>
      <c r="E454" s="548" t="str">
        <f>IF(Table2[[#This Row],[UBActualReceived]]&gt;1,"Received","Pending")</f>
        <v>Received</v>
      </c>
      <c r="F454" s="241">
        <f>INDEX(LoadMaster!$CU:$CU,MATCH(B454,LoadMaster!$C:$C,0))</f>
        <v>650</v>
      </c>
      <c r="G454" s="134">
        <f>INDEX(LoadMaster!$CX:$CX,MATCH(B454,LoadMaster!$C:$C,0))</f>
        <v>650</v>
      </c>
      <c r="H454" s="241">
        <f>INDEX(LoadMaster!$CW:$CW,MATCH(B454,LoadMaster!$C:$C,0))</f>
        <v>604.5</v>
      </c>
      <c r="I454" s="351">
        <v>650</v>
      </c>
      <c r="J454" s="533">
        <v>604.5</v>
      </c>
      <c r="K454" s="241" t="str">
        <f t="shared" si="43"/>
        <v>Full</v>
      </c>
      <c r="L454" s="241">
        <f>INDEX(LoadMaster!$CT:$CT,MATCH(Table2[[#This Row],[BrokerConfNo]],LoadMaster!$C:$C,0))</f>
        <v>0</v>
      </c>
      <c r="M454" s="550" t="str">
        <f>INDEX(LoadMaster!$AO:$AO,MATCH(Table2[[#This Row],[BrokerConfNo]],LoadMaster!$C:$C,0))</f>
        <v>Albel</v>
      </c>
      <c r="N454" s="549">
        <f t="shared" si="44"/>
        <v>42517</v>
      </c>
      <c r="O454" s="242">
        <f t="shared" si="45"/>
        <v>42531</v>
      </c>
      <c r="P454" s="549">
        <f>INDEX(LoadMaster!$M:$M,MATCH(B454,LoadMaster!$C:$C,0))</f>
        <v>42513</v>
      </c>
      <c r="Q454" s="550" t="str">
        <f>INDEX(LoadMaster!$P:$P,MATCH(B454,LoadMaster!$C:$C,0))</f>
        <v>Fresno</v>
      </c>
      <c r="R454" s="550" t="str">
        <f>INDEX(LoadMaster!$AH:$AH,MATCH(B454,LoadMaster!$C:$C,0))</f>
        <v>Reno</v>
      </c>
      <c r="S454" s="550" t="str">
        <f>INDEX(LoadMaster!$DC:$DC,MATCH(B454,LoadMaster!$C:$C,0))</f>
        <v>Sunny</v>
      </c>
      <c r="T454" s="567">
        <f>INDEX(LoadMaster!$DA:$DA,MATCH(B454,LoadMaster!$C:$C,0))</f>
        <v>45.5</v>
      </c>
      <c r="U454" s="243">
        <f>Table2[[#This Row],[WeekEndingDate]]+7</f>
        <v>42524</v>
      </c>
      <c r="V454" s="550">
        <f t="shared" si="46"/>
        <v>5</v>
      </c>
      <c r="W454" s="548">
        <f t="shared" si="47"/>
        <v>2016</v>
      </c>
    </row>
    <row r="455" spans="1:23">
      <c r="A455" s="550" t="str">
        <f>INDEX(LoadMaster!$A:$A,MATCH(B455,LoadMaster!$C:$C,0))</f>
        <v>51787819</v>
      </c>
      <c r="B455" s="552">
        <v>7447351</v>
      </c>
      <c r="C455" s="550" t="str">
        <f>VLOOKUP(Table2[[#This Row],[BrokerConfNo]],LoadMaster!C:D,2,FALSE)</f>
        <v>Coyote</v>
      </c>
      <c r="D455" s="549">
        <v>42553</v>
      </c>
      <c r="E455" s="548" t="str">
        <f>IF(Table2[[#This Row],[UBActualReceived]]&gt;1,"Received","Pending")</f>
        <v>Received</v>
      </c>
      <c r="F455" s="241">
        <f>INDEX(LoadMaster!$CU:$CU,MATCH(B455,LoadMaster!$C:$C,0))</f>
        <v>300</v>
      </c>
      <c r="G455" s="134">
        <f>INDEX(LoadMaster!$CX:$CX,MATCH(B455,LoadMaster!$C:$C,0))</f>
        <v>291</v>
      </c>
      <c r="H455" s="241">
        <f>INDEX(LoadMaster!$CW:$CW,MATCH(B455,LoadMaster!$C:$C,0))</f>
        <v>279</v>
      </c>
      <c r="I455" s="351">
        <v>291</v>
      </c>
      <c r="J455" s="533">
        <v>279</v>
      </c>
      <c r="K455" s="241" t="str">
        <f t="shared" si="43"/>
        <v>Full</v>
      </c>
      <c r="L455" s="241">
        <f>INDEX(LoadMaster!$CT:$CT,MATCH(Table2[[#This Row],[BrokerConfNo]],LoadMaster!$C:$C,0))</f>
        <v>0</v>
      </c>
      <c r="M455" s="550" t="str">
        <f>INDEX(LoadMaster!$AO:$AO,MATCH(Table2[[#This Row],[BrokerConfNo]],LoadMaster!$C:$C,0))</f>
        <v>Miguel Jaime</v>
      </c>
      <c r="N455" s="549">
        <f t="shared" si="44"/>
        <v>42517</v>
      </c>
      <c r="O455" s="242">
        <f t="shared" si="45"/>
        <v>42524</v>
      </c>
      <c r="P455" s="549">
        <f>INDEX(LoadMaster!$M:$M,MATCH(B455,LoadMaster!$C:$C,0))</f>
        <v>42514</v>
      </c>
      <c r="Q455" s="550" t="str">
        <f>INDEX(LoadMaster!$P:$P,MATCH(B455,LoadMaster!$C:$C,0))</f>
        <v>Orland</v>
      </c>
      <c r="R455" s="550" t="str">
        <f>INDEX(LoadMaster!$AH:$AH,MATCH(B455,LoadMaster!$C:$C,0))</f>
        <v>LODI</v>
      </c>
      <c r="S455" s="550" t="str">
        <f>INDEX(LoadMaster!$DC:$DC,MATCH(B455,LoadMaster!$C:$C,0))</f>
        <v>Sunny</v>
      </c>
      <c r="T455" s="567">
        <f>INDEX(LoadMaster!$DA:$DA,MATCH(B455,LoadMaster!$C:$C,0))</f>
        <v>12</v>
      </c>
      <c r="U455" s="243">
        <f>Table2[[#This Row],[WeekEndingDate]]+7</f>
        <v>42524</v>
      </c>
      <c r="V455" s="550">
        <f t="shared" si="46"/>
        <v>5</v>
      </c>
      <c r="W455" s="548">
        <f t="shared" si="47"/>
        <v>2016</v>
      </c>
    </row>
    <row r="456" spans="1:23">
      <c r="A456" s="550" t="str">
        <f>INDEX(LoadMaster!$A:$A,MATCH(B456,LoadMaster!$C:$C,0))</f>
        <v>49SASA49</v>
      </c>
      <c r="B456" s="552">
        <v>110849</v>
      </c>
      <c r="C456" s="550" t="str">
        <f>VLOOKUP(Table2[[#This Row],[BrokerConfNo]],LoadMaster!C:D,2,FALSE)</f>
        <v>Covenant Express</v>
      </c>
      <c r="D456" s="549">
        <v>42529</v>
      </c>
      <c r="E456" s="548" t="str">
        <f>IF(Table2[[#This Row],[UBActualReceived]]&gt;1,"Received","Pending")</f>
        <v>Received</v>
      </c>
      <c r="F456" s="241">
        <f>INDEX(LoadMaster!$CU:$CU,MATCH(B456,LoadMaster!$C:$C,0))</f>
        <v>500</v>
      </c>
      <c r="G456" s="134">
        <f>INDEX(LoadMaster!$CX:$CX,MATCH(B456,LoadMaster!$C:$C,0))</f>
        <v>500</v>
      </c>
      <c r="H456" s="241">
        <f>INDEX(LoadMaster!$CW:$CW,MATCH(B456,LoadMaster!$C:$C,0))</f>
        <v>465</v>
      </c>
      <c r="I456" s="351">
        <v>500</v>
      </c>
      <c r="J456" s="533">
        <v>465</v>
      </c>
      <c r="K456" s="241" t="str">
        <f t="shared" si="43"/>
        <v>Full</v>
      </c>
      <c r="L456" s="241">
        <f>INDEX(LoadMaster!$CT:$CT,MATCH(Table2[[#This Row],[BrokerConfNo]],LoadMaster!$C:$C,0))</f>
        <v>0</v>
      </c>
      <c r="M456" s="550" t="str">
        <f>INDEX(LoadMaster!$AO:$AO,MATCH(Table2[[#This Row],[BrokerConfNo]],LoadMaster!$C:$C,0))</f>
        <v>Albel</v>
      </c>
      <c r="N456" s="549">
        <f t="shared" si="44"/>
        <v>42517</v>
      </c>
      <c r="O456" s="242">
        <f t="shared" si="45"/>
        <v>42531</v>
      </c>
      <c r="P456" s="549">
        <f>INDEX(LoadMaster!$M:$M,MATCH(B456,LoadMaster!$C:$C,0))</f>
        <v>42514</v>
      </c>
      <c r="Q456" s="550" t="str">
        <f>INDEX(LoadMaster!$P:$P,MATCH(B456,LoadMaster!$C:$C,0))</f>
        <v>Reno</v>
      </c>
      <c r="R456" s="550" t="str">
        <f>INDEX(LoadMaster!$AH:$AH,MATCH(B456,LoadMaster!$C:$C,0))</f>
        <v>San Jose</v>
      </c>
      <c r="S456" s="550" t="str">
        <f>INDEX(LoadMaster!$DC:$DC,MATCH(B456,LoadMaster!$C:$C,0))</f>
        <v>Sunny</v>
      </c>
      <c r="T456" s="567">
        <f>INDEX(LoadMaster!$DA:$DA,MATCH(B456,LoadMaster!$C:$C,0))</f>
        <v>35</v>
      </c>
      <c r="U456" s="243">
        <f>Table2[[#This Row],[WeekEndingDate]]+7</f>
        <v>42524</v>
      </c>
      <c r="V456" s="550">
        <f t="shared" si="46"/>
        <v>5</v>
      </c>
      <c r="W456" s="548">
        <f t="shared" si="47"/>
        <v>2016</v>
      </c>
    </row>
    <row r="457" spans="1:23" s="68" customFormat="1">
      <c r="A457" s="550" t="str">
        <f>INDEX(LoadMaster!$A:$A,MATCH(B457,LoadMaster!$C:$C,0))</f>
        <v>44758093</v>
      </c>
      <c r="B457" s="552">
        <v>202065444</v>
      </c>
      <c r="C457" s="550" t="str">
        <f>VLOOKUP(Table2[[#This Row],[BrokerConfNo]],LoadMaster!C:D,2,FALSE)</f>
        <v>Ch Robinson</v>
      </c>
      <c r="D457" s="549">
        <v>42528</v>
      </c>
      <c r="E457" s="548" t="str">
        <f>IF(Table2[[#This Row],[UBActualReceived]]&gt;1,"Received","Pending")</f>
        <v>Received</v>
      </c>
      <c r="F457" s="241">
        <f>INDEX(LoadMaster!$CU:$CU,MATCH(B457,LoadMaster!$C:$C,0))</f>
        <v>200</v>
      </c>
      <c r="G457" s="134">
        <f>INDEX(LoadMaster!$CX:$CX,MATCH(B457,LoadMaster!$C:$C,0))</f>
        <v>196</v>
      </c>
      <c r="H457" s="241">
        <f>INDEX(LoadMaster!$CW:$CW,MATCH(B457,LoadMaster!$C:$C,0))</f>
        <v>186</v>
      </c>
      <c r="I457" s="338">
        <v>196</v>
      </c>
      <c r="J457" s="525">
        <v>186</v>
      </c>
      <c r="K457" s="241" t="str">
        <f t="shared" si="43"/>
        <v>Full</v>
      </c>
      <c r="L457" s="241">
        <f>INDEX(LoadMaster!$CT:$CT,MATCH(Table2[[#This Row],[BrokerConfNo]],LoadMaster!$C:$C,0))</f>
        <v>0</v>
      </c>
      <c r="M457" s="550" t="str">
        <f>INDEX(LoadMaster!$AO:$AO,MATCH(Table2[[#This Row],[BrokerConfNo]],LoadMaster!$C:$C,0))</f>
        <v>Arturo</v>
      </c>
      <c r="N457" s="549">
        <f t="shared" si="44"/>
        <v>42517</v>
      </c>
      <c r="O457" s="242">
        <f t="shared" si="45"/>
        <v>42524</v>
      </c>
      <c r="P457" s="549">
        <f>INDEX(LoadMaster!$M:$M,MATCH(B457,LoadMaster!$C:$C,0))</f>
        <v>42515</v>
      </c>
      <c r="Q457" s="550" t="str">
        <f>INDEX(LoadMaster!$P:$P,MATCH(B457,LoadMaster!$C:$C,0))</f>
        <v>TRACY</v>
      </c>
      <c r="R457" s="550" t="str">
        <f>INDEX(LoadMaster!$AH:$AH,MATCH(B457,LoadMaster!$C:$C,0))</f>
        <v>TRACY</v>
      </c>
      <c r="S457" s="550" t="str">
        <f>INDEX(LoadMaster!$DC:$DC,MATCH(B457,LoadMaster!$C:$C,0))</f>
        <v>Sunny</v>
      </c>
      <c r="T457" s="567">
        <f>INDEX(LoadMaster!$DA:$DA,MATCH(B457,LoadMaster!$C:$C,0))</f>
        <v>10</v>
      </c>
      <c r="U457" s="243">
        <f>Table2[[#This Row],[WeekEndingDate]]+7</f>
        <v>42524</v>
      </c>
      <c r="V457" s="550">
        <f t="shared" si="46"/>
        <v>5</v>
      </c>
      <c r="W457" s="548">
        <f t="shared" si="47"/>
        <v>2016</v>
      </c>
    </row>
    <row r="458" spans="1:23">
      <c r="A458" s="550" t="str">
        <f>INDEX(LoadMaster!$A:$A,MATCH(B458,LoadMaster!$C:$C,0))</f>
        <v>24080819</v>
      </c>
      <c r="B458" s="552">
        <v>163224</v>
      </c>
      <c r="C458" s="550" t="str">
        <f>VLOOKUP(Table2[[#This Row],[BrokerConfNo]],LoadMaster!C:D,2,FALSE)</f>
        <v>Knight Logistics Llc</v>
      </c>
      <c r="D458" s="549">
        <v>42536</v>
      </c>
      <c r="E458" s="548" t="str">
        <f>IF(Table2[[#This Row],[UBActualReceived]]&gt;1,"Received","Pending")</f>
        <v>Received</v>
      </c>
      <c r="F458" s="241">
        <f>INDEX(LoadMaster!$CU:$CU,MATCH(B458,LoadMaster!$C:$C,0))</f>
        <v>695</v>
      </c>
      <c r="G458" s="134">
        <f>INDEX(LoadMaster!$CX:$CX,MATCH(B458,LoadMaster!$C:$C,0))</f>
        <v>674.15</v>
      </c>
      <c r="H458" s="241">
        <f>INDEX(LoadMaster!$CW:$CW,MATCH(B458,LoadMaster!$C:$C,0))</f>
        <v>646.35</v>
      </c>
      <c r="I458" s="351">
        <v>695</v>
      </c>
      <c r="J458" s="533">
        <v>646.35</v>
      </c>
      <c r="K458" s="241" t="str">
        <f t="shared" si="43"/>
        <v>Full</v>
      </c>
      <c r="L458" s="241">
        <f>INDEX(LoadMaster!$CT:$CT,MATCH(Table2[[#This Row],[BrokerConfNo]],LoadMaster!$C:$C,0))</f>
        <v>0</v>
      </c>
      <c r="M458" s="550" t="str">
        <f>INDEX(LoadMaster!$AO:$AO,MATCH(Table2[[#This Row],[BrokerConfNo]],LoadMaster!$C:$C,0))</f>
        <v>Miguel Jaime</v>
      </c>
      <c r="N458" s="549">
        <f t="shared" si="44"/>
        <v>42517</v>
      </c>
      <c r="O458" s="242">
        <f t="shared" si="45"/>
        <v>42524</v>
      </c>
      <c r="P458" s="549">
        <f>INDEX(LoadMaster!$M:$M,MATCH(B458,LoadMaster!$C:$C,0))</f>
        <v>42515</v>
      </c>
      <c r="Q458" s="550" t="str">
        <f>INDEX(LoadMaster!$P:$P,MATCH(B458,LoadMaster!$C:$C,0))</f>
        <v>Modesto</v>
      </c>
      <c r="R458" s="550" t="str">
        <f>INDEX(LoadMaster!$AH:$AH,MATCH(B458,LoadMaster!$C:$C,0))</f>
        <v>Fallon</v>
      </c>
      <c r="S458" s="550" t="str">
        <f>INDEX(LoadMaster!$DC:$DC,MATCH(B458,LoadMaster!$C:$C,0))</f>
        <v>Sunny</v>
      </c>
      <c r="T458" s="567">
        <f>INDEX(LoadMaster!$DA:$DA,MATCH(B458,LoadMaster!$C:$C,0))</f>
        <v>27.799999999999979</v>
      </c>
      <c r="U458" s="243">
        <f>Table2[[#This Row],[WeekEndingDate]]+7</f>
        <v>42524</v>
      </c>
      <c r="V458" s="550">
        <f t="shared" si="46"/>
        <v>5</v>
      </c>
      <c r="W458" s="548">
        <f t="shared" si="47"/>
        <v>2016</v>
      </c>
    </row>
    <row r="459" spans="1:23">
      <c r="A459" s="550" t="str">
        <f>INDEX(LoadMaster!$A:$A,MATCH(B459,LoadMaster!$C:$C,0))</f>
        <v>19wnwn49</v>
      </c>
      <c r="B459" s="552">
        <v>2844419</v>
      </c>
      <c r="C459" s="550" t="str">
        <f>VLOOKUP(Table2[[#This Row],[BrokerConfNo]],LoadMaster!C:D,2,FALSE)</f>
        <v>Us Xpress Logistics</v>
      </c>
      <c r="D459" s="549">
        <v>42552</v>
      </c>
      <c r="E459" s="548" t="str">
        <f>IF(Table2[[#This Row],[UBActualReceived]]&gt;1,"Received","Pending")</f>
        <v>Received</v>
      </c>
      <c r="F459" s="241">
        <f>INDEX(LoadMaster!$CU:$CU,MATCH(B459,LoadMaster!$C:$C,0))</f>
        <v>650</v>
      </c>
      <c r="G459" s="134">
        <f>INDEX(LoadMaster!$CX:$CX,MATCH(B459,LoadMaster!$C:$C,0))</f>
        <v>640.25</v>
      </c>
      <c r="H459" s="241">
        <f>INDEX(LoadMaster!$CW:$CW,MATCH(B459,LoadMaster!$C:$C,0))</f>
        <v>604.5</v>
      </c>
      <c r="I459" s="351">
        <v>640.25</v>
      </c>
      <c r="J459" s="533">
        <v>604.5</v>
      </c>
      <c r="K459" s="241" t="str">
        <f t="shared" si="43"/>
        <v>Full</v>
      </c>
      <c r="L459" s="241">
        <f>INDEX(LoadMaster!$CT:$CT,MATCH(Table2[[#This Row],[BrokerConfNo]],LoadMaster!$C:$C,0))</f>
        <v>0</v>
      </c>
      <c r="M459" s="550" t="str">
        <f>INDEX(LoadMaster!$AO:$AO,MATCH(Table2[[#This Row],[BrokerConfNo]],LoadMaster!$C:$C,0))</f>
        <v>Albel</v>
      </c>
      <c r="N459" s="549">
        <f t="shared" si="44"/>
        <v>42517</v>
      </c>
      <c r="O459" s="242">
        <f t="shared" si="45"/>
        <v>42531</v>
      </c>
      <c r="P459" s="549">
        <f>INDEX(LoadMaster!$M:$M,MATCH(B459,LoadMaster!$C:$C,0))</f>
        <v>42515</v>
      </c>
      <c r="Q459" s="550" t="str">
        <f>INDEX(LoadMaster!$P:$P,MATCH(B459,LoadMaster!$C:$C,0))</f>
        <v>San Jose</v>
      </c>
      <c r="R459" s="550" t="str">
        <f>INDEX(LoadMaster!$AH:$AH,MATCH(B459,LoadMaster!$C:$C,0))</f>
        <v>RENO</v>
      </c>
      <c r="S459" s="550" t="str">
        <f>INDEX(LoadMaster!$DC:$DC,MATCH(B459,LoadMaster!$C:$C,0))</f>
        <v>Sunny</v>
      </c>
      <c r="T459" s="567">
        <f>INDEX(LoadMaster!$DA:$DA,MATCH(B459,LoadMaster!$C:$C,0))</f>
        <v>35.75</v>
      </c>
      <c r="U459" s="243">
        <f>Table2[[#This Row],[WeekEndingDate]]+7</f>
        <v>42524</v>
      </c>
      <c r="V459" s="550">
        <f t="shared" si="46"/>
        <v>5</v>
      </c>
      <c r="W459" s="548">
        <f t="shared" si="47"/>
        <v>2016</v>
      </c>
    </row>
    <row r="460" spans="1:23" s="68" customFormat="1">
      <c r="A460" s="550" t="str">
        <f>INDEX(LoadMaster!$A:$A,MATCH(B460,LoadMaster!$C:$C,0))</f>
        <v>39717393</v>
      </c>
      <c r="B460" s="552">
        <v>2846839</v>
      </c>
      <c r="C460" s="550" t="str">
        <f>VLOOKUP(Table2[[#This Row],[BrokerConfNo]],LoadMaster!C:D,2,FALSE)</f>
        <v>Us Xpress Logistics</v>
      </c>
      <c r="D460" s="549">
        <v>42532</v>
      </c>
      <c r="E460" s="548" t="str">
        <f>IF(Table2[[#This Row],[UBActualReceived]]&gt;1,"Received","Pending")</f>
        <v>Received</v>
      </c>
      <c r="F460" s="241">
        <f>INDEX(LoadMaster!$CU:$CU,MATCH(B460,LoadMaster!$C:$C,0))</f>
        <v>396</v>
      </c>
      <c r="G460" s="134">
        <f>INDEX(LoadMaster!$CX:$CX,MATCH(B460,LoadMaster!$C:$C,0))</f>
        <v>390.06</v>
      </c>
      <c r="H460" s="241">
        <f>INDEX(LoadMaster!$CW:$CW,MATCH(B460,LoadMaster!$C:$C,0))</f>
        <v>368.28000000000003</v>
      </c>
      <c r="I460" s="338">
        <v>390.06</v>
      </c>
      <c r="J460" s="525">
        <v>368.28000000000003</v>
      </c>
      <c r="K460" s="241" t="str">
        <f t="shared" si="43"/>
        <v>Full</v>
      </c>
      <c r="L460" s="241">
        <f>INDEX(LoadMaster!$CT:$CT,MATCH(Table2[[#This Row],[BrokerConfNo]],LoadMaster!$C:$C,0))</f>
        <v>0</v>
      </c>
      <c r="M460" s="550" t="str">
        <f>INDEX(LoadMaster!$AO:$AO,MATCH(Table2[[#This Row],[BrokerConfNo]],LoadMaster!$C:$C,0))</f>
        <v>Arturo</v>
      </c>
      <c r="N460" s="549">
        <f t="shared" si="44"/>
        <v>42517</v>
      </c>
      <c r="O460" s="242">
        <f t="shared" si="45"/>
        <v>42524</v>
      </c>
      <c r="P460" s="549">
        <f>INDEX(LoadMaster!$M:$M,MATCH(B460,LoadMaster!$C:$C,0))</f>
        <v>42516</v>
      </c>
      <c r="Q460" s="550" t="str">
        <f>INDEX(LoadMaster!$P:$P,MATCH(B460,LoadMaster!$C:$C,0))</f>
        <v>Tracy</v>
      </c>
      <c r="R460" s="550" t="str">
        <f>INDEX(LoadMaster!$AH:$AH,MATCH(B460,LoadMaster!$C:$C,0))</f>
        <v>SOUTH SAN FRANCISC</v>
      </c>
      <c r="S460" s="550" t="str">
        <f>INDEX(LoadMaster!$DC:$DC,MATCH(B460,LoadMaster!$C:$C,0))</f>
        <v>Sunny</v>
      </c>
      <c r="T460" s="567">
        <f>INDEX(LoadMaster!$DA:$DA,MATCH(B460,LoadMaster!$C:$C,0))</f>
        <v>21.779999999999973</v>
      </c>
      <c r="U460" s="243">
        <f>Table2[[#This Row],[WeekEndingDate]]+7</f>
        <v>42524</v>
      </c>
      <c r="V460" s="550">
        <f t="shared" si="46"/>
        <v>5</v>
      </c>
      <c r="W460" s="548">
        <f t="shared" si="47"/>
        <v>2016</v>
      </c>
    </row>
    <row r="461" spans="1:23">
      <c r="A461" s="550" t="str">
        <f>INDEX(LoadMaster!$A:$A,MATCH(B461,LoadMaster!$C:$C,0))</f>
        <v>47wnwn49</v>
      </c>
      <c r="B461" s="552">
        <v>202544747</v>
      </c>
      <c r="C461" s="550" t="str">
        <f>VLOOKUP(Table2[[#This Row],[BrokerConfNo]],LoadMaster!C:D,2,FALSE)</f>
        <v>Ch Robinson</v>
      </c>
      <c r="D461" s="549">
        <v>42559</v>
      </c>
      <c r="E461" s="548" t="str">
        <f>IF(Table2[[#This Row],[UBActualReceived]]&gt;1,"Received","Pending")</f>
        <v>Received</v>
      </c>
      <c r="F461" s="241">
        <f>INDEX(LoadMaster!$CU:$CU,MATCH(B461,LoadMaster!$C:$C,0))</f>
        <v>275</v>
      </c>
      <c r="G461" s="134">
        <f>INDEX(LoadMaster!$CX:$CX,MATCH(B461,LoadMaster!$C:$C,0))</f>
        <v>269.5</v>
      </c>
      <c r="H461" s="241">
        <f>INDEX(LoadMaster!$CW:$CW,MATCH(B461,LoadMaster!$C:$C,0))</f>
        <v>255.75</v>
      </c>
      <c r="I461" s="351">
        <v>269.5</v>
      </c>
      <c r="J461" s="533">
        <v>255.75</v>
      </c>
      <c r="K461" s="241" t="str">
        <f t="shared" si="43"/>
        <v>Full</v>
      </c>
      <c r="L461" s="241">
        <f>INDEX(LoadMaster!$CT:$CT,MATCH(Table2[[#This Row],[BrokerConfNo]],LoadMaster!$C:$C,0))</f>
        <v>0</v>
      </c>
      <c r="M461" s="550" t="str">
        <f>INDEX(LoadMaster!$AO:$AO,MATCH(Table2[[#This Row],[BrokerConfNo]],LoadMaster!$C:$C,0))</f>
        <v>Albel</v>
      </c>
      <c r="N461" s="549">
        <f t="shared" si="44"/>
        <v>42517</v>
      </c>
      <c r="O461" s="242">
        <f t="shared" si="45"/>
        <v>42531</v>
      </c>
      <c r="P461" s="549">
        <f>INDEX(LoadMaster!$M:$M,MATCH(B461,LoadMaster!$C:$C,0))</f>
        <v>42516</v>
      </c>
      <c r="Q461" s="550" t="str">
        <f>INDEX(LoadMaster!$P:$P,MATCH(B461,LoadMaster!$C:$C,0))</f>
        <v>Reno</v>
      </c>
      <c r="R461" s="550" t="str">
        <f>INDEX(LoadMaster!$AH:$AH,MATCH(B461,LoadMaster!$C:$C,0))</f>
        <v>SACRAMENTO</v>
      </c>
      <c r="S461" s="550" t="str">
        <f>INDEX(LoadMaster!$DC:$DC,MATCH(B461,LoadMaster!$C:$C,0))</f>
        <v>Sunny</v>
      </c>
      <c r="T461" s="567">
        <f>INDEX(LoadMaster!$DA:$DA,MATCH(B461,LoadMaster!$C:$C,0))</f>
        <v>13.75</v>
      </c>
      <c r="U461" s="243">
        <f>Table2[[#This Row],[WeekEndingDate]]+7</f>
        <v>42524</v>
      </c>
      <c r="V461" s="550">
        <f t="shared" si="46"/>
        <v>5</v>
      </c>
      <c r="W461" s="548">
        <f t="shared" si="47"/>
        <v>2016</v>
      </c>
    </row>
    <row r="462" spans="1:23" s="68" customFormat="1">
      <c r="A462" s="550" t="str">
        <f>INDEX(LoadMaster!$A:$A,MATCH(B462,LoadMaster!$C:$C,0))</f>
        <v>64010019</v>
      </c>
      <c r="B462" s="552">
        <v>4567664</v>
      </c>
      <c r="C462" s="550" t="str">
        <f>VLOOKUP(Table2[[#This Row],[BrokerConfNo]],LoadMaster!C:D,2,FALSE)</f>
        <v>Trinity Logistics</v>
      </c>
      <c r="D462" s="549">
        <v>42534</v>
      </c>
      <c r="E462" s="548" t="str">
        <f>IF(Table2[[#This Row],[UBActualReceived]]&gt;1,"Received","Pending")</f>
        <v>Received</v>
      </c>
      <c r="F462" s="241">
        <f>INDEX(LoadMaster!$CU:$CU,MATCH(B462,LoadMaster!$C:$C,0))</f>
        <v>400</v>
      </c>
      <c r="G462" s="134">
        <f>INDEX(LoadMaster!$CX:$CX,MATCH(B462,LoadMaster!$C:$C,0))</f>
        <v>392</v>
      </c>
      <c r="H462" s="241">
        <f>INDEX(LoadMaster!$CW:$CW,MATCH(B462,LoadMaster!$C:$C,0))</f>
        <v>372</v>
      </c>
      <c r="I462" s="338">
        <v>392</v>
      </c>
      <c r="J462" s="525">
        <v>372</v>
      </c>
      <c r="K462" s="241" t="str">
        <f t="shared" si="43"/>
        <v>Full</v>
      </c>
      <c r="L462" s="241">
        <f>INDEX(LoadMaster!$CT:$CT,MATCH(Table2[[#This Row],[BrokerConfNo]],LoadMaster!$C:$C,0))</f>
        <v>0</v>
      </c>
      <c r="M462" s="550" t="str">
        <f>INDEX(LoadMaster!$AO:$AO,MATCH(Table2[[#This Row],[BrokerConfNo]],LoadMaster!$C:$C,0))</f>
        <v>Miguel Jaime</v>
      </c>
      <c r="N462" s="549">
        <f t="shared" si="44"/>
        <v>42517</v>
      </c>
      <c r="O462" s="242">
        <f t="shared" si="45"/>
        <v>42524</v>
      </c>
      <c r="P462" s="549">
        <f>INDEX(LoadMaster!$M:$M,MATCH(B462,LoadMaster!$C:$C,0))</f>
        <v>42516</v>
      </c>
      <c r="Q462" s="550" t="str">
        <f>INDEX(LoadMaster!$P:$P,MATCH(B462,LoadMaster!$C:$C,0))</f>
        <v>Sparks</v>
      </c>
      <c r="R462" s="550" t="str">
        <f>INDEX(LoadMaster!$AH:$AH,MATCH(B462,LoadMaster!$C:$C,0))</f>
        <v>OAKLAND</v>
      </c>
      <c r="S462" s="550" t="str">
        <f>INDEX(LoadMaster!$DC:$DC,MATCH(B462,LoadMaster!$C:$C,0))</f>
        <v>Sunny</v>
      </c>
      <c r="T462" s="567">
        <f>INDEX(LoadMaster!$DA:$DA,MATCH(B462,LoadMaster!$C:$C,0))</f>
        <v>20</v>
      </c>
      <c r="U462" s="243">
        <f>Table2[[#This Row],[WeekEndingDate]]+7</f>
        <v>42524</v>
      </c>
      <c r="V462" s="550">
        <f t="shared" si="46"/>
        <v>5</v>
      </c>
      <c r="W462" s="548">
        <f t="shared" si="47"/>
        <v>2016</v>
      </c>
    </row>
    <row r="463" spans="1:23" s="68" customFormat="1">
      <c r="A463" s="550" t="str">
        <f>INDEX(LoadMaster!$A:$A,MATCH(B463,LoadMaster!$C:$C,0))</f>
        <v>9393wn49</v>
      </c>
      <c r="B463" s="552">
        <v>2044593</v>
      </c>
      <c r="C463" s="550" t="str">
        <f>VLOOKUP(Table2[[#This Row],[BrokerConfNo]],LoadMaster!C:D,2,FALSE)</f>
        <v>XPOLogistics</v>
      </c>
      <c r="D463" s="549">
        <v>42523</v>
      </c>
      <c r="E463" s="548" t="str">
        <f>IF(Table2[[#This Row],[UBActualReceived]]&gt;1,"Received","Pending")</f>
        <v>Received</v>
      </c>
      <c r="F463" s="241">
        <f>INDEX(LoadMaster!$CU:$CU,MATCH(B463,LoadMaster!$C:$C,0))</f>
        <v>425</v>
      </c>
      <c r="G463" s="134">
        <f>INDEX(LoadMaster!$CX:$CX,MATCH(B463,LoadMaster!$C:$C,0))</f>
        <v>412.25</v>
      </c>
      <c r="H463" s="241">
        <f>INDEX(LoadMaster!$CW:$CW,MATCH(B463,LoadMaster!$C:$C,0))</f>
        <v>395.25</v>
      </c>
      <c r="I463" s="338">
        <v>412.25</v>
      </c>
      <c r="J463" s="525">
        <v>395.25</v>
      </c>
      <c r="K463" s="241" t="str">
        <f t="shared" si="43"/>
        <v>Full</v>
      </c>
      <c r="L463" s="241">
        <f>INDEX(LoadMaster!$CT:$CT,MATCH(Table2[[#This Row],[BrokerConfNo]],LoadMaster!$C:$C,0))</f>
        <v>0</v>
      </c>
      <c r="M463" s="550" t="str">
        <f>INDEX(LoadMaster!$AO:$AO,MATCH(Table2[[#This Row],[BrokerConfNo]],LoadMaster!$C:$C,0))</f>
        <v>Albel</v>
      </c>
      <c r="N463" s="549">
        <f t="shared" si="44"/>
        <v>42517</v>
      </c>
      <c r="O463" s="242">
        <f t="shared" si="45"/>
        <v>42531</v>
      </c>
      <c r="P463" s="549">
        <f>INDEX(LoadMaster!$M:$M,MATCH(B463,LoadMaster!$C:$C,0))</f>
        <v>42517</v>
      </c>
      <c r="Q463" s="550" t="str">
        <f>INDEX(LoadMaster!$P:$P,MATCH(B463,LoadMaster!$C:$C,0))</f>
        <v>Sacramento</v>
      </c>
      <c r="R463" s="550" t="str">
        <f>INDEX(LoadMaster!$AH:$AH,MATCH(B463,LoadMaster!$C:$C,0))</f>
        <v>Dublin</v>
      </c>
      <c r="S463" s="550" t="str">
        <f>INDEX(LoadMaster!$DC:$DC,MATCH(B463,LoadMaster!$C:$C,0))</f>
        <v>Sunny</v>
      </c>
      <c r="T463" s="567">
        <f>INDEX(LoadMaster!$DA:$DA,MATCH(B463,LoadMaster!$C:$C,0))</f>
        <v>17</v>
      </c>
      <c r="U463" s="243">
        <f>Table2[[#This Row],[WeekEndingDate]]+7</f>
        <v>42524</v>
      </c>
      <c r="V463" s="550">
        <f t="shared" si="46"/>
        <v>5</v>
      </c>
      <c r="W463" s="548">
        <f t="shared" si="47"/>
        <v>2016</v>
      </c>
    </row>
    <row r="464" spans="1:23">
      <c r="A464" s="550" t="str">
        <f>INDEX(LoadMaster!$A:$A,MATCH(B464,LoadMaster!$C:$C,0))</f>
        <v>38839819</v>
      </c>
      <c r="B464" s="552">
        <v>202611838</v>
      </c>
      <c r="C464" s="550" t="str">
        <f>VLOOKUP(Table2[[#This Row],[BrokerConfNo]],LoadMaster!C:D,2,FALSE)</f>
        <v>Ch Robinson</v>
      </c>
      <c r="D464" s="549">
        <v>42537</v>
      </c>
      <c r="E464" s="548" t="str">
        <f>IF(Table2[[#This Row],[UBActualReceived]]&gt;1,"Received","Pending")</f>
        <v>Received</v>
      </c>
      <c r="F464" s="241">
        <f>INDEX(LoadMaster!$CU:$CU,MATCH(B464,LoadMaster!$C:$C,0))</f>
        <v>400</v>
      </c>
      <c r="G464" s="134">
        <f>INDEX(LoadMaster!$CX:$CX,MATCH(B464,LoadMaster!$C:$C,0))</f>
        <v>392</v>
      </c>
      <c r="H464" s="241">
        <f>INDEX(LoadMaster!$CW:$CW,MATCH(B464,LoadMaster!$C:$C,0))</f>
        <v>372</v>
      </c>
      <c r="I464" s="351">
        <v>392</v>
      </c>
      <c r="J464" s="533">
        <v>372</v>
      </c>
      <c r="K464" s="241" t="str">
        <f t="shared" si="43"/>
        <v>Full</v>
      </c>
      <c r="L464" s="241">
        <f>INDEX(LoadMaster!$CT:$CT,MATCH(Table2[[#This Row],[BrokerConfNo]],LoadMaster!$C:$C,0))</f>
        <v>0</v>
      </c>
      <c r="M464" s="550" t="str">
        <f>INDEX(LoadMaster!$AO:$AO,MATCH(Table2[[#This Row],[BrokerConfNo]],LoadMaster!$C:$C,0))</f>
        <v>Miguel Jaime</v>
      </c>
      <c r="N464" s="549">
        <f t="shared" si="44"/>
        <v>42517</v>
      </c>
      <c r="O464" s="242">
        <f t="shared" si="45"/>
        <v>42524</v>
      </c>
      <c r="P464" s="549">
        <f>INDEX(LoadMaster!$M:$M,MATCH(B464,LoadMaster!$C:$C,0))</f>
        <v>42517</v>
      </c>
      <c r="Q464" s="550" t="str">
        <f>INDEX(LoadMaster!$P:$P,MATCH(B464,LoadMaster!$C:$C,0))</f>
        <v>Richmond</v>
      </c>
      <c r="R464" s="550" t="str">
        <f>INDEX(LoadMaster!$AH:$AH,MATCH(B464,LoadMaster!$C:$C,0))</f>
        <v>MARTELL</v>
      </c>
      <c r="S464" s="550" t="str">
        <f>INDEX(LoadMaster!$DC:$DC,MATCH(B464,LoadMaster!$C:$C,0))</f>
        <v>Sunny</v>
      </c>
      <c r="T464" s="567">
        <f>INDEX(LoadMaster!$DA:$DA,MATCH(B464,LoadMaster!$C:$C,0))</f>
        <v>20</v>
      </c>
      <c r="U464" s="243">
        <f>Table2[[#This Row],[WeekEndingDate]]+7</f>
        <v>42524</v>
      </c>
      <c r="V464" s="550">
        <f t="shared" si="46"/>
        <v>5</v>
      </c>
      <c r="W464" s="548">
        <f t="shared" si="47"/>
        <v>2016</v>
      </c>
    </row>
    <row r="465" spans="1:23">
      <c r="A465" s="550" t="str">
        <f>INDEX(LoadMaster!$A:$A,MATCH(B465,LoadMaster!$C:$C,0))</f>
        <v>1732wn93</v>
      </c>
      <c r="B465" s="552">
        <v>202432217</v>
      </c>
      <c r="C465" s="550" t="str">
        <f>VLOOKUP(Table2[[#This Row],[BrokerConfNo]],LoadMaster!C:D,2,FALSE)</f>
        <v>Ch Robinson</v>
      </c>
      <c r="D465" s="549">
        <v>42545</v>
      </c>
      <c r="E465" s="548" t="str">
        <f>IF(Table2[[#This Row],[UBActualReceived]]&gt;1,"Received","Pending")</f>
        <v>Received</v>
      </c>
      <c r="F465" s="241">
        <f>INDEX(LoadMaster!$CU:$CU,MATCH(B465,LoadMaster!$C:$C,0))</f>
        <v>675</v>
      </c>
      <c r="G465" s="134">
        <f>INDEX(LoadMaster!$CX:$CX,MATCH(B465,LoadMaster!$C:$C,0))</f>
        <v>661.5</v>
      </c>
      <c r="H465" s="241">
        <f>INDEX(LoadMaster!$CW:$CW,MATCH(B465,LoadMaster!$C:$C,0))</f>
        <v>627.75</v>
      </c>
      <c r="I465" s="351">
        <v>661.5</v>
      </c>
      <c r="J465" s="533">
        <v>627.75</v>
      </c>
      <c r="K465" s="241" t="str">
        <f t="shared" si="43"/>
        <v>Full</v>
      </c>
      <c r="L465" s="241">
        <f>INDEX(LoadMaster!$CT:$CT,MATCH(Table2[[#This Row],[BrokerConfNo]],LoadMaster!$C:$C,0))</f>
        <v>0</v>
      </c>
      <c r="M465" s="550" t="str">
        <f>INDEX(LoadMaster!$AO:$AO,MATCH(Table2[[#This Row],[BrokerConfNo]],LoadMaster!$C:$C,0))</f>
        <v>Arturo</v>
      </c>
      <c r="N465" s="549">
        <f t="shared" si="44"/>
        <v>42517</v>
      </c>
      <c r="O465" s="242">
        <f t="shared" si="45"/>
        <v>42524</v>
      </c>
      <c r="P465" s="549">
        <f>INDEX(LoadMaster!$M:$M,MATCH(B465,LoadMaster!$C:$C,0))</f>
        <v>42517</v>
      </c>
      <c r="Q465" s="550" t="str">
        <f>INDEX(LoadMaster!$P:$P,MATCH(B465,LoadMaster!$C:$C,0))</f>
        <v>Hanford</v>
      </c>
      <c r="R465" s="550" t="str">
        <f>INDEX(LoadMaster!$AH:$AH,MATCH(B465,LoadMaster!$C:$C,0))</f>
        <v>Woodland / AUBURN / Placerville</v>
      </c>
      <c r="S465" s="550" t="str">
        <f>INDEX(LoadMaster!$DC:$DC,MATCH(B465,LoadMaster!$C:$C,0))</f>
        <v>Sunny</v>
      </c>
      <c r="T465" s="567">
        <f>INDEX(LoadMaster!$DA:$DA,MATCH(B465,LoadMaster!$C:$C,0))</f>
        <v>33.75</v>
      </c>
      <c r="U465" s="243">
        <f>Table2[[#This Row],[WeekEndingDate]]+7</f>
        <v>42524</v>
      </c>
      <c r="V465" s="550">
        <f t="shared" si="46"/>
        <v>5</v>
      </c>
      <c r="W465" s="548">
        <f t="shared" si="47"/>
        <v>2016</v>
      </c>
    </row>
    <row r="466" spans="1:23">
      <c r="A466" s="550" t="str">
        <f>INDEX(LoadMaster!$A:$A,MATCH(B466,LoadMaster!$C:$C,0))</f>
        <v>29ngwn93</v>
      </c>
      <c r="B466" s="552">
        <v>7022729</v>
      </c>
      <c r="C466" s="550" t="str">
        <f>VLOOKUP(Table2[[#This Row],[BrokerConfNo]],LoadMaster!C:D,2,FALSE)</f>
        <v>TQL</v>
      </c>
      <c r="D466" s="549">
        <v>42545</v>
      </c>
      <c r="E466" s="548" t="str">
        <f>IF(Table2[[#This Row],[UBActualReceived]]&gt;1,"Received","Pending")</f>
        <v>Received</v>
      </c>
      <c r="F466" s="241">
        <f>INDEX(LoadMaster!$CU:$CU,MATCH(B466,LoadMaster!$C:$C,0))</f>
        <v>400</v>
      </c>
      <c r="G466" s="134">
        <f>INDEX(LoadMaster!$CX:$CX,MATCH(B466,LoadMaster!$C:$C,0))</f>
        <v>388</v>
      </c>
      <c r="H466" s="241">
        <f>INDEX(LoadMaster!$CW:$CW,MATCH(B466,LoadMaster!$C:$C,0))</f>
        <v>372</v>
      </c>
      <c r="I466" s="351">
        <v>388</v>
      </c>
      <c r="J466" s="533">
        <v>372</v>
      </c>
      <c r="K466" s="241" t="str">
        <f t="shared" si="43"/>
        <v>Full</v>
      </c>
      <c r="L466" s="241">
        <f>INDEX(LoadMaster!$CT:$CT,MATCH(Table2[[#This Row],[BrokerConfNo]],LoadMaster!$C:$C,0))</f>
        <v>0</v>
      </c>
      <c r="M466" s="550" t="str">
        <f>INDEX(LoadMaster!$AO:$AO,MATCH(Table2[[#This Row],[BrokerConfNo]],LoadMaster!$C:$C,0))</f>
        <v>Arturo</v>
      </c>
      <c r="N466" s="549">
        <f t="shared" si="44"/>
        <v>42517</v>
      </c>
      <c r="O466" s="242">
        <f t="shared" si="45"/>
        <v>42524</v>
      </c>
      <c r="P466" s="549">
        <f>INDEX(LoadMaster!$M:$M,MATCH(B466,LoadMaster!$C:$C,0))</f>
        <v>42517</v>
      </c>
      <c r="Q466" s="550" t="str">
        <f>INDEX(LoadMaster!$P:$P,MATCH(B466,LoadMaster!$C:$C,0))</f>
        <v>Livermore</v>
      </c>
      <c r="R466" s="550" t="str">
        <f>INDEX(LoadMaster!$AH:$AH,MATCH(B466,LoadMaster!$C:$C,0))</f>
        <v xml:space="preserve">Fresno </v>
      </c>
      <c r="S466" s="550" t="str">
        <f>INDEX(LoadMaster!$DC:$DC,MATCH(B466,LoadMaster!$C:$C,0))</f>
        <v>Sunny</v>
      </c>
      <c r="T466" s="567">
        <f>INDEX(LoadMaster!$DA:$DA,MATCH(B466,LoadMaster!$C:$C,0))</f>
        <v>16</v>
      </c>
      <c r="U466" s="243">
        <f>Table2[[#This Row],[WeekEndingDate]]+7</f>
        <v>42524</v>
      </c>
      <c r="V466" s="550">
        <f t="shared" si="46"/>
        <v>5</v>
      </c>
      <c r="W466" s="548">
        <f t="shared" si="47"/>
        <v>2016</v>
      </c>
    </row>
    <row r="467" spans="1:23" s="68" customFormat="1">
      <c r="A467" s="550" t="str">
        <f>INDEX(LoadMaster!$A:$A,MATCH(B467,LoadMaster!$C:$C,0))</f>
        <v>66677949</v>
      </c>
      <c r="B467" s="552">
        <v>202401966</v>
      </c>
      <c r="C467" s="550" t="str">
        <f>VLOOKUP(Table2[[#This Row],[BrokerConfNo]],LoadMaster!C:D,2,FALSE)</f>
        <v>Ch Robinson</v>
      </c>
      <c r="D467" s="549">
        <v>42528</v>
      </c>
      <c r="E467" s="548" t="str">
        <f>IF(Table2[[#This Row],[UBActualReceived]]&gt;1,"Received","Pending")</f>
        <v>Received</v>
      </c>
      <c r="F467" s="241">
        <f>INDEX(LoadMaster!$CU:$CU,MATCH(B467,LoadMaster!$C:$C,0))</f>
        <v>285</v>
      </c>
      <c r="G467" s="134">
        <f>INDEX(LoadMaster!$CX:$CX,MATCH(B467,LoadMaster!$C:$C,0))</f>
        <v>279.3</v>
      </c>
      <c r="H467" s="241">
        <f>INDEX(LoadMaster!$CW:$CW,MATCH(B467,LoadMaster!$C:$C,0))</f>
        <v>264</v>
      </c>
      <c r="I467" s="338">
        <v>279.3</v>
      </c>
      <c r="J467" s="525">
        <v>264</v>
      </c>
      <c r="K467" s="241" t="str">
        <f t="shared" si="43"/>
        <v>Full</v>
      </c>
      <c r="L467" s="241">
        <f>INDEX(LoadMaster!$CT:$CT,MATCH(Table2[[#This Row],[BrokerConfNo]],LoadMaster!$C:$C,0))</f>
        <v>140</v>
      </c>
      <c r="M467" s="550" t="str">
        <f>INDEX(LoadMaster!$AO:$AO,MATCH(Table2[[#This Row],[BrokerConfNo]],LoadMaster!$C:$C,0))</f>
        <v>Albel</v>
      </c>
      <c r="N467" s="549">
        <f t="shared" si="44"/>
        <v>42517</v>
      </c>
      <c r="O467" s="242">
        <f t="shared" si="45"/>
        <v>42531</v>
      </c>
      <c r="P467" s="549">
        <f>INDEX(LoadMaster!$M:$M,MATCH(B467,LoadMaster!$C:$C,0))</f>
        <v>42519</v>
      </c>
      <c r="Q467" s="550" t="str">
        <f>INDEX(LoadMaster!$P:$P,MATCH(B467,LoadMaster!$C:$C,0))</f>
        <v>Tracy</v>
      </c>
      <c r="R467" s="550" t="str">
        <f>INDEX(LoadMaster!$AH:$AH,MATCH(B467,LoadMaster!$C:$C,0))</f>
        <v>TRACY</v>
      </c>
      <c r="S467" s="550" t="str">
        <f>INDEX(LoadMaster!$DC:$DC,MATCH(B467,LoadMaster!$C:$C,0))</f>
        <v>Sunny</v>
      </c>
      <c r="T467" s="567">
        <f>INDEX(LoadMaster!$DA:$DA,MATCH(B467,LoadMaster!$C:$C,0))</f>
        <v>15.3</v>
      </c>
      <c r="U467" s="243">
        <f>Table2[[#This Row],[WeekEndingDate]]+7</f>
        <v>42524</v>
      </c>
      <c r="V467" s="550">
        <f t="shared" si="46"/>
        <v>5</v>
      </c>
      <c r="W467" s="548">
        <f t="shared" si="47"/>
        <v>2016</v>
      </c>
    </row>
    <row r="468" spans="1:23">
      <c r="A468" s="550" t="str">
        <f>INDEX(LoadMaster!$A:$A,MATCH(B468,LoadMaster!$C:$C,0))</f>
        <v>29101019</v>
      </c>
      <c r="B468" s="552">
        <v>202881029</v>
      </c>
      <c r="C468" s="550" t="str">
        <f>VLOOKUP(Table2[[#This Row],[BrokerConfNo]],LoadMaster!C:D,2,FALSE)</f>
        <v>Ch Robinson</v>
      </c>
      <c r="D468" s="549">
        <v>42534</v>
      </c>
      <c r="E468" s="548" t="str">
        <f>IF(Table2[[#This Row],[UBActualReceived]]&gt;1,"Received","Pending")</f>
        <v>Received</v>
      </c>
      <c r="F468" s="241">
        <f>INDEX(LoadMaster!$CU:$CU,MATCH(B468,LoadMaster!$C:$C,0))</f>
        <v>500</v>
      </c>
      <c r="G468" s="134">
        <f>INDEX(LoadMaster!$CX:$CX,MATCH(B468,LoadMaster!$C:$C,0))</f>
        <v>490</v>
      </c>
      <c r="H468" s="241">
        <f>INDEX(LoadMaster!$CW:$CW,MATCH(B468,LoadMaster!$C:$C,0))</f>
        <v>465</v>
      </c>
      <c r="I468" s="351">
        <v>490</v>
      </c>
      <c r="J468" s="533">
        <v>465</v>
      </c>
      <c r="K468" s="241" t="str">
        <f t="shared" si="43"/>
        <v>Full</v>
      </c>
      <c r="L468" s="241">
        <f>INDEX(LoadMaster!$CT:$CT,MATCH(Table2[[#This Row],[BrokerConfNo]],LoadMaster!$C:$C,0))</f>
        <v>0</v>
      </c>
      <c r="M468" s="550" t="str">
        <f>INDEX(LoadMaster!$AO:$AO,MATCH(Table2[[#This Row],[BrokerConfNo]],LoadMaster!$C:$C,0))</f>
        <v>Miguel Jaime</v>
      </c>
      <c r="N468" s="549">
        <f t="shared" si="44"/>
        <v>42524</v>
      </c>
      <c r="O468" s="242">
        <f t="shared" si="45"/>
        <v>42531</v>
      </c>
      <c r="P468" s="549">
        <f>INDEX(LoadMaster!$M:$M,MATCH(B468,LoadMaster!$C:$C,0))</f>
        <v>42521</v>
      </c>
      <c r="Q468" s="550" t="str">
        <f>INDEX(LoadMaster!$P:$P,MATCH(B468,LoadMaster!$C:$C,0))</f>
        <v>STOCKTON</v>
      </c>
      <c r="R468" s="550" t="str">
        <f>INDEX(LoadMaster!$AH:$AH,MATCH(B468,LoadMaster!$C:$C,0))</f>
        <v>MINDEN</v>
      </c>
      <c r="S468" s="550" t="str">
        <f>INDEX(LoadMaster!$DC:$DC,MATCH(B468,LoadMaster!$C:$C,0))</f>
        <v>Sunny</v>
      </c>
      <c r="T468" s="567">
        <f>INDEX(LoadMaster!$DA:$DA,MATCH(B468,LoadMaster!$C:$C,0))</f>
        <v>25</v>
      </c>
      <c r="U468" s="243">
        <f>Table2[[#This Row],[WeekEndingDate]]+7</f>
        <v>42531</v>
      </c>
      <c r="V468" s="550">
        <f t="shared" si="46"/>
        <v>5</v>
      </c>
      <c r="W468" s="548">
        <f t="shared" si="47"/>
        <v>2016</v>
      </c>
    </row>
    <row r="469" spans="1:23">
      <c r="A469" s="550" t="str">
        <f>INDEX(LoadMaster!$A:$A,MATCH(B469,LoadMaster!$C:$C,0))</f>
        <v>14807419</v>
      </c>
      <c r="B469" s="552">
        <v>164614</v>
      </c>
      <c r="C469" s="550" t="str">
        <f>VLOOKUP(Table2[[#This Row],[BrokerConfNo]],LoadMaster!C:D,2,FALSE)</f>
        <v>Knight Logistics Llc</v>
      </c>
      <c r="D469" s="549">
        <v>42556</v>
      </c>
      <c r="E469" s="548" t="str">
        <f>IF(Table2[[#This Row],[UBActualReceived]]&gt;1,"Received","Pending")</f>
        <v>Received</v>
      </c>
      <c r="F469" s="241">
        <f>INDEX(LoadMaster!$CU:$CU,MATCH(B469,LoadMaster!$C:$C,0))</f>
        <v>150</v>
      </c>
      <c r="G469" s="134">
        <f>INDEX(LoadMaster!$CX:$CX,MATCH(B469,LoadMaster!$C:$C,0))</f>
        <v>145.5</v>
      </c>
      <c r="H469" s="241">
        <f>INDEX(LoadMaster!$CW:$CW,MATCH(B469,LoadMaster!$C:$C,0))</f>
        <v>150</v>
      </c>
      <c r="I469" s="351">
        <v>145.5</v>
      </c>
      <c r="J469" s="533">
        <v>150</v>
      </c>
      <c r="K469" s="241" t="str">
        <f t="shared" si="43"/>
        <v>Full</v>
      </c>
      <c r="L469" s="241">
        <f>INDEX(LoadMaster!$CT:$CT,MATCH(Table2[[#This Row],[BrokerConfNo]],LoadMaster!$C:$C,0))</f>
        <v>0</v>
      </c>
      <c r="M469" s="550" t="str">
        <f>INDEX(LoadMaster!$AO:$AO,MATCH(Table2[[#This Row],[BrokerConfNo]],LoadMaster!$C:$C,0))</f>
        <v>Miguel Jaime</v>
      </c>
      <c r="N469" s="549">
        <f t="shared" si="44"/>
        <v>42524</v>
      </c>
      <c r="O469" s="242">
        <f t="shared" si="45"/>
        <v>42531</v>
      </c>
      <c r="P469" s="549">
        <f>INDEX(LoadMaster!$M:$M,MATCH(B469,LoadMaster!$C:$C,0))</f>
        <v>42521</v>
      </c>
      <c r="Q469" s="550" t="str">
        <f>INDEX(LoadMaster!$P:$P,MATCH(B469,LoadMaster!$C:$C,0))</f>
        <v>Stockton</v>
      </c>
      <c r="R469" s="550" t="str">
        <f>INDEX(LoadMaster!$AH:$AH,MATCH(B469,LoadMaster!$C:$C,0))</f>
        <v>Reno</v>
      </c>
      <c r="S469" s="550" t="str">
        <f>INDEX(LoadMaster!$DC:$DC,MATCH(B469,LoadMaster!$C:$C,0))</f>
        <v>Sunny</v>
      </c>
      <c r="T469" s="567">
        <f>INDEX(LoadMaster!$DA:$DA,MATCH(B469,LoadMaster!$C:$C,0))</f>
        <v>-4.5</v>
      </c>
      <c r="U469" s="243">
        <f>Table2[[#This Row],[WeekEndingDate]]+7</f>
        <v>42531</v>
      </c>
      <c r="V469" s="550">
        <f t="shared" si="46"/>
        <v>5</v>
      </c>
      <c r="W469" s="548">
        <f t="shared" si="47"/>
        <v>2016</v>
      </c>
    </row>
    <row r="470" spans="1:23">
      <c r="A470" s="550" t="str">
        <f>INDEX(LoadMaster!$A:$A,MATCH(B470,LoadMaster!$C:$C,0))</f>
        <v>44wnwn93</v>
      </c>
      <c r="B470" s="552">
        <v>379944</v>
      </c>
      <c r="C470" s="550" t="str">
        <f>VLOOKUP(Table2[[#This Row],[BrokerConfNo]],LoadMaster!C:D,2,FALSE)</f>
        <v>R2 Logistics</v>
      </c>
      <c r="D470" s="549">
        <v>42546</v>
      </c>
      <c r="E470" s="548" t="str">
        <f>IF(Table2[[#This Row],[UBActualReceived]]&gt;1,"Received","Pending")</f>
        <v>Received</v>
      </c>
      <c r="F470" s="241">
        <f>INDEX(LoadMaster!$CU:$CU,MATCH(B470,LoadMaster!$C:$C,0))</f>
        <v>325</v>
      </c>
      <c r="G470" s="134">
        <f>INDEX(LoadMaster!$CX:$CX,MATCH(B470,LoadMaster!$C:$C,0))</f>
        <v>312</v>
      </c>
      <c r="H470" s="241">
        <f>INDEX(LoadMaster!$CW:$CW,MATCH(B470,LoadMaster!$C:$C,0))</f>
        <v>302.25</v>
      </c>
      <c r="I470" s="351">
        <v>312</v>
      </c>
      <c r="J470" s="533">
        <v>302.25</v>
      </c>
      <c r="K470" s="241" t="str">
        <f t="shared" si="43"/>
        <v>Full</v>
      </c>
      <c r="L470" s="241">
        <f>INDEX(LoadMaster!$CT:$CT,MATCH(Table2[[#This Row],[BrokerConfNo]],LoadMaster!$C:$C,0))</f>
        <v>0</v>
      </c>
      <c r="M470" s="550" t="str">
        <f>INDEX(LoadMaster!$AO:$AO,MATCH(Table2[[#This Row],[BrokerConfNo]],LoadMaster!$C:$C,0))</f>
        <v>Arturo</v>
      </c>
      <c r="N470" s="549">
        <f t="shared" si="44"/>
        <v>42524</v>
      </c>
      <c r="O470" s="242">
        <f t="shared" si="45"/>
        <v>42531</v>
      </c>
      <c r="P470" s="549">
        <f>INDEX(LoadMaster!$M:$M,MATCH(B470,LoadMaster!$C:$C,0))</f>
        <v>42521</v>
      </c>
      <c r="Q470" s="550" t="str">
        <f>INDEX(LoadMaster!$P:$P,MATCH(B470,LoadMaster!$C:$C,0))</f>
        <v>Vacaville</v>
      </c>
      <c r="R470" s="550" t="str">
        <f>INDEX(LoadMaster!$AH:$AH,MATCH(B470,LoadMaster!$C:$C,0))</f>
        <v>Newark</v>
      </c>
      <c r="S470" s="550" t="str">
        <f>INDEX(LoadMaster!$DC:$DC,MATCH(B470,LoadMaster!$C:$C,0))</f>
        <v>Sunny</v>
      </c>
      <c r="T470" s="567">
        <f>INDEX(LoadMaster!$DA:$DA,MATCH(B470,LoadMaster!$C:$C,0))</f>
        <v>9.75</v>
      </c>
      <c r="U470" s="243">
        <f>Table2[[#This Row],[WeekEndingDate]]+7</f>
        <v>42531</v>
      </c>
      <c r="V470" s="550">
        <f t="shared" si="46"/>
        <v>5</v>
      </c>
      <c r="W470" s="548">
        <f t="shared" si="47"/>
        <v>2016</v>
      </c>
    </row>
    <row r="471" spans="1:23" s="68" customFormat="1">
      <c r="A471" s="550" t="str">
        <f>INDEX(LoadMaster!$A:$A,MATCH(B471,LoadMaster!$C:$C,0))</f>
        <v>41060649</v>
      </c>
      <c r="B471" s="552">
        <v>7028741</v>
      </c>
      <c r="C471" s="550" t="str">
        <f>VLOOKUP(Table2[[#This Row],[BrokerConfNo]],LoadMaster!C:D,2,FALSE)</f>
        <v>TQL</v>
      </c>
      <c r="D471" s="549">
        <v>42532</v>
      </c>
      <c r="E471" s="548" t="str">
        <f>IF(Table2[[#This Row],[UBActualReceived]]&gt;1,"Received","Pending")</f>
        <v>Received</v>
      </c>
      <c r="F471" s="241">
        <f>INDEX(LoadMaster!$CU:$CU,MATCH(B471,LoadMaster!$C:$C,0))</f>
        <v>450</v>
      </c>
      <c r="G471" s="134">
        <f>INDEX(LoadMaster!$CX:$CX,MATCH(B471,LoadMaster!$C:$C,0))</f>
        <v>436.5</v>
      </c>
      <c r="H471" s="241">
        <f>INDEX(LoadMaster!$CW:$CW,MATCH(B471,LoadMaster!$C:$C,0))</f>
        <v>418.5</v>
      </c>
      <c r="I471" s="338">
        <v>436.5</v>
      </c>
      <c r="J471" s="525">
        <v>418.5</v>
      </c>
      <c r="K471" s="241" t="str">
        <f t="shared" si="43"/>
        <v>Full</v>
      </c>
      <c r="L471" s="241">
        <f>INDEX(LoadMaster!$CT:$CT,MATCH(Table2[[#This Row],[BrokerConfNo]],LoadMaster!$C:$C,0))</f>
        <v>0</v>
      </c>
      <c r="M471" s="550" t="str">
        <f>INDEX(LoadMaster!$AO:$AO,MATCH(Table2[[#This Row],[BrokerConfNo]],LoadMaster!$C:$C,0))</f>
        <v>Albel</v>
      </c>
      <c r="N471" s="549">
        <f t="shared" si="44"/>
        <v>42524</v>
      </c>
      <c r="O471" s="242">
        <f t="shared" si="45"/>
        <v>42538</v>
      </c>
      <c r="P471" s="549">
        <f>INDEX(LoadMaster!$M:$M,MATCH(B471,LoadMaster!$C:$C,0))</f>
        <v>42521</v>
      </c>
      <c r="Q471" s="550" t="str">
        <f>INDEX(LoadMaster!$P:$P,MATCH(B471,LoadMaster!$C:$C,0))</f>
        <v>LODI</v>
      </c>
      <c r="R471" s="550" t="str">
        <f>INDEX(LoadMaster!$AH:$AH,MATCH(B471,LoadMaster!$C:$C,0))</f>
        <v>OAKLAND</v>
      </c>
      <c r="S471" s="550" t="str">
        <f>INDEX(LoadMaster!$DC:$DC,MATCH(B471,LoadMaster!$C:$C,0))</f>
        <v>Sunny</v>
      </c>
      <c r="T471" s="567">
        <f>INDEX(LoadMaster!$DA:$DA,MATCH(B471,LoadMaster!$C:$C,0))</f>
        <v>18</v>
      </c>
      <c r="U471" s="243">
        <f>Table2[[#This Row],[WeekEndingDate]]+7</f>
        <v>42531</v>
      </c>
      <c r="V471" s="550">
        <f t="shared" si="46"/>
        <v>5</v>
      </c>
      <c r="W471" s="548">
        <f t="shared" si="47"/>
        <v>2016</v>
      </c>
    </row>
    <row r="472" spans="1:23" s="68" customFormat="1">
      <c r="A472" s="550" t="str">
        <f>INDEX(LoadMaster!$A:$A,MATCH(B472,LoadMaster!$C:$C,0))</f>
        <v>13842919</v>
      </c>
      <c r="B472" s="552">
        <v>2049113</v>
      </c>
      <c r="C472" s="550" t="str">
        <f>VLOOKUP(Table2[[#This Row],[BrokerConfNo]],LoadMaster!C:D,2,FALSE)</f>
        <v>XPOLogistics</v>
      </c>
      <c r="D472" s="549">
        <v>42529</v>
      </c>
      <c r="E472" s="548" t="str">
        <f>IF(Table2[[#This Row],[UBActualReceived]]&gt;1,"Received","Pending")</f>
        <v>Received</v>
      </c>
      <c r="F472" s="241">
        <f>INDEX(LoadMaster!$CU:$CU,MATCH(B472,LoadMaster!$C:$C,0))</f>
        <v>850</v>
      </c>
      <c r="G472" s="134">
        <f>INDEX(LoadMaster!$CX:$CX,MATCH(B472,LoadMaster!$C:$C,0))</f>
        <v>824.5</v>
      </c>
      <c r="H472" s="241">
        <f>INDEX(LoadMaster!$CW:$CW,MATCH(B472,LoadMaster!$C:$C,0))</f>
        <v>790.5</v>
      </c>
      <c r="I472" s="338">
        <v>824.5</v>
      </c>
      <c r="J472" s="525">
        <v>790.5</v>
      </c>
      <c r="K472" s="241" t="str">
        <f t="shared" si="43"/>
        <v>Full</v>
      </c>
      <c r="L472" s="241">
        <f>INDEX(LoadMaster!$CT:$CT,MATCH(Table2[[#This Row],[BrokerConfNo]],LoadMaster!$C:$C,0))</f>
        <v>0</v>
      </c>
      <c r="M472" s="550" t="str">
        <f>INDEX(LoadMaster!$AO:$AO,MATCH(Table2[[#This Row],[BrokerConfNo]],LoadMaster!$C:$C,0))</f>
        <v>Miguel Jaime</v>
      </c>
      <c r="N472" s="549">
        <f t="shared" si="44"/>
        <v>42524</v>
      </c>
      <c r="O472" s="242">
        <f t="shared" si="45"/>
        <v>42531</v>
      </c>
      <c r="P472" s="549">
        <f>INDEX(LoadMaster!$M:$M,MATCH(B472,LoadMaster!$C:$C,0))</f>
        <v>42522</v>
      </c>
      <c r="Q472" s="550" t="str">
        <f>INDEX(LoadMaster!$P:$P,MATCH(B472,LoadMaster!$C:$C,0))</f>
        <v>Minden</v>
      </c>
      <c r="R472" s="550" t="str">
        <f>INDEX(LoadMaster!$AH:$AH,MATCH(B472,LoadMaster!$C:$C,0))</f>
        <v>Henderson</v>
      </c>
      <c r="S472" s="550" t="str">
        <f>INDEX(LoadMaster!$DC:$DC,MATCH(B472,LoadMaster!$C:$C,0))</f>
        <v>Sunny</v>
      </c>
      <c r="T472" s="567">
        <f>INDEX(LoadMaster!$DA:$DA,MATCH(B472,LoadMaster!$C:$C,0))</f>
        <v>34</v>
      </c>
      <c r="U472" s="243">
        <f>Table2[[#This Row],[WeekEndingDate]]+7</f>
        <v>42531</v>
      </c>
      <c r="V472" s="550">
        <f t="shared" si="46"/>
        <v>6</v>
      </c>
      <c r="W472" s="548">
        <f t="shared" si="47"/>
        <v>2016</v>
      </c>
    </row>
    <row r="473" spans="1:23">
      <c r="A473" s="550" t="str">
        <f>INDEX(LoadMaster!$A:$A,MATCH(B473,LoadMaster!$C:$C,0))</f>
        <v>34ngwn49</v>
      </c>
      <c r="B473" s="552">
        <v>1073534</v>
      </c>
      <c r="C473" s="550" t="str">
        <f>VLOOKUP(Table2[[#This Row],[BrokerConfNo]],LoadMaster!C:D,2,FALSE)</f>
        <v>Cargo Chief</v>
      </c>
      <c r="D473" s="549">
        <v>42537</v>
      </c>
      <c r="E473" s="548" t="str">
        <f>IF(Table2[[#This Row],[UBActualReceived]]&gt;1,"Received","Pending")</f>
        <v>Received</v>
      </c>
      <c r="F473" s="241">
        <f>INDEX(LoadMaster!$CU:$CU,MATCH(B473,LoadMaster!$C:$C,0))</f>
        <v>650</v>
      </c>
      <c r="G473" s="134">
        <f>INDEX(LoadMaster!$CX:$CX,MATCH(B473,LoadMaster!$C:$C,0))</f>
        <v>650</v>
      </c>
      <c r="H473" s="241">
        <f>INDEX(LoadMaster!$CW:$CW,MATCH(B473,LoadMaster!$C:$C,0))</f>
        <v>604.5</v>
      </c>
      <c r="I473" s="351">
        <v>650</v>
      </c>
      <c r="J473" s="533">
        <v>604.5</v>
      </c>
      <c r="K473" s="241" t="str">
        <f t="shared" si="43"/>
        <v>Full</v>
      </c>
      <c r="L473" s="241">
        <f>INDEX(LoadMaster!$CT:$CT,MATCH(Table2[[#This Row],[BrokerConfNo]],LoadMaster!$C:$C,0))</f>
        <v>0</v>
      </c>
      <c r="M473" s="550" t="str">
        <f>INDEX(LoadMaster!$AO:$AO,MATCH(Table2[[#This Row],[BrokerConfNo]],LoadMaster!$C:$C,0))</f>
        <v>Albel</v>
      </c>
      <c r="N473" s="549">
        <f t="shared" si="44"/>
        <v>42524</v>
      </c>
      <c r="O473" s="242">
        <f t="shared" si="45"/>
        <v>42538</v>
      </c>
      <c r="P473" s="549">
        <f>INDEX(LoadMaster!$M:$M,MATCH(B473,LoadMaster!$C:$C,0))</f>
        <v>42522</v>
      </c>
      <c r="Q473" s="550" t="str">
        <f>INDEX(LoadMaster!$P:$P,MATCH(B473,LoadMaster!$C:$C,0))</f>
        <v>OAKLAND</v>
      </c>
      <c r="R473" s="550" t="str">
        <f>INDEX(LoadMaster!$AH:$AH,MATCH(B473,LoadMaster!$C:$C,0))</f>
        <v>McCarren</v>
      </c>
      <c r="S473" s="550" t="str">
        <f>INDEX(LoadMaster!$DC:$DC,MATCH(B473,LoadMaster!$C:$C,0))</f>
        <v>Sunny</v>
      </c>
      <c r="T473" s="567">
        <f>INDEX(LoadMaster!$DA:$DA,MATCH(B473,LoadMaster!$C:$C,0))</f>
        <v>45.5</v>
      </c>
      <c r="U473" s="243">
        <f>Table2[[#This Row],[WeekEndingDate]]+7</f>
        <v>42531</v>
      </c>
      <c r="V473" s="550">
        <f t="shared" si="46"/>
        <v>6</v>
      </c>
      <c r="W473" s="548">
        <f t="shared" si="47"/>
        <v>2016</v>
      </c>
    </row>
    <row r="474" spans="1:23">
      <c r="A474" s="550" t="str">
        <f>INDEX(LoadMaster!$A:$A,MATCH(B474,LoadMaster!$C:$C,0))</f>
        <v>52wnwn49</v>
      </c>
      <c r="B474" s="552" t="s">
        <v>3042</v>
      </c>
      <c r="C474" s="550" t="str">
        <f>VLOOKUP(Table2[[#This Row],[BrokerConfNo]],LoadMaster!C:D,2,FALSE)</f>
        <v>Ray Brothers Transportation Inc.</v>
      </c>
      <c r="D474" s="550"/>
      <c r="E474" s="548" t="str">
        <f>IF(Table2[[#This Row],[UBActualReceived]]&gt;1,"Received","Pending")</f>
        <v>Pending</v>
      </c>
      <c r="F474" s="241">
        <f>INDEX(LoadMaster!$CU:$CU,MATCH(B474,LoadMaster!$C:$C,0))</f>
        <v>700</v>
      </c>
      <c r="G474" s="134">
        <f>INDEX(LoadMaster!$CX:$CX,MATCH(B474,LoadMaster!$C:$C,0))</f>
        <v>700</v>
      </c>
      <c r="H474" s="241">
        <f>INDEX(LoadMaster!$CW:$CW,MATCH(B474,LoadMaster!$C:$C,0))</f>
        <v>651</v>
      </c>
      <c r="I474" s="351"/>
      <c r="J474" s="533">
        <v>651</v>
      </c>
      <c r="K474" s="241" t="str">
        <f t="shared" si="43"/>
        <v>Less</v>
      </c>
      <c r="L474" s="241">
        <f>INDEX(LoadMaster!$CT:$CT,MATCH(Table2[[#This Row],[BrokerConfNo]],LoadMaster!$C:$C,0))</f>
        <v>0</v>
      </c>
      <c r="M474" s="550" t="str">
        <f>INDEX(LoadMaster!$AO:$AO,MATCH(Table2[[#This Row],[BrokerConfNo]],LoadMaster!$C:$C,0))</f>
        <v>Albel</v>
      </c>
      <c r="N474" s="549">
        <f t="shared" si="44"/>
        <v>42524</v>
      </c>
      <c r="O474" s="242">
        <f t="shared" si="45"/>
        <v>42538</v>
      </c>
      <c r="P474" s="549">
        <f>INDEX(LoadMaster!$M:$M,MATCH(B474,LoadMaster!$C:$C,0))</f>
        <v>42523</v>
      </c>
      <c r="Q474" s="550" t="str">
        <f>INDEX(LoadMaster!$P:$P,MATCH(B474,LoadMaster!$C:$C,0))</f>
        <v>FERNLEY</v>
      </c>
      <c r="R474" s="550" t="str">
        <f>INDEX(LoadMaster!$AH:$AH,MATCH(B474,LoadMaster!$C:$C,0))</f>
        <v>KING CITY</v>
      </c>
      <c r="S474" s="550" t="str">
        <f>INDEX(LoadMaster!$DC:$DC,MATCH(B474,LoadMaster!$C:$C,0))</f>
        <v>Sunny</v>
      </c>
      <c r="T474" s="567">
        <f>INDEX(LoadMaster!$DA:$DA,MATCH(B474,LoadMaster!$C:$C,0))</f>
        <v>49</v>
      </c>
      <c r="U474" s="243">
        <f>Table2[[#This Row],[WeekEndingDate]]+7</f>
        <v>42531</v>
      </c>
      <c r="V474" s="550">
        <f t="shared" si="46"/>
        <v>6</v>
      </c>
      <c r="W474" s="548">
        <f t="shared" si="47"/>
        <v>2016</v>
      </c>
    </row>
    <row r="475" spans="1:23" s="68" customFormat="1">
      <c r="A475" s="550" t="str">
        <f>INDEX(LoadMaster!$A:$A,MATCH(B475,LoadMaster!$C:$C,0))</f>
        <v>98wn9819</v>
      </c>
      <c r="B475" s="552">
        <v>7039098</v>
      </c>
      <c r="C475" s="550" t="str">
        <f>VLOOKUP(Table2[[#This Row],[BrokerConfNo]],LoadMaster!C:D,2,FALSE)</f>
        <v>TQL</v>
      </c>
      <c r="D475" s="549">
        <v>42532</v>
      </c>
      <c r="E475" s="548" t="str">
        <f>IF(Table2[[#This Row],[UBActualReceived]]&gt;1,"Received","Pending")</f>
        <v>Received</v>
      </c>
      <c r="F475" s="241">
        <f>INDEX(LoadMaster!$CU:$CU,MATCH(B475,LoadMaster!$C:$C,0))</f>
        <v>400</v>
      </c>
      <c r="G475" s="134">
        <f>INDEX(LoadMaster!$CX:$CX,MATCH(B475,LoadMaster!$C:$C,0))</f>
        <v>388</v>
      </c>
      <c r="H475" s="241">
        <f>INDEX(LoadMaster!$CW:$CW,MATCH(B475,LoadMaster!$C:$C,0))</f>
        <v>372</v>
      </c>
      <c r="I475" s="338">
        <v>388</v>
      </c>
      <c r="J475" s="525">
        <v>372</v>
      </c>
      <c r="K475" s="241" t="str">
        <f t="shared" si="43"/>
        <v>Full</v>
      </c>
      <c r="L475" s="241">
        <f>INDEX(LoadMaster!$CT:$CT,MATCH(Table2[[#This Row],[BrokerConfNo]],LoadMaster!$C:$C,0))</f>
        <v>0</v>
      </c>
      <c r="M475" s="550" t="str">
        <f>INDEX(LoadMaster!$AO:$AO,MATCH(Table2[[#This Row],[BrokerConfNo]],LoadMaster!$C:$C,0))</f>
        <v>Miguel Jaime</v>
      </c>
      <c r="N475" s="549">
        <f t="shared" si="44"/>
        <v>42524</v>
      </c>
      <c r="O475" s="242">
        <f t="shared" si="45"/>
        <v>42531</v>
      </c>
      <c r="P475" s="549">
        <f>INDEX(LoadMaster!$M:$M,MATCH(B475,LoadMaster!$C:$C,0))</f>
        <v>42523</v>
      </c>
      <c r="Q475" s="550" t="str">
        <f>INDEX(LoadMaster!$P:$P,MATCH(B475,LoadMaster!$C:$C,0))</f>
        <v>Sandy Valley</v>
      </c>
      <c r="R475" s="550" t="str">
        <f>INDEX(LoadMaster!$AH:$AH,MATCH(B475,LoadMaster!$C:$C,0))</f>
        <v>LONG BEACH</v>
      </c>
      <c r="S475" s="550" t="str">
        <f>INDEX(LoadMaster!$DC:$DC,MATCH(B475,LoadMaster!$C:$C,0))</f>
        <v>Sunny</v>
      </c>
      <c r="T475" s="567">
        <f>INDEX(LoadMaster!$DA:$DA,MATCH(B475,LoadMaster!$C:$C,0))</f>
        <v>16</v>
      </c>
      <c r="U475" s="243">
        <f>Table2[[#This Row],[WeekEndingDate]]+7</f>
        <v>42531</v>
      </c>
      <c r="V475" s="550">
        <f t="shared" si="46"/>
        <v>6</v>
      </c>
      <c r="W475" s="548">
        <f t="shared" si="47"/>
        <v>2016</v>
      </c>
    </row>
    <row r="476" spans="1:23">
      <c r="A476" s="550" t="str">
        <f>INDEX(LoadMaster!$A:$A,MATCH(B476,LoadMaster!$C:$C,0))</f>
        <v>3098wn19</v>
      </c>
      <c r="B476" s="552">
        <v>203130730</v>
      </c>
      <c r="C476" s="550" t="str">
        <f>VLOOKUP(Table2[[#This Row],[BrokerConfNo]],LoadMaster!C:D,2,FALSE)</f>
        <v>Ch Robinson</v>
      </c>
      <c r="D476" s="549">
        <v>42534</v>
      </c>
      <c r="E476" s="548" t="str">
        <f>IF(Table2[[#This Row],[UBActualReceived]]&gt;1,"Received","Pending")</f>
        <v>Received</v>
      </c>
      <c r="F476" s="241">
        <f>INDEX(LoadMaster!$CU:$CU,MATCH(B476,LoadMaster!$C:$C,0))</f>
        <v>1045</v>
      </c>
      <c r="G476" s="134">
        <f>INDEX(LoadMaster!$CX:$CX,MATCH(B476,LoadMaster!$C:$C,0))</f>
        <v>1024.0999999999999</v>
      </c>
      <c r="H476" s="241">
        <f>INDEX(LoadMaster!$CW:$CW,MATCH(B476,LoadMaster!$C:$C,0))</f>
        <v>1023.85</v>
      </c>
      <c r="I476" s="351">
        <v>1025</v>
      </c>
      <c r="J476" s="533">
        <v>1023.85</v>
      </c>
      <c r="K476" s="241" t="str">
        <f t="shared" si="43"/>
        <v>Full</v>
      </c>
      <c r="L476" s="241">
        <f>INDEX(LoadMaster!$CT:$CT,MATCH(Table2[[#This Row],[BrokerConfNo]],LoadMaster!$C:$C,0))</f>
        <v>45</v>
      </c>
      <c r="M476" s="550" t="str">
        <f>INDEX(LoadMaster!$AO:$AO,MATCH(Table2[[#This Row],[BrokerConfNo]],LoadMaster!$C:$C,0))</f>
        <v>Miguel Jaime</v>
      </c>
      <c r="N476" s="549">
        <f t="shared" si="44"/>
        <v>42524</v>
      </c>
      <c r="O476" s="242">
        <f t="shared" si="45"/>
        <v>42531</v>
      </c>
      <c r="P476" s="549">
        <f>INDEX(LoadMaster!$M:$M,MATCH(B476,LoadMaster!$C:$C,0))</f>
        <v>42524</v>
      </c>
      <c r="Q476" s="550" t="str">
        <f>INDEX(LoadMaster!$P:$P,MATCH(B476,LoadMaster!$C:$C,0))</f>
        <v>CARSON</v>
      </c>
      <c r="R476" s="550" t="str">
        <f>INDEX(LoadMaster!$AH:$AH,MATCH(B476,LoadMaster!$C:$C,0))</f>
        <v>STOCKTON</v>
      </c>
      <c r="S476" s="550" t="str">
        <f>INDEX(LoadMaster!$DC:$DC,MATCH(B476,LoadMaster!$C:$C,0))</f>
        <v>Sunny</v>
      </c>
      <c r="T476" s="567">
        <f>INDEX(LoadMaster!$DA:$DA,MATCH(B476,LoadMaster!$C:$C,0))</f>
        <v>0.24999999999997513</v>
      </c>
      <c r="U476" s="243">
        <f>Table2[[#This Row],[WeekEndingDate]]+7</f>
        <v>42531</v>
      </c>
      <c r="V476" s="550">
        <f t="shared" si="46"/>
        <v>6</v>
      </c>
      <c r="W476" s="548">
        <f t="shared" si="47"/>
        <v>2016</v>
      </c>
    </row>
    <row r="477" spans="1:23">
      <c r="A477" s="550" t="str">
        <f>INDEX(LoadMaster!$A:$A,MATCH(B477,LoadMaster!$C:$C,0))</f>
        <v>3154wn49</v>
      </c>
      <c r="B477" s="552" t="s">
        <v>3057</v>
      </c>
      <c r="C477" s="550" t="str">
        <f>VLOOKUP(Table2[[#This Row],[BrokerConfNo]],LoadMaster!C:D,2,FALSE)</f>
        <v>Schenider</v>
      </c>
      <c r="D477" s="550"/>
      <c r="E477" s="548" t="str">
        <f>IF(Table2[[#This Row],[UBActualReceived]]&gt;1,"Received","Pending")</f>
        <v>Pending</v>
      </c>
      <c r="F477" s="241">
        <f>INDEX(LoadMaster!$CU:$CU,MATCH(B477,LoadMaster!$C:$C,0))</f>
        <v>650</v>
      </c>
      <c r="G477" s="134">
        <f>INDEX(LoadMaster!$CX:$CX,MATCH(B477,LoadMaster!$C:$C,0))</f>
        <v>650</v>
      </c>
      <c r="H477" s="241">
        <f>INDEX(LoadMaster!$CW:$CW,MATCH(B477,LoadMaster!$C:$C,0))</f>
        <v>604.5</v>
      </c>
      <c r="I477" s="351"/>
      <c r="J477" s="533">
        <v>604.5</v>
      </c>
      <c r="K477" s="241" t="str">
        <f t="shared" si="43"/>
        <v>Less</v>
      </c>
      <c r="L477" s="241">
        <f>INDEX(LoadMaster!$CT:$CT,MATCH(Table2[[#This Row],[BrokerConfNo]],LoadMaster!$C:$C,0))</f>
        <v>0</v>
      </c>
      <c r="M477" s="550" t="str">
        <f>INDEX(LoadMaster!$AO:$AO,MATCH(Table2[[#This Row],[BrokerConfNo]],LoadMaster!$C:$C,0))</f>
        <v>Albel</v>
      </c>
      <c r="N477" s="549">
        <f t="shared" si="44"/>
        <v>42524</v>
      </c>
      <c r="O477" s="242">
        <f t="shared" si="45"/>
        <v>42538</v>
      </c>
      <c r="P477" s="549">
        <f>INDEX(LoadMaster!$M:$M,MATCH(B477,LoadMaster!$C:$C,0))</f>
        <v>42524</v>
      </c>
      <c r="Q477" s="550" t="str">
        <f>INDEX(LoadMaster!$P:$P,MATCH(B477,LoadMaster!$C:$C,0))</f>
        <v>San Jose</v>
      </c>
      <c r="R477" s="550" t="str">
        <f>INDEX(LoadMaster!$AH:$AH,MATCH(B477,LoadMaster!$C:$C,0))</f>
        <v>RENO</v>
      </c>
      <c r="S477" s="550" t="str">
        <f>INDEX(LoadMaster!$DC:$DC,MATCH(B477,LoadMaster!$C:$C,0))</f>
        <v>Sunny</v>
      </c>
      <c r="T477" s="567">
        <f>INDEX(LoadMaster!$DA:$DA,MATCH(B477,LoadMaster!$C:$C,0))</f>
        <v>45.5</v>
      </c>
      <c r="U477" s="243">
        <f>Table2[[#This Row],[WeekEndingDate]]+7</f>
        <v>42531</v>
      </c>
      <c r="V477" s="550">
        <f t="shared" si="46"/>
        <v>6</v>
      </c>
      <c r="W477" s="548">
        <f t="shared" si="47"/>
        <v>2016</v>
      </c>
    </row>
    <row r="478" spans="1:23">
      <c r="A478" s="550" t="str">
        <f>INDEX(LoadMaster!$A:$A,MATCH(B478,LoadMaster!$C:$C,0))</f>
        <v>47wnwn19</v>
      </c>
      <c r="B478" s="552">
        <v>7847847</v>
      </c>
      <c r="C478" s="550" t="str">
        <f>VLOOKUP(Table2[[#This Row],[BrokerConfNo]],LoadMaster!C:D,2,FALSE)</f>
        <v>Globaltranz</v>
      </c>
      <c r="D478" s="549">
        <v>42552</v>
      </c>
      <c r="E478" s="548" t="str">
        <f>IF(Table2[[#This Row],[UBActualReceived]]&gt;1,"Received","Pending")</f>
        <v>Received</v>
      </c>
      <c r="F478" s="241">
        <f>INDEX(LoadMaster!$CU:$CU,MATCH(B478,LoadMaster!$C:$C,0))</f>
        <v>700</v>
      </c>
      <c r="G478" s="134">
        <f>INDEX(LoadMaster!$CX:$CX,MATCH(B478,LoadMaster!$C:$C,0))</f>
        <v>672</v>
      </c>
      <c r="H478" s="241">
        <f>INDEX(LoadMaster!$CW:$CW,MATCH(B478,LoadMaster!$C:$C,0))</f>
        <v>697.5</v>
      </c>
      <c r="I478" s="351">
        <v>672</v>
      </c>
      <c r="J478" s="533">
        <v>697.5</v>
      </c>
      <c r="K478" s="241" t="str">
        <f t="shared" si="43"/>
        <v>Full</v>
      </c>
      <c r="L478" s="241">
        <f>INDEX(LoadMaster!$CT:$CT,MATCH(Table2[[#This Row],[BrokerConfNo]],LoadMaster!$C:$C,0))</f>
        <v>-50</v>
      </c>
      <c r="M478" s="550" t="str">
        <f>INDEX(LoadMaster!$AO:$AO,MATCH(Table2[[#This Row],[BrokerConfNo]],LoadMaster!$C:$C,0))</f>
        <v>Miguel Jaime</v>
      </c>
      <c r="N478" s="549">
        <f t="shared" si="44"/>
        <v>42531</v>
      </c>
      <c r="O478" s="242">
        <f t="shared" si="45"/>
        <v>42538</v>
      </c>
      <c r="P478" s="549">
        <f>INDEX(LoadMaster!$M:$M,MATCH(B478,LoadMaster!$C:$C,0))</f>
        <v>42527</v>
      </c>
      <c r="Q478" s="550" t="str">
        <f>INDEX(LoadMaster!$P:$P,MATCH(B478,LoadMaster!$C:$C,0))</f>
        <v>Fresno</v>
      </c>
      <c r="R478" s="550" t="str">
        <f>INDEX(LoadMaster!$AH:$AH,MATCH(B478,LoadMaster!$C:$C,0))</f>
        <v>RENO</v>
      </c>
      <c r="S478" s="550" t="str">
        <f>INDEX(LoadMaster!$DC:$DC,MATCH(B478,LoadMaster!$C:$C,0))</f>
        <v>Sunny</v>
      </c>
      <c r="T478" s="567">
        <f>INDEX(LoadMaster!$DA:$DA,MATCH(B478,LoadMaster!$C:$C,0))</f>
        <v>-25.5</v>
      </c>
      <c r="U478" s="243">
        <f>Table2[[#This Row],[WeekEndingDate]]+7</f>
        <v>42538</v>
      </c>
      <c r="V478" s="550">
        <f t="shared" si="46"/>
        <v>6</v>
      </c>
      <c r="W478" s="548">
        <f t="shared" si="47"/>
        <v>2016</v>
      </c>
    </row>
    <row r="479" spans="1:23">
      <c r="A479" s="550" t="str">
        <f>INDEX(LoadMaster!$A:$A,MATCH(B479,LoadMaster!$C:$C,0))</f>
        <v>46363649</v>
      </c>
      <c r="B479" s="552">
        <v>151846</v>
      </c>
      <c r="C479" s="550" t="str">
        <f>VLOOKUP(Table2[[#This Row],[BrokerConfNo]],LoadMaster!C:D,2,FALSE)</f>
        <v>Pepsi Logistics Company Inc</v>
      </c>
      <c r="D479" s="549">
        <v>42545</v>
      </c>
      <c r="E479" s="548" t="str">
        <f>IF(Table2[[#This Row],[UBActualReceived]]&gt;1,"Received","Pending")</f>
        <v>Received</v>
      </c>
      <c r="F479" s="241">
        <f>INDEX(LoadMaster!$CU:$CU,MATCH(B479,LoadMaster!$C:$C,0))</f>
        <v>475</v>
      </c>
      <c r="G479" s="134">
        <f>INDEX(LoadMaster!$CX:$CX,MATCH(B479,LoadMaster!$C:$C,0))</f>
        <v>460.75</v>
      </c>
      <c r="H479" s="241">
        <f>INDEX(LoadMaster!$CW:$CW,MATCH(B479,LoadMaster!$C:$C,0))</f>
        <v>441.75</v>
      </c>
      <c r="I479" s="351">
        <v>461.22</v>
      </c>
      <c r="J479" s="533">
        <v>441.75</v>
      </c>
      <c r="K479" s="241" t="str">
        <f t="shared" si="43"/>
        <v>Full</v>
      </c>
      <c r="L479" s="241">
        <f>INDEX(LoadMaster!$CT:$CT,MATCH(Table2[[#This Row],[BrokerConfNo]],LoadMaster!$C:$C,0))</f>
        <v>0</v>
      </c>
      <c r="M479" s="550" t="str">
        <f>INDEX(LoadMaster!$AO:$AO,MATCH(Table2[[#This Row],[BrokerConfNo]],LoadMaster!$C:$C,0))</f>
        <v>Albel</v>
      </c>
      <c r="N479" s="549">
        <f t="shared" si="44"/>
        <v>42531</v>
      </c>
      <c r="O479" s="242">
        <f t="shared" si="45"/>
        <v>42545</v>
      </c>
      <c r="P479" s="549">
        <f>INDEX(LoadMaster!$M:$M,MATCH(B479,LoadMaster!$C:$C,0))</f>
        <v>42527</v>
      </c>
      <c r="Q479" s="550" t="str">
        <f>INDEX(LoadMaster!$P:$P,MATCH(B479,LoadMaster!$C:$C,0))</f>
        <v>SPARKS</v>
      </c>
      <c r="R479" s="550" t="str">
        <f>INDEX(LoadMaster!$AH:$AH,MATCH(B479,LoadMaster!$C:$C,0))</f>
        <v>HAYWARD</v>
      </c>
      <c r="S479" s="550" t="str">
        <f>INDEX(LoadMaster!$DC:$DC,MATCH(B479,LoadMaster!$C:$C,0))</f>
        <v>Sunny</v>
      </c>
      <c r="T479" s="567">
        <f>INDEX(LoadMaster!$DA:$DA,MATCH(B479,LoadMaster!$C:$C,0))</f>
        <v>19</v>
      </c>
      <c r="U479" s="243">
        <f>Table2[[#This Row],[WeekEndingDate]]+7</f>
        <v>42538</v>
      </c>
      <c r="V479" s="550">
        <f t="shared" si="46"/>
        <v>6</v>
      </c>
      <c r="W479" s="548">
        <f t="shared" si="47"/>
        <v>2016</v>
      </c>
    </row>
    <row r="480" spans="1:23">
      <c r="A480" s="550" t="str">
        <f>INDEX(LoadMaster!$A:$A,MATCH(B480,LoadMaster!$C:$C,0))</f>
        <v>68454549</v>
      </c>
      <c r="B480" s="552">
        <v>203553768</v>
      </c>
      <c r="C480" s="550" t="str">
        <f>VLOOKUP(Table2[[#This Row],[BrokerConfNo]],LoadMaster!C:D,2,FALSE)</f>
        <v>Ch Robinson</v>
      </c>
      <c r="D480" s="549">
        <v>42545</v>
      </c>
      <c r="E480" s="548" t="str">
        <f>IF(Table2[[#This Row],[UBActualReceived]]&gt;1,"Received","Pending")</f>
        <v>Received</v>
      </c>
      <c r="F480" s="241">
        <f>INDEX(LoadMaster!$CU:$CU,MATCH(B480,LoadMaster!$C:$C,0))</f>
        <v>450</v>
      </c>
      <c r="G480" s="134">
        <f>INDEX(LoadMaster!$CX:$CX,MATCH(B480,LoadMaster!$C:$C,0))</f>
        <v>441</v>
      </c>
      <c r="H480" s="241">
        <f>INDEX(LoadMaster!$CW:$CW,MATCH(B480,LoadMaster!$C:$C,0))</f>
        <v>418.5</v>
      </c>
      <c r="I480" s="351">
        <v>441</v>
      </c>
      <c r="J480" s="533">
        <v>418.5</v>
      </c>
      <c r="K480" s="241" t="str">
        <f t="shared" ref="K480:K491" si="48">IF(I480&lt;G480, "Less", "Full")</f>
        <v>Full</v>
      </c>
      <c r="L480" s="241">
        <f>INDEX(LoadMaster!$CT:$CT,MATCH(Table2[[#This Row],[BrokerConfNo]],LoadMaster!$C:$C,0))</f>
        <v>0</v>
      </c>
      <c r="M480" s="550" t="str">
        <f>INDEX(LoadMaster!$AO:$AO,MATCH(Table2[[#This Row],[BrokerConfNo]],LoadMaster!$C:$C,0))</f>
        <v>Albel</v>
      </c>
      <c r="N480" s="549">
        <f t="shared" ref="N480:N491" si="49">(5-WEEKDAY(P480,2))+P480</f>
        <v>42531</v>
      </c>
      <c r="O480" s="242">
        <f t="shared" ref="O480:O491" si="50">IF(M480="Albel",((5-WEEKDAY(P480,2))+P480)+14,(((5-WEEKDAY(P480,2))+P480)+7))</f>
        <v>42545</v>
      </c>
      <c r="P480" s="549">
        <f>INDEX(LoadMaster!$M:$M,MATCH(B480,LoadMaster!$C:$C,0))</f>
        <v>42529</v>
      </c>
      <c r="Q480" s="550" t="str">
        <f>INDEX(LoadMaster!$P:$P,MATCH(B480,LoadMaster!$C:$C,0))</f>
        <v>SPARKS</v>
      </c>
      <c r="R480" s="550" t="str">
        <f>INDEX(LoadMaster!$AH:$AH,MATCH(B480,LoadMaster!$C:$C,0))</f>
        <v>UNION CITY</v>
      </c>
      <c r="S480" s="550" t="str">
        <f>INDEX(LoadMaster!$DC:$DC,MATCH(B480,LoadMaster!$C:$C,0))</f>
        <v>Sunny</v>
      </c>
      <c r="T480" s="567">
        <f>INDEX(LoadMaster!$DA:$DA,MATCH(B480,LoadMaster!$C:$C,0))</f>
        <v>22.5</v>
      </c>
      <c r="U480" s="243">
        <f>Table2[[#This Row],[WeekEndingDate]]+7</f>
        <v>42538</v>
      </c>
      <c r="V480" s="550">
        <f t="shared" ref="V480:V491" si="51">MONTH(P480)</f>
        <v>6</v>
      </c>
      <c r="W480" s="548">
        <f t="shared" ref="W480:W491" si="52">YEAR(P480)</f>
        <v>2016</v>
      </c>
    </row>
    <row r="481" spans="1:23">
      <c r="A481" s="550" t="str">
        <f>INDEX(LoadMaster!$A:$A,MATCH(B481,LoadMaster!$C:$C,0))</f>
        <v>05itwn19</v>
      </c>
      <c r="B481" s="552">
        <v>203468205</v>
      </c>
      <c r="C481" s="550" t="str">
        <f>VLOOKUP(Table2[[#This Row],[BrokerConfNo]],LoadMaster!C:D,2,FALSE)</f>
        <v>Ch Robinson</v>
      </c>
      <c r="D481" s="549">
        <v>42545</v>
      </c>
      <c r="E481" s="548" t="str">
        <f>IF(Table2[[#This Row],[UBActualReceived]]&gt;1,"Received","Pending")</f>
        <v>Received</v>
      </c>
      <c r="F481" s="241">
        <f>INDEX(LoadMaster!$CU:$CU,MATCH(B481,LoadMaster!$C:$C,0))</f>
        <v>450</v>
      </c>
      <c r="G481" s="134">
        <f>INDEX(LoadMaster!$CX:$CX,MATCH(B481,LoadMaster!$C:$C,0))</f>
        <v>441</v>
      </c>
      <c r="H481" s="241">
        <f>INDEX(LoadMaster!$CW:$CW,MATCH(B481,LoadMaster!$C:$C,0))</f>
        <v>418.5</v>
      </c>
      <c r="I481" s="351">
        <v>441</v>
      </c>
      <c r="J481" s="533">
        <v>418.5</v>
      </c>
      <c r="K481" s="241" t="str">
        <f t="shared" si="48"/>
        <v>Full</v>
      </c>
      <c r="L481" s="241">
        <f>INDEX(LoadMaster!$CT:$CT,MATCH(Table2[[#This Row],[BrokerConfNo]],LoadMaster!$C:$C,0))</f>
        <v>0</v>
      </c>
      <c r="M481" s="550" t="str">
        <f>INDEX(LoadMaster!$AO:$AO,MATCH(Table2[[#This Row],[BrokerConfNo]],LoadMaster!$C:$C,0))</f>
        <v>Miguel Jaime</v>
      </c>
      <c r="N481" s="549">
        <f t="shared" si="49"/>
        <v>42531</v>
      </c>
      <c r="O481" s="242">
        <f t="shared" si="50"/>
        <v>42538</v>
      </c>
      <c r="P481" s="549">
        <f>INDEX(LoadMaster!$M:$M,MATCH(B481,LoadMaster!$C:$C,0))</f>
        <v>42528</v>
      </c>
      <c r="Q481" s="550" t="str">
        <f>INDEX(LoadMaster!$P:$P,MATCH(B481,LoadMaster!$C:$C,0))</f>
        <v>Reno</v>
      </c>
      <c r="R481" s="550" t="str">
        <f>INDEX(LoadMaster!$AH:$AH,MATCH(B481,LoadMaster!$C:$C,0))</f>
        <v>Napa</v>
      </c>
      <c r="S481" s="550" t="str">
        <f>INDEX(LoadMaster!$DC:$DC,MATCH(B481,LoadMaster!$C:$C,0))</f>
        <v>Sunny</v>
      </c>
      <c r="T481" s="567">
        <f>INDEX(LoadMaster!$DA:$DA,MATCH(B481,LoadMaster!$C:$C,0))</f>
        <v>22.5</v>
      </c>
      <c r="U481" s="243">
        <f>Table2[[#This Row],[WeekEndingDate]]+7</f>
        <v>42538</v>
      </c>
      <c r="V481" s="550">
        <f t="shared" si="51"/>
        <v>6</v>
      </c>
      <c r="W481" s="548">
        <f t="shared" si="52"/>
        <v>2016</v>
      </c>
    </row>
    <row r="482" spans="1:23">
      <c r="A482" s="550" t="str">
        <f>INDEX(LoadMaster!$A:$A,MATCH(B482,LoadMaster!$C:$C,0))</f>
        <v>92wnwn19</v>
      </c>
      <c r="B482" s="552">
        <v>59492</v>
      </c>
      <c r="C482" s="550" t="str">
        <f>VLOOKUP(Table2[[#This Row],[BrokerConfNo]],LoadMaster!C:D,2,FALSE)</f>
        <v xml:space="preserve">Its National </v>
      </c>
      <c r="D482" s="549">
        <v>42548</v>
      </c>
      <c r="E482" s="548" t="str">
        <f>IF(Table2[[#This Row],[UBActualReceived]]&gt;1,"Received","Pending")</f>
        <v>Received</v>
      </c>
      <c r="F482" s="241">
        <f>INDEX(LoadMaster!$CU:$CU,MATCH(B482,LoadMaster!$C:$C,0))</f>
        <v>650</v>
      </c>
      <c r="G482" s="134">
        <f>INDEX(LoadMaster!$CX:$CX,MATCH(B482,LoadMaster!$C:$C,0))</f>
        <v>630.5</v>
      </c>
      <c r="H482" s="241">
        <f>INDEX(LoadMaster!$CW:$CW,MATCH(B482,LoadMaster!$C:$C,0))</f>
        <v>604.5</v>
      </c>
      <c r="I482" s="351">
        <v>630.5</v>
      </c>
      <c r="J482" s="533">
        <v>604.5</v>
      </c>
      <c r="K482" s="241" t="str">
        <f t="shared" si="48"/>
        <v>Full</v>
      </c>
      <c r="L482" s="241">
        <f>INDEX(LoadMaster!$CT:$CT,MATCH(Table2[[#This Row],[BrokerConfNo]],LoadMaster!$C:$C,0))</f>
        <v>0</v>
      </c>
      <c r="M482" s="550" t="str">
        <f>INDEX(LoadMaster!$AO:$AO,MATCH(Table2[[#This Row],[BrokerConfNo]],LoadMaster!$C:$C,0))</f>
        <v>Miguel Jaime</v>
      </c>
      <c r="N482" s="549">
        <f t="shared" si="49"/>
        <v>42531</v>
      </c>
      <c r="O482" s="242">
        <f t="shared" si="50"/>
        <v>42538</v>
      </c>
      <c r="P482" s="549">
        <f>INDEX(LoadMaster!$M:$M,MATCH(B482,LoadMaster!$C:$C,0))</f>
        <v>42529</v>
      </c>
      <c r="Q482" s="550" t="str">
        <f>INDEX(LoadMaster!$P:$P,MATCH(B482,LoadMaster!$C:$C,0))</f>
        <v>OAKLAND</v>
      </c>
      <c r="R482" s="550" t="str">
        <f>INDEX(LoadMaster!$AH:$AH,MATCH(B482,LoadMaster!$C:$C,0))</f>
        <v>FERNLEY</v>
      </c>
      <c r="S482" s="550" t="str">
        <f>INDEX(LoadMaster!$DC:$DC,MATCH(B482,LoadMaster!$C:$C,0))</f>
        <v>Sunny</v>
      </c>
      <c r="T482" s="567">
        <f>INDEX(LoadMaster!$DA:$DA,MATCH(B482,LoadMaster!$C:$C,0))</f>
        <v>26</v>
      </c>
      <c r="U482" s="243">
        <f>Table2[[#This Row],[WeekEndingDate]]+7</f>
        <v>42538</v>
      </c>
      <c r="V482" s="550">
        <f t="shared" si="51"/>
        <v>6</v>
      </c>
      <c r="W482" s="548">
        <f t="shared" si="52"/>
        <v>2016</v>
      </c>
    </row>
    <row r="483" spans="1:23">
      <c r="A483" s="550" t="str">
        <f>INDEX(LoadMaster!$A:$A,MATCH(B483,LoadMaster!$C:$C,0))</f>
        <v>564Bwn49</v>
      </c>
      <c r="B483" s="552">
        <v>203701356</v>
      </c>
      <c r="C483" s="550" t="str">
        <f>VLOOKUP(Table2[[#This Row],[BrokerConfNo]],LoadMaster!C:D,2,FALSE)</f>
        <v>Ch Robinson</v>
      </c>
      <c r="D483" s="549">
        <v>42545</v>
      </c>
      <c r="E483" s="548" t="str">
        <f>IF(Table2[[#This Row],[UBActualReceived]]&gt;1,"Received","Pending")</f>
        <v>Received</v>
      </c>
      <c r="F483" s="241">
        <f>INDEX(LoadMaster!$CU:$CU,MATCH(B483,LoadMaster!$C:$C,0))</f>
        <v>325</v>
      </c>
      <c r="G483" s="134">
        <f>INDEX(LoadMaster!$CX:$CX,MATCH(B483,LoadMaster!$C:$C,0))</f>
        <v>318.5</v>
      </c>
      <c r="H483" s="241">
        <f>INDEX(LoadMaster!$CW:$CW,MATCH(B483,LoadMaster!$C:$C,0))</f>
        <v>302.25</v>
      </c>
      <c r="I483" s="351">
        <v>318</v>
      </c>
      <c r="J483" s="533">
        <v>302.25</v>
      </c>
      <c r="K483" s="241" t="str">
        <f t="shared" si="48"/>
        <v>Less</v>
      </c>
      <c r="L483" s="241">
        <f>INDEX(LoadMaster!$CT:$CT,MATCH(Table2[[#This Row],[BrokerConfNo]],LoadMaster!$C:$C,0))</f>
        <v>0</v>
      </c>
      <c r="M483" s="550" t="str">
        <f>INDEX(LoadMaster!$AO:$AO,MATCH(Table2[[#This Row],[BrokerConfNo]],LoadMaster!$C:$C,0))</f>
        <v>Albel</v>
      </c>
      <c r="N483" s="549">
        <f t="shared" si="49"/>
        <v>42531</v>
      </c>
      <c r="O483" s="242">
        <f t="shared" si="50"/>
        <v>42545</v>
      </c>
      <c r="P483" s="549">
        <f>INDEX(LoadMaster!$M:$M,MATCH(B483,LoadMaster!$C:$C,0))</f>
        <v>42530</v>
      </c>
      <c r="Q483" s="550" t="str">
        <f>INDEX(LoadMaster!$P:$P,MATCH(B483,LoadMaster!$C:$C,0))</f>
        <v>RICHMOND</v>
      </c>
      <c r="R483" s="550" t="str">
        <f>INDEX(LoadMaster!$AH:$AH,MATCH(B483,LoadMaster!$C:$C,0))</f>
        <v>Fremont</v>
      </c>
      <c r="S483" s="550" t="str">
        <f>INDEX(LoadMaster!$DC:$DC,MATCH(B483,LoadMaster!$C:$C,0))</f>
        <v>Sunny</v>
      </c>
      <c r="T483" s="567">
        <f>INDEX(LoadMaster!$DA:$DA,MATCH(B483,LoadMaster!$C:$C,0))</f>
        <v>16.25</v>
      </c>
      <c r="U483" s="243">
        <f>Table2[[#This Row],[WeekEndingDate]]+7</f>
        <v>42538</v>
      </c>
      <c r="V483" s="550">
        <f t="shared" si="51"/>
        <v>6</v>
      </c>
      <c r="W483" s="548">
        <f t="shared" si="52"/>
        <v>2016</v>
      </c>
    </row>
    <row r="484" spans="1:23">
      <c r="A484" s="550" t="str">
        <f>INDEX(LoadMaster!$A:$A,MATCH(B484,LoadMaster!$C:$C,0))</f>
        <v>25wnwn19</v>
      </c>
      <c r="B484" s="552" t="s">
        <v>3101</v>
      </c>
      <c r="C484" s="550" t="str">
        <f>VLOOKUP(Table2[[#This Row],[BrokerConfNo]],LoadMaster!C:D,2,FALSE)</f>
        <v>Carrier Nationwide Transportation System</v>
      </c>
      <c r="D484" s="550"/>
      <c r="E484" s="548" t="str">
        <f>IF(Table2[[#This Row],[UBActualReceived]]&gt;1,"Received","Pending")</f>
        <v>Pending</v>
      </c>
      <c r="F484" s="241">
        <f>INDEX(LoadMaster!$CU:$CU,MATCH(B484,LoadMaster!$C:$C,0))</f>
        <v>600</v>
      </c>
      <c r="G484" s="134">
        <f>INDEX(LoadMaster!$CX:$CX,MATCH(B484,LoadMaster!$C:$C,0))</f>
        <v>600</v>
      </c>
      <c r="H484" s="241">
        <f>INDEX(LoadMaster!$CW:$CW,MATCH(B484,LoadMaster!$C:$C,0))</f>
        <v>558</v>
      </c>
      <c r="I484" s="351"/>
      <c r="J484" s="533">
        <v>558</v>
      </c>
      <c r="K484" s="241" t="str">
        <f t="shared" si="48"/>
        <v>Less</v>
      </c>
      <c r="L484" s="241">
        <f>INDEX(LoadMaster!$CT:$CT,MATCH(Table2[[#This Row],[BrokerConfNo]],LoadMaster!$C:$C,0))</f>
        <v>0</v>
      </c>
      <c r="M484" s="550" t="str">
        <f>INDEX(LoadMaster!$AO:$AO,MATCH(Table2[[#This Row],[BrokerConfNo]],LoadMaster!$C:$C,0))</f>
        <v>Miguel Jaime</v>
      </c>
      <c r="N484" s="549">
        <f t="shared" si="49"/>
        <v>42531</v>
      </c>
      <c r="O484" s="242">
        <f t="shared" si="50"/>
        <v>42538</v>
      </c>
      <c r="P484" s="549">
        <f>INDEX(LoadMaster!$M:$M,MATCH(B484,LoadMaster!$C:$C,0))</f>
        <v>42530</v>
      </c>
      <c r="Q484" s="550" t="str">
        <f>INDEX(LoadMaster!$P:$P,MATCH(B484,LoadMaster!$C:$C,0))</f>
        <v>SPARKS</v>
      </c>
      <c r="R484" s="550" t="str">
        <f>INDEX(LoadMaster!$AH:$AH,MATCH(B484,LoadMaster!$C:$C,0))</f>
        <v xml:space="preserve">Salinas </v>
      </c>
      <c r="S484" s="550" t="str">
        <f>INDEX(LoadMaster!$DC:$DC,MATCH(B484,LoadMaster!$C:$C,0))</f>
        <v>Sunny</v>
      </c>
      <c r="T484" s="567">
        <f>INDEX(LoadMaster!$DA:$DA,MATCH(B484,LoadMaster!$C:$C,0))</f>
        <v>42</v>
      </c>
      <c r="U484" s="243">
        <f>Table2[[#This Row],[WeekEndingDate]]+7</f>
        <v>42538</v>
      </c>
      <c r="V484" s="550">
        <f t="shared" si="51"/>
        <v>6</v>
      </c>
      <c r="W484" s="548">
        <f t="shared" si="52"/>
        <v>2016</v>
      </c>
    </row>
    <row r="485" spans="1:23">
      <c r="A485" s="550" t="str">
        <f>INDEX(LoadMaster!$A:$A,MATCH(B485,LoadMaster!$C:$C,0))</f>
        <v>60wnwn19</v>
      </c>
      <c r="B485" s="552">
        <v>695860</v>
      </c>
      <c r="C485" s="550" t="str">
        <f>VLOOKUP(Table2[[#This Row],[BrokerConfNo]],LoadMaster!C:D,2,FALSE)</f>
        <v>Fetch Logistics, Inc.</v>
      </c>
      <c r="D485" s="550"/>
      <c r="E485" s="548" t="str">
        <f>IF(Table2[[#This Row],[UBActualReceived]]&gt;1,"Received","Pending")</f>
        <v>Pending</v>
      </c>
      <c r="F485" s="241">
        <f>INDEX(LoadMaster!$CU:$CU,MATCH(B485,LoadMaster!$C:$C,0))</f>
        <v>750</v>
      </c>
      <c r="G485" s="134">
        <f>INDEX(LoadMaster!$CX:$CX,MATCH(B485,LoadMaster!$C:$C,0))</f>
        <v>750</v>
      </c>
      <c r="H485" s="241">
        <f>INDEX(LoadMaster!$CW:$CW,MATCH(B485,LoadMaster!$C:$C,0))</f>
        <v>697.5</v>
      </c>
      <c r="I485" s="351"/>
      <c r="J485" s="533">
        <v>697.5</v>
      </c>
      <c r="K485" s="241" t="str">
        <f t="shared" si="48"/>
        <v>Less</v>
      </c>
      <c r="L485" s="241">
        <f>INDEX(LoadMaster!$CT:$CT,MATCH(Table2[[#This Row],[BrokerConfNo]],LoadMaster!$C:$C,0))</f>
        <v>0</v>
      </c>
      <c r="M485" s="550" t="str">
        <f>INDEX(LoadMaster!$AO:$AO,MATCH(Table2[[#This Row],[BrokerConfNo]],LoadMaster!$C:$C,0))</f>
        <v>Miguel Jaime</v>
      </c>
      <c r="N485" s="549">
        <f t="shared" si="49"/>
        <v>42531</v>
      </c>
      <c r="O485" s="242">
        <f t="shared" si="50"/>
        <v>42538</v>
      </c>
      <c r="P485" s="549">
        <f>INDEX(LoadMaster!$M:$M,MATCH(B485,LoadMaster!$C:$C,0))</f>
        <v>42531</v>
      </c>
      <c r="Q485" s="550" t="str">
        <f>INDEX(LoadMaster!$P:$P,MATCH(B485,LoadMaster!$C:$C,0))</f>
        <v xml:space="preserve">Clovis </v>
      </c>
      <c r="R485" s="550" t="str">
        <f>INDEX(LoadMaster!$AH:$AH,MATCH(B485,LoadMaster!$C:$C,0))</f>
        <v>RENO</v>
      </c>
      <c r="S485" s="550" t="str">
        <f>INDEX(LoadMaster!$DC:$DC,MATCH(B485,LoadMaster!$C:$C,0))</f>
        <v>Sunny</v>
      </c>
      <c r="T485" s="567">
        <f>INDEX(LoadMaster!$DA:$DA,MATCH(B485,LoadMaster!$C:$C,0))</f>
        <v>52.5</v>
      </c>
      <c r="U485" s="243">
        <f>Table2[[#This Row],[WeekEndingDate]]+7</f>
        <v>42538</v>
      </c>
      <c r="V485" s="550">
        <f t="shared" si="51"/>
        <v>6</v>
      </c>
      <c r="W485" s="548">
        <f t="shared" si="52"/>
        <v>2016</v>
      </c>
    </row>
    <row r="486" spans="1:23">
      <c r="A486" s="550" t="str">
        <f>INDEX(LoadMaster!$A:$A,MATCH(B486,LoadMaster!$C:$C,0))</f>
        <v>4008wn49</v>
      </c>
      <c r="B486" s="552">
        <v>3063440</v>
      </c>
      <c r="C486" s="550" t="str">
        <f>VLOOKUP(Table2[[#This Row],[BrokerConfNo]],LoadMaster!C:D,2,FALSE)</f>
        <v>USAT Logistics</v>
      </c>
      <c r="D486" s="550"/>
      <c r="E486" s="548" t="str">
        <f>IF(Table2[[#This Row],[UBActualReceived]]&gt;1,"Received","Pending")</f>
        <v>Pending</v>
      </c>
      <c r="F486" s="241">
        <f>INDEX(LoadMaster!$CU:$CU,MATCH(B486,LoadMaster!$C:$C,0))</f>
        <v>387.5</v>
      </c>
      <c r="G486" s="134">
        <f>INDEX(LoadMaster!$CX:$CX,MATCH(B486,LoadMaster!$C:$C,0))</f>
        <v>375.875</v>
      </c>
      <c r="H486" s="241">
        <f>INDEX(LoadMaster!$CW:$CW,MATCH(B486,LoadMaster!$C:$C,0))</f>
        <v>360.375</v>
      </c>
      <c r="I486" s="351"/>
      <c r="J486" s="533">
        <v>360.375</v>
      </c>
      <c r="K486" s="241" t="str">
        <f t="shared" si="48"/>
        <v>Less</v>
      </c>
      <c r="L486" s="241">
        <f>INDEX(LoadMaster!$CT:$CT,MATCH(Table2[[#This Row],[BrokerConfNo]],LoadMaster!$C:$C,0))</f>
        <v>0</v>
      </c>
      <c r="M486" s="550" t="str">
        <f>INDEX(LoadMaster!$AO:$AO,MATCH(Table2[[#This Row],[BrokerConfNo]],LoadMaster!$C:$C,0))</f>
        <v>Albel</v>
      </c>
      <c r="N486" s="549">
        <f t="shared" si="49"/>
        <v>42531</v>
      </c>
      <c r="O486" s="242">
        <f t="shared" si="50"/>
        <v>42545</v>
      </c>
      <c r="P486" s="549">
        <f>INDEX(LoadMaster!$M:$M,MATCH(B486,LoadMaster!$C:$C,0))</f>
        <v>42530</v>
      </c>
      <c r="Q486" s="550" t="str">
        <f>INDEX(LoadMaster!$P:$P,MATCH(B486,LoadMaster!$C:$C,0))</f>
        <v>SAN LEANDRO</v>
      </c>
      <c r="R486" s="550" t="str">
        <f>INDEX(LoadMaster!$AH:$AH,MATCH(B486,LoadMaster!$C:$C,0))</f>
        <v>LODI</v>
      </c>
      <c r="S486" s="550" t="str">
        <f>INDEX(LoadMaster!$DC:$DC,MATCH(B486,LoadMaster!$C:$C,0))</f>
        <v>Sunny</v>
      </c>
      <c r="T486" s="567">
        <f>INDEX(LoadMaster!$DA:$DA,MATCH(B486,LoadMaster!$C:$C,0))</f>
        <v>15.5</v>
      </c>
      <c r="U486" s="243">
        <f>Table2[[#This Row],[WeekEndingDate]]+7</f>
        <v>42538</v>
      </c>
      <c r="V486" s="550">
        <f t="shared" si="51"/>
        <v>6</v>
      </c>
      <c r="W486" s="548">
        <f t="shared" si="52"/>
        <v>2016</v>
      </c>
    </row>
    <row r="487" spans="1:23">
      <c r="A487" s="550" t="str">
        <f>INDEX(LoadMaster!$A:$A,MATCH(B487,LoadMaster!$C:$C,0))</f>
        <v>86202093</v>
      </c>
      <c r="B487" s="552">
        <v>204009186</v>
      </c>
      <c r="C487" s="550" t="str">
        <f>VLOOKUP(Table2[[#This Row],[BrokerConfNo]],LoadMaster!C:D,2,FALSE)</f>
        <v>Ch Robinson</v>
      </c>
      <c r="D487" s="549">
        <v>42548</v>
      </c>
      <c r="E487" s="548" t="str">
        <f>IF(Table2[[#This Row],[UBActualReceived]]&gt;1,"Received","Pending")</f>
        <v>Received</v>
      </c>
      <c r="F487" s="241">
        <f>INDEX(LoadMaster!$CU:$CU,MATCH(B487,LoadMaster!$C:$C,0))</f>
        <v>500</v>
      </c>
      <c r="G487" s="134">
        <f>INDEX(LoadMaster!$CX:$CX,MATCH(B487,LoadMaster!$C:$C,0))</f>
        <v>490</v>
      </c>
      <c r="H487" s="241">
        <f>INDEX(LoadMaster!$CW:$CW,MATCH(B487,LoadMaster!$C:$C,0))</f>
        <v>465</v>
      </c>
      <c r="I487" s="351">
        <v>441</v>
      </c>
      <c r="J487" s="533">
        <v>465</v>
      </c>
      <c r="K487" s="241" t="str">
        <f t="shared" si="48"/>
        <v>Less</v>
      </c>
      <c r="L487" s="241">
        <f>INDEX(LoadMaster!$CT:$CT,MATCH(Table2[[#This Row],[BrokerConfNo]],LoadMaster!$C:$C,0))</f>
        <v>50</v>
      </c>
      <c r="M487" s="550" t="str">
        <f>INDEX(LoadMaster!$AO:$AO,MATCH(Table2[[#This Row],[BrokerConfNo]],LoadMaster!$C:$C,0))</f>
        <v>Arturo</v>
      </c>
      <c r="N487" s="549">
        <f t="shared" si="49"/>
        <v>42538</v>
      </c>
      <c r="O487" s="242">
        <f t="shared" si="50"/>
        <v>42545</v>
      </c>
      <c r="P487" s="549">
        <f>INDEX(LoadMaster!$M:$M,MATCH(B487,LoadMaster!$C:$C,0))</f>
        <v>42534</v>
      </c>
      <c r="Q487" s="550" t="str">
        <f>INDEX(LoadMaster!$P:$P,MATCH(B487,LoadMaster!$C:$C,0))</f>
        <v>Stockton</v>
      </c>
      <c r="R487" s="550" t="str">
        <f>INDEX(LoadMaster!$AH:$AH,MATCH(B487,LoadMaster!$C:$C,0))</f>
        <v>Hanford</v>
      </c>
      <c r="S487" s="550" t="str">
        <f>INDEX(LoadMaster!$DC:$DC,MATCH(B487,LoadMaster!$C:$C,0))</f>
        <v>Sunny</v>
      </c>
      <c r="T487" s="567">
        <f>INDEX(LoadMaster!$DA:$DA,MATCH(B487,LoadMaster!$C:$C,0))</f>
        <v>25</v>
      </c>
      <c r="U487" s="243">
        <f>Table2[[#This Row],[WeekEndingDate]]+7</f>
        <v>42545</v>
      </c>
      <c r="V487" s="550">
        <f t="shared" si="51"/>
        <v>6</v>
      </c>
      <c r="W487" s="548">
        <f t="shared" si="52"/>
        <v>2016</v>
      </c>
    </row>
    <row r="488" spans="1:23">
      <c r="A488" s="550" t="str">
        <f>INDEX(LoadMaster!$A:$A,MATCH(B488,LoadMaster!$C:$C,0))</f>
        <v>90959549</v>
      </c>
      <c r="B488" s="552">
        <v>7884490</v>
      </c>
      <c r="C488" s="550" t="str">
        <f>VLOOKUP(Table2[[#This Row],[BrokerConfNo]],LoadMaster!C:D,2,FALSE)</f>
        <v>Globaltranz</v>
      </c>
      <c r="D488" s="549">
        <v>42557</v>
      </c>
      <c r="E488" s="548" t="str">
        <f>IF(Table2[[#This Row],[UBActualReceived]]&gt;1,"Received","Pending")</f>
        <v>Received</v>
      </c>
      <c r="F488" s="241">
        <f>INDEX(LoadMaster!$CU:$CU,MATCH(B488,LoadMaster!$C:$C,0))</f>
        <v>750</v>
      </c>
      <c r="G488" s="134">
        <f>INDEX(LoadMaster!$CX:$CX,MATCH(B488,LoadMaster!$C:$C,0))</f>
        <v>720</v>
      </c>
      <c r="H488" s="241">
        <f>INDEX(LoadMaster!$CW:$CW,MATCH(B488,LoadMaster!$C:$C,0))</f>
        <v>697.5</v>
      </c>
      <c r="I488" s="351">
        <v>720</v>
      </c>
      <c r="J488" s="533">
        <v>697.5</v>
      </c>
      <c r="K488" s="241" t="str">
        <f t="shared" si="48"/>
        <v>Full</v>
      </c>
      <c r="L488" s="241">
        <f>INDEX(LoadMaster!$CT:$CT,MATCH(Table2[[#This Row],[BrokerConfNo]],LoadMaster!$C:$C,0))</f>
        <v>0</v>
      </c>
      <c r="M488" s="550" t="str">
        <f>INDEX(LoadMaster!$AO:$AO,MATCH(Table2[[#This Row],[BrokerConfNo]],LoadMaster!$C:$C,0))</f>
        <v>Albel</v>
      </c>
      <c r="N488" s="549">
        <f t="shared" si="49"/>
        <v>42538</v>
      </c>
      <c r="O488" s="242">
        <f t="shared" si="50"/>
        <v>42552</v>
      </c>
      <c r="P488" s="549">
        <f>INDEX(LoadMaster!$M:$M,MATCH(B488,LoadMaster!$C:$C,0))</f>
        <v>42535</v>
      </c>
      <c r="Q488" s="550" t="str">
        <f>INDEX(LoadMaster!$P:$P,MATCH(B488,LoadMaster!$C:$C,0))</f>
        <v>FRESNO</v>
      </c>
      <c r="R488" s="550" t="str">
        <f>INDEX(LoadMaster!$AH:$AH,MATCH(B488,LoadMaster!$C:$C,0))</f>
        <v>RENO</v>
      </c>
      <c r="S488" s="550" t="str">
        <f>INDEX(LoadMaster!$DC:$DC,MATCH(B488,LoadMaster!$C:$C,0))</f>
        <v>Sunny</v>
      </c>
      <c r="T488" s="567">
        <f>INDEX(LoadMaster!$DA:$DA,MATCH(B488,LoadMaster!$C:$C,0))</f>
        <v>22.5</v>
      </c>
      <c r="U488" s="243">
        <f>Table2[[#This Row],[WeekEndingDate]]+7</f>
        <v>42545</v>
      </c>
      <c r="V488" s="550">
        <f t="shared" si="51"/>
        <v>6</v>
      </c>
      <c r="W488" s="548">
        <f t="shared" si="52"/>
        <v>2016</v>
      </c>
    </row>
    <row r="489" spans="1:23">
      <c r="A489" s="550" t="str">
        <f>INDEX(LoadMaster!$A:$A,MATCH(B489,LoadMaster!$C:$C,0))</f>
        <v>71-c8149</v>
      </c>
      <c r="B489" s="552">
        <v>24749471</v>
      </c>
      <c r="C489" s="550" t="str">
        <f>VLOOKUP(Table2[[#This Row],[BrokerConfNo]],LoadMaster!C:D,2,FALSE)</f>
        <v>Echo Global Logistics Inc.</v>
      </c>
      <c r="D489" s="550"/>
      <c r="E489" s="548" t="str">
        <f>IF(Table2[[#This Row],[UBActualReceived]]&gt;1,"Received","Pending")</f>
        <v>Pending</v>
      </c>
      <c r="F489" s="241">
        <f>INDEX(LoadMaster!$CU:$CU,MATCH(B489,LoadMaster!$C:$C,0))</f>
        <v>300</v>
      </c>
      <c r="G489" s="134">
        <f>INDEX(LoadMaster!$CX:$CX,MATCH(B489,LoadMaster!$C:$C,0))</f>
        <v>294</v>
      </c>
      <c r="H489" s="241">
        <f>INDEX(LoadMaster!$CW:$CW,MATCH(B489,LoadMaster!$C:$C,0))</f>
        <v>279</v>
      </c>
      <c r="I489" s="351"/>
      <c r="J489" s="533">
        <v>279</v>
      </c>
      <c r="K489" s="241" t="str">
        <f t="shared" si="48"/>
        <v>Less</v>
      </c>
      <c r="L489" s="241">
        <f>INDEX(LoadMaster!$CT:$CT,MATCH(Table2[[#This Row],[BrokerConfNo]],LoadMaster!$C:$C,0))</f>
        <v>0</v>
      </c>
      <c r="M489" s="550" t="str">
        <f>INDEX(LoadMaster!$AO:$AO,MATCH(Table2[[#This Row],[BrokerConfNo]],LoadMaster!$C:$C,0))</f>
        <v>Albel</v>
      </c>
      <c r="N489" s="549">
        <f t="shared" si="49"/>
        <v>42538</v>
      </c>
      <c r="O489" s="242">
        <f t="shared" si="50"/>
        <v>42552</v>
      </c>
      <c r="P489" s="549">
        <f>INDEX(LoadMaster!$M:$M,MATCH(B489,LoadMaster!$C:$C,0))</f>
        <v>42535</v>
      </c>
      <c r="Q489" s="550" t="str">
        <f>INDEX(LoadMaster!$P:$P,MATCH(B489,LoadMaster!$C:$C,0))</f>
        <v>NEWMAN</v>
      </c>
      <c r="R489" s="550" t="str">
        <f>INDEX(LoadMaster!$AH:$AH,MATCH(B489,LoadMaster!$C:$C,0))</f>
        <v>FRESNO</v>
      </c>
      <c r="S489" s="550" t="str">
        <f>INDEX(LoadMaster!$DC:$DC,MATCH(B489,LoadMaster!$C:$C,0))</f>
        <v>Sunny</v>
      </c>
      <c r="T489" s="567">
        <f>INDEX(LoadMaster!$DA:$DA,MATCH(B489,LoadMaster!$C:$C,0))</f>
        <v>15</v>
      </c>
      <c r="U489" s="243">
        <f>Table2[[#This Row],[WeekEndingDate]]+7</f>
        <v>42545</v>
      </c>
      <c r="V489" s="550">
        <f t="shared" si="51"/>
        <v>6</v>
      </c>
      <c r="W489" s="548">
        <f t="shared" si="52"/>
        <v>2016</v>
      </c>
    </row>
    <row r="490" spans="1:23">
      <c r="A490" s="550" t="str">
        <f>INDEX(LoadMaster!$A:$A,MATCH(B490,LoadMaster!$C:$C,0))</f>
        <v>0365wn93</v>
      </c>
      <c r="B490" s="552">
        <v>7889203</v>
      </c>
      <c r="C490" s="550" t="str">
        <f>VLOOKUP(Table2[[#This Row],[BrokerConfNo]],LoadMaster!C:D,2,FALSE)</f>
        <v>Globaltranz</v>
      </c>
      <c r="D490" s="549">
        <v>42557</v>
      </c>
      <c r="E490" s="548" t="str">
        <f>IF(Table2[[#This Row],[UBActualReceived]]&gt;1,"Received","Pending")</f>
        <v>Received</v>
      </c>
      <c r="F490" s="241">
        <f>INDEX(LoadMaster!$CU:$CU,MATCH(B490,LoadMaster!$C:$C,0))</f>
        <v>600</v>
      </c>
      <c r="G490" s="134">
        <f>INDEX(LoadMaster!$CX:$CX,MATCH(B490,LoadMaster!$C:$C,0))</f>
        <v>576</v>
      </c>
      <c r="H490" s="241">
        <f>INDEX(LoadMaster!$CW:$CW,MATCH(B490,LoadMaster!$C:$C,0))</f>
        <v>558</v>
      </c>
      <c r="I490" s="351">
        <v>576</v>
      </c>
      <c r="J490" s="533">
        <v>558</v>
      </c>
      <c r="K490" s="241" t="str">
        <f t="shared" si="48"/>
        <v>Full</v>
      </c>
      <c r="L490" s="241">
        <f>INDEX(LoadMaster!$CT:$CT,MATCH(Table2[[#This Row],[BrokerConfNo]],LoadMaster!$C:$C,0))</f>
        <v>0</v>
      </c>
      <c r="M490" s="550" t="str">
        <f>INDEX(LoadMaster!$AO:$AO,MATCH(Table2[[#This Row],[BrokerConfNo]],LoadMaster!$C:$C,0))</f>
        <v>Arturo</v>
      </c>
      <c r="N490" s="549">
        <f t="shared" si="49"/>
        <v>42538</v>
      </c>
      <c r="O490" s="242">
        <f t="shared" si="50"/>
        <v>42545</v>
      </c>
      <c r="P490" s="549">
        <f>INDEX(LoadMaster!$M:$M,MATCH(B490,LoadMaster!$C:$C,0))</f>
        <v>42535</v>
      </c>
      <c r="Q490" s="550" t="str">
        <f>INDEX(LoadMaster!$P:$P,MATCH(B490,LoadMaster!$C:$C,0))</f>
        <v>Modesto</v>
      </c>
      <c r="R490" s="550" t="str">
        <f>INDEX(LoadMaster!$AH:$AH,MATCH(B490,LoadMaster!$C:$C,0))</f>
        <v>SPARKS</v>
      </c>
      <c r="S490" s="550" t="str">
        <f>INDEX(LoadMaster!$DC:$DC,MATCH(B490,LoadMaster!$C:$C,0))</f>
        <v>Sunny</v>
      </c>
      <c r="T490" s="567">
        <f>INDEX(LoadMaster!$DA:$DA,MATCH(B490,LoadMaster!$C:$C,0))</f>
        <v>18</v>
      </c>
      <c r="U490" s="243">
        <f>Table2[[#This Row],[WeekEndingDate]]+7</f>
        <v>42545</v>
      </c>
      <c r="V490" s="550">
        <f t="shared" si="51"/>
        <v>6</v>
      </c>
      <c r="W490" s="548">
        <f t="shared" si="52"/>
        <v>2016</v>
      </c>
    </row>
    <row r="491" spans="1:23">
      <c r="A491" s="550" t="str">
        <f>INDEX(LoadMaster!$A:$A,MATCH(B491,LoadMaster!$C:$C,0))</f>
        <v>14292919</v>
      </c>
      <c r="B491" s="552">
        <v>646114</v>
      </c>
      <c r="C491" s="550" t="str">
        <f>VLOOKUP(Table2[[#This Row],[BrokerConfNo]],LoadMaster!C:D,2,FALSE)</f>
        <v>Nolan Tranportation Group Inc.</v>
      </c>
      <c r="D491" s="550"/>
      <c r="E491" s="548" t="str">
        <f>IF(Table2[[#This Row],[UBActualReceived]]&gt;1,"Received","Pending")</f>
        <v>Pending</v>
      </c>
      <c r="F491" s="241">
        <f>INDEX(LoadMaster!$CU:$CU,MATCH(B491,LoadMaster!$C:$C,0))</f>
        <v>400</v>
      </c>
      <c r="G491" s="134">
        <f>INDEX(LoadMaster!$CX:$CX,MATCH(B491,LoadMaster!$C:$C,0))</f>
        <v>384</v>
      </c>
      <c r="H491" s="241">
        <f>INDEX(LoadMaster!$CW:$CW,MATCH(B491,LoadMaster!$C:$C,0))</f>
        <v>372</v>
      </c>
      <c r="I491" s="351"/>
      <c r="J491" s="533">
        <v>372</v>
      </c>
      <c r="K491" s="241" t="str">
        <f t="shared" si="48"/>
        <v>Less</v>
      </c>
      <c r="L491" s="241">
        <f>INDEX(LoadMaster!$CT:$CT,MATCH(Table2[[#This Row],[BrokerConfNo]],LoadMaster!$C:$C,0))</f>
        <v>0</v>
      </c>
      <c r="M491" s="550" t="str">
        <f>INDEX(LoadMaster!$AO:$AO,MATCH(Table2[[#This Row],[BrokerConfNo]],LoadMaster!$C:$C,0))</f>
        <v>Miguel Jaime</v>
      </c>
      <c r="N491" s="549">
        <f t="shared" si="49"/>
        <v>42538</v>
      </c>
      <c r="O491" s="242">
        <f t="shared" si="50"/>
        <v>42545</v>
      </c>
      <c r="P491" s="549">
        <f>INDEX(LoadMaster!$M:$M,MATCH(B491,LoadMaster!$C:$C,0))</f>
        <v>42535</v>
      </c>
      <c r="Q491" s="550" t="str">
        <f>INDEX(LoadMaster!$P:$P,MATCH(B491,LoadMaster!$C:$C,0))</f>
        <v>SPARKS</v>
      </c>
      <c r="R491" s="550" t="str">
        <f>INDEX(LoadMaster!$AH:$AH,MATCH(B491,LoadMaster!$C:$C,0))</f>
        <v>STOCKTON</v>
      </c>
      <c r="S491" s="550" t="str">
        <f>INDEX(LoadMaster!$DC:$DC,MATCH(B491,LoadMaster!$C:$C,0))</f>
        <v>Sunny</v>
      </c>
      <c r="T491" s="567">
        <f>INDEX(LoadMaster!$DA:$DA,MATCH(B491,LoadMaster!$C:$C,0))</f>
        <v>12</v>
      </c>
      <c r="U491" s="243">
        <f>Table2[[#This Row],[WeekEndingDate]]+7</f>
        <v>42545</v>
      </c>
      <c r="V491" s="550">
        <f t="shared" si="51"/>
        <v>6</v>
      </c>
      <c r="W491" s="548">
        <f t="shared" si="52"/>
        <v>2016</v>
      </c>
    </row>
    <row r="492" spans="1:23">
      <c r="A492" s="550" t="str">
        <f>INDEX(LoadMaster!$A:$A,MATCH(B492,LoadMaster!$C:$C,0))</f>
        <v>04ngwn19</v>
      </c>
      <c r="B492" s="552">
        <v>204308204</v>
      </c>
      <c r="C492" s="550" t="str">
        <f>VLOOKUP(Table2[[#This Row],[BrokerConfNo]],LoadMaster!C:D,2,FALSE)</f>
        <v>Ch Robinson</v>
      </c>
      <c r="D492" s="549">
        <v>42545</v>
      </c>
      <c r="E492" s="548" t="str">
        <f>IF(Table2[[#This Row],[UBActualReceived]]&gt;1,"Received","Pending")</f>
        <v>Received</v>
      </c>
      <c r="F492" s="241">
        <f>INDEX(LoadMaster!$CU:$CU,MATCH(B492,LoadMaster!$C:$C,0))</f>
        <v>850</v>
      </c>
      <c r="G492" s="134">
        <f>INDEX(LoadMaster!$CX:$CX,MATCH(B492,LoadMaster!$C:$C,0))</f>
        <v>833</v>
      </c>
      <c r="H492" s="241">
        <f>INDEX(LoadMaster!$CW:$CW,MATCH(B492,LoadMaster!$C:$C,0))</f>
        <v>790.5</v>
      </c>
      <c r="I492" s="338">
        <v>833</v>
      </c>
      <c r="J492" s="525">
        <v>790.5</v>
      </c>
      <c r="K492" s="241" t="str">
        <f t="shared" ref="K492:K503" si="53">IF(I492&lt;G492, "Less", "Full")</f>
        <v>Full</v>
      </c>
      <c r="L492" s="241">
        <f>INDEX(LoadMaster!$CT:$CT,MATCH(Table2[[#This Row],[BrokerConfNo]],LoadMaster!$C:$C,0))</f>
        <v>50</v>
      </c>
      <c r="M492" s="550" t="str">
        <f>INDEX(LoadMaster!$AO:$AO,MATCH(Table2[[#This Row],[BrokerConfNo]],LoadMaster!$C:$C,0))</f>
        <v>Miguel Jaime</v>
      </c>
      <c r="N492" s="549">
        <f t="shared" ref="N492:N503" si="54">(5-WEEKDAY(P492,2))+P492</f>
        <v>42538</v>
      </c>
      <c r="O492" s="242">
        <f t="shared" ref="O492:O503" si="55">IF(M492="Albel",((5-WEEKDAY(P492,2))+P492)+14,(((5-WEEKDAY(P492,2))+P492)+7))</f>
        <v>42545</v>
      </c>
      <c r="P492" s="549">
        <f>INDEX(LoadMaster!$M:$M,MATCH(B492,LoadMaster!$C:$C,0))</f>
        <v>42536</v>
      </c>
      <c r="Q492" s="550" t="str">
        <f>INDEX(LoadMaster!$P:$P,MATCH(B492,LoadMaster!$C:$C,0))</f>
        <v>RICHMOND</v>
      </c>
      <c r="R492" s="550" t="str">
        <f>INDEX(LoadMaster!$AH:$AH,MATCH(B492,LoadMaster!$C:$C,0))</f>
        <v>RENO</v>
      </c>
      <c r="S492" s="550" t="str">
        <f>INDEX(LoadMaster!$DC:$DC,MATCH(B492,LoadMaster!$C:$C,0))</f>
        <v>Sunny</v>
      </c>
      <c r="T492" s="567">
        <f>INDEX(LoadMaster!$DA:$DA,MATCH(B492,LoadMaster!$C:$C,0))</f>
        <v>42.5</v>
      </c>
      <c r="U492" s="243">
        <f>Table2[[#This Row],[WeekEndingDate]]+7</f>
        <v>42545</v>
      </c>
      <c r="V492" s="550">
        <f t="shared" ref="V492:V503" si="56">MONTH(P492)</f>
        <v>6</v>
      </c>
      <c r="W492" s="548">
        <f t="shared" ref="W492:W503" si="57">YEAR(P492)</f>
        <v>2016</v>
      </c>
    </row>
    <row r="493" spans="1:23">
      <c r="A493" s="550" t="str">
        <f>INDEX(LoadMaster!$A:$A,MATCH(B493,LoadMaster!$C:$C,0))</f>
        <v>2137wn49</v>
      </c>
      <c r="B493" s="552">
        <v>3069621</v>
      </c>
      <c r="C493" s="550" t="str">
        <f>VLOOKUP(Table2[[#This Row],[BrokerConfNo]],LoadMaster!C:D,2,FALSE)</f>
        <v>USAT Logistics</v>
      </c>
      <c r="D493" s="550"/>
      <c r="E493" s="548" t="str">
        <f>IF(Table2[[#This Row],[UBActualReceived]]&gt;1,"Received","Pending")</f>
        <v>Pending</v>
      </c>
      <c r="F493" s="241">
        <f>INDEX(LoadMaster!$CU:$CU,MATCH(B493,LoadMaster!$C:$C,0))</f>
        <v>652</v>
      </c>
      <c r="G493" s="134">
        <f>INDEX(LoadMaster!$CX:$CX,MATCH(B493,LoadMaster!$C:$C,0))</f>
        <v>632.43999999999994</v>
      </c>
      <c r="H493" s="241">
        <f>INDEX(LoadMaster!$CW:$CW,MATCH(B493,LoadMaster!$C:$C,0))</f>
        <v>610</v>
      </c>
      <c r="I493" s="338"/>
      <c r="J493" s="525">
        <v>610</v>
      </c>
      <c r="K493" s="241" t="str">
        <f t="shared" si="53"/>
        <v>Less</v>
      </c>
      <c r="L493" s="241">
        <f>INDEX(LoadMaster!$CT:$CT,MATCH(Table2[[#This Row],[BrokerConfNo]],LoadMaster!$C:$C,0))</f>
        <v>52</v>
      </c>
      <c r="M493" s="550" t="str">
        <f>INDEX(LoadMaster!$AO:$AO,MATCH(Table2[[#This Row],[BrokerConfNo]],LoadMaster!$C:$C,0))</f>
        <v>Albel</v>
      </c>
      <c r="N493" s="549">
        <f t="shared" si="54"/>
        <v>42538</v>
      </c>
      <c r="O493" s="242">
        <f t="shared" si="55"/>
        <v>42552</v>
      </c>
      <c r="P493" s="549">
        <f>INDEX(LoadMaster!$M:$M,MATCH(B493,LoadMaster!$C:$C,0))</f>
        <v>42537</v>
      </c>
      <c r="Q493" s="550" t="str">
        <f>INDEX(LoadMaster!$P:$P,MATCH(B493,LoadMaster!$C:$C,0))</f>
        <v>SAN LEANDRO</v>
      </c>
      <c r="R493" s="550" t="str">
        <f>INDEX(LoadMaster!$AH:$AH,MATCH(B493,LoadMaster!$C:$C,0))</f>
        <v>REDDING</v>
      </c>
      <c r="S493" s="550" t="str">
        <f>INDEX(LoadMaster!$DC:$DC,MATCH(B493,LoadMaster!$C:$C,0))</f>
        <v>Sunny</v>
      </c>
      <c r="T493" s="567">
        <f>INDEX(LoadMaster!$DA:$DA,MATCH(B493,LoadMaster!$C:$C,0))</f>
        <v>22.44</v>
      </c>
      <c r="U493" s="243">
        <f>Table2[[#This Row],[WeekEndingDate]]+7</f>
        <v>42545</v>
      </c>
      <c r="V493" s="550">
        <f t="shared" si="56"/>
        <v>6</v>
      </c>
      <c r="W493" s="548">
        <f t="shared" si="57"/>
        <v>2016</v>
      </c>
    </row>
    <row r="494" spans="1:23">
      <c r="A494" s="550" t="str">
        <f>INDEX(LoadMaster!$A:$A,MATCH(B494,LoadMaster!$C:$C,0))</f>
        <v>61290119</v>
      </c>
      <c r="B494" s="552">
        <v>155061</v>
      </c>
      <c r="C494" s="550" t="str">
        <f>VLOOKUP(Table2[[#This Row],[BrokerConfNo]],LoadMaster!C:D,2,FALSE)</f>
        <v>Pepsi Logistics Company Inc</v>
      </c>
      <c r="D494" s="549">
        <v>42549</v>
      </c>
      <c r="E494" s="548" t="str">
        <f>IF(Table2[[#This Row],[UBActualReceived]]&gt;1,"Received","Pending")</f>
        <v>Received</v>
      </c>
      <c r="F494" s="241">
        <f>INDEX(LoadMaster!$CU:$CU,MATCH(B494,LoadMaster!$C:$C,0))</f>
        <v>525</v>
      </c>
      <c r="G494" s="134">
        <f>INDEX(LoadMaster!$CX:$CX,MATCH(B494,LoadMaster!$C:$C,0))</f>
        <v>509.25</v>
      </c>
      <c r="H494" s="241">
        <f>INDEX(LoadMaster!$CW:$CW,MATCH(B494,LoadMaster!$C:$C,0))</f>
        <v>488.25</v>
      </c>
      <c r="I494" s="338">
        <v>509.77</v>
      </c>
      <c r="J494" s="525">
        <v>488.25</v>
      </c>
      <c r="K494" s="241" t="str">
        <f t="shared" si="53"/>
        <v>Full</v>
      </c>
      <c r="L494" s="241">
        <f>INDEX(LoadMaster!$CT:$CT,MATCH(Table2[[#This Row],[BrokerConfNo]],LoadMaster!$C:$C,0))</f>
        <v>0</v>
      </c>
      <c r="M494" s="550" t="str">
        <f>INDEX(LoadMaster!$AO:$AO,MATCH(Table2[[#This Row],[BrokerConfNo]],LoadMaster!$C:$C,0))</f>
        <v>Miguel Jaime</v>
      </c>
      <c r="N494" s="549">
        <f t="shared" si="54"/>
        <v>42538</v>
      </c>
      <c r="O494" s="242">
        <f t="shared" si="55"/>
        <v>42545</v>
      </c>
      <c r="P494" s="549">
        <f>INDEX(LoadMaster!$M:$M,MATCH(B494,LoadMaster!$C:$C,0))</f>
        <v>42537</v>
      </c>
      <c r="Q494" s="550" t="str">
        <f>INDEX(LoadMaster!$P:$P,MATCH(B494,LoadMaster!$C:$C,0))</f>
        <v>SUTTER CREEK</v>
      </c>
      <c r="R494" s="550" t="str">
        <f>INDEX(LoadMaster!$AH:$AH,MATCH(B494,LoadMaster!$C:$C,0))</f>
        <v>GOSHEN</v>
      </c>
      <c r="S494" s="550" t="str">
        <f>INDEX(LoadMaster!$DC:$DC,MATCH(B494,LoadMaster!$C:$C,0))</f>
        <v>Sunny</v>
      </c>
      <c r="T494" s="567">
        <f>INDEX(LoadMaster!$DA:$DA,MATCH(B494,LoadMaster!$C:$C,0))</f>
        <v>21</v>
      </c>
      <c r="U494" s="243">
        <f>Table2[[#This Row],[WeekEndingDate]]+7</f>
        <v>42545</v>
      </c>
      <c r="V494" s="550">
        <f t="shared" si="56"/>
        <v>6</v>
      </c>
      <c r="W494" s="548">
        <f t="shared" si="57"/>
        <v>2016</v>
      </c>
    </row>
    <row r="495" spans="1:23">
      <c r="A495" s="550" t="str">
        <f>INDEX(LoadMaster!$A:$A,MATCH(B495,LoadMaster!$C:$C,0))</f>
        <v>59170093</v>
      </c>
      <c r="B495" s="552">
        <v>171559</v>
      </c>
      <c r="C495" s="550" t="str">
        <f>VLOOKUP(Table2[[#This Row],[BrokerConfNo]],LoadMaster!C:D,2,FALSE)</f>
        <v>Knight Logistics Llc</v>
      </c>
      <c r="D495" s="550"/>
      <c r="E495" s="548" t="str">
        <f>IF(Table2[[#This Row],[UBActualReceived]]&gt;1,"Received","Pending")</f>
        <v>Pending</v>
      </c>
      <c r="F495" s="241">
        <f>INDEX(LoadMaster!$CU:$CU,MATCH(B495,LoadMaster!$C:$C,0))</f>
        <v>450</v>
      </c>
      <c r="G495" s="134">
        <f>INDEX(LoadMaster!$CX:$CX,MATCH(B495,LoadMaster!$C:$C,0))</f>
        <v>436.5</v>
      </c>
      <c r="H495" s="241">
        <f>INDEX(LoadMaster!$CW:$CW,MATCH(B495,LoadMaster!$C:$C,0))</f>
        <v>418.5</v>
      </c>
      <c r="I495" s="338"/>
      <c r="J495" s="525">
        <v>418.5</v>
      </c>
      <c r="K495" s="241" t="str">
        <f t="shared" si="53"/>
        <v>Less</v>
      </c>
      <c r="L495" s="241">
        <f>INDEX(LoadMaster!$CT:$CT,MATCH(Table2[[#This Row],[BrokerConfNo]],LoadMaster!$C:$C,0))</f>
        <v>0</v>
      </c>
      <c r="M495" s="550" t="str">
        <f>INDEX(LoadMaster!$AO:$AO,MATCH(Table2[[#This Row],[BrokerConfNo]],LoadMaster!$C:$C,0))</f>
        <v>Arturo</v>
      </c>
      <c r="N495" s="549">
        <f t="shared" si="54"/>
        <v>42538</v>
      </c>
      <c r="O495" s="242">
        <f t="shared" si="55"/>
        <v>42545</v>
      </c>
      <c r="P495" s="549">
        <f>INDEX(LoadMaster!$M:$M,MATCH(B495,LoadMaster!$C:$C,0))</f>
        <v>42536</v>
      </c>
      <c r="Q495" s="550" t="str">
        <f>INDEX(LoadMaster!$P:$P,MATCH(B495,LoadMaster!$C:$C,0))</f>
        <v>RENO</v>
      </c>
      <c r="R495" s="550" t="str">
        <f>INDEX(LoadMaster!$AH:$AH,MATCH(B495,LoadMaster!$C:$C,0))</f>
        <v>Hayward</v>
      </c>
      <c r="S495" s="550" t="str">
        <f>INDEX(LoadMaster!$DC:$DC,MATCH(B495,LoadMaster!$C:$C,0))</f>
        <v>Sunny</v>
      </c>
      <c r="T495" s="567">
        <f>INDEX(LoadMaster!$DA:$DA,MATCH(B495,LoadMaster!$C:$C,0))</f>
        <v>18</v>
      </c>
      <c r="U495" s="243">
        <f>Table2[[#This Row],[WeekEndingDate]]+7</f>
        <v>42545</v>
      </c>
      <c r="V495" s="550">
        <f t="shared" si="56"/>
        <v>6</v>
      </c>
      <c r="W495" s="548">
        <f t="shared" si="57"/>
        <v>2016</v>
      </c>
    </row>
    <row r="496" spans="1:23">
      <c r="A496" s="550" t="str">
        <f>INDEX(LoadMaster!$A:$A,MATCH(B496,LoadMaster!$C:$C,0))</f>
        <v>02300049</v>
      </c>
      <c r="B496" s="552">
        <v>171502</v>
      </c>
      <c r="C496" s="550" t="str">
        <f>VLOOKUP(Table2[[#This Row],[BrokerConfNo]],LoadMaster!C:D,2,FALSE)</f>
        <v>Knight Logistics Llc</v>
      </c>
      <c r="D496" s="550"/>
      <c r="E496" s="548" t="str">
        <f>IF(Table2[[#This Row],[UBActualReceived]]&gt;1,"Received","Pending")</f>
        <v>Pending</v>
      </c>
      <c r="F496" s="241">
        <f>INDEX(LoadMaster!$CU:$CU,MATCH(B496,LoadMaster!$C:$C,0))</f>
        <v>450</v>
      </c>
      <c r="G496" s="134">
        <f>INDEX(LoadMaster!$CX:$CX,MATCH(B496,LoadMaster!$C:$C,0))</f>
        <v>436.5</v>
      </c>
      <c r="H496" s="241">
        <f>INDEX(LoadMaster!$CW:$CW,MATCH(B496,LoadMaster!$C:$C,0))</f>
        <v>418.5</v>
      </c>
      <c r="I496" s="338"/>
      <c r="J496" s="525">
        <v>418.5</v>
      </c>
      <c r="K496" s="241" t="str">
        <f t="shared" si="53"/>
        <v>Less</v>
      </c>
      <c r="L496" s="241">
        <f>INDEX(LoadMaster!$CT:$CT,MATCH(Table2[[#This Row],[BrokerConfNo]],LoadMaster!$C:$C,0))</f>
        <v>0</v>
      </c>
      <c r="M496" s="550" t="str">
        <f>INDEX(LoadMaster!$AO:$AO,MATCH(Table2[[#This Row],[BrokerConfNo]],LoadMaster!$C:$C,0))</f>
        <v>Albel</v>
      </c>
      <c r="N496" s="549">
        <f t="shared" si="54"/>
        <v>42538</v>
      </c>
      <c r="O496" s="242">
        <f t="shared" si="55"/>
        <v>42552</v>
      </c>
      <c r="P496" s="549">
        <f>INDEX(LoadMaster!$M:$M,MATCH(B496,LoadMaster!$C:$C,0))</f>
        <v>42536</v>
      </c>
      <c r="Q496" s="550" t="str">
        <f>INDEX(LoadMaster!$P:$P,MATCH(B496,LoadMaster!$C:$C,0))</f>
        <v>Carson City</v>
      </c>
      <c r="R496" s="550" t="str">
        <f>INDEX(LoadMaster!$AH:$AH,MATCH(B496,LoadMaster!$C:$C,0))</f>
        <v>Oakland</v>
      </c>
      <c r="S496" s="550" t="str">
        <f>INDEX(LoadMaster!$DC:$DC,MATCH(B496,LoadMaster!$C:$C,0))</f>
        <v>Sunny</v>
      </c>
      <c r="T496" s="567">
        <f>INDEX(LoadMaster!$DA:$DA,MATCH(B496,LoadMaster!$C:$C,0))</f>
        <v>18</v>
      </c>
      <c r="U496" s="243">
        <f>Table2[[#This Row],[WeekEndingDate]]+7</f>
        <v>42545</v>
      </c>
      <c r="V496" s="550">
        <f t="shared" si="56"/>
        <v>6</v>
      </c>
      <c r="W496" s="548">
        <f t="shared" si="57"/>
        <v>2016</v>
      </c>
    </row>
    <row r="497" spans="1:23">
      <c r="A497" s="550" t="str">
        <f>INDEX(LoadMaster!$A:$A,MATCH(B497,LoadMaster!$C:$C,0))</f>
        <v>53537793</v>
      </c>
      <c r="B497" s="552">
        <v>3543553</v>
      </c>
      <c r="C497" s="550" t="str">
        <f>VLOOKUP(Table2[[#This Row],[BrokerConfNo]],LoadMaster!C:D,2,FALSE)</f>
        <v>RE TRANSPORTATION</v>
      </c>
      <c r="D497" s="550"/>
      <c r="E497" s="548" t="str">
        <f>IF(Table2[[#This Row],[UBActualReceived]]&gt;1,"Received","Pending")</f>
        <v>Pending</v>
      </c>
      <c r="F497" s="241">
        <f>INDEX(LoadMaster!$CU:$CU,MATCH(B497,LoadMaster!$C:$C,0))</f>
        <v>725</v>
      </c>
      <c r="G497" s="134">
        <f>INDEX(LoadMaster!$CX:$CX,MATCH(B497,LoadMaster!$C:$C,0))</f>
        <v>725</v>
      </c>
      <c r="H497" s="241">
        <f>INDEX(LoadMaster!$CW:$CW,MATCH(B497,LoadMaster!$C:$C,0))</f>
        <v>674.25</v>
      </c>
      <c r="I497" s="338"/>
      <c r="J497" s="525">
        <v>674.25</v>
      </c>
      <c r="K497" s="241" t="str">
        <f t="shared" si="53"/>
        <v>Less</v>
      </c>
      <c r="L497" s="241">
        <f>INDEX(LoadMaster!$CT:$CT,MATCH(Table2[[#This Row],[BrokerConfNo]],LoadMaster!$C:$C,0))</f>
        <v>0</v>
      </c>
      <c r="M497" s="550" t="str">
        <f>INDEX(LoadMaster!$AO:$AO,MATCH(Table2[[#This Row],[BrokerConfNo]],LoadMaster!$C:$C,0))</f>
        <v>Arturo</v>
      </c>
      <c r="N497" s="549">
        <f t="shared" si="54"/>
        <v>42538</v>
      </c>
      <c r="O497" s="242">
        <f t="shared" si="55"/>
        <v>42545</v>
      </c>
      <c r="P497" s="549">
        <f>INDEX(LoadMaster!$M:$M,MATCH(B497,LoadMaster!$C:$C,0))</f>
        <v>42537</v>
      </c>
      <c r="Q497" s="550" t="str">
        <f>INDEX(LoadMaster!$P:$P,MATCH(B497,LoadMaster!$C:$C,0))</f>
        <v>MODESTO</v>
      </c>
      <c r="R497" s="550" t="str">
        <f>INDEX(LoadMaster!$AH:$AH,MATCH(B497,LoadMaster!$C:$C,0))</f>
        <v>MCCARRAN</v>
      </c>
      <c r="S497" s="550" t="str">
        <f>INDEX(LoadMaster!$DC:$DC,MATCH(B497,LoadMaster!$C:$C,0))</f>
        <v>Sunny</v>
      </c>
      <c r="T497" s="567">
        <f>INDEX(LoadMaster!$DA:$DA,MATCH(B497,LoadMaster!$C:$C,0))</f>
        <v>50.75</v>
      </c>
      <c r="U497" s="243">
        <f>Table2[[#This Row],[WeekEndingDate]]+7</f>
        <v>42545</v>
      </c>
      <c r="V497" s="550">
        <f t="shared" si="56"/>
        <v>6</v>
      </c>
      <c r="W497" s="548">
        <f t="shared" si="57"/>
        <v>2016</v>
      </c>
    </row>
    <row r="498" spans="1:23">
      <c r="A498" s="550" t="str">
        <f>INDEX(LoadMaster!$A:$A,MATCH(B498,LoadMaster!$C:$C,0))</f>
        <v>81190719</v>
      </c>
      <c r="B498" s="552">
        <v>2085681</v>
      </c>
      <c r="C498" s="550" t="str">
        <f>VLOOKUP(Table2[[#This Row],[BrokerConfNo]],LoadMaster!C:D,2,FALSE)</f>
        <v>XPOLogistics</v>
      </c>
      <c r="D498" s="549">
        <v>42553</v>
      </c>
      <c r="E498" s="548" t="str">
        <f>IF(Table2[[#This Row],[UBActualReceived]]&gt;1,"Received","Pending")</f>
        <v>Received</v>
      </c>
      <c r="F498" s="241">
        <f>INDEX(LoadMaster!$CU:$CU,MATCH(B498,LoadMaster!$C:$C,0))</f>
        <v>900</v>
      </c>
      <c r="G498" s="134">
        <f>INDEX(LoadMaster!$CX:$CX,MATCH(B498,LoadMaster!$C:$C,0))</f>
        <v>873</v>
      </c>
      <c r="H498" s="241">
        <f>INDEX(LoadMaster!$CW:$CW,MATCH(B498,LoadMaster!$C:$C,0))</f>
        <v>837</v>
      </c>
      <c r="I498" s="338">
        <v>873</v>
      </c>
      <c r="J498" s="525">
        <v>837</v>
      </c>
      <c r="K498" s="241" t="str">
        <f t="shared" si="53"/>
        <v>Full</v>
      </c>
      <c r="L498" s="241">
        <f>INDEX(LoadMaster!$CT:$CT,MATCH(Table2[[#This Row],[BrokerConfNo]],LoadMaster!$C:$C,0))</f>
        <v>0</v>
      </c>
      <c r="M498" s="550" t="str">
        <f>INDEX(LoadMaster!$AO:$AO,MATCH(Table2[[#This Row],[BrokerConfNo]],LoadMaster!$C:$C,0))</f>
        <v>Miguel Jaime</v>
      </c>
      <c r="N498" s="549">
        <f t="shared" si="54"/>
        <v>42538</v>
      </c>
      <c r="O498" s="242">
        <f t="shared" si="55"/>
        <v>42545</v>
      </c>
      <c r="P498" s="549">
        <f>INDEX(LoadMaster!$M:$M,MATCH(B498,LoadMaster!$C:$C,0))</f>
        <v>42538</v>
      </c>
      <c r="Q498" s="550" t="str">
        <f>INDEX(LoadMaster!$P:$P,MATCH(B498,LoadMaster!$C:$C,0))</f>
        <v>FRESNO</v>
      </c>
      <c r="R498" s="550" t="str">
        <f>INDEX(LoadMaster!$AH:$AH,MATCH(B498,LoadMaster!$C:$C,0))</f>
        <v>RENO</v>
      </c>
      <c r="S498" s="550" t="str">
        <f>INDEX(LoadMaster!$DC:$DC,MATCH(B498,LoadMaster!$C:$C,0))</f>
        <v>Sunny</v>
      </c>
      <c r="T498" s="567">
        <f>INDEX(LoadMaster!$DA:$DA,MATCH(B498,LoadMaster!$C:$C,0))</f>
        <v>36</v>
      </c>
      <c r="U498" s="243">
        <f>Table2[[#This Row],[WeekEndingDate]]+7</f>
        <v>42545</v>
      </c>
      <c r="V498" s="550">
        <f t="shared" si="56"/>
        <v>6</v>
      </c>
      <c r="W498" s="548">
        <f t="shared" si="57"/>
        <v>2016</v>
      </c>
    </row>
    <row r="499" spans="1:23">
      <c r="A499" s="550" t="str">
        <f>INDEX(LoadMaster!$A:$A,MATCH(B499,LoadMaster!$C:$C,0))</f>
        <v>7332wn19</v>
      </c>
      <c r="B499" s="552">
        <v>155073</v>
      </c>
      <c r="C499" s="550" t="str">
        <f>VLOOKUP(Table2[[#This Row],[BrokerConfNo]],LoadMaster!C:D,2,FALSE)</f>
        <v>Pepsi Logistics Company Inc</v>
      </c>
      <c r="D499" s="549">
        <v>42557</v>
      </c>
      <c r="E499" s="548" t="str">
        <f>IF(Table2[[#This Row],[UBActualReceived]]&gt;1,"Received","Pending")</f>
        <v>Received</v>
      </c>
      <c r="F499" s="241">
        <f>INDEX(LoadMaster!$CU:$CU,MATCH(B499,LoadMaster!$C:$C,0))</f>
        <v>525</v>
      </c>
      <c r="G499" s="134">
        <f>INDEX(LoadMaster!$CX:$CX,MATCH(B499,LoadMaster!$C:$C,0))</f>
        <v>509.25</v>
      </c>
      <c r="H499" s="241">
        <f>INDEX(LoadMaster!$CW:$CW,MATCH(B499,LoadMaster!$C:$C,0))</f>
        <v>488.25</v>
      </c>
      <c r="I499" s="338">
        <v>509.77</v>
      </c>
      <c r="J499" s="525">
        <v>488.25</v>
      </c>
      <c r="K499" s="241" t="str">
        <f t="shared" si="53"/>
        <v>Full</v>
      </c>
      <c r="L499" s="241">
        <f>INDEX(LoadMaster!$CT:$CT,MATCH(Table2[[#This Row],[BrokerConfNo]],LoadMaster!$C:$C,0))</f>
        <v>0</v>
      </c>
      <c r="M499" s="550" t="str">
        <f>INDEX(LoadMaster!$AO:$AO,MATCH(Table2[[#This Row],[BrokerConfNo]],LoadMaster!$C:$C,0))</f>
        <v>Miguel Jaime</v>
      </c>
      <c r="N499" s="549">
        <f t="shared" si="54"/>
        <v>42545</v>
      </c>
      <c r="O499" s="242">
        <f t="shared" si="55"/>
        <v>42552</v>
      </c>
      <c r="P499" s="549">
        <f>INDEX(LoadMaster!$M:$M,MATCH(B499,LoadMaster!$C:$C,0))</f>
        <v>42541</v>
      </c>
      <c r="Q499" s="550" t="str">
        <f>INDEX(LoadMaster!$P:$P,MATCH(B499,LoadMaster!$C:$C,0))</f>
        <v>SUTTER CREEK</v>
      </c>
      <c r="R499" s="550" t="str">
        <f>INDEX(LoadMaster!$AH:$AH,MATCH(B499,LoadMaster!$C:$C,0))</f>
        <v>GOSHEN</v>
      </c>
      <c r="S499" s="550" t="str">
        <f>INDEX(LoadMaster!$DC:$DC,MATCH(B499,LoadMaster!$C:$C,0))</f>
        <v>Sunny</v>
      </c>
      <c r="T499" s="567">
        <f>INDEX(LoadMaster!$DA:$DA,MATCH(B499,LoadMaster!$C:$C,0))</f>
        <v>21</v>
      </c>
      <c r="U499" s="243">
        <f>Table2[[#This Row],[WeekEndingDate]]+7</f>
        <v>42552</v>
      </c>
      <c r="V499" s="550">
        <f t="shared" si="56"/>
        <v>6</v>
      </c>
      <c r="W499" s="548">
        <f t="shared" si="57"/>
        <v>2016</v>
      </c>
    </row>
    <row r="500" spans="1:23">
      <c r="A500" s="550" t="str">
        <f>INDEX(LoadMaster!$A:$A,MATCH(B500,LoadMaster!$C:$C,0))</f>
        <v>7112wn49</v>
      </c>
      <c r="B500" s="552">
        <v>204184471</v>
      </c>
      <c r="C500" s="550" t="str">
        <f>VLOOKUP(Table2[[#This Row],[BrokerConfNo]],LoadMaster!C:D,2,FALSE)</f>
        <v>Ch Robinson</v>
      </c>
      <c r="D500" s="549">
        <v>43278</v>
      </c>
      <c r="E500" s="548" t="str">
        <f>IF(Table2[[#This Row],[UBActualReceived]]&gt;1,"Received","Pending")</f>
        <v>Received</v>
      </c>
      <c r="F500" s="241">
        <f>INDEX(LoadMaster!$CU:$CU,MATCH(B500,LoadMaster!$C:$C,0))</f>
        <v>549</v>
      </c>
      <c r="G500" s="134">
        <f>INDEX(LoadMaster!$CX:$CX,MATCH(B500,LoadMaster!$C:$C,0))</f>
        <v>538.02</v>
      </c>
      <c r="H500" s="241">
        <f>INDEX(LoadMaster!$CW:$CW,MATCH(B500,LoadMaster!$C:$C,0))</f>
        <v>510.57000000000005</v>
      </c>
      <c r="I500" s="338">
        <v>538.02</v>
      </c>
      <c r="J500" s="525">
        <v>510.57000000000005</v>
      </c>
      <c r="K500" s="241" t="str">
        <f t="shared" si="53"/>
        <v>Full</v>
      </c>
      <c r="L500" s="241">
        <f>INDEX(LoadMaster!$CT:$CT,MATCH(Table2[[#This Row],[BrokerConfNo]],LoadMaster!$C:$C,0))</f>
        <v>0</v>
      </c>
      <c r="M500" s="550" t="str">
        <f>INDEX(LoadMaster!$AO:$AO,MATCH(Table2[[#This Row],[BrokerConfNo]],LoadMaster!$C:$C,0))</f>
        <v>Albel</v>
      </c>
      <c r="N500" s="549">
        <f t="shared" si="54"/>
        <v>42538</v>
      </c>
      <c r="O500" s="242">
        <f t="shared" si="55"/>
        <v>42552</v>
      </c>
      <c r="P500" s="549">
        <f>INDEX(LoadMaster!$M:$M,MATCH(B500,LoadMaster!$C:$C,0))</f>
        <v>42538</v>
      </c>
      <c r="Q500" s="550" t="str">
        <f>INDEX(LoadMaster!$P:$P,MATCH(B500,LoadMaster!$C:$C,0))</f>
        <v>Corning</v>
      </c>
      <c r="R500" s="550" t="str">
        <f>INDEX(LoadMaster!$AH:$AH,MATCH(B500,LoadMaster!$C:$C,0))</f>
        <v>Lathrop</v>
      </c>
      <c r="S500" s="550" t="str">
        <f>INDEX(LoadMaster!$DC:$DC,MATCH(B500,LoadMaster!$C:$C,0))</f>
        <v>Sunny</v>
      </c>
      <c r="T500" s="567">
        <f>INDEX(LoadMaster!$DA:$DA,MATCH(B500,LoadMaster!$C:$C,0))</f>
        <v>27.44999999999995</v>
      </c>
      <c r="U500" s="243">
        <f>Table2[[#This Row],[WeekEndingDate]]+7</f>
        <v>42545</v>
      </c>
      <c r="V500" s="550">
        <f t="shared" si="56"/>
        <v>6</v>
      </c>
      <c r="W500" s="548">
        <f t="shared" si="57"/>
        <v>2016</v>
      </c>
    </row>
    <row r="501" spans="1:23">
      <c r="A501" s="550" t="str">
        <f>INDEX(LoadMaster!$A:$A,MATCH(B501,LoadMaster!$C:$C,0))</f>
        <v>3206wn93</v>
      </c>
      <c r="B501" s="552">
        <v>3071532</v>
      </c>
      <c r="C501" s="550" t="str">
        <f>VLOOKUP(Table2[[#This Row],[BrokerConfNo]],LoadMaster!C:D,2,FALSE)</f>
        <v>USAT Logistics</v>
      </c>
      <c r="D501" s="549">
        <v>42559</v>
      </c>
      <c r="E501" s="548" t="str">
        <f>IF(Table2[[#This Row],[UBActualReceived]]&gt;1,"Received","Pending")</f>
        <v>Received</v>
      </c>
      <c r="F501" s="241">
        <f>INDEX(LoadMaster!$CU:$CU,MATCH(B501,LoadMaster!$C:$C,0))</f>
        <v>425</v>
      </c>
      <c r="G501" s="134">
        <f>INDEX(LoadMaster!$CX:$CX,MATCH(B501,LoadMaster!$C:$C,0))</f>
        <v>412.25</v>
      </c>
      <c r="H501" s="241">
        <f>INDEX(LoadMaster!$CW:$CW,MATCH(B501,LoadMaster!$C:$C,0))</f>
        <v>395.25</v>
      </c>
      <c r="I501" s="338">
        <v>412.25</v>
      </c>
      <c r="J501" s="525">
        <v>395.25</v>
      </c>
      <c r="K501" s="241" t="str">
        <f t="shared" si="53"/>
        <v>Full</v>
      </c>
      <c r="L501" s="241">
        <f>INDEX(LoadMaster!$CT:$CT,MATCH(Table2[[#This Row],[BrokerConfNo]],LoadMaster!$C:$C,0))</f>
        <v>0</v>
      </c>
      <c r="M501" s="550" t="str">
        <f>INDEX(LoadMaster!$AO:$AO,MATCH(Table2[[#This Row],[BrokerConfNo]],LoadMaster!$C:$C,0))</f>
        <v>Arturo</v>
      </c>
      <c r="N501" s="549">
        <f t="shared" si="54"/>
        <v>42545</v>
      </c>
      <c r="O501" s="242">
        <f t="shared" si="55"/>
        <v>42552</v>
      </c>
      <c r="P501" s="549">
        <f>INDEX(LoadMaster!$M:$M,MATCH(B501,LoadMaster!$C:$C,0))</f>
        <v>42541</v>
      </c>
      <c r="Q501" s="550" t="str">
        <f>INDEX(LoadMaster!$P:$P,MATCH(B501,LoadMaster!$C:$C,0))</f>
        <v>ROSEVILLE</v>
      </c>
      <c r="R501" s="550" t="str">
        <f>INDEX(LoadMaster!$AH:$AH,MATCH(B501,LoadMaster!$C:$C,0))</f>
        <v>SAN JOSE</v>
      </c>
      <c r="S501" s="550" t="str">
        <f>INDEX(LoadMaster!$DC:$DC,MATCH(B501,LoadMaster!$C:$C,0))</f>
        <v>Sunny</v>
      </c>
      <c r="T501" s="567">
        <f>INDEX(LoadMaster!$DA:$DA,MATCH(B501,LoadMaster!$C:$C,0))</f>
        <v>17</v>
      </c>
      <c r="U501" s="243">
        <f>Table2[[#This Row],[WeekEndingDate]]+7</f>
        <v>42552</v>
      </c>
      <c r="V501" s="550">
        <f t="shared" si="56"/>
        <v>6</v>
      </c>
      <c r="W501" s="548">
        <f t="shared" si="57"/>
        <v>2016</v>
      </c>
    </row>
    <row r="502" spans="1:23">
      <c r="A502" s="550" t="str">
        <f>INDEX(LoadMaster!$A:$A,MATCH(B502,LoadMaster!$C:$C,0))</f>
        <v>1338wn93</v>
      </c>
      <c r="B502" s="552">
        <v>166713</v>
      </c>
      <c r="C502" s="550" t="str">
        <f>VLOOKUP(Table2[[#This Row],[BrokerConfNo]],LoadMaster!C:D,2,FALSE)</f>
        <v>Knight Logistics Llc</v>
      </c>
      <c r="D502" s="550"/>
      <c r="E502" s="548" t="str">
        <f>IF(Table2[[#This Row],[UBActualReceived]]&gt;1,"Received","Pending")</f>
        <v>Pending</v>
      </c>
      <c r="F502" s="241">
        <f>INDEX(LoadMaster!$CU:$CU,MATCH(B502,LoadMaster!$C:$C,0))</f>
        <v>350</v>
      </c>
      <c r="G502" s="134">
        <f>INDEX(LoadMaster!$CX:$CX,MATCH(B502,LoadMaster!$C:$C,0))</f>
        <v>339.5</v>
      </c>
      <c r="H502" s="241">
        <f>INDEX(LoadMaster!$CW:$CW,MATCH(B502,LoadMaster!$C:$C,0))</f>
        <v>325.5</v>
      </c>
      <c r="I502" s="338"/>
      <c r="J502" s="525">
        <v>325.5</v>
      </c>
      <c r="K502" s="241" t="str">
        <f t="shared" si="53"/>
        <v>Less</v>
      </c>
      <c r="L502" s="241">
        <f>INDEX(LoadMaster!$CT:$CT,MATCH(Table2[[#This Row],[BrokerConfNo]],LoadMaster!$C:$C,0))</f>
        <v>0</v>
      </c>
      <c r="M502" s="550" t="str">
        <f>INDEX(LoadMaster!$AO:$AO,MATCH(Table2[[#This Row],[BrokerConfNo]],LoadMaster!$C:$C,0))</f>
        <v>Arturo</v>
      </c>
      <c r="N502" s="549">
        <f t="shared" si="54"/>
        <v>42545</v>
      </c>
      <c r="O502" s="242">
        <f t="shared" si="55"/>
        <v>42552</v>
      </c>
      <c r="P502" s="549">
        <f>INDEX(LoadMaster!$M:$M,MATCH(B502,LoadMaster!$C:$C,0))</f>
        <v>42541</v>
      </c>
      <c r="Q502" s="550" t="str">
        <f>INDEX(LoadMaster!$P:$P,MATCH(B502,LoadMaster!$C:$C,0))</f>
        <v>Merced</v>
      </c>
      <c r="R502" s="550" t="str">
        <f>INDEX(LoadMaster!$AH:$AH,MATCH(B502,LoadMaster!$C:$C,0))</f>
        <v>Sacramento</v>
      </c>
      <c r="S502" s="550" t="str">
        <f>INDEX(LoadMaster!$DC:$DC,MATCH(B502,LoadMaster!$C:$C,0))</f>
        <v>Sunny</v>
      </c>
      <c r="T502" s="567">
        <f>INDEX(LoadMaster!$DA:$DA,MATCH(B502,LoadMaster!$C:$C,0))</f>
        <v>14</v>
      </c>
      <c r="U502" s="243">
        <f>Table2[[#This Row],[WeekEndingDate]]+7</f>
        <v>42552</v>
      </c>
      <c r="V502" s="550">
        <f t="shared" si="56"/>
        <v>6</v>
      </c>
      <c r="W502" s="548">
        <f t="shared" si="57"/>
        <v>2016</v>
      </c>
    </row>
    <row r="503" spans="1:23">
      <c r="A503" s="550" t="str">
        <f>INDEX(LoadMaster!$A:$A,MATCH(B503,LoadMaster!$C:$C,0))</f>
        <v>98790449</v>
      </c>
      <c r="B503" s="552" t="s">
        <v>3197</v>
      </c>
      <c r="C503" s="550" t="str">
        <f>VLOOKUP(Table2[[#This Row],[BrokerConfNo]],LoadMaster!C:D,2,FALSE)</f>
        <v>CAL FREIGHT</v>
      </c>
      <c r="D503" s="15" t="s">
        <v>3847</v>
      </c>
      <c r="E503" s="548" t="str">
        <f>IF(Table2[[#This Row],[UBActualReceived]]&gt;1,"Received","Pending")</f>
        <v>Received</v>
      </c>
      <c r="F503" s="241">
        <f>INDEX(LoadMaster!$CU:$CU,MATCH(B503,LoadMaster!$C:$C,0))</f>
        <v>700</v>
      </c>
      <c r="G503" s="134">
        <f>INDEX(LoadMaster!$CX:$CX,MATCH(B503,LoadMaster!$C:$C,0))</f>
        <v>679</v>
      </c>
      <c r="H503" s="241">
        <f>INDEX(LoadMaster!$CW:$CW,MATCH(B503,LoadMaster!$C:$C,0))</f>
        <v>651</v>
      </c>
      <c r="I503" s="338">
        <v>679</v>
      </c>
      <c r="J503" s="525">
        <v>651</v>
      </c>
      <c r="K503" s="241" t="str">
        <f t="shared" si="53"/>
        <v>Full</v>
      </c>
      <c r="L503" s="241">
        <f>INDEX(LoadMaster!$CT:$CT,MATCH(Table2[[#This Row],[BrokerConfNo]],LoadMaster!$C:$C,0))</f>
        <v>0</v>
      </c>
      <c r="M503" s="550" t="str">
        <f>INDEX(LoadMaster!$AO:$AO,MATCH(Table2[[#This Row],[BrokerConfNo]],LoadMaster!$C:$C,0))</f>
        <v>Albel</v>
      </c>
      <c r="N503" s="549">
        <f t="shared" si="54"/>
        <v>42545</v>
      </c>
      <c r="O503" s="242">
        <f t="shared" si="55"/>
        <v>42559</v>
      </c>
      <c r="P503" s="549">
        <f>INDEX(LoadMaster!$M:$M,MATCH(B503,LoadMaster!$C:$C,0))</f>
        <v>42541</v>
      </c>
      <c r="Q503" s="550" t="str">
        <f>INDEX(LoadMaster!$P:$P,MATCH(B503,LoadMaster!$C:$C,0))</f>
        <v>Stockton</v>
      </c>
      <c r="R503" s="550" t="str">
        <f>INDEX(LoadMaster!$AH:$AH,MATCH(B503,LoadMaster!$C:$C,0))</f>
        <v>SPARKS</v>
      </c>
      <c r="S503" s="550" t="str">
        <f>INDEX(LoadMaster!$DC:$DC,MATCH(B503,LoadMaster!$C:$C,0))</f>
        <v>Sunny</v>
      </c>
      <c r="T503" s="567">
        <f>INDEX(LoadMaster!$DA:$DA,MATCH(B503,LoadMaster!$C:$C,0))</f>
        <v>28</v>
      </c>
      <c r="U503" s="243">
        <f>Table2[[#This Row],[WeekEndingDate]]+7</f>
        <v>42552</v>
      </c>
      <c r="V503" s="550">
        <f t="shared" si="56"/>
        <v>6</v>
      </c>
      <c r="W503" s="548">
        <f t="shared" si="57"/>
        <v>2016</v>
      </c>
    </row>
    <row r="504" spans="1:23">
      <c r="A504" s="550" t="str">
        <f>INDEX(LoadMaster!$A:$A,MATCH(B504,LoadMaster!$C:$C,0))</f>
        <v>84511249</v>
      </c>
      <c r="B504" s="552">
        <v>7847284</v>
      </c>
      <c r="C504" s="550" t="str">
        <f>VLOOKUP(Table2[[#This Row],[BrokerConfNo]],LoadMaster!C:D,2,FALSE)</f>
        <v>Globaltranz</v>
      </c>
      <c r="D504" s="549">
        <v>42557</v>
      </c>
      <c r="E504" s="548" t="str">
        <f>IF(Table2[[#This Row],[UBActualReceived]]&gt;1,"Received","Pending")</f>
        <v>Received</v>
      </c>
      <c r="F504" s="241">
        <f>INDEX(LoadMaster!$CU:$CU,MATCH(B504,LoadMaster!$C:$C,0))</f>
        <v>650</v>
      </c>
      <c r="G504" s="134">
        <f>INDEX(LoadMaster!$CX:$CX,MATCH(B504,LoadMaster!$C:$C,0))</f>
        <v>624</v>
      </c>
      <c r="H504" s="241">
        <f>INDEX(LoadMaster!$CW:$CW,MATCH(B504,LoadMaster!$C:$C,0))</f>
        <v>604.5</v>
      </c>
      <c r="I504" s="338">
        <v>624</v>
      </c>
      <c r="J504" s="525">
        <v>604.5</v>
      </c>
      <c r="K504" s="241" t="str">
        <f>IF(I504&lt;G504, "Less", "Full")</f>
        <v>Full</v>
      </c>
      <c r="L504" s="241">
        <f>INDEX(LoadMaster!$CT:$CT,MATCH(Table2[[#This Row],[BrokerConfNo]],LoadMaster!$C:$C,0))</f>
        <v>0</v>
      </c>
      <c r="M504" s="550" t="str">
        <f>INDEX(LoadMaster!$AO:$AO,MATCH(Table2[[#This Row],[BrokerConfNo]],LoadMaster!$C:$C,0))</f>
        <v>Albel</v>
      </c>
      <c r="N504" s="549">
        <f>(5-WEEKDAY(P504,2))+P504</f>
        <v>42545</v>
      </c>
      <c r="O504" s="242">
        <f>IF(M504="Albel",((5-WEEKDAY(P504,2))+P504)+14,(((5-WEEKDAY(P504,2))+P504)+7))</f>
        <v>42559</v>
      </c>
      <c r="P504" s="549">
        <f>INDEX(LoadMaster!$M:$M,MATCH(B504,LoadMaster!$C:$C,0))</f>
        <v>42541</v>
      </c>
      <c r="Q504" s="550" t="str">
        <f>INDEX(LoadMaster!$P:$P,MATCH(B504,LoadMaster!$C:$C,0))</f>
        <v>OAKLAND</v>
      </c>
      <c r="R504" s="550" t="str">
        <f>INDEX(LoadMaster!$AH:$AH,MATCH(B504,LoadMaster!$C:$C,0))</f>
        <v>RENO</v>
      </c>
      <c r="S504" s="550" t="str">
        <f>INDEX(LoadMaster!$DC:$DC,MATCH(B504,LoadMaster!$C:$C,0))</f>
        <v>Sunny</v>
      </c>
      <c r="T504" s="567">
        <f>INDEX(LoadMaster!$DA:$DA,MATCH(B504,LoadMaster!$C:$C,0))</f>
        <v>19.5</v>
      </c>
      <c r="U504" s="243">
        <f>Table2[[#This Row],[WeekEndingDate]]+7</f>
        <v>42552</v>
      </c>
      <c r="V504" s="550">
        <f>MONTH(P504)</f>
        <v>6</v>
      </c>
      <c r="W504" s="548">
        <f>YEAR(P504)</f>
        <v>2016</v>
      </c>
    </row>
    <row r="505" spans="1:23">
      <c r="A505" s="15" t="str">
        <f>INDEX(LoadMaster!$A:$A,MATCH(B505,LoadMaster!$C:$C,0))</f>
        <v>60ngwn93</v>
      </c>
      <c r="B505" s="385">
        <v>23460</v>
      </c>
      <c r="C505" s="15" t="str">
        <f>VLOOKUP(Table2[[#This Row],[BrokerConfNo]],LoadMaster!C:D,2,FALSE)</f>
        <v>GMGTRANSWEST</v>
      </c>
      <c r="D505" s="15"/>
      <c r="E505" s="416" t="str">
        <f>IF(Table2[[#This Row],[UBActualReceived]]&gt;1,"Received","Pending")</f>
        <v>Pending</v>
      </c>
      <c r="F505" s="134">
        <f>INDEX(LoadMaster!$CU:$CU,MATCH(B505,LoadMaster!$C:$C,0))</f>
        <v>450</v>
      </c>
      <c r="G505" s="134">
        <f>INDEX(LoadMaster!$CX:$CX,MATCH(B505,LoadMaster!$C:$C,0))</f>
        <v>450</v>
      </c>
      <c r="H505" s="134">
        <f>INDEX(LoadMaster!$CW:$CW,MATCH(B505,LoadMaster!$C:$C,0))</f>
        <v>418.5</v>
      </c>
      <c r="I505" s="330"/>
      <c r="J505" s="525">
        <v>418.5</v>
      </c>
      <c r="K505" s="134" t="str">
        <f>IF(I505&lt;G505, "Less", "Full")</f>
        <v>Less</v>
      </c>
      <c r="L505" s="134">
        <f>INDEX(LoadMaster!$CT:$CT,MATCH(Table2[[#This Row],[BrokerConfNo]],LoadMaster!$C:$C,0))</f>
        <v>0</v>
      </c>
      <c r="M505" s="15" t="str">
        <f>INDEX(LoadMaster!$AO:$AO,MATCH(Table2[[#This Row],[BrokerConfNo]],LoadMaster!$C:$C,0))</f>
        <v>Arturo</v>
      </c>
      <c r="N505" s="104">
        <f>(5-WEEKDAY(P505,2))+P505</f>
        <v>42538</v>
      </c>
      <c r="O505" s="135">
        <f>IF(M505="Albel",((5-WEEKDAY(P505,2))+P505)+14,(((5-WEEKDAY(P505,2))+P505)+7))</f>
        <v>42545</v>
      </c>
      <c r="P505" s="104">
        <f>INDEX(LoadMaster!$M:$M,MATCH(B505,LoadMaster!$C:$C,0))</f>
        <v>42538</v>
      </c>
      <c r="Q505" s="15" t="str">
        <f>INDEX(LoadMaster!$P:$P,MATCH(B505,LoadMaster!$C:$C,0))</f>
        <v>SPARKS</v>
      </c>
      <c r="R505" s="15" t="str">
        <f>INDEX(LoadMaster!$AH:$AH,MATCH(B505,LoadMaster!$C:$C,0))</f>
        <v>Turlock</v>
      </c>
      <c r="S505" s="15" t="str">
        <f>INDEX(LoadMaster!$DC:$DC,MATCH(B505,LoadMaster!$C:$C,0))</f>
        <v>Sunny</v>
      </c>
      <c r="T505" s="136">
        <f>INDEX(LoadMaster!$DA:$DA,MATCH(B505,LoadMaster!$C:$C,0))</f>
        <v>31.5</v>
      </c>
      <c r="U505" s="137">
        <f>Table2[[#This Row],[WeekEndingDate]]+7</f>
        <v>42545</v>
      </c>
      <c r="V505" s="15">
        <f>MONTH(P505)</f>
        <v>6</v>
      </c>
      <c r="W505" s="416">
        <f>YEAR(P505)</f>
        <v>2016</v>
      </c>
    </row>
    <row r="506" spans="1:23">
      <c r="A506" s="550" t="str">
        <f>INDEX(LoadMaster!$A:$A,MATCH(B506,LoadMaster!$C:$C,0))</f>
        <v>2688wn93</v>
      </c>
      <c r="B506" s="552">
        <v>291214766930126</v>
      </c>
      <c r="C506" s="550" t="str">
        <f>VLOOKUP(Table2[[#This Row],[BrokerConfNo]],LoadMaster!C:D,2,FALSE)</f>
        <v>Hub Group Inc</v>
      </c>
      <c r="D506" s="549">
        <v>42571</v>
      </c>
      <c r="E506" s="548" t="str">
        <f>IF(Table2[[#This Row],[UBActualReceived]]&gt;1,"Received","Pending")</f>
        <v>Received</v>
      </c>
      <c r="F506" s="241">
        <f>INDEX(LoadMaster!$CU:$CU,MATCH(B506,LoadMaster!$C:$C,0))</f>
        <v>800</v>
      </c>
      <c r="G506" s="134">
        <f>INDEX(LoadMaster!$CX:$CX,MATCH(B506,LoadMaster!$C:$C,0))</f>
        <v>784</v>
      </c>
      <c r="H506" s="241">
        <f>INDEX(LoadMaster!$CW:$CW,MATCH(B506,LoadMaster!$C:$C,0))</f>
        <v>744</v>
      </c>
      <c r="I506" s="338">
        <v>800</v>
      </c>
      <c r="J506" s="525">
        <v>744</v>
      </c>
      <c r="K506" s="241" t="str">
        <f t="shared" ref="K506:K514" si="58">IF(I506&lt;G506, "Less", "Full")</f>
        <v>Full</v>
      </c>
      <c r="L506" s="241">
        <f>INDEX(LoadMaster!$CT:$CT,MATCH(Table2[[#This Row],[BrokerConfNo]],LoadMaster!$C:$C,0))</f>
        <v>0</v>
      </c>
      <c r="M506" s="550" t="str">
        <f>INDEX(LoadMaster!$AO:$AO,MATCH(Table2[[#This Row],[BrokerConfNo]],LoadMaster!$C:$C,0))</f>
        <v>Arturo</v>
      </c>
      <c r="N506" s="549">
        <f t="shared" ref="N506:N514" si="59">(5-WEEKDAY(P506,2))+P506</f>
        <v>42545</v>
      </c>
      <c r="O506" s="242">
        <f t="shared" ref="O506:O514" si="60">IF(M506="Albel",((5-WEEKDAY(P506,2))+P506)+14,(((5-WEEKDAY(P506,2))+P506)+7))</f>
        <v>42552</v>
      </c>
      <c r="P506" s="549">
        <f>INDEX(LoadMaster!$M:$M,MATCH(B506,LoadMaster!$C:$C,0))</f>
        <v>42542</v>
      </c>
      <c r="Q506" s="550" t="str">
        <f>INDEX(LoadMaster!$P:$P,MATCH(B506,LoadMaster!$C:$C,0))</f>
        <v>HAYWARD</v>
      </c>
      <c r="R506" s="550" t="str">
        <f>INDEX(LoadMaster!$AH:$AH,MATCH(B506,LoadMaster!$C:$C,0))</f>
        <v>RENO</v>
      </c>
      <c r="S506" s="550" t="str">
        <f>INDEX(LoadMaster!$DC:$DC,MATCH(B506,LoadMaster!$C:$C,0))</f>
        <v>Sunny</v>
      </c>
      <c r="T506" s="567">
        <f>INDEX(LoadMaster!$DA:$DA,MATCH(B506,LoadMaster!$C:$C,0))</f>
        <v>40</v>
      </c>
      <c r="U506" s="243">
        <f>Table2[[#This Row],[WeekEndingDate]]+7</f>
        <v>42552</v>
      </c>
      <c r="V506" s="550">
        <f t="shared" ref="V506:V514" si="61">MONTH(P506)</f>
        <v>6</v>
      </c>
      <c r="W506" s="548">
        <f t="shared" ref="W506:W514" si="62">YEAR(P506)</f>
        <v>2016</v>
      </c>
    </row>
    <row r="507" spans="1:23">
      <c r="A507" s="550" t="str">
        <f>INDEX(LoadMaster!$A:$A,MATCH(B507,LoadMaster!$C:$C,0))</f>
        <v>53181849</v>
      </c>
      <c r="B507" s="552">
        <v>24813553</v>
      </c>
      <c r="C507" s="550" t="str">
        <f>VLOOKUP(Table2[[#This Row],[BrokerConfNo]],LoadMaster!C:D,2,FALSE)</f>
        <v>Echo Global Logistics Inc.</v>
      </c>
      <c r="D507" s="550"/>
      <c r="E507" s="548" t="str">
        <f>IF(Table2[[#This Row],[UBActualReceived]]&gt;1,"Received","Pending")</f>
        <v>Pending</v>
      </c>
      <c r="F507" s="241">
        <f>INDEX(LoadMaster!$CU:$CU,MATCH(B507,LoadMaster!$C:$C,0))</f>
        <v>450</v>
      </c>
      <c r="G507" s="134">
        <f>INDEX(LoadMaster!$CX:$CX,MATCH(B507,LoadMaster!$C:$C,0))</f>
        <v>441</v>
      </c>
      <c r="H507" s="241">
        <f>INDEX(LoadMaster!$CW:$CW,MATCH(B507,LoadMaster!$C:$C,0))</f>
        <v>418.5</v>
      </c>
      <c r="I507" s="338"/>
      <c r="J507" s="525">
        <v>418.5</v>
      </c>
      <c r="K507" s="241" t="str">
        <f t="shared" si="58"/>
        <v>Less</v>
      </c>
      <c r="L507" s="241">
        <f>INDEX(LoadMaster!$CT:$CT,MATCH(Table2[[#This Row],[BrokerConfNo]],LoadMaster!$C:$C,0))</f>
        <v>0</v>
      </c>
      <c r="M507" s="550" t="str">
        <f>INDEX(LoadMaster!$AO:$AO,MATCH(Table2[[#This Row],[BrokerConfNo]],LoadMaster!$C:$C,0))</f>
        <v>Albel</v>
      </c>
      <c r="N507" s="549">
        <f t="shared" si="59"/>
        <v>42545</v>
      </c>
      <c r="O507" s="242">
        <f t="shared" si="60"/>
        <v>42559</v>
      </c>
      <c r="P507" s="549">
        <f>INDEX(LoadMaster!$M:$M,MATCH(B507,LoadMaster!$C:$C,0))</f>
        <v>42542</v>
      </c>
      <c r="Q507" s="550" t="str">
        <f>INDEX(LoadMaster!$P:$P,MATCH(B507,LoadMaster!$C:$C,0))</f>
        <v>FERNLEY</v>
      </c>
      <c r="R507" s="550" t="str">
        <f>INDEX(LoadMaster!$AH:$AH,MATCH(B507,LoadMaster!$C:$C,0))</f>
        <v>RICHMOND</v>
      </c>
      <c r="S507" s="550" t="str">
        <f>INDEX(LoadMaster!$DC:$DC,MATCH(B507,LoadMaster!$C:$C,0))</f>
        <v>Sunny</v>
      </c>
      <c r="T507" s="567">
        <f>INDEX(LoadMaster!$DA:$DA,MATCH(B507,LoadMaster!$C:$C,0))</f>
        <v>22.5</v>
      </c>
      <c r="U507" s="243">
        <f>Table2[[#This Row],[WeekEndingDate]]+7</f>
        <v>42552</v>
      </c>
      <c r="V507" s="550">
        <f t="shared" si="61"/>
        <v>6</v>
      </c>
      <c r="W507" s="548">
        <f t="shared" si="62"/>
        <v>2016</v>
      </c>
    </row>
    <row r="508" spans="1:23">
      <c r="A508" s="550" t="str">
        <f>INDEX(LoadMaster!$A:$A,MATCH(B508,LoadMaster!$C:$C,0))</f>
        <v>06ngwn19</v>
      </c>
      <c r="B508" s="552">
        <v>697806</v>
      </c>
      <c r="C508" s="550" t="str">
        <f>VLOOKUP(Table2[[#This Row],[BrokerConfNo]],LoadMaster!C:D,2,FALSE)</f>
        <v>Fetch Logistics, Inc.</v>
      </c>
      <c r="D508" s="550"/>
      <c r="E508" s="548" t="str">
        <f>IF(Table2[[#This Row],[UBActualReceived]]&gt;1,"Received","Pending")</f>
        <v>Pending</v>
      </c>
      <c r="F508" s="241">
        <f>INDEX(LoadMaster!$CU:$CU,MATCH(B508,LoadMaster!$C:$C,0))</f>
        <v>900</v>
      </c>
      <c r="G508" s="134">
        <f>INDEX(LoadMaster!$CX:$CX,MATCH(B508,LoadMaster!$C:$C,0))</f>
        <v>900</v>
      </c>
      <c r="H508" s="241">
        <f>INDEX(LoadMaster!$CW:$CW,MATCH(B508,LoadMaster!$C:$C,0))</f>
        <v>837</v>
      </c>
      <c r="I508" s="338"/>
      <c r="J508" s="525">
        <v>837</v>
      </c>
      <c r="K508" s="241" t="str">
        <f t="shared" si="58"/>
        <v>Less</v>
      </c>
      <c r="L508" s="241">
        <f>INDEX(LoadMaster!$CT:$CT,MATCH(Table2[[#This Row],[BrokerConfNo]],LoadMaster!$C:$C,0))</f>
        <v>0</v>
      </c>
      <c r="M508" s="550" t="str">
        <f>INDEX(LoadMaster!$AO:$AO,MATCH(Table2[[#This Row],[BrokerConfNo]],LoadMaster!$C:$C,0))</f>
        <v>Miguel Jaime</v>
      </c>
      <c r="N508" s="549">
        <f t="shared" si="59"/>
        <v>42545</v>
      </c>
      <c r="O508" s="242">
        <f t="shared" si="60"/>
        <v>42552</v>
      </c>
      <c r="P508" s="549">
        <f>INDEX(LoadMaster!$M:$M,MATCH(B508,LoadMaster!$C:$C,0))</f>
        <v>42542</v>
      </c>
      <c r="Q508" s="550" t="str">
        <f>INDEX(LoadMaster!$P:$P,MATCH(B508,LoadMaster!$C:$C,0))</f>
        <v xml:space="preserve">Clovis </v>
      </c>
      <c r="R508" s="550" t="str">
        <f>INDEX(LoadMaster!$AH:$AH,MATCH(B508,LoadMaster!$C:$C,0))</f>
        <v>RENO</v>
      </c>
      <c r="S508" s="550" t="str">
        <f>INDEX(LoadMaster!$DC:$DC,MATCH(B508,LoadMaster!$C:$C,0))</f>
        <v>Sunny</v>
      </c>
      <c r="T508" s="567">
        <f>INDEX(LoadMaster!$DA:$DA,MATCH(B508,LoadMaster!$C:$C,0))</f>
        <v>63</v>
      </c>
      <c r="U508" s="243">
        <f>Table2[[#This Row],[WeekEndingDate]]+7</f>
        <v>42552</v>
      </c>
      <c r="V508" s="550">
        <f t="shared" si="61"/>
        <v>6</v>
      </c>
      <c r="W508" s="548">
        <f t="shared" si="62"/>
        <v>2016</v>
      </c>
    </row>
    <row r="509" spans="1:23">
      <c r="A509" s="550" t="str">
        <f>INDEX(LoadMaster!$A:$A,MATCH(B509,LoadMaster!$C:$C,0))</f>
        <v>t2nkwn93</v>
      </c>
      <c r="B509" s="552" t="s">
        <v>3227</v>
      </c>
      <c r="C509" s="550" t="str">
        <f>VLOOKUP(Table2[[#This Row],[BrokerConfNo]],LoadMaster!C:D,2,FALSE)</f>
        <v>Ray Brothers Transportation Inc.</v>
      </c>
      <c r="D509" s="550"/>
      <c r="E509" s="548" t="str">
        <f>IF(Table2[[#This Row],[UBActualReceived]]&gt;1,"Received","Pending")</f>
        <v>Pending</v>
      </c>
      <c r="F509" s="241">
        <f>INDEX(LoadMaster!$CU:$CU,MATCH(B509,LoadMaster!$C:$C,0))</f>
        <v>700</v>
      </c>
      <c r="G509" s="134">
        <f>INDEX(LoadMaster!$CX:$CX,MATCH(B509,LoadMaster!$C:$C,0))</f>
        <v>700</v>
      </c>
      <c r="H509" s="241">
        <f>INDEX(LoadMaster!$CW:$CW,MATCH(B509,LoadMaster!$C:$C,0))</f>
        <v>651</v>
      </c>
      <c r="I509" s="338"/>
      <c r="J509" s="525">
        <v>651</v>
      </c>
      <c r="K509" s="241" t="str">
        <f t="shared" si="58"/>
        <v>Less</v>
      </c>
      <c r="L509" s="241">
        <f>INDEX(LoadMaster!$CT:$CT,MATCH(Table2[[#This Row],[BrokerConfNo]],LoadMaster!$C:$C,0))</f>
        <v>0</v>
      </c>
      <c r="M509" s="550" t="str">
        <f>INDEX(LoadMaster!$AO:$AO,MATCH(Table2[[#This Row],[BrokerConfNo]],LoadMaster!$C:$C,0))</f>
        <v>Arturo</v>
      </c>
      <c r="N509" s="549">
        <f t="shared" si="59"/>
        <v>42545</v>
      </c>
      <c r="O509" s="242">
        <f t="shared" si="60"/>
        <v>42552</v>
      </c>
      <c r="P509" s="549">
        <f>INDEX(LoadMaster!$M:$M,MATCH(B509,LoadMaster!$C:$C,0))</f>
        <v>42543</v>
      </c>
      <c r="Q509" s="550" t="str">
        <f>INDEX(LoadMaster!$P:$P,MATCH(B509,LoadMaster!$C:$C,0))</f>
        <v>FERNLEY</v>
      </c>
      <c r="R509" s="550" t="str">
        <f>INDEX(LoadMaster!$AH:$AH,MATCH(B509,LoadMaster!$C:$C,0))</f>
        <v>KING CITY</v>
      </c>
      <c r="S509" s="550" t="str">
        <f>INDEX(LoadMaster!$DC:$DC,MATCH(B509,LoadMaster!$C:$C,0))</f>
        <v>Sunny</v>
      </c>
      <c r="T509" s="567">
        <f>INDEX(LoadMaster!$DA:$DA,MATCH(B509,LoadMaster!$C:$C,0))</f>
        <v>49</v>
      </c>
      <c r="U509" s="243">
        <f>Table2[[#This Row],[WeekEndingDate]]+7</f>
        <v>42552</v>
      </c>
      <c r="V509" s="550">
        <f t="shared" si="61"/>
        <v>6</v>
      </c>
      <c r="W509" s="548">
        <f t="shared" si="62"/>
        <v>2016</v>
      </c>
    </row>
    <row r="510" spans="1:23">
      <c r="A510" s="550" t="str">
        <f>INDEX(LoadMaster!$A:$A,MATCH(B510,LoadMaster!$C:$C,0))</f>
        <v>93303019</v>
      </c>
      <c r="B510" s="552">
        <v>204750893</v>
      </c>
      <c r="C510" s="550" t="str">
        <f>VLOOKUP(Table2[[#This Row],[BrokerConfNo]],LoadMaster!C:D,2,FALSE)</f>
        <v>Ch Robinson</v>
      </c>
      <c r="D510" s="549">
        <v>42557</v>
      </c>
      <c r="E510" s="548" t="str">
        <f>IF(Table2[[#This Row],[UBActualReceived]]&gt;1,"Received","Pending")</f>
        <v>Received</v>
      </c>
      <c r="F510" s="241">
        <f>INDEX(LoadMaster!$CU:$CU,MATCH(B510,LoadMaster!$C:$C,0))</f>
        <v>300</v>
      </c>
      <c r="G510" s="134">
        <f>INDEX(LoadMaster!$CX:$CX,MATCH(B510,LoadMaster!$C:$C,0))</f>
        <v>294</v>
      </c>
      <c r="H510" s="241">
        <f>INDEX(LoadMaster!$CW:$CW,MATCH(B510,LoadMaster!$C:$C,0))</f>
        <v>279</v>
      </c>
      <c r="I510" s="338">
        <v>294</v>
      </c>
      <c r="J510" s="525">
        <v>279</v>
      </c>
      <c r="K510" s="241" t="str">
        <f t="shared" si="58"/>
        <v>Full</v>
      </c>
      <c r="L510" s="241">
        <f>INDEX(LoadMaster!$CT:$CT,MATCH(Table2[[#This Row],[BrokerConfNo]],LoadMaster!$C:$C,0))</f>
        <v>0</v>
      </c>
      <c r="M510" s="550" t="str">
        <f>INDEX(LoadMaster!$AO:$AO,MATCH(Table2[[#This Row],[BrokerConfNo]],LoadMaster!$C:$C,0))</f>
        <v>Miguel Jaime</v>
      </c>
      <c r="N510" s="549">
        <f t="shared" si="59"/>
        <v>42545</v>
      </c>
      <c r="O510" s="242">
        <f t="shared" si="60"/>
        <v>42552</v>
      </c>
      <c r="P510" s="549">
        <f>INDEX(LoadMaster!$M:$M,MATCH(B510,LoadMaster!$C:$C,0))</f>
        <v>42543</v>
      </c>
      <c r="Q510" s="550" t="str">
        <f>INDEX(LoadMaster!$P:$P,MATCH(B510,LoadMaster!$C:$C,0))</f>
        <v>SPARKS</v>
      </c>
      <c r="R510" s="550" t="str">
        <f>INDEX(LoadMaster!$AH:$AH,MATCH(B510,LoadMaster!$C:$C,0))</f>
        <v>Oakdale</v>
      </c>
      <c r="S510" s="550" t="str">
        <f>INDEX(LoadMaster!$DC:$DC,MATCH(B510,LoadMaster!$C:$C,0))</f>
        <v>Sunny</v>
      </c>
      <c r="T510" s="567">
        <f>INDEX(LoadMaster!$DA:$DA,MATCH(B510,LoadMaster!$C:$C,0))</f>
        <v>15</v>
      </c>
      <c r="U510" s="243">
        <f>Table2[[#This Row],[WeekEndingDate]]+7</f>
        <v>42552</v>
      </c>
      <c r="V510" s="550">
        <f t="shared" si="61"/>
        <v>6</v>
      </c>
      <c r="W510" s="548">
        <f t="shared" si="62"/>
        <v>2016</v>
      </c>
    </row>
    <row r="511" spans="1:23">
      <c r="A511" s="550" t="str">
        <f>INDEX(LoadMaster!$A:$A,MATCH(B511,LoadMaster!$C:$C,0))</f>
        <v>54080849</v>
      </c>
      <c r="B511" s="550">
        <v>52854</v>
      </c>
      <c r="C511" s="550" t="str">
        <f>VLOOKUP(Table2[[#This Row],[BrokerConfNo]],LoadMaster!C:D,2,FALSE)</f>
        <v>Cargobarn Inc.</v>
      </c>
      <c r="D511" s="550"/>
      <c r="E511" s="548" t="str">
        <f>IF(Table2[[#This Row],[UBActualReceived]]&gt;1,"Received","Pending")</f>
        <v>Pending</v>
      </c>
      <c r="F511" s="241">
        <f>INDEX(LoadMaster!$CU:$CU,MATCH(B511,LoadMaster!$C:$C,0))</f>
        <v>500</v>
      </c>
      <c r="G511" s="134">
        <f>INDEX(LoadMaster!$CX:$CX,MATCH(B511,LoadMaster!$C:$C,0))</f>
        <v>490</v>
      </c>
      <c r="H511" s="241">
        <f>INDEX(LoadMaster!$CW:$CW,MATCH(B511,LoadMaster!$C:$C,0))</f>
        <v>465</v>
      </c>
      <c r="I511" s="338"/>
      <c r="J511" s="525">
        <v>465</v>
      </c>
      <c r="K511" s="241" t="str">
        <f t="shared" si="58"/>
        <v>Less</v>
      </c>
      <c r="L511" s="241">
        <f>INDEX(LoadMaster!$CT:$CT,MATCH(Table2[[#This Row],[BrokerConfNo]],LoadMaster!$C:$C,0))</f>
        <v>0</v>
      </c>
      <c r="M511" s="550" t="str">
        <f>INDEX(LoadMaster!$AO:$AO,MATCH(Table2[[#This Row],[BrokerConfNo]],LoadMaster!$C:$C,0))</f>
        <v>Albel</v>
      </c>
      <c r="N511" s="549">
        <f t="shared" si="59"/>
        <v>42545</v>
      </c>
      <c r="O511" s="242">
        <f t="shared" si="60"/>
        <v>42559</v>
      </c>
      <c r="P511" s="549">
        <f>INDEX(LoadMaster!$M:$M,MATCH(B511,LoadMaster!$C:$C,0))</f>
        <v>42544</v>
      </c>
      <c r="Q511" s="550" t="str">
        <f>INDEX(LoadMaster!$P:$P,MATCH(B511,LoadMaster!$C:$C,0))</f>
        <v>reno</v>
      </c>
      <c r="R511" s="550" t="str">
        <f>INDEX(LoadMaster!$AH:$AH,MATCH(B511,LoadMaster!$C:$C,0))</f>
        <v>HAYWARD</v>
      </c>
      <c r="S511" s="550" t="str">
        <f>INDEX(LoadMaster!$DC:$DC,MATCH(B511,LoadMaster!$C:$C,0))</f>
        <v>Sunny</v>
      </c>
      <c r="T511" s="567">
        <f>INDEX(LoadMaster!$DA:$DA,MATCH(B511,LoadMaster!$C:$C,0))</f>
        <v>25</v>
      </c>
      <c r="U511" s="243">
        <f>Table2[[#This Row],[WeekEndingDate]]+7</f>
        <v>42552</v>
      </c>
      <c r="V511" s="550">
        <f t="shared" si="61"/>
        <v>6</v>
      </c>
      <c r="W511" s="548">
        <f t="shared" si="62"/>
        <v>2016</v>
      </c>
    </row>
    <row r="512" spans="1:23">
      <c r="A512" s="550" t="str">
        <f>INDEX(LoadMaster!$A:$A,MATCH(B512,LoadMaster!$C:$C,0))</f>
        <v>0185wn93</v>
      </c>
      <c r="B512" s="552">
        <v>69801</v>
      </c>
      <c r="C512" s="550" t="str">
        <f>VLOOKUP(Table2[[#This Row],[BrokerConfNo]],LoadMaster!C:D,2,FALSE)</f>
        <v>GMGTRANSWEST</v>
      </c>
      <c r="D512" s="550"/>
      <c r="E512" s="548" t="str">
        <f>IF(Table2[[#This Row],[UBActualReceived]]&gt;1,"Received","Pending")</f>
        <v>Pending</v>
      </c>
      <c r="F512" s="241">
        <f>INDEX(LoadMaster!$CU:$CU,MATCH(B512,LoadMaster!$C:$C,0))</f>
        <v>450</v>
      </c>
      <c r="G512" s="134">
        <f>INDEX(LoadMaster!$CX:$CX,MATCH(B512,LoadMaster!$C:$C,0))</f>
        <v>450</v>
      </c>
      <c r="H512" s="241">
        <f>INDEX(LoadMaster!$CW:$CW,MATCH(B512,LoadMaster!$C:$C,0))</f>
        <v>418.5</v>
      </c>
      <c r="I512" s="338"/>
      <c r="J512" s="525">
        <v>418.5</v>
      </c>
      <c r="K512" s="241" t="str">
        <f t="shared" si="58"/>
        <v>Less</v>
      </c>
      <c r="L512" s="241">
        <f>INDEX(LoadMaster!$CT:$CT,MATCH(Table2[[#This Row],[BrokerConfNo]],LoadMaster!$C:$C,0))</f>
        <v>0</v>
      </c>
      <c r="M512" s="550" t="str">
        <f>INDEX(LoadMaster!$AO:$AO,MATCH(Table2[[#This Row],[BrokerConfNo]],LoadMaster!$C:$C,0))</f>
        <v>Arturo</v>
      </c>
      <c r="N512" s="549">
        <f t="shared" si="59"/>
        <v>42531</v>
      </c>
      <c r="O512" s="242">
        <f t="shared" si="60"/>
        <v>42538</v>
      </c>
      <c r="P512" s="549">
        <f>INDEX(LoadMaster!$M:$M,MATCH(B512,LoadMaster!$C:$C,0))</f>
        <v>42528</v>
      </c>
      <c r="Q512" s="550" t="str">
        <f>INDEX(LoadMaster!$P:$P,MATCH(B512,LoadMaster!$C:$C,0))</f>
        <v>TURLOCK</v>
      </c>
      <c r="R512" s="550" t="str">
        <f>INDEX(LoadMaster!$AH:$AH,MATCH(B512,LoadMaster!$C:$C,0))</f>
        <v xml:space="preserve">DEER PARK </v>
      </c>
      <c r="S512" s="550" t="str">
        <f>INDEX(LoadMaster!$DC:$DC,MATCH(B512,LoadMaster!$C:$C,0))</f>
        <v>Sunny</v>
      </c>
      <c r="T512" s="567">
        <f>INDEX(LoadMaster!$DA:$DA,MATCH(B512,LoadMaster!$C:$C,0))</f>
        <v>31.5</v>
      </c>
      <c r="U512" s="243">
        <f>Table2[[#This Row],[WeekEndingDate]]+7</f>
        <v>42538</v>
      </c>
      <c r="V512" s="550">
        <f t="shared" si="61"/>
        <v>6</v>
      </c>
      <c r="W512" s="548">
        <f t="shared" si="62"/>
        <v>2016</v>
      </c>
    </row>
    <row r="513" spans="1:23">
      <c r="A513" s="550" t="str">
        <f>INDEX(LoadMaster!$A:$A,MATCH(B513,LoadMaster!$C:$C,0))</f>
        <v>8633wn49</v>
      </c>
      <c r="B513" s="552">
        <v>204878486</v>
      </c>
      <c r="C513" s="550" t="str">
        <f>VLOOKUP(Table2[[#This Row],[BrokerConfNo]],LoadMaster!C:D,2,FALSE)</f>
        <v>Ch Robinson</v>
      </c>
      <c r="D513" s="550"/>
      <c r="E513" s="548" t="str">
        <f>IF(Table2[[#This Row],[UBActualReceived]]&gt;1,"Received","Pending")</f>
        <v>Pending</v>
      </c>
      <c r="F513" s="241">
        <f>INDEX(LoadMaster!$CU:$CU,MATCH(B513,LoadMaster!$C:$C,0))</f>
        <v>800</v>
      </c>
      <c r="G513" s="134">
        <f>INDEX(LoadMaster!$CX:$CX,MATCH(B513,LoadMaster!$C:$C,0))</f>
        <v>784</v>
      </c>
      <c r="H513" s="241">
        <f>INDEX(LoadMaster!$CW:$CW,MATCH(B513,LoadMaster!$C:$C,0))</f>
        <v>744</v>
      </c>
      <c r="I513" s="338"/>
      <c r="J513" s="525">
        <v>744</v>
      </c>
      <c r="K513" s="241" t="str">
        <f t="shared" si="58"/>
        <v>Less</v>
      </c>
      <c r="L513" s="241">
        <f>INDEX(LoadMaster!$CT:$CT,MATCH(Table2[[#This Row],[BrokerConfNo]],LoadMaster!$C:$C,0))</f>
        <v>0</v>
      </c>
      <c r="M513" s="550" t="str">
        <f>INDEX(LoadMaster!$AO:$AO,MATCH(Table2[[#This Row],[BrokerConfNo]],LoadMaster!$C:$C,0))</f>
        <v>Albel</v>
      </c>
      <c r="N513" s="549">
        <f t="shared" si="59"/>
        <v>42545</v>
      </c>
      <c r="O513" s="242">
        <f t="shared" si="60"/>
        <v>42559</v>
      </c>
      <c r="P513" s="549">
        <f>INDEX(LoadMaster!$M:$M,MATCH(B513,LoadMaster!$C:$C,0))</f>
        <v>42543</v>
      </c>
      <c r="Q513" s="550" t="str">
        <f>INDEX(LoadMaster!$P:$P,MATCH(B513,LoadMaster!$C:$C,0))</f>
        <v>Hayward</v>
      </c>
      <c r="R513" s="550" t="str">
        <f>INDEX(LoadMaster!$AH:$AH,MATCH(B513,LoadMaster!$C:$C,0))</f>
        <v>SPARKS</v>
      </c>
      <c r="S513" s="550" t="str">
        <f>INDEX(LoadMaster!$DC:$DC,MATCH(B513,LoadMaster!$C:$C,0))</f>
        <v>Sunny</v>
      </c>
      <c r="T513" s="567">
        <f>INDEX(LoadMaster!$DA:$DA,MATCH(B513,LoadMaster!$C:$C,0))</f>
        <v>40</v>
      </c>
      <c r="U513" s="243">
        <f>Table2[[#This Row],[WeekEndingDate]]+7</f>
        <v>42552</v>
      </c>
      <c r="V513" s="550">
        <f t="shared" si="61"/>
        <v>6</v>
      </c>
      <c r="W513" s="548">
        <f t="shared" si="62"/>
        <v>2016</v>
      </c>
    </row>
    <row r="514" spans="1:23">
      <c r="A514" s="550" t="str">
        <f>INDEX(LoadMaster!$A:$A,MATCH(B514,LoadMaster!$C:$C,0))</f>
        <v>33969693</v>
      </c>
      <c r="B514" s="552" t="s">
        <v>3256</v>
      </c>
      <c r="C514" s="550" t="str">
        <f>VLOOKUP(Table2[[#This Row],[BrokerConfNo]],LoadMaster!C:D,2,FALSE)</f>
        <v>Schenider</v>
      </c>
      <c r="D514" s="549">
        <v>42555</v>
      </c>
      <c r="E514" s="548" t="str">
        <f>IF(Table2[[#This Row],[UBActualReceived]]&gt;1,"Received","Pending")</f>
        <v>Received</v>
      </c>
      <c r="F514" s="241">
        <f>INDEX(LoadMaster!$CU:$CU,MATCH(B514,LoadMaster!$C:$C,0))</f>
        <v>850</v>
      </c>
      <c r="G514" s="134">
        <f>INDEX(LoadMaster!$CX:$CX,MATCH(B514,LoadMaster!$C:$C,0))</f>
        <v>833</v>
      </c>
      <c r="H514" s="241">
        <f>INDEX(LoadMaster!$CW:$CW,MATCH(B514,LoadMaster!$C:$C,0))</f>
        <v>790.5</v>
      </c>
      <c r="I514" s="338">
        <v>833</v>
      </c>
      <c r="J514" s="525">
        <v>790.5</v>
      </c>
      <c r="K514" s="241" t="str">
        <f t="shared" si="58"/>
        <v>Full</v>
      </c>
      <c r="L514" s="241">
        <f>INDEX(LoadMaster!$CT:$CT,MATCH(Table2[[#This Row],[BrokerConfNo]],LoadMaster!$C:$C,0))</f>
        <v>0</v>
      </c>
      <c r="M514" s="550" t="str">
        <f>INDEX(LoadMaster!$AO:$AO,MATCH(Table2[[#This Row],[BrokerConfNo]],LoadMaster!$C:$C,0))</f>
        <v>Arturo</v>
      </c>
      <c r="N514" s="549">
        <f t="shared" si="59"/>
        <v>42545</v>
      </c>
      <c r="O514" s="242">
        <f t="shared" si="60"/>
        <v>42552</v>
      </c>
      <c r="P514" s="549">
        <f>INDEX(LoadMaster!$M:$M,MATCH(B514,LoadMaster!$C:$C,0))</f>
        <v>42544</v>
      </c>
      <c r="Q514" s="550" t="str">
        <f>INDEX(LoadMaster!$P:$P,MATCH(B514,LoadMaster!$C:$C,0))</f>
        <v>SAN JOSE</v>
      </c>
      <c r="R514" s="550" t="str">
        <f>INDEX(LoadMaster!$AH:$AH,MATCH(B514,LoadMaster!$C:$C,0))</f>
        <v>RENO</v>
      </c>
      <c r="S514" s="550" t="str">
        <f>INDEX(LoadMaster!$DC:$DC,MATCH(B514,LoadMaster!$C:$C,0))</f>
        <v>Sunny</v>
      </c>
      <c r="T514" s="567">
        <f>INDEX(LoadMaster!$DA:$DA,MATCH(B514,LoadMaster!$C:$C,0))</f>
        <v>42.5</v>
      </c>
      <c r="U514" s="243">
        <f>Table2[[#This Row],[WeekEndingDate]]+7</f>
        <v>42552</v>
      </c>
      <c r="V514" s="550">
        <f t="shared" si="61"/>
        <v>6</v>
      </c>
      <c r="W514" s="548">
        <f t="shared" si="62"/>
        <v>2016</v>
      </c>
    </row>
    <row r="515" spans="1:23">
      <c r="A515" s="15" t="str">
        <f>INDEX(LoadMaster!$A:$A,MATCH(B515,LoadMaster!$C:$C,0))</f>
        <v>4481BT19</v>
      </c>
      <c r="B515" s="81">
        <v>3083944</v>
      </c>
      <c r="C515" s="15" t="str">
        <f>VLOOKUP(Table2[[#This Row],[BrokerConfNo]],LoadMaster!C:D,2,FALSE)</f>
        <v>USAT Logistics</v>
      </c>
      <c r="D515" s="549">
        <v>42559</v>
      </c>
      <c r="E515" s="416" t="str">
        <f>IF(Table2[[#This Row],[UBActualReceived]]&gt;1,"Received","Pending")</f>
        <v>Received</v>
      </c>
      <c r="F515" s="134">
        <f>INDEX(LoadMaster!$CU:$CU,MATCH(B515,LoadMaster!$C:$C,0))</f>
        <v>900</v>
      </c>
      <c r="G515" s="134">
        <f>INDEX(LoadMaster!$CX:$CX,MATCH(B515,LoadMaster!$C:$C,0))</f>
        <v>873</v>
      </c>
      <c r="H515" s="134">
        <f>INDEX(LoadMaster!$CW:$CW,MATCH(B515,LoadMaster!$C:$C,0))</f>
        <v>837</v>
      </c>
      <c r="I515" s="330">
        <v>873</v>
      </c>
      <c r="J515" s="525">
        <v>837</v>
      </c>
      <c r="K515" s="134" t="str">
        <f t="shared" ref="K515:K523" si="63">IF(I515&lt;G515, "Less", "Full")</f>
        <v>Full</v>
      </c>
      <c r="L515" s="134">
        <f>INDEX(LoadMaster!$CT:$CT,MATCH(Table2[[#This Row],[BrokerConfNo]],LoadMaster!$C:$C,0))</f>
        <v>0</v>
      </c>
      <c r="M515" s="15" t="str">
        <f>INDEX(LoadMaster!$AO:$AO,MATCH(Table2[[#This Row],[BrokerConfNo]],LoadMaster!$C:$C,0))</f>
        <v>Miguel Jaime</v>
      </c>
      <c r="N515" s="104">
        <f t="shared" ref="N515:N523" si="64">(5-WEEKDAY(P515,2))+P515</f>
        <v>42545</v>
      </c>
      <c r="O515" s="135">
        <f t="shared" ref="O515:O523" si="65">IF(M515="Albel",((5-WEEKDAY(P515,2))+P515)+14,(((5-WEEKDAY(P515,2))+P515)+7))</f>
        <v>42552</v>
      </c>
      <c r="P515" s="104">
        <f>INDEX(LoadMaster!$M:$M,MATCH(B515,LoadMaster!$C:$C,0))</f>
        <v>42546</v>
      </c>
      <c r="Q515" s="15" t="str">
        <f>INDEX(LoadMaster!$P:$P,MATCH(B515,LoadMaster!$C:$C,0))</f>
        <v>SAN LEANDRO</v>
      </c>
      <c r="R515" s="15" t="str">
        <f>INDEX(LoadMaster!$AH:$AH,MATCH(B515,LoadMaster!$C:$C,0))</f>
        <v>REDDING</v>
      </c>
      <c r="S515" s="15" t="str">
        <f>INDEX(LoadMaster!$DC:$DC,MATCH(B515,LoadMaster!$C:$C,0))</f>
        <v>Sunny</v>
      </c>
      <c r="T515" s="136">
        <f>INDEX(LoadMaster!$DA:$DA,MATCH(B515,LoadMaster!$C:$C,0))</f>
        <v>36</v>
      </c>
      <c r="U515" s="137">
        <f>Table2[[#This Row],[WeekEndingDate]]+7</f>
        <v>42552</v>
      </c>
      <c r="V515" s="15">
        <f t="shared" ref="V515:V523" si="66">MONTH(P515)</f>
        <v>6</v>
      </c>
      <c r="W515" s="416">
        <f t="shared" ref="W515:W523" si="67">YEAR(P515)</f>
        <v>2016</v>
      </c>
    </row>
    <row r="516" spans="1:23">
      <c r="A516" s="15" t="str">
        <f>INDEX(LoadMaster!$A:$A,MATCH(B516,LoadMaster!$C:$C,0))</f>
        <v>48273593</v>
      </c>
      <c r="B516" s="81">
        <v>193948</v>
      </c>
      <c r="C516" s="15" t="str">
        <f>VLOOKUP(Table2[[#This Row],[BrokerConfNo]],LoadMaster!C:D,2,FALSE)</f>
        <v>VP Logistics</v>
      </c>
      <c r="D516" s="15"/>
      <c r="E516" s="416" t="str">
        <f>IF(Table2[[#This Row],[UBActualReceived]]&gt;1,"Received","Pending")</f>
        <v>Pending</v>
      </c>
      <c r="F516" s="134">
        <f>INDEX(LoadMaster!$CU:$CU,MATCH(B516,LoadMaster!$C:$C,0))</f>
        <v>775</v>
      </c>
      <c r="G516" s="134">
        <f>INDEX(LoadMaster!$CX:$CX,MATCH(B516,LoadMaster!$C:$C,0))</f>
        <v>775</v>
      </c>
      <c r="H516" s="134">
        <f>INDEX(LoadMaster!$CW:$CW,MATCH(B516,LoadMaster!$C:$C,0))</f>
        <v>720.75</v>
      </c>
      <c r="I516" s="330"/>
      <c r="J516" s="525">
        <v>720.75</v>
      </c>
      <c r="K516" s="134" t="str">
        <f t="shared" si="63"/>
        <v>Less</v>
      </c>
      <c r="L516" s="134">
        <f>INDEX(LoadMaster!$CT:$CT,MATCH(Table2[[#This Row],[BrokerConfNo]],LoadMaster!$C:$C,0))</f>
        <v>375</v>
      </c>
      <c r="M516" s="15" t="str">
        <f>INDEX(LoadMaster!$AO:$AO,MATCH(Table2[[#This Row],[BrokerConfNo]],LoadMaster!$C:$C,0))</f>
        <v>Arturo</v>
      </c>
      <c r="N516" s="104">
        <f t="shared" si="64"/>
        <v>42545</v>
      </c>
      <c r="O516" s="135">
        <f t="shared" si="65"/>
        <v>42552</v>
      </c>
      <c r="P516" s="104">
        <f>INDEX(LoadMaster!$M:$M,MATCH(B516,LoadMaster!$C:$C,0))</f>
        <v>42545</v>
      </c>
      <c r="Q516" s="15" t="str">
        <f>INDEX(LoadMaster!$P:$P,MATCH(B516,LoadMaster!$C:$C,0))</f>
        <v>LATHROP</v>
      </c>
      <c r="R516" s="15" t="str">
        <f>INDEX(LoadMaster!$AH:$AH,MATCH(B516,LoadMaster!$C:$C,0))</f>
        <v>STOCKTON</v>
      </c>
      <c r="S516" s="15" t="str">
        <f>INDEX(LoadMaster!$DC:$DC,MATCH(B516,LoadMaster!$C:$C,0))</f>
        <v>Sunny</v>
      </c>
      <c r="T516" s="136">
        <f>INDEX(LoadMaster!$DA:$DA,MATCH(B516,LoadMaster!$C:$C,0))</f>
        <v>54.25</v>
      </c>
      <c r="U516" s="137">
        <f>Table2[[#This Row],[WeekEndingDate]]+7</f>
        <v>42552</v>
      </c>
      <c r="V516" s="15">
        <f t="shared" si="66"/>
        <v>6</v>
      </c>
      <c r="W516" s="416">
        <f t="shared" si="67"/>
        <v>2016</v>
      </c>
    </row>
    <row r="517" spans="1:23">
      <c r="A517" s="15" t="str">
        <f>INDEX(LoadMaster!$A:$A,MATCH(B517,LoadMaster!$C:$C,0))</f>
        <v>50171093</v>
      </c>
      <c r="B517" s="81">
        <v>565250</v>
      </c>
      <c r="C517" s="15" t="str">
        <f>VLOOKUP(Table2[[#This Row],[BrokerConfNo]],LoadMaster!C:D,2,FALSE)</f>
        <v>Cavalry Logistics</v>
      </c>
      <c r="D517" s="15"/>
      <c r="E517" s="416" t="str">
        <f>IF(Table2[[#This Row],[UBActualReceived]]&gt;1,"Received","Pending")</f>
        <v>Pending</v>
      </c>
      <c r="F517" s="134">
        <f>INDEX(LoadMaster!$CU:$CU,MATCH(B517,LoadMaster!$C:$C,0))</f>
        <v>600</v>
      </c>
      <c r="G517" s="134">
        <f>INDEX(LoadMaster!$CX:$CX,MATCH(B517,LoadMaster!$C:$C,0))</f>
        <v>588</v>
      </c>
      <c r="H517" s="134">
        <f>INDEX(LoadMaster!$CW:$CW,MATCH(B517,LoadMaster!$C:$C,0))</f>
        <v>558</v>
      </c>
      <c r="I517" s="330"/>
      <c r="J517" s="525">
        <v>558</v>
      </c>
      <c r="K517" s="134" t="str">
        <f t="shared" si="63"/>
        <v>Less</v>
      </c>
      <c r="L517" s="134">
        <f>INDEX(LoadMaster!$CT:$CT,MATCH(Table2[[#This Row],[BrokerConfNo]],LoadMaster!$C:$C,0))</f>
        <v>0</v>
      </c>
      <c r="M517" s="15" t="str">
        <f>INDEX(LoadMaster!$AO:$AO,MATCH(Table2[[#This Row],[BrokerConfNo]],LoadMaster!$C:$C,0))</f>
        <v>Arturo</v>
      </c>
      <c r="N517" s="104">
        <f t="shared" si="64"/>
        <v>42552</v>
      </c>
      <c r="O517" s="135">
        <f t="shared" si="65"/>
        <v>42559</v>
      </c>
      <c r="P517" s="104">
        <f>INDEX(LoadMaster!$M:$M,MATCH(B517,LoadMaster!$C:$C,0))</f>
        <v>42548</v>
      </c>
      <c r="Q517" s="15" t="str">
        <f>INDEX(LoadMaster!$P:$P,MATCH(B517,LoadMaster!$C:$C,0))</f>
        <v>Stockton</v>
      </c>
      <c r="R517" s="15" t="str">
        <f>INDEX(LoadMaster!$AH:$AH,MATCH(B517,LoadMaster!$C:$C,0))</f>
        <v>Santa Clara / Saratoga</v>
      </c>
      <c r="S517" s="15" t="str">
        <f>INDEX(LoadMaster!$DC:$DC,MATCH(B517,LoadMaster!$C:$C,0))</f>
        <v>Sunny</v>
      </c>
      <c r="T517" s="136">
        <f>INDEX(LoadMaster!$DA:$DA,MATCH(B517,LoadMaster!$C:$C,0))</f>
        <v>30</v>
      </c>
      <c r="U517" s="137">
        <f>Table2[[#This Row],[WeekEndingDate]]+7</f>
        <v>42559</v>
      </c>
      <c r="V517" s="15">
        <f t="shared" si="66"/>
        <v>6</v>
      </c>
      <c r="W517" s="416">
        <f t="shared" si="67"/>
        <v>2016</v>
      </c>
    </row>
    <row r="518" spans="1:23">
      <c r="A518" s="15" t="str">
        <f>INDEX(LoadMaster!$A:$A,MATCH(B518,LoadMaster!$C:$C,0))</f>
        <v>ttwnwn93</v>
      </c>
      <c r="B518" s="81" t="s">
        <v>3272</v>
      </c>
      <c r="C518" s="15" t="str">
        <f>VLOOKUP(Table2[[#This Row],[BrokerConfNo]],LoadMaster!C:D,2,FALSE)</f>
        <v>Ray Brothers Transportation Inc.</v>
      </c>
      <c r="D518" s="15"/>
      <c r="E518" s="416" t="str">
        <f>IF(Table2[[#This Row],[UBActualReceived]]&gt;1,"Received","Pending")</f>
        <v>Pending</v>
      </c>
      <c r="F518" s="134">
        <f>INDEX(LoadMaster!$CU:$CU,MATCH(B518,LoadMaster!$C:$C,0))</f>
        <v>700</v>
      </c>
      <c r="G518" s="134">
        <f>INDEX(LoadMaster!$CX:$CX,MATCH(B518,LoadMaster!$C:$C,0))</f>
        <v>700</v>
      </c>
      <c r="H518" s="134">
        <f>INDEX(LoadMaster!$CW:$CW,MATCH(B518,LoadMaster!$C:$C,0))</f>
        <v>651</v>
      </c>
      <c r="I518" s="330"/>
      <c r="J518" s="525">
        <v>651</v>
      </c>
      <c r="K518" s="134" t="str">
        <f t="shared" si="63"/>
        <v>Less</v>
      </c>
      <c r="L518" s="134">
        <f>INDEX(LoadMaster!$CT:$CT,MATCH(Table2[[#This Row],[BrokerConfNo]],LoadMaster!$C:$C,0))</f>
        <v>0</v>
      </c>
      <c r="M518" s="15" t="str">
        <f>INDEX(LoadMaster!$AO:$AO,MATCH(Table2[[#This Row],[BrokerConfNo]],LoadMaster!$C:$C,0))</f>
        <v>Arturo</v>
      </c>
      <c r="N518" s="104">
        <f t="shared" si="64"/>
        <v>42552</v>
      </c>
      <c r="O518" s="135">
        <f t="shared" si="65"/>
        <v>42559</v>
      </c>
      <c r="P518" s="104">
        <f>INDEX(LoadMaster!$M:$M,MATCH(B518,LoadMaster!$C:$C,0))</f>
        <v>42550</v>
      </c>
      <c r="Q518" s="15" t="str">
        <f>INDEX(LoadMaster!$P:$P,MATCH(B518,LoadMaster!$C:$C,0))</f>
        <v>FERNLEY</v>
      </c>
      <c r="R518" s="15" t="str">
        <f>INDEX(LoadMaster!$AH:$AH,MATCH(B518,LoadMaster!$C:$C,0))</f>
        <v>KING CITY</v>
      </c>
      <c r="S518" s="15" t="str">
        <f>INDEX(LoadMaster!$DC:$DC,MATCH(B518,LoadMaster!$C:$C,0))</f>
        <v>Sunny</v>
      </c>
      <c r="T518" s="136">
        <f>INDEX(LoadMaster!$DA:$DA,MATCH(B518,LoadMaster!$C:$C,0))</f>
        <v>49</v>
      </c>
      <c r="U518" s="137">
        <f>Table2[[#This Row],[WeekEndingDate]]+7</f>
        <v>42559</v>
      </c>
      <c r="V518" s="15">
        <f t="shared" si="66"/>
        <v>6</v>
      </c>
      <c r="W518" s="416">
        <f t="shared" si="67"/>
        <v>2016</v>
      </c>
    </row>
    <row r="519" spans="1:23">
      <c r="A519" s="15" t="str">
        <f>INDEX(LoadMaster!$A:$A,MATCH(B519,LoadMaster!$C:$C,0))</f>
        <v>eywnwn93</v>
      </c>
      <c r="B519" s="81" t="s">
        <v>3273</v>
      </c>
      <c r="C519" s="15" t="str">
        <f>VLOOKUP(Table2[[#This Row],[BrokerConfNo]],LoadMaster!C:D,2,FALSE)</f>
        <v>JBS Logistics</v>
      </c>
      <c r="D519" s="15"/>
      <c r="E519" s="416" t="str">
        <f>IF(Table2[[#This Row],[UBActualReceived]]&gt;1,"Received","Pending")</f>
        <v>Pending</v>
      </c>
      <c r="F519" s="134">
        <f>INDEX(LoadMaster!$CU:$CU,MATCH(B519,LoadMaster!$C:$C,0))</f>
        <v>800</v>
      </c>
      <c r="G519" s="134">
        <f>INDEX(LoadMaster!$CX:$CX,MATCH(B519,LoadMaster!$C:$C,0))</f>
        <v>800</v>
      </c>
      <c r="H519" s="134">
        <f>INDEX(LoadMaster!$CW:$CW,MATCH(B519,LoadMaster!$C:$C,0))</f>
        <v>744</v>
      </c>
      <c r="I519" s="330"/>
      <c r="J519" s="525">
        <v>744</v>
      </c>
      <c r="K519" s="134" t="str">
        <f t="shared" si="63"/>
        <v>Less</v>
      </c>
      <c r="L519" s="134">
        <f>INDEX(LoadMaster!$CT:$CT,MATCH(Table2[[#This Row],[BrokerConfNo]],LoadMaster!$C:$C,0))</f>
        <v>0</v>
      </c>
      <c r="M519" s="15" t="str">
        <f>INDEX(LoadMaster!$AO:$AO,MATCH(Table2[[#This Row],[BrokerConfNo]],LoadMaster!$C:$C,0))</f>
        <v>Arturo</v>
      </c>
      <c r="N519" s="104">
        <f t="shared" si="64"/>
        <v>42552</v>
      </c>
      <c r="O519" s="135">
        <f t="shared" si="65"/>
        <v>42559</v>
      </c>
      <c r="P519" s="104">
        <f>INDEX(LoadMaster!$M:$M,MATCH(B519,LoadMaster!$C:$C,0))</f>
        <v>42549</v>
      </c>
      <c r="Q519" s="15" t="str">
        <f>INDEX(LoadMaster!$P:$P,MATCH(B519,LoadMaster!$C:$C,0))</f>
        <v>OAKLAND</v>
      </c>
      <c r="R519" s="15" t="str">
        <f>INDEX(LoadMaster!$AH:$AH,MATCH(B519,LoadMaster!$C:$C,0))</f>
        <v>RENO</v>
      </c>
      <c r="S519" s="15" t="str">
        <f>INDEX(LoadMaster!$DC:$DC,MATCH(B519,LoadMaster!$C:$C,0))</f>
        <v>Sunny</v>
      </c>
      <c r="T519" s="136">
        <f>INDEX(LoadMaster!$DA:$DA,MATCH(B519,LoadMaster!$C:$C,0))</f>
        <v>56</v>
      </c>
      <c r="U519" s="137">
        <f>Table2[[#This Row],[WeekEndingDate]]+7</f>
        <v>42559</v>
      </c>
      <c r="V519" s="15">
        <f t="shared" si="66"/>
        <v>6</v>
      </c>
      <c r="W519" s="416">
        <f t="shared" si="67"/>
        <v>2016</v>
      </c>
    </row>
    <row r="520" spans="1:23">
      <c r="A520" s="15" t="str">
        <f>INDEX(LoadMaster!$A:$A,MATCH(B520,LoadMaster!$C:$C,0))</f>
        <v>20773549</v>
      </c>
      <c r="B520" s="81">
        <v>205023020</v>
      </c>
      <c r="C520" s="15" t="str">
        <f>VLOOKUP(Table2[[#This Row],[BrokerConfNo]],LoadMaster!C:D,2,FALSE)</f>
        <v>Ch Robinson</v>
      </c>
      <c r="D520" s="15"/>
      <c r="E520" s="416" t="str">
        <f>IF(Table2[[#This Row],[UBActualReceived]]&gt;1,"Received","Pending")</f>
        <v>Received</v>
      </c>
      <c r="F520" s="134">
        <f>INDEX(LoadMaster!$CU:$CU,MATCH(B520,LoadMaster!$C:$C,0))</f>
        <v>555</v>
      </c>
      <c r="G520" s="134">
        <f>INDEX(LoadMaster!$CX:$CX,MATCH(B520,LoadMaster!$C:$C,0))</f>
        <v>543.9</v>
      </c>
      <c r="H520" s="134">
        <f>INDEX(LoadMaster!$CW:$CW,MATCH(B520,LoadMaster!$C:$C,0))</f>
        <v>516.15</v>
      </c>
      <c r="I520" s="330">
        <v>543.9</v>
      </c>
      <c r="J520" s="525">
        <v>516.15</v>
      </c>
      <c r="K520" s="134" t="str">
        <f t="shared" si="63"/>
        <v>Full</v>
      </c>
      <c r="L520" s="134">
        <f>INDEX(LoadMaster!$CT:$CT,MATCH(Table2[[#This Row],[BrokerConfNo]],LoadMaster!$C:$C,0))</f>
        <v>0</v>
      </c>
      <c r="M520" s="15" t="str">
        <f>INDEX(LoadMaster!$AO:$AO,MATCH(Table2[[#This Row],[BrokerConfNo]],LoadMaster!$C:$C,0))</f>
        <v>Albel</v>
      </c>
      <c r="N520" s="104">
        <f t="shared" si="64"/>
        <v>42552</v>
      </c>
      <c r="O520" s="135">
        <f t="shared" si="65"/>
        <v>42566</v>
      </c>
      <c r="P520" s="104">
        <f>INDEX(LoadMaster!$M:$M,MATCH(B520,LoadMaster!$C:$C,0))</f>
        <v>42548</v>
      </c>
      <c r="Q520" s="15" t="str">
        <f>INDEX(LoadMaster!$P:$P,MATCH(B520,LoadMaster!$C:$C,0))</f>
        <v>Chico</v>
      </c>
      <c r="R520" s="15" t="str">
        <f>INDEX(LoadMaster!$AH:$AH,MATCH(B520,LoadMaster!$C:$C,0))</f>
        <v>CROCKETT</v>
      </c>
      <c r="S520" s="15" t="str">
        <f>INDEX(LoadMaster!$DC:$DC,MATCH(B520,LoadMaster!$C:$C,0))</f>
        <v>Sunny</v>
      </c>
      <c r="T520" s="136">
        <f>INDEX(LoadMaster!$DA:$DA,MATCH(B520,LoadMaster!$C:$C,0))</f>
        <v>27.750000000000021</v>
      </c>
      <c r="U520" s="137">
        <f>Table2[[#This Row],[WeekEndingDate]]+7</f>
        <v>42559</v>
      </c>
      <c r="V520" s="15">
        <f t="shared" si="66"/>
        <v>6</v>
      </c>
      <c r="W520" s="416">
        <f t="shared" si="67"/>
        <v>2016</v>
      </c>
    </row>
    <row r="521" spans="1:23">
      <c r="A521" s="15" t="str">
        <f>INDEX(LoadMaster!$A:$A,MATCH(B521,LoadMaster!$C:$C,0))</f>
        <v>59594119</v>
      </c>
      <c r="B521" s="81">
        <v>600763159</v>
      </c>
      <c r="C521" s="15" t="str">
        <f>VLOOKUP(Table2[[#This Row],[BrokerConfNo]],LoadMaster!C:D,2,FALSE)</f>
        <v xml:space="preserve">Alliance Shippers Inc. </v>
      </c>
      <c r="D521" s="15"/>
      <c r="E521" s="416" t="str">
        <f>IF(Table2[[#This Row],[UBActualReceived]]&gt;1,"Received","Pending")</f>
        <v>Pending</v>
      </c>
      <c r="F521" s="134">
        <f>INDEX(LoadMaster!$CU:$CU,MATCH(B521,LoadMaster!$C:$C,0))</f>
        <v>1150</v>
      </c>
      <c r="G521" s="134">
        <f>INDEX(LoadMaster!$CX:$CX,MATCH(B521,LoadMaster!$C:$C,0))</f>
        <v>1150</v>
      </c>
      <c r="H521" s="134">
        <f>INDEX(LoadMaster!$CW:$CW,MATCH(B521,LoadMaster!$C:$C,0))</f>
        <v>1069.5</v>
      </c>
      <c r="I521" s="330"/>
      <c r="J521" s="525">
        <v>1069.5</v>
      </c>
      <c r="K521" s="134" t="str">
        <f t="shared" si="63"/>
        <v>Less</v>
      </c>
      <c r="L521" s="134">
        <f>INDEX(LoadMaster!$CT:$CT,MATCH(Table2[[#This Row],[BrokerConfNo]],LoadMaster!$C:$C,0))</f>
        <v>0</v>
      </c>
      <c r="M521" s="15" t="str">
        <f>INDEX(LoadMaster!$AO:$AO,MATCH(Table2[[#This Row],[BrokerConfNo]],LoadMaster!$C:$C,0))</f>
        <v>Miguel Jaime</v>
      </c>
      <c r="N521" s="104">
        <f t="shared" si="64"/>
        <v>42552</v>
      </c>
      <c r="O521" s="135">
        <f t="shared" si="65"/>
        <v>42559</v>
      </c>
      <c r="P521" s="104">
        <f>INDEX(LoadMaster!$M:$M,MATCH(B521,LoadMaster!$C:$C,0))</f>
        <v>42548</v>
      </c>
      <c r="Q521" s="15" t="str">
        <f>INDEX(LoadMaster!$P:$P,MATCH(B521,LoadMaster!$C:$C,0))</f>
        <v>RICHVALE</v>
      </c>
      <c r="R521" s="15" t="str">
        <f>INDEX(LoadMaster!$AH:$AH,MATCH(B521,LoadMaster!$C:$C,0))</f>
        <v>GILROY</v>
      </c>
      <c r="S521" s="15" t="str">
        <f>INDEX(LoadMaster!$DC:$DC,MATCH(B521,LoadMaster!$C:$C,0))</f>
        <v>Sunny</v>
      </c>
      <c r="T521" s="136">
        <f>INDEX(LoadMaster!$DA:$DA,MATCH(B521,LoadMaster!$C:$C,0))</f>
        <v>80.5</v>
      </c>
      <c r="U521" s="137">
        <f>Table2[[#This Row],[WeekEndingDate]]+7</f>
        <v>42559</v>
      </c>
      <c r="V521" s="15">
        <f t="shared" si="66"/>
        <v>6</v>
      </c>
      <c r="W521" s="416">
        <f t="shared" si="67"/>
        <v>2016</v>
      </c>
    </row>
    <row r="522" spans="1:23">
      <c r="A522" s="15" t="str">
        <f>INDEX(LoadMaster!$A:$A,MATCH(B522,LoadMaster!$C:$C,0))</f>
        <v>68010119</v>
      </c>
      <c r="B522" s="81">
        <v>7157168</v>
      </c>
      <c r="C522" s="15" t="str">
        <f>VLOOKUP(Table2[[#This Row],[BrokerConfNo]],LoadMaster!C:D,2,FALSE)</f>
        <v>TQL</v>
      </c>
      <c r="D522" s="104">
        <v>42562</v>
      </c>
      <c r="E522" s="416" t="str">
        <f>IF(Table2[[#This Row],[UBActualReceived]]&gt;1,"Received","Pending")</f>
        <v>Received</v>
      </c>
      <c r="F522" s="134">
        <f>INDEX(LoadMaster!$CU:$CU,MATCH(B522,LoadMaster!$C:$C,0))</f>
        <v>900</v>
      </c>
      <c r="G522" s="134">
        <f>INDEX(LoadMaster!$CX:$CX,MATCH(B522,LoadMaster!$C:$C,0))</f>
        <v>873</v>
      </c>
      <c r="H522" s="134">
        <f>INDEX(LoadMaster!$CW:$CW,MATCH(B522,LoadMaster!$C:$C,0))</f>
        <v>837</v>
      </c>
      <c r="I522" s="330">
        <v>873</v>
      </c>
      <c r="J522" s="525">
        <v>837</v>
      </c>
      <c r="K522" s="134" t="str">
        <f t="shared" si="63"/>
        <v>Full</v>
      </c>
      <c r="L522" s="134">
        <f>INDEX(LoadMaster!$CT:$CT,MATCH(Table2[[#This Row],[BrokerConfNo]],LoadMaster!$C:$C,0))</f>
        <v>0</v>
      </c>
      <c r="M522" s="15" t="str">
        <f>INDEX(LoadMaster!$AO:$AO,MATCH(Table2[[#This Row],[BrokerConfNo]],LoadMaster!$C:$C,0))</f>
        <v>Miguel Jaime</v>
      </c>
      <c r="N522" s="104">
        <f t="shared" si="64"/>
        <v>42552</v>
      </c>
      <c r="O522" s="135">
        <f t="shared" si="65"/>
        <v>42559</v>
      </c>
      <c r="P522" s="104">
        <f>INDEX(LoadMaster!$M:$M,MATCH(B522,LoadMaster!$C:$C,0))</f>
        <v>42551</v>
      </c>
      <c r="Q522" s="15" t="str">
        <f>INDEX(LoadMaster!$P:$P,MATCH(B522,LoadMaster!$C:$C,0))</f>
        <v xml:space="preserve">SAN JOSE </v>
      </c>
      <c r="R522" s="15" t="str">
        <f>INDEX(LoadMaster!$AH:$AH,MATCH(B522,LoadMaster!$C:$C,0))</f>
        <v>Reno</v>
      </c>
      <c r="S522" s="15" t="str">
        <f>INDEX(LoadMaster!$DC:$DC,MATCH(B522,LoadMaster!$C:$C,0))</f>
        <v>Sunny</v>
      </c>
      <c r="T522" s="136">
        <f>INDEX(LoadMaster!$DA:$DA,MATCH(B522,LoadMaster!$C:$C,0))</f>
        <v>36</v>
      </c>
      <c r="U522" s="137">
        <f>Table2[[#This Row],[WeekEndingDate]]+7</f>
        <v>42559</v>
      </c>
      <c r="V522" s="15">
        <f t="shared" si="66"/>
        <v>6</v>
      </c>
      <c r="W522" s="416">
        <f t="shared" si="67"/>
        <v>2016</v>
      </c>
    </row>
    <row r="523" spans="1:23">
      <c r="A523" s="15" t="str">
        <f>INDEX(LoadMaster!$A:$A,MATCH(B523,LoadMaster!$C:$C,0))</f>
        <v>84222393</v>
      </c>
      <c r="B523" s="81">
        <v>204845784</v>
      </c>
      <c r="C523" s="15" t="str">
        <f>VLOOKUP(Table2[[#This Row],[BrokerConfNo]],LoadMaster!C:D,2,FALSE)</f>
        <v>Ch Robinson</v>
      </c>
      <c r="D523" s="15"/>
      <c r="E523" s="416" t="str">
        <f>IF(Table2[[#This Row],[UBActualReceived]]&gt;1,"Received","Pending")</f>
        <v>Pending</v>
      </c>
      <c r="F523" s="134">
        <f>INDEX(LoadMaster!$CU:$CU,MATCH(B523,LoadMaster!$C:$C,0))</f>
        <v>1450</v>
      </c>
      <c r="G523" s="134">
        <f>INDEX(LoadMaster!$CX:$CX,MATCH(B523,LoadMaster!$C:$C,0))</f>
        <v>1421</v>
      </c>
      <c r="H523" s="134">
        <f>INDEX(LoadMaster!$CW:$CW,MATCH(B523,LoadMaster!$C:$C,0))</f>
        <v>1488</v>
      </c>
      <c r="I523" s="330"/>
      <c r="J523" s="525">
        <v>1488</v>
      </c>
      <c r="K523" s="134" t="str">
        <f t="shared" si="63"/>
        <v>Less</v>
      </c>
      <c r="L523" s="134">
        <f>INDEX(LoadMaster!$CT:$CT,MATCH(Table2[[#This Row],[BrokerConfNo]],LoadMaster!$C:$C,0))</f>
        <v>150</v>
      </c>
      <c r="M523" s="15" t="str">
        <f>INDEX(LoadMaster!$AO:$AO,MATCH(Table2[[#This Row],[BrokerConfNo]],LoadMaster!$C:$C,0))</f>
        <v>Arturo</v>
      </c>
      <c r="N523" s="104">
        <f t="shared" si="64"/>
        <v>42552</v>
      </c>
      <c r="O523" s="135">
        <f t="shared" si="65"/>
        <v>42559</v>
      </c>
      <c r="P523" s="104">
        <f>INDEX(LoadMaster!$M:$M,MATCH(B523,LoadMaster!$C:$C,0))</f>
        <v>42551</v>
      </c>
      <c r="Q523" s="15" t="str">
        <f>INDEX(LoadMaster!$P:$P,MATCH(B523,LoadMaster!$C:$C,0))</f>
        <v>WATSONVILLE</v>
      </c>
      <c r="R523" s="15" t="str">
        <f>INDEX(LoadMaster!$AH:$AH,MATCH(B523,LoadMaster!$C:$C,0))</f>
        <v>RICHMOND</v>
      </c>
      <c r="S523" s="15" t="str">
        <f>INDEX(LoadMaster!$DC:$DC,MATCH(B523,LoadMaster!$C:$C,0))</f>
        <v>Sunny</v>
      </c>
      <c r="T523" s="136">
        <f>INDEX(LoadMaster!$DA:$DA,MATCH(B523,LoadMaster!$C:$C,0))</f>
        <v>-67</v>
      </c>
      <c r="U523" s="137">
        <f>Table2[[#This Row],[WeekEndingDate]]+7</f>
        <v>42559</v>
      </c>
      <c r="V523" s="15">
        <f t="shared" si="66"/>
        <v>6</v>
      </c>
      <c r="W523" s="416">
        <f t="shared" si="67"/>
        <v>2016</v>
      </c>
    </row>
    <row r="524" spans="1:23">
      <c r="A524" s="550" t="str">
        <f>INDEX(LoadMaster!$A:$A,MATCH(B524,LoadMaster!$C:$C,0))</f>
        <v>-5-5-519</v>
      </c>
      <c r="B524" s="81" t="s">
        <v>3306</v>
      </c>
      <c r="C524" s="550" t="str">
        <f>VLOOKUP(Table2[[#This Row],[BrokerConfNo]],LoadMaster!C:D,2,FALSE)</f>
        <v>Veritiv</v>
      </c>
      <c r="D524" s="550"/>
      <c r="E524" s="548" t="str">
        <f>IF(Table2[[#This Row],[UBActualReceived]]&gt;1,"Received","Pending")</f>
        <v>Pending</v>
      </c>
      <c r="F524" s="241">
        <f>INDEX(LoadMaster!$CU:$CU,MATCH(B524,LoadMaster!$C:$C,0))</f>
        <v>475</v>
      </c>
      <c r="G524" s="134">
        <f>INDEX(LoadMaster!$CX:$CX,MATCH(B524,LoadMaster!$C:$C,0))</f>
        <v>475</v>
      </c>
      <c r="H524" s="241">
        <f>INDEX(LoadMaster!$CW:$CW,MATCH(B524,LoadMaster!$C:$C,0))</f>
        <v>441.75</v>
      </c>
      <c r="I524" s="338"/>
      <c r="J524" s="525">
        <v>441.75</v>
      </c>
      <c r="K524" s="241" t="str">
        <f t="shared" ref="K524:K530" si="68">IF(I524&lt;G524, "Less", "Full")</f>
        <v>Less</v>
      </c>
      <c r="L524" s="241">
        <f>INDEX(LoadMaster!$CT:$CT,MATCH(Table2[[#This Row],[BrokerConfNo]],LoadMaster!$C:$C,0))</f>
        <v>0</v>
      </c>
      <c r="M524" s="550" t="str">
        <f>INDEX(LoadMaster!$AO:$AO,MATCH(Table2[[#This Row],[BrokerConfNo]],LoadMaster!$C:$C,0))</f>
        <v>Miguel Jaime</v>
      </c>
      <c r="N524" s="549">
        <f t="shared" ref="N524:N530" si="69">(5-WEEKDAY(P524,2))+P524</f>
        <v>42552</v>
      </c>
      <c r="O524" s="242">
        <f t="shared" ref="O524:O530" si="70">IF(M524="Albel",((5-WEEKDAY(P524,2))+P524)+14,(((5-WEEKDAY(P524,2))+P524)+7))</f>
        <v>42559</v>
      </c>
      <c r="P524" s="549">
        <f>INDEX(LoadMaster!$M:$M,MATCH(B524,LoadMaster!$C:$C,0))</f>
        <v>42552</v>
      </c>
      <c r="Q524" s="550" t="str">
        <f>INDEX(LoadMaster!$P:$P,MATCH(B524,LoadMaster!$C:$C,0))</f>
        <v>Sparks</v>
      </c>
      <c r="R524" s="550" t="str">
        <f>INDEX(LoadMaster!$AH:$AH,MATCH(B524,LoadMaster!$C:$C,0))</f>
        <v>Merced</v>
      </c>
      <c r="S524" s="550" t="str">
        <f>INDEX(LoadMaster!$DC:$DC,MATCH(B524,LoadMaster!$C:$C,0))</f>
        <v>Sunny</v>
      </c>
      <c r="T524" s="567">
        <f>INDEX(LoadMaster!$DA:$DA,MATCH(B524,LoadMaster!$C:$C,0))</f>
        <v>33.25</v>
      </c>
      <c r="U524" s="243">
        <f>Table2[[#This Row],[WeekEndingDate]]+7</f>
        <v>42559</v>
      </c>
      <c r="V524" s="550">
        <f t="shared" ref="V524:V530" si="71">MONTH(P524)</f>
        <v>7</v>
      </c>
      <c r="W524" s="548">
        <f t="shared" ref="W524:W530" si="72">YEAR(P524)</f>
        <v>2016</v>
      </c>
    </row>
    <row r="525" spans="1:23">
      <c r="A525" s="550" t="str">
        <f>INDEX(LoadMaster!$A:$A,MATCH(B525,LoadMaster!$C:$C,0))</f>
        <v>81-1cs93</v>
      </c>
      <c r="B525" s="81" t="s">
        <v>3311</v>
      </c>
      <c r="C525" s="550" t="str">
        <f>VLOOKUP(Table2[[#This Row],[BrokerConfNo]],LoadMaster!C:D,2,FALSE)</f>
        <v>Veritiv</v>
      </c>
      <c r="D525" s="550"/>
      <c r="E525" s="548" t="str">
        <f>IF(Table2[[#This Row],[UBActualReceived]]&gt;1,"Received","Pending")</f>
        <v>Pending</v>
      </c>
      <c r="F525" s="241">
        <f>INDEX(LoadMaster!$CU:$CU,MATCH(B525,LoadMaster!$C:$C,0))</f>
        <v>475</v>
      </c>
      <c r="G525" s="134">
        <f>INDEX(LoadMaster!$CX:$CX,MATCH(B525,LoadMaster!$C:$C,0))</f>
        <v>475</v>
      </c>
      <c r="H525" s="241">
        <f>INDEX(LoadMaster!$CW:$CW,MATCH(B525,LoadMaster!$C:$C,0))</f>
        <v>441.75</v>
      </c>
      <c r="I525" s="338"/>
      <c r="J525" s="525">
        <v>441.75</v>
      </c>
      <c r="K525" s="241" t="str">
        <f t="shared" si="68"/>
        <v>Less</v>
      </c>
      <c r="L525" s="241">
        <f>INDEX(LoadMaster!$CT:$CT,MATCH(Table2[[#This Row],[BrokerConfNo]],LoadMaster!$C:$C,0))</f>
        <v>0</v>
      </c>
      <c r="M525" s="550" t="str">
        <f>INDEX(LoadMaster!$AO:$AO,MATCH(Table2[[#This Row],[BrokerConfNo]],LoadMaster!$C:$C,0))</f>
        <v>Arturo</v>
      </c>
      <c r="N525" s="549">
        <f t="shared" si="69"/>
        <v>42559</v>
      </c>
      <c r="O525" s="242">
        <f t="shared" si="70"/>
        <v>42566</v>
      </c>
      <c r="P525" s="549">
        <f>INDEX(LoadMaster!$M:$M,MATCH(B525,LoadMaster!$C:$C,0))</f>
        <v>42556</v>
      </c>
      <c r="Q525" s="550" t="str">
        <f>INDEX(LoadMaster!$P:$P,MATCH(B525,LoadMaster!$C:$C,0))</f>
        <v>Sparks</v>
      </c>
      <c r="R525" s="550" t="str">
        <f>INDEX(LoadMaster!$AH:$AH,MATCH(B525,LoadMaster!$C:$C,0))</f>
        <v>Merced</v>
      </c>
      <c r="S525" s="550" t="str">
        <f>INDEX(LoadMaster!$DC:$DC,MATCH(B525,LoadMaster!$C:$C,0))</f>
        <v>Sunny</v>
      </c>
      <c r="T525" s="567">
        <f>INDEX(LoadMaster!$DA:$DA,MATCH(B525,LoadMaster!$C:$C,0))</f>
        <v>33.25</v>
      </c>
      <c r="U525" s="243">
        <f>Table2[[#This Row],[WeekEndingDate]]+7</f>
        <v>42566</v>
      </c>
      <c r="V525" s="550">
        <f t="shared" si="71"/>
        <v>7</v>
      </c>
      <c r="W525" s="548">
        <f t="shared" si="72"/>
        <v>2016</v>
      </c>
    </row>
    <row r="526" spans="1:23">
      <c r="A526" s="550" t="str">
        <f>INDEX(LoadMaster!$A:$A,MATCH(B526,LoadMaster!$C:$C,0))</f>
        <v>95363693</v>
      </c>
      <c r="B526" s="552">
        <v>7981595</v>
      </c>
      <c r="C526" s="550" t="str">
        <f>VLOOKUP(Table2[[#This Row],[BrokerConfNo]],LoadMaster!C:D,2,FALSE)</f>
        <v>Globaltranz</v>
      </c>
      <c r="D526" s="550"/>
      <c r="E526" s="548" t="str">
        <f>IF(Table2[[#This Row],[UBActualReceived]]&gt;1,"Received","Pending")</f>
        <v>Pending</v>
      </c>
      <c r="F526" s="241">
        <f>INDEX(LoadMaster!$CU:$CU,MATCH(B526,LoadMaster!$C:$C,0))</f>
        <v>900</v>
      </c>
      <c r="G526" s="134">
        <f>INDEX(LoadMaster!$CX:$CX,MATCH(B526,LoadMaster!$C:$C,0))</f>
        <v>864</v>
      </c>
      <c r="H526" s="241">
        <f>INDEX(LoadMaster!$CW:$CW,MATCH(B526,LoadMaster!$C:$C,0))</f>
        <v>837</v>
      </c>
      <c r="I526" s="338"/>
      <c r="J526" s="525">
        <v>837</v>
      </c>
      <c r="K526" s="241" t="str">
        <f t="shared" si="68"/>
        <v>Less</v>
      </c>
      <c r="L526" s="241">
        <f>INDEX(LoadMaster!$CT:$CT,MATCH(Table2[[#This Row],[BrokerConfNo]],LoadMaster!$C:$C,0))</f>
        <v>0</v>
      </c>
      <c r="M526" s="550" t="str">
        <f>INDEX(LoadMaster!$AO:$AO,MATCH(Table2[[#This Row],[BrokerConfNo]],LoadMaster!$C:$C,0))</f>
        <v>Arturo</v>
      </c>
      <c r="N526" s="549">
        <f t="shared" si="69"/>
        <v>42559</v>
      </c>
      <c r="O526" s="242">
        <f t="shared" si="70"/>
        <v>42566</v>
      </c>
      <c r="P526" s="549">
        <f>INDEX(LoadMaster!$M:$M,MATCH(B526,LoadMaster!$C:$C,0))</f>
        <v>42557</v>
      </c>
      <c r="Q526" s="550" t="str">
        <f>INDEX(LoadMaster!$P:$P,MATCH(B526,LoadMaster!$C:$C,0))</f>
        <v>FRESNO</v>
      </c>
      <c r="R526" s="550" t="str">
        <f>INDEX(LoadMaster!$AH:$AH,MATCH(B526,LoadMaster!$C:$C,0))</f>
        <v>RENO</v>
      </c>
      <c r="S526" s="550" t="str">
        <f>INDEX(LoadMaster!$DC:$DC,MATCH(B526,LoadMaster!$C:$C,0))</f>
        <v>Sunny</v>
      </c>
      <c r="T526" s="567">
        <f>INDEX(LoadMaster!$DA:$DA,MATCH(B526,LoadMaster!$C:$C,0))</f>
        <v>27</v>
      </c>
      <c r="U526" s="243">
        <f>Table2[[#This Row],[WeekEndingDate]]+7</f>
        <v>42566</v>
      </c>
      <c r="V526" s="550">
        <f t="shared" si="71"/>
        <v>7</v>
      </c>
      <c r="W526" s="548">
        <f t="shared" si="72"/>
        <v>2016</v>
      </c>
    </row>
    <row r="527" spans="1:23">
      <c r="A527" s="550" t="str">
        <f>INDEX(LoadMaster!$A:$A,MATCH(B527,LoadMaster!$C:$C,0))</f>
        <v>75595919</v>
      </c>
      <c r="B527" s="552">
        <v>188275</v>
      </c>
      <c r="C527" s="550" t="str">
        <f>VLOOKUP(Table2[[#This Row],[BrokerConfNo]],LoadMaster!C:D,2,FALSE)</f>
        <v xml:space="preserve">Timco Logistics Brokerage </v>
      </c>
      <c r="D527" s="549">
        <v>42566</v>
      </c>
      <c r="E527" s="548" t="str">
        <f>IF(Table2[[#This Row],[UBActualReceived]]&gt;1,"Received","Pending")</f>
        <v>Received</v>
      </c>
      <c r="F527" s="241">
        <f>INDEX(LoadMaster!$CU:$CU,MATCH(B527,LoadMaster!$C:$C,0))</f>
        <v>700</v>
      </c>
      <c r="G527" s="134">
        <f>INDEX(LoadMaster!$CX:$CX,MATCH(B527,LoadMaster!$C:$C,0))</f>
        <v>665</v>
      </c>
      <c r="H527" s="241">
        <f>INDEX(LoadMaster!$CW:$CW,MATCH(B527,LoadMaster!$C:$C,0))</f>
        <v>651</v>
      </c>
      <c r="I527" s="338">
        <v>665</v>
      </c>
      <c r="J527" s="525">
        <v>651</v>
      </c>
      <c r="K527" s="241" t="str">
        <f t="shared" si="68"/>
        <v>Full</v>
      </c>
      <c r="L527" s="241">
        <f>INDEX(LoadMaster!$CT:$CT,MATCH(Table2[[#This Row],[BrokerConfNo]],LoadMaster!$C:$C,0))</f>
        <v>0</v>
      </c>
      <c r="M527" s="550" t="str">
        <f>INDEX(LoadMaster!$AO:$AO,MATCH(Table2[[#This Row],[BrokerConfNo]],LoadMaster!$C:$C,0))</f>
        <v>Miguel Jaime</v>
      </c>
      <c r="N527" s="549">
        <f t="shared" si="69"/>
        <v>42559</v>
      </c>
      <c r="O527" s="242">
        <f t="shared" si="70"/>
        <v>42566</v>
      </c>
      <c r="P527" s="549">
        <f>INDEX(LoadMaster!$M:$M,MATCH(B527,LoadMaster!$C:$C,0))</f>
        <v>42556</v>
      </c>
      <c r="Q527" s="550" t="str">
        <f>INDEX(LoadMaster!$P:$P,MATCH(B527,LoadMaster!$C:$C,0))</f>
        <v>MODESTO</v>
      </c>
      <c r="R527" s="550" t="str">
        <f>INDEX(LoadMaster!$AH:$AH,MATCH(B527,LoadMaster!$C:$C,0))</f>
        <v>SANTA FE SPRINGS</v>
      </c>
      <c r="S527" s="550" t="str">
        <f>INDEX(LoadMaster!$DC:$DC,MATCH(B527,LoadMaster!$C:$C,0))</f>
        <v>Sunny</v>
      </c>
      <c r="T527" s="567">
        <f>INDEX(LoadMaster!$DA:$DA,MATCH(B527,LoadMaster!$C:$C,0))</f>
        <v>14</v>
      </c>
      <c r="U527" s="243">
        <f>Table2[[#This Row],[WeekEndingDate]]+7</f>
        <v>42566</v>
      </c>
      <c r="V527" s="550">
        <f t="shared" si="71"/>
        <v>7</v>
      </c>
      <c r="W527" s="548">
        <f t="shared" si="72"/>
        <v>2016</v>
      </c>
    </row>
    <row r="528" spans="1:23">
      <c r="A528" s="550" t="str">
        <f>INDEX(LoadMaster!$A:$A,MATCH(B528,LoadMaster!$C:$C,0))</f>
        <v>42383849</v>
      </c>
      <c r="B528" s="552">
        <v>565442</v>
      </c>
      <c r="C528" s="550" t="str">
        <f>VLOOKUP(Table2[[#This Row],[BrokerConfNo]],LoadMaster!C:D,2,FALSE)</f>
        <v>Cavalry Logistics</v>
      </c>
      <c r="D528" s="550"/>
      <c r="E528" s="548" t="str">
        <f>IF(Table2[[#This Row],[UBActualReceived]]&gt;1,"Received","Pending")</f>
        <v>Pending</v>
      </c>
      <c r="F528" s="241">
        <f>INDEX(LoadMaster!$CU:$CU,MATCH(B528,LoadMaster!$C:$C,0))</f>
        <v>300</v>
      </c>
      <c r="G528" s="134">
        <f>INDEX(LoadMaster!$CX:$CX,MATCH(B528,LoadMaster!$C:$C,0))</f>
        <v>294</v>
      </c>
      <c r="H528" s="241">
        <f>INDEX(LoadMaster!$CW:$CW,MATCH(B528,LoadMaster!$C:$C,0))</f>
        <v>279</v>
      </c>
      <c r="I528" s="338"/>
      <c r="J528" s="525">
        <v>279</v>
      </c>
      <c r="K528" s="241" t="str">
        <f t="shared" si="68"/>
        <v>Less</v>
      </c>
      <c r="L528" s="241">
        <f>INDEX(LoadMaster!$CT:$CT,MATCH(Table2[[#This Row],[BrokerConfNo]],LoadMaster!$C:$C,0))</f>
        <v>0</v>
      </c>
      <c r="M528" s="550" t="str">
        <f>INDEX(LoadMaster!$AO:$AO,MATCH(Table2[[#This Row],[BrokerConfNo]],LoadMaster!$C:$C,0))</f>
        <v>Albel</v>
      </c>
      <c r="N528" s="549">
        <f t="shared" si="69"/>
        <v>42559</v>
      </c>
      <c r="O528" s="242">
        <f t="shared" si="70"/>
        <v>42573</v>
      </c>
      <c r="P528" s="549">
        <f>INDEX(LoadMaster!$M:$M,MATCH(B528,LoadMaster!$C:$C,0))</f>
        <v>42557</v>
      </c>
      <c r="Q528" s="550" t="str">
        <f>INDEX(LoadMaster!$P:$P,MATCH(B528,LoadMaster!$C:$C,0))</f>
        <v>Lathrop</v>
      </c>
      <c r="R528" s="550" t="str">
        <f>INDEX(LoadMaster!$AH:$AH,MATCH(B528,LoadMaster!$C:$C,0))</f>
        <v>Tracy</v>
      </c>
      <c r="S528" s="550" t="str">
        <f>INDEX(LoadMaster!$DC:$DC,MATCH(B528,LoadMaster!$C:$C,0))</f>
        <v>Sunny</v>
      </c>
      <c r="T528" s="567">
        <f>INDEX(LoadMaster!$DA:$DA,MATCH(B528,LoadMaster!$C:$C,0))</f>
        <v>15</v>
      </c>
      <c r="U528" s="243">
        <f>Table2[[#This Row],[WeekEndingDate]]+7</f>
        <v>42566</v>
      </c>
      <c r="V528" s="550">
        <f t="shared" si="71"/>
        <v>7</v>
      </c>
      <c r="W528" s="548">
        <f t="shared" si="72"/>
        <v>2016</v>
      </c>
    </row>
    <row r="529" spans="1:23">
      <c r="A529" s="550" t="str">
        <f>INDEX(LoadMaster!$A:$A,MATCH(B529,LoadMaster!$C:$C,0))</f>
        <v>99523319</v>
      </c>
      <c r="B529" s="552">
        <v>7657499</v>
      </c>
      <c r="C529" s="550" t="str">
        <f>VLOOKUP(Table2[[#This Row],[BrokerConfNo]],LoadMaster!C:D,2,FALSE)</f>
        <v>Coyote</v>
      </c>
      <c r="D529" s="550"/>
      <c r="E529" s="548" t="str">
        <f>IF(Table2[[#This Row],[UBActualReceived]]&gt;1,"Received","Pending")</f>
        <v>Pending</v>
      </c>
      <c r="F529" s="241">
        <f>INDEX(LoadMaster!$CU:$CU,MATCH(B529,LoadMaster!$C:$C,0))</f>
        <v>1575</v>
      </c>
      <c r="G529" s="134">
        <f>INDEX(LoadMaster!$CX:$CX,MATCH(B529,LoadMaster!$C:$C,0))</f>
        <v>1527.75</v>
      </c>
      <c r="H529" s="241">
        <f>INDEX(LoadMaster!$CW:$CW,MATCH(B529,LoadMaster!$C:$C,0))</f>
        <v>1464.75</v>
      </c>
      <c r="I529" s="338"/>
      <c r="J529" s="525">
        <v>1464.75</v>
      </c>
      <c r="K529" s="241" t="str">
        <f t="shared" si="68"/>
        <v>Less</v>
      </c>
      <c r="L529" s="241">
        <f>INDEX(LoadMaster!$CT:$CT,MATCH(Table2[[#This Row],[BrokerConfNo]],LoadMaster!$C:$C,0))</f>
        <v>75</v>
      </c>
      <c r="M529" s="550" t="str">
        <f>INDEX(LoadMaster!$AO:$AO,MATCH(Table2[[#This Row],[BrokerConfNo]],LoadMaster!$C:$C,0))</f>
        <v>Miguel Jaime</v>
      </c>
      <c r="N529" s="549">
        <f t="shared" si="69"/>
        <v>42559</v>
      </c>
      <c r="O529" s="242">
        <f t="shared" si="70"/>
        <v>42566</v>
      </c>
      <c r="P529" s="549">
        <f>INDEX(LoadMaster!$M:$M,MATCH(B529,LoadMaster!$C:$C,0))</f>
        <v>42557</v>
      </c>
      <c r="Q529" s="550" t="str">
        <f>INDEX(LoadMaster!$P:$P,MATCH(B529,LoadMaster!$C:$C,0))</f>
        <v>Rancho Cucamonga</v>
      </c>
      <c r="R529" s="550" t="str">
        <f>INDEX(LoadMaster!$AH:$AH,MATCH(B529,LoadMaster!$C:$C,0))</f>
        <v>Red Bluff</v>
      </c>
      <c r="S529" s="550" t="str">
        <f>INDEX(LoadMaster!$DC:$DC,MATCH(B529,LoadMaster!$C:$C,0))</f>
        <v>Sunny</v>
      </c>
      <c r="T529" s="567">
        <f>INDEX(LoadMaster!$DA:$DA,MATCH(B529,LoadMaster!$C:$C,0))</f>
        <v>63</v>
      </c>
      <c r="U529" s="243">
        <f>Table2[[#This Row],[WeekEndingDate]]+7</f>
        <v>42566</v>
      </c>
      <c r="V529" s="550">
        <f t="shared" si="71"/>
        <v>7</v>
      </c>
      <c r="W529" s="548">
        <f t="shared" si="72"/>
        <v>2016</v>
      </c>
    </row>
    <row r="530" spans="1:23">
      <c r="A530" s="550" t="str">
        <f>INDEX(LoadMaster!$A:$A,MATCH(B530,LoadMaster!$C:$C,0))</f>
        <v>02344249</v>
      </c>
      <c r="B530" s="552" t="s">
        <v>3325</v>
      </c>
      <c r="C530" s="550" t="str">
        <f>VLOOKUP(Table2[[#This Row],[BrokerConfNo]],LoadMaster!C:D,2,FALSE)</f>
        <v xml:space="preserve">Genco Freight Solutions </v>
      </c>
      <c r="D530" s="550"/>
      <c r="E530" s="548" t="str">
        <f>IF(Table2[[#This Row],[UBActualReceived]]&gt;1,"Received","Pending")</f>
        <v>Pending</v>
      </c>
      <c r="F530" s="241">
        <f>INDEX(LoadMaster!$CU:$CU,MATCH(B530,LoadMaster!$C:$C,0))</f>
        <v>775</v>
      </c>
      <c r="G530" s="134">
        <f>INDEX(LoadMaster!$CX:$CX,MATCH(B530,LoadMaster!$C:$C,0))</f>
        <v>775</v>
      </c>
      <c r="H530" s="241">
        <f>INDEX(LoadMaster!$CW:$CW,MATCH(B530,LoadMaster!$C:$C,0))</f>
        <v>726</v>
      </c>
      <c r="I530" s="338"/>
      <c r="J530" s="525">
        <v>726</v>
      </c>
      <c r="K530" s="241" t="str">
        <f t="shared" si="68"/>
        <v>Less</v>
      </c>
      <c r="L530" s="241">
        <f>INDEX(LoadMaster!$CT:$CT,MATCH(Table2[[#This Row],[BrokerConfNo]],LoadMaster!$C:$C,0))</f>
        <v>75</v>
      </c>
      <c r="M530" s="550" t="str">
        <f>INDEX(LoadMaster!$AO:$AO,MATCH(Table2[[#This Row],[BrokerConfNo]],LoadMaster!$C:$C,0))</f>
        <v>Albel</v>
      </c>
      <c r="N530" s="549">
        <f t="shared" si="69"/>
        <v>42559</v>
      </c>
      <c r="O530" s="242">
        <f t="shared" si="70"/>
        <v>42573</v>
      </c>
      <c r="P530" s="549">
        <f>INDEX(LoadMaster!$M:$M,MATCH(B530,LoadMaster!$C:$C,0))</f>
        <v>42557</v>
      </c>
      <c r="Q530" s="550" t="str">
        <f>INDEX(LoadMaster!$P:$P,MATCH(B530,LoadMaster!$C:$C,0))</f>
        <v>RIPON</v>
      </c>
      <c r="R530" s="550" t="str">
        <f>INDEX(LoadMaster!$AH:$AH,MATCH(B530,LoadMaster!$C:$C,0))</f>
        <v>RENO</v>
      </c>
      <c r="S530" s="550" t="str">
        <f>INDEX(LoadMaster!$DC:$DC,MATCH(B530,LoadMaster!$C:$C,0))</f>
        <v>Sunny</v>
      </c>
      <c r="T530" s="567">
        <f>INDEX(LoadMaster!$DA:$DA,MATCH(B530,LoadMaster!$C:$C,0))</f>
        <v>49</v>
      </c>
      <c r="U530" s="243">
        <f>Table2[[#This Row],[WeekEndingDate]]+7</f>
        <v>42566</v>
      </c>
      <c r="V530" s="550">
        <f t="shared" si="71"/>
        <v>7</v>
      </c>
      <c r="W530" s="548">
        <f t="shared" si="72"/>
        <v>2016</v>
      </c>
    </row>
    <row r="531" spans="1:23">
      <c r="A531" s="550" t="str">
        <f>INDEX(LoadMaster!$A:$A,MATCH(B531,LoadMaster!$C:$C,0))</f>
        <v>4582BT49</v>
      </c>
      <c r="B531" s="552">
        <v>3083945</v>
      </c>
      <c r="C531" s="550" t="str">
        <f>VLOOKUP(Table2[[#This Row],[BrokerConfNo]],LoadMaster!C:D,2,FALSE)</f>
        <v>USAT Logistics</v>
      </c>
      <c r="D531" s="549">
        <v>42559</v>
      </c>
      <c r="E531" s="548" t="str">
        <f>IF(Table2[[#This Row],[UBActualReceived]]&gt;1,"Received","Pending")</f>
        <v>Received</v>
      </c>
      <c r="F531" s="241">
        <f>INDEX(LoadMaster!$CU:$CU,MATCH(B531,LoadMaster!$C:$C,0))</f>
        <v>900</v>
      </c>
      <c r="G531" s="134">
        <f>INDEX(LoadMaster!$CX:$CX,MATCH(B531,LoadMaster!$C:$C,0))</f>
        <v>873</v>
      </c>
      <c r="H531" s="241">
        <f>INDEX(LoadMaster!$CW:$CW,MATCH(B531,LoadMaster!$C:$C,0))</f>
        <v>837</v>
      </c>
      <c r="I531" s="338">
        <v>873</v>
      </c>
      <c r="J531" s="525">
        <v>837</v>
      </c>
      <c r="K531" s="241" t="str">
        <f>IF(I531&lt;G531, "Less", "Full")</f>
        <v>Full</v>
      </c>
      <c r="L531" s="241">
        <f>INDEX(LoadMaster!$CT:$CT,MATCH(Table2[[#This Row],[BrokerConfNo]],LoadMaster!$C:$C,0))</f>
        <v>0</v>
      </c>
      <c r="M531" s="550" t="str">
        <f>INDEX(LoadMaster!$AO:$AO,MATCH(Table2[[#This Row],[BrokerConfNo]],LoadMaster!$C:$C,0))</f>
        <v>Albel</v>
      </c>
      <c r="N531" s="549">
        <f>(5-WEEKDAY(P531,2))+P531</f>
        <v>42545</v>
      </c>
      <c r="O531" s="242">
        <f>IF(M531="Albel",((5-WEEKDAY(P531,2))+P531)+14,(((5-WEEKDAY(P531,2))+P531)+7))</f>
        <v>42559</v>
      </c>
      <c r="P531" s="549">
        <f>INDEX(LoadMaster!$M:$M,MATCH(B531,LoadMaster!$C:$C,0))</f>
        <v>42546</v>
      </c>
      <c r="Q531" s="550" t="str">
        <f>INDEX(LoadMaster!$P:$P,MATCH(B531,LoadMaster!$C:$C,0))</f>
        <v>SAN LEANDRO</v>
      </c>
      <c r="R531" s="550" t="str">
        <f>INDEX(LoadMaster!$AH:$AH,MATCH(B531,LoadMaster!$C:$C,0))</f>
        <v>REDDING</v>
      </c>
      <c r="S531" s="550" t="str">
        <f>INDEX(LoadMaster!$DC:$DC,MATCH(B531,LoadMaster!$C:$C,0))</f>
        <v>Sunny</v>
      </c>
      <c r="T531" s="567">
        <f>INDEX(LoadMaster!$DA:$DA,MATCH(B531,LoadMaster!$C:$C,0))</f>
        <v>36</v>
      </c>
      <c r="U531" s="243">
        <f>Table2[[#This Row],[WeekEndingDate]]+7</f>
        <v>42552</v>
      </c>
      <c r="V531" s="550">
        <f>MONTH(P531)</f>
        <v>6</v>
      </c>
      <c r="W531" s="548">
        <f>YEAR(P531)</f>
        <v>2016</v>
      </c>
    </row>
    <row r="532" spans="1:23">
      <c r="A532" s="550" t="str">
        <f>INDEX(LoadMaster!$A:$A,MATCH(B532,LoadMaster!$C:$C,0))</f>
        <v>12989893</v>
      </c>
      <c r="B532" s="552">
        <v>7993812</v>
      </c>
      <c r="C532" s="550" t="str">
        <f>VLOOKUP(Table2[[#This Row],[BrokerConfNo]],LoadMaster!C:D,2,FALSE)</f>
        <v>Globaltranz</v>
      </c>
      <c r="D532" s="550"/>
      <c r="E532" s="548" t="str">
        <f>IF(Table2[[#This Row],[UBActualReceived]]&gt;1,"Received","Pending")</f>
        <v>Pending</v>
      </c>
      <c r="F532" s="241">
        <f>INDEX(LoadMaster!$CU:$CU,MATCH(B532,LoadMaster!$C:$C,0))</f>
        <v>900</v>
      </c>
      <c r="G532" s="134">
        <f>INDEX(LoadMaster!$CX:$CX,MATCH(B532,LoadMaster!$C:$C,0))</f>
        <v>864</v>
      </c>
      <c r="H532" s="241">
        <f>INDEX(LoadMaster!$CW:$CW,MATCH(B532,LoadMaster!$C:$C,0))</f>
        <v>837</v>
      </c>
      <c r="I532" s="338"/>
      <c r="J532" s="525">
        <v>837</v>
      </c>
      <c r="K532" s="241" t="str">
        <f t="shared" ref="K532:K541" si="73">IF(I532&lt;G532, "Less", "Full")</f>
        <v>Less</v>
      </c>
      <c r="L532" s="241">
        <f>INDEX(LoadMaster!$CT:$CT,MATCH(Table2[[#This Row],[BrokerConfNo]],LoadMaster!$C:$C,0))</f>
        <v>0</v>
      </c>
      <c r="M532" s="550" t="str">
        <f>INDEX(LoadMaster!$AO:$AO,MATCH(Table2[[#This Row],[BrokerConfNo]],LoadMaster!$C:$C,0))</f>
        <v>Arturo</v>
      </c>
      <c r="N532" s="549">
        <f t="shared" ref="N532:N541" si="74">(5-WEEKDAY(P532,2))+P532</f>
        <v>42559</v>
      </c>
      <c r="O532" s="242">
        <f t="shared" ref="O532:O541" si="75">IF(M532="Albel",((5-WEEKDAY(P532,2))+P532)+14,(((5-WEEKDAY(P532,2))+P532)+7))</f>
        <v>42566</v>
      </c>
      <c r="P532" s="549">
        <f>INDEX(LoadMaster!$M:$M,MATCH(B532,LoadMaster!$C:$C,0))</f>
        <v>42559</v>
      </c>
      <c r="Q532" s="550" t="str">
        <f>INDEX(LoadMaster!$P:$P,MATCH(B532,LoadMaster!$C:$C,0))</f>
        <v>Fresno</v>
      </c>
      <c r="R532" s="550" t="str">
        <f>INDEX(LoadMaster!$AH:$AH,MATCH(B532,LoadMaster!$C:$C,0))</f>
        <v>Reno</v>
      </c>
      <c r="S532" s="550" t="str">
        <f>INDEX(LoadMaster!$DC:$DC,MATCH(B532,LoadMaster!$C:$C,0))</f>
        <v>Sunny</v>
      </c>
      <c r="T532" s="567">
        <f>INDEX(LoadMaster!$DA:$DA,MATCH(B532,LoadMaster!$C:$C,0))</f>
        <v>27</v>
      </c>
      <c r="U532" s="243">
        <f>Table2[[#This Row],[WeekEndingDate]]+7</f>
        <v>42566</v>
      </c>
      <c r="V532" s="550">
        <f t="shared" ref="V532:V541" si="76">MONTH(P532)</f>
        <v>7</v>
      </c>
      <c r="W532" s="548">
        <f t="shared" ref="W532:W541" si="77">YEAR(P532)</f>
        <v>2016</v>
      </c>
    </row>
    <row r="533" spans="1:23">
      <c r="A533" s="550" t="str">
        <f>INDEX(LoadMaster!$A:$A,MATCH(B533,LoadMaster!$C:$C,0))</f>
        <v>43wnwn49</v>
      </c>
      <c r="B533" s="552">
        <v>387643</v>
      </c>
      <c r="C533" s="550" t="str">
        <f>VLOOKUP(Table2[[#This Row],[BrokerConfNo]],LoadMaster!C:D,2,FALSE)</f>
        <v>R2 Logistics</v>
      </c>
      <c r="D533" s="550"/>
      <c r="E533" s="548" t="str">
        <f>IF(Table2[[#This Row],[UBActualReceived]]&gt;1,"Received","Pending")</f>
        <v>Pending</v>
      </c>
      <c r="F533" s="241">
        <f>INDEX(LoadMaster!$CU:$CU,MATCH(B533,LoadMaster!$C:$C,0))</f>
        <v>850</v>
      </c>
      <c r="G533" s="134">
        <f>INDEX(LoadMaster!$CX:$CX,MATCH(B533,LoadMaster!$C:$C,0))</f>
        <v>816</v>
      </c>
      <c r="H533" s="241">
        <f>INDEX(LoadMaster!$CW:$CW,MATCH(B533,LoadMaster!$C:$C,0))</f>
        <v>790.5</v>
      </c>
      <c r="I533" s="338"/>
      <c r="J533" s="525">
        <v>790.5</v>
      </c>
      <c r="K533" s="241" t="str">
        <f t="shared" si="73"/>
        <v>Less</v>
      </c>
      <c r="L533" s="241">
        <f>INDEX(LoadMaster!$CT:$CT,MATCH(Table2[[#This Row],[BrokerConfNo]],LoadMaster!$C:$C,0))</f>
        <v>0</v>
      </c>
      <c r="M533" s="550" t="str">
        <f>INDEX(LoadMaster!$AO:$AO,MATCH(Table2[[#This Row],[BrokerConfNo]],LoadMaster!$C:$C,0))</f>
        <v>Albel</v>
      </c>
      <c r="N533" s="549">
        <f t="shared" si="74"/>
        <v>42559</v>
      </c>
      <c r="O533" s="242">
        <f t="shared" si="75"/>
        <v>42573</v>
      </c>
      <c r="P533" s="549">
        <f>INDEX(LoadMaster!$M:$M,MATCH(B533,LoadMaster!$C:$C,0))</f>
        <v>42559</v>
      </c>
      <c r="Q533" s="550" t="str">
        <f>INDEX(LoadMaster!$P:$P,MATCH(B533,LoadMaster!$C:$C,0))</f>
        <v>Crockett</v>
      </c>
      <c r="R533" s="550" t="str">
        <f>INDEX(LoadMaster!$AH:$AH,MATCH(B533,LoadMaster!$C:$C,0))</f>
        <v>Santa Maria</v>
      </c>
      <c r="S533" s="550" t="str">
        <f>INDEX(LoadMaster!$DC:$DC,MATCH(B533,LoadMaster!$C:$C,0))</f>
        <v>Sunny</v>
      </c>
      <c r="T533" s="567">
        <f>INDEX(LoadMaster!$DA:$DA,MATCH(B533,LoadMaster!$C:$C,0))</f>
        <v>25.5</v>
      </c>
      <c r="U533" s="243">
        <f>Table2[[#This Row],[WeekEndingDate]]+7</f>
        <v>42566</v>
      </c>
      <c r="V533" s="550">
        <f t="shared" si="76"/>
        <v>7</v>
      </c>
      <c r="W533" s="548">
        <f t="shared" si="77"/>
        <v>2016</v>
      </c>
    </row>
    <row r="534" spans="1:23">
      <c r="A534" s="550" t="str">
        <f>INDEX(LoadMaster!$A:$A,MATCH(B534,LoadMaster!$C:$C,0))</f>
        <v>37wnwn19</v>
      </c>
      <c r="B534" s="552">
        <v>387637</v>
      </c>
      <c r="C534" s="550" t="str">
        <f>VLOOKUP(Table2[[#This Row],[BrokerConfNo]],LoadMaster!C:D,2,FALSE)</f>
        <v>R2 Logistics</v>
      </c>
      <c r="D534" s="550"/>
      <c r="E534" s="548" t="str">
        <f>IF(Table2[[#This Row],[UBActualReceived]]&gt;1,"Received","Pending")</f>
        <v>Pending</v>
      </c>
      <c r="F534" s="241">
        <f>INDEX(LoadMaster!$CU:$CU,MATCH(B534,LoadMaster!$C:$C,0))</f>
        <v>850</v>
      </c>
      <c r="G534" s="134">
        <f>INDEX(LoadMaster!$CX:$CX,MATCH(B534,LoadMaster!$C:$C,0))</f>
        <v>816</v>
      </c>
      <c r="H534" s="241">
        <f>INDEX(LoadMaster!$CW:$CW,MATCH(B534,LoadMaster!$C:$C,0))</f>
        <v>790.5</v>
      </c>
      <c r="I534" s="338"/>
      <c r="J534" s="525">
        <v>790.5</v>
      </c>
      <c r="K534" s="241" t="str">
        <f t="shared" si="73"/>
        <v>Less</v>
      </c>
      <c r="L534" s="241">
        <f>INDEX(LoadMaster!$CT:$CT,MATCH(Table2[[#This Row],[BrokerConfNo]],LoadMaster!$C:$C,0))</f>
        <v>0</v>
      </c>
      <c r="M534" s="550" t="str">
        <f>INDEX(LoadMaster!$AO:$AO,MATCH(Table2[[#This Row],[BrokerConfNo]],LoadMaster!$C:$C,0))</f>
        <v>Miguel Jaime</v>
      </c>
      <c r="N534" s="549">
        <f t="shared" si="74"/>
        <v>42559</v>
      </c>
      <c r="O534" s="242">
        <f t="shared" si="75"/>
        <v>42566</v>
      </c>
      <c r="P534" s="549">
        <f>INDEX(LoadMaster!$M:$M,MATCH(B534,LoadMaster!$C:$C,0))</f>
        <v>42559</v>
      </c>
      <c r="Q534" s="550" t="str">
        <f>INDEX(LoadMaster!$P:$P,MATCH(B534,LoadMaster!$C:$C,0))</f>
        <v>Crockett</v>
      </c>
      <c r="R534" s="550" t="str">
        <f>INDEX(LoadMaster!$AH:$AH,MATCH(B534,LoadMaster!$C:$C,0))</f>
        <v>Santa Maria</v>
      </c>
      <c r="S534" s="550" t="str">
        <f>INDEX(LoadMaster!$DC:$DC,MATCH(B534,LoadMaster!$C:$C,0))</f>
        <v>Sunny</v>
      </c>
      <c r="T534" s="567">
        <f>INDEX(LoadMaster!$DA:$DA,MATCH(B534,LoadMaster!$C:$C,0))</f>
        <v>25.5</v>
      </c>
      <c r="U534" s="243">
        <f>Table2[[#This Row],[WeekEndingDate]]+7</f>
        <v>42566</v>
      </c>
      <c r="V534" s="550">
        <f t="shared" si="76"/>
        <v>7</v>
      </c>
      <c r="W534" s="548">
        <f t="shared" si="77"/>
        <v>2016</v>
      </c>
    </row>
    <row r="535" spans="1:23">
      <c r="A535" s="550" t="str">
        <f>INDEX(LoadMaster!$A:$A,MATCH(B535,LoadMaster!$C:$C,0))</f>
        <v>65868649</v>
      </c>
      <c r="B535" s="552">
        <v>16165</v>
      </c>
      <c r="C535" s="550" t="str">
        <f>VLOOKUP(Table2[[#This Row],[BrokerConfNo]],LoadMaster!C:D,2,FALSE)</f>
        <v>CPL Logistics</v>
      </c>
      <c r="D535" s="550"/>
      <c r="E535" s="548" t="str">
        <f>IF(Table2[[#This Row],[UBActualReceived]]&gt;1,"Received","Pending")</f>
        <v>Pending</v>
      </c>
      <c r="F535" s="241">
        <f>INDEX(LoadMaster!$CU:$CU,MATCH(B535,LoadMaster!$C:$C,0))</f>
        <v>500</v>
      </c>
      <c r="G535" s="134">
        <f>INDEX(LoadMaster!$CX:$CX,MATCH(B535,LoadMaster!$C:$C,0))</f>
        <v>500</v>
      </c>
      <c r="H535" s="241">
        <f>INDEX(LoadMaster!$CW:$CW,MATCH(B535,LoadMaster!$C:$C,0))</f>
        <v>465</v>
      </c>
      <c r="I535" s="338"/>
      <c r="J535" s="525">
        <v>465</v>
      </c>
      <c r="K535" s="241" t="str">
        <f t="shared" si="73"/>
        <v>Less</v>
      </c>
      <c r="L535" s="241">
        <f>INDEX(LoadMaster!$CT:$CT,MATCH(Table2[[#This Row],[BrokerConfNo]],LoadMaster!$C:$C,0))</f>
        <v>0</v>
      </c>
      <c r="M535" s="550" t="str">
        <f>INDEX(LoadMaster!$AO:$AO,MATCH(Table2[[#This Row],[BrokerConfNo]],LoadMaster!$C:$C,0))</f>
        <v>Albel</v>
      </c>
      <c r="N535" s="549">
        <f t="shared" si="74"/>
        <v>42559</v>
      </c>
      <c r="O535" s="242">
        <f t="shared" si="75"/>
        <v>42573</v>
      </c>
      <c r="P535" s="549">
        <f>INDEX(LoadMaster!$M:$M,MATCH(B535,LoadMaster!$C:$C,0))</f>
        <v>42559</v>
      </c>
      <c r="Q535" s="550" t="str">
        <f>INDEX(LoadMaster!$P:$P,MATCH(B535,LoadMaster!$C:$C,0))</f>
        <v>OAKLAND</v>
      </c>
      <c r="R535" s="550" t="str">
        <f>INDEX(LoadMaster!$AH:$AH,MATCH(B535,LoadMaster!$C:$C,0))</f>
        <v>WOODLAND</v>
      </c>
      <c r="S535" s="550" t="str">
        <f>INDEX(LoadMaster!$DC:$DC,MATCH(B535,LoadMaster!$C:$C,0))</f>
        <v>Sunny</v>
      </c>
      <c r="T535" s="567">
        <f>INDEX(LoadMaster!$DA:$DA,MATCH(B535,LoadMaster!$C:$C,0))</f>
        <v>35</v>
      </c>
      <c r="U535" s="243">
        <f>Table2[[#This Row],[WeekEndingDate]]+7</f>
        <v>42566</v>
      </c>
      <c r="V535" s="550">
        <f t="shared" si="76"/>
        <v>7</v>
      </c>
      <c r="W535" s="548">
        <f t="shared" si="77"/>
        <v>2016</v>
      </c>
    </row>
    <row r="536" spans="1:23">
      <c r="A536" s="550" t="str">
        <f>INDEX(LoadMaster!$A:$A,MATCH(B536,LoadMaster!$C:$C,0))</f>
        <v>39wnwn93</v>
      </c>
      <c r="B536" s="552">
        <v>3336239</v>
      </c>
      <c r="C536" s="550" t="str">
        <f>VLOOKUP(Table2[[#This Row],[BrokerConfNo]],LoadMaster!C:D,2,FALSE)</f>
        <v>ALLEN LUND</v>
      </c>
      <c r="D536" s="549">
        <v>42570</v>
      </c>
      <c r="E536" s="548" t="str">
        <f>IF(Table2[[#This Row],[UBActualReceived]]&gt;1,"Received","Pending")</f>
        <v>Received</v>
      </c>
      <c r="F536" s="241">
        <f>INDEX(LoadMaster!$CU:$CU,MATCH(B536,LoadMaster!$C:$C,0))</f>
        <v>400</v>
      </c>
      <c r="G536" s="134">
        <f>INDEX(LoadMaster!$CX:$CX,MATCH(B536,LoadMaster!$C:$C,0))</f>
        <v>370.5</v>
      </c>
      <c r="H536" s="241">
        <f>INDEX(LoadMaster!$CW:$CW,MATCH(B536,LoadMaster!$C:$C,0))</f>
        <v>372</v>
      </c>
      <c r="I536" s="338">
        <v>370.5</v>
      </c>
      <c r="J536" s="525">
        <v>372</v>
      </c>
      <c r="K536" s="241" t="str">
        <f t="shared" si="73"/>
        <v>Full</v>
      </c>
      <c r="L536" s="241">
        <f>INDEX(LoadMaster!$CT:$CT,MATCH(Table2[[#This Row],[BrokerConfNo]],LoadMaster!$C:$C,0))</f>
        <v>0</v>
      </c>
      <c r="M536" s="550" t="str">
        <f>INDEX(LoadMaster!$AO:$AO,MATCH(Table2[[#This Row],[BrokerConfNo]],LoadMaster!$C:$C,0))</f>
        <v>Arturo</v>
      </c>
      <c r="N536" s="549">
        <f t="shared" si="74"/>
        <v>42566</v>
      </c>
      <c r="O536" s="242">
        <f t="shared" si="75"/>
        <v>42573</v>
      </c>
      <c r="P536" s="549">
        <f>INDEX(LoadMaster!$M:$M,MATCH(B536,LoadMaster!$C:$C,0))</f>
        <v>42562</v>
      </c>
      <c r="Q536" s="550" t="str">
        <f>INDEX(LoadMaster!$P:$P,MATCH(B536,LoadMaster!$C:$C,0))</f>
        <v>RENO</v>
      </c>
      <c r="R536" s="550" t="str">
        <f>INDEX(LoadMaster!$AH:$AH,MATCH(B536,LoadMaster!$C:$C,0))</f>
        <v>SAN LEANDRO</v>
      </c>
      <c r="S536" s="550" t="str">
        <f>INDEX(LoadMaster!$DC:$DC,MATCH(B536,LoadMaster!$C:$C,0))</f>
        <v>Sunny</v>
      </c>
      <c r="T536" s="567">
        <f>INDEX(LoadMaster!$DA:$DA,MATCH(B536,LoadMaster!$C:$C,0))</f>
        <v>28</v>
      </c>
      <c r="U536" s="243">
        <f>Table2[[#This Row],[WeekEndingDate]]+7</f>
        <v>42573</v>
      </c>
      <c r="V536" s="550">
        <f t="shared" si="76"/>
        <v>7</v>
      </c>
      <c r="W536" s="548">
        <f t="shared" si="77"/>
        <v>2016</v>
      </c>
    </row>
    <row r="537" spans="1:23">
      <c r="A537" s="550" t="str">
        <f>INDEX(LoadMaster!$A:$A,MATCH(B537,LoadMaster!$C:$C,0))</f>
        <v>87L36719</v>
      </c>
      <c r="B537" s="552">
        <v>75213587</v>
      </c>
      <c r="C537" s="550" t="str">
        <f>VLOOKUP(Table2[[#This Row],[BrokerConfNo]],LoadMaster!C:D,2,FALSE)</f>
        <v>Freightquote</v>
      </c>
      <c r="D537" s="550"/>
      <c r="E537" s="548" t="str">
        <f>IF(Table2[[#This Row],[UBActualReceived]]&gt;1,"Received","Pending")</f>
        <v>Pending</v>
      </c>
      <c r="F537" s="241">
        <f>INDEX(LoadMaster!$CU:$CU,MATCH(B537,LoadMaster!$C:$C,0))</f>
        <v>550</v>
      </c>
      <c r="G537" s="134">
        <f>INDEX(LoadMaster!$CX:$CX,MATCH(B537,LoadMaster!$C:$C,0))</f>
        <v>539</v>
      </c>
      <c r="H537" s="241">
        <f>INDEX(LoadMaster!$CW:$CW,MATCH(B537,LoadMaster!$C:$C,0))</f>
        <v>511.5</v>
      </c>
      <c r="I537" s="338"/>
      <c r="J537" s="525">
        <v>511.5</v>
      </c>
      <c r="K537" s="241" t="str">
        <f t="shared" si="73"/>
        <v>Less</v>
      </c>
      <c r="L537" s="241">
        <f>INDEX(LoadMaster!$CT:$CT,MATCH(Table2[[#This Row],[BrokerConfNo]],LoadMaster!$C:$C,0))</f>
        <v>0</v>
      </c>
      <c r="M537" s="550" t="str">
        <f>INDEX(LoadMaster!$AO:$AO,MATCH(Table2[[#This Row],[BrokerConfNo]],LoadMaster!$C:$C,0))</f>
        <v>Miguel Jaime</v>
      </c>
      <c r="N537" s="549">
        <f t="shared" si="74"/>
        <v>42566</v>
      </c>
      <c r="O537" s="242">
        <f t="shared" si="75"/>
        <v>42573</v>
      </c>
      <c r="P537" s="549">
        <f>INDEX(LoadMaster!$M:$M,MATCH(B537,LoadMaster!$C:$C,0))</f>
        <v>42562</v>
      </c>
      <c r="Q537" s="550" t="str">
        <f>INDEX(LoadMaster!$P:$P,MATCH(B537,LoadMaster!$C:$C,0))</f>
        <v>Paso Robles</v>
      </c>
      <c r="R537" s="550" t="str">
        <f>INDEX(LoadMaster!$AH:$AH,MATCH(B537,LoadMaster!$C:$C,0))</f>
        <v>Long Beach</v>
      </c>
      <c r="S537" s="550" t="str">
        <f>INDEX(LoadMaster!$DC:$DC,MATCH(B537,LoadMaster!$C:$C,0))</f>
        <v>Sunny</v>
      </c>
      <c r="T537" s="567">
        <f>INDEX(LoadMaster!$DA:$DA,MATCH(B537,LoadMaster!$C:$C,0))</f>
        <v>27.5</v>
      </c>
      <c r="U537" s="243">
        <f>Table2[[#This Row],[WeekEndingDate]]+7</f>
        <v>42573</v>
      </c>
      <c r="V537" s="550">
        <f t="shared" si="76"/>
        <v>7</v>
      </c>
      <c r="W537" s="548">
        <f t="shared" si="77"/>
        <v>2016</v>
      </c>
    </row>
    <row r="538" spans="1:23">
      <c r="A538" s="550" t="str">
        <f>INDEX(LoadMaster!$A:$A,MATCH(B538,LoadMaster!$C:$C,0))</f>
        <v>1 08-393</v>
      </c>
      <c r="B538" s="552" t="s">
        <v>3377</v>
      </c>
      <c r="C538" s="550" t="str">
        <f>VLOOKUP(Table2[[#This Row],[BrokerConfNo]],LoadMaster!C:D,2,FALSE)</f>
        <v>RR Donnelley</v>
      </c>
      <c r="D538" s="550"/>
      <c r="E538" s="548" t="str">
        <f>IF(Table2[[#This Row],[UBActualReceived]]&gt;1,"Received","Pending")</f>
        <v>Pending</v>
      </c>
      <c r="F538" s="241">
        <f>INDEX(LoadMaster!$CU:$CU,MATCH(B538,LoadMaster!$C:$C,0))</f>
        <v>300</v>
      </c>
      <c r="G538" s="134">
        <f>INDEX(LoadMaster!$CX:$CX,MATCH(B538,LoadMaster!$C:$C,0))</f>
        <v>300</v>
      </c>
      <c r="H538" s="241">
        <f>INDEX(LoadMaster!$CW:$CW,MATCH(B538,LoadMaster!$C:$C,0))</f>
        <v>279</v>
      </c>
      <c r="I538" s="338"/>
      <c r="J538" s="525">
        <v>279</v>
      </c>
      <c r="K538" s="241" t="str">
        <f t="shared" si="73"/>
        <v>Less</v>
      </c>
      <c r="L538" s="241">
        <f>INDEX(LoadMaster!$CT:$CT,MATCH(Table2[[#This Row],[BrokerConfNo]],LoadMaster!$C:$C,0))</f>
        <v>0</v>
      </c>
      <c r="M538" s="550" t="str">
        <f>INDEX(LoadMaster!$AO:$AO,MATCH(Table2[[#This Row],[BrokerConfNo]],LoadMaster!$C:$C,0))</f>
        <v>Arturo</v>
      </c>
      <c r="N538" s="549">
        <f t="shared" si="74"/>
        <v>42566</v>
      </c>
      <c r="O538" s="242">
        <f t="shared" si="75"/>
        <v>42573</v>
      </c>
      <c r="P538" s="549">
        <f>INDEX(LoadMaster!$M:$M,MATCH(B538,LoadMaster!$C:$C,0))</f>
        <v>42563</v>
      </c>
      <c r="Q538" s="550" t="str">
        <f>INDEX(LoadMaster!$P:$P,MATCH(B538,LoadMaster!$C:$C,0))</f>
        <v>SAN LEANDRO</v>
      </c>
      <c r="R538" s="550" t="str">
        <f>INDEX(LoadMaster!$AH:$AH,MATCH(B538,LoadMaster!$C:$C,0))</f>
        <v>SANTA CLARA</v>
      </c>
      <c r="S538" s="550" t="str">
        <f>INDEX(LoadMaster!$DC:$DC,MATCH(B538,LoadMaster!$C:$C,0))</f>
        <v>Sunny</v>
      </c>
      <c r="T538" s="567">
        <f>INDEX(LoadMaster!$DA:$DA,MATCH(B538,LoadMaster!$C:$C,0))</f>
        <v>21</v>
      </c>
      <c r="U538" s="243">
        <f>Table2[[#This Row],[WeekEndingDate]]+7</f>
        <v>42573</v>
      </c>
      <c r="V538" s="550">
        <f t="shared" si="76"/>
        <v>7</v>
      </c>
      <c r="W538" s="548">
        <f t="shared" si="77"/>
        <v>2016</v>
      </c>
    </row>
    <row r="539" spans="1:23">
      <c r="A539" s="550" t="str">
        <f>INDEX(LoadMaster!$A:$A,MATCH(B539,LoadMaster!$C:$C,0))</f>
        <v>92270793</v>
      </c>
      <c r="B539" s="552">
        <v>573792</v>
      </c>
      <c r="C539" s="550" t="str">
        <f>VLOOKUP(Table2[[#This Row],[BrokerConfNo]],LoadMaster!C:D,2,FALSE)</f>
        <v>Cavalry Logistics</v>
      </c>
      <c r="D539" s="550"/>
      <c r="E539" s="548" t="str">
        <f>IF(Table2[[#This Row],[UBActualReceived]]&gt;1,"Received","Pending")</f>
        <v>Pending</v>
      </c>
      <c r="F539" s="241">
        <f>INDEX(LoadMaster!$CU:$CU,MATCH(B539,LoadMaster!$C:$C,0))</f>
        <v>400</v>
      </c>
      <c r="G539" s="134">
        <f>INDEX(LoadMaster!$CX:$CX,MATCH(B539,LoadMaster!$C:$C,0))</f>
        <v>392</v>
      </c>
      <c r="H539" s="241">
        <f>INDEX(LoadMaster!$CW:$CW,MATCH(B539,LoadMaster!$C:$C,0))</f>
        <v>372</v>
      </c>
      <c r="I539" s="338"/>
      <c r="J539" s="525">
        <v>372</v>
      </c>
      <c r="K539" s="241" t="str">
        <f t="shared" si="73"/>
        <v>Less</v>
      </c>
      <c r="L539" s="241">
        <f>INDEX(LoadMaster!$CT:$CT,MATCH(Table2[[#This Row],[BrokerConfNo]],LoadMaster!$C:$C,0))</f>
        <v>0</v>
      </c>
      <c r="M539" s="550" t="str">
        <f>INDEX(LoadMaster!$AO:$AO,MATCH(Table2[[#This Row],[BrokerConfNo]],LoadMaster!$C:$C,0))</f>
        <v>Arturo</v>
      </c>
      <c r="N539" s="549">
        <f t="shared" si="74"/>
        <v>42566</v>
      </c>
      <c r="O539" s="242">
        <f t="shared" si="75"/>
        <v>42573</v>
      </c>
      <c r="P539" s="549">
        <f>INDEX(LoadMaster!$M:$M,MATCH(B539,LoadMaster!$C:$C,0))</f>
        <v>42563</v>
      </c>
      <c r="Q539" s="550" t="str">
        <f>INDEX(LoadMaster!$P:$P,MATCH(B539,LoadMaster!$C:$C,0))</f>
        <v>Santa Clara</v>
      </c>
      <c r="R539" s="550" t="str">
        <f>INDEX(LoadMaster!$AH:$AH,MATCH(B539,LoadMaster!$C:$C,0))</f>
        <v>Stockton</v>
      </c>
      <c r="S539" s="550" t="str">
        <f>INDEX(LoadMaster!$DC:$DC,MATCH(B539,LoadMaster!$C:$C,0))</f>
        <v>Sunny</v>
      </c>
      <c r="T539" s="567">
        <f>INDEX(LoadMaster!$DA:$DA,MATCH(B539,LoadMaster!$C:$C,0))</f>
        <v>20</v>
      </c>
      <c r="U539" s="243">
        <f>Table2[[#This Row],[WeekEndingDate]]+7</f>
        <v>42573</v>
      </c>
      <c r="V539" s="550">
        <f t="shared" si="76"/>
        <v>7</v>
      </c>
      <c r="W539" s="548">
        <f t="shared" si="77"/>
        <v>2016</v>
      </c>
    </row>
    <row r="540" spans="1:23">
      <c r="A540" s="550" t="str">
        <f>INDEX(LoadMaster!$A:$A,MATCH(B540,LoadMaster!$C:$C,0))</f>
        <v>59555519</v>
      </c>
      <c r="B540" s="552">
        <v>7725559</v>
      </c>
      <c r="C540" s="550" t="str">
        <f>VLOOKUP(Table2[[#This Row],[BrokerConfNo]],LoadMaster!C:D,2,FALSE)</f>
        <v>Coyote</v>
      </c>
      <c r="D540" s="550"/>
      <c r="E540" s="548" t="str">
        <f>IF(Table2[[#This Row],[UBActualReceived]]&gt;1,"Received","Pending")</f>
        <v>Pending</v>
      </c>
      <c r="F540" s="241">
        <f>INDEX(LoadMaster!$CU:$CU,MATCH(B540,LoadMaster!$C:$C,0))</f>
        <v>1050</v>
      </c>
      <c r="G540" s="134">
        <f>INDEX(LoadMaster!$CX:$CX,MATCH(B540,LoadMaster!$C:$C,0))</f>
        <v>1018.5</v>
      </c>
      <c r="H540" s="241">
        <f>INDEX(LoadMaster!$CW:$CW,MATCH(B540,LoadMaster!$C:$C,0))</f>
        <v>1116</v>
      </c>
      <c r="I540" s="338"/>
      <c r="J540" s="525">
        <v>837</v>
      </c>
      <c r="K540" s="241" t="str">
        <f t="shared" si="73"/>
        <v>Less</v>
      </c>
      <c r="L540" s="241">
        <f>INDEX(LoadMaster!$CT:$CT,MATCH(Table2[[#This Row],[BrokerConfNo]],LoadMaster!$C:$C,0))</f>
        <v>150</v>
      </c>
      <c r="M540" s="550" t="str">
        <f>INDEX(LoadMaster!$AO:$AO,MATCH(Table2[[#This Row],[BrokerConfNo]],LoadMaster!$C:$C,0))</f>
        <v>Miguel Jaime</v>
      </c>
      <c r="N540" s="549">
        <f t="shared" si="74"/>
        <v>42566</v>
      </c>
      <c r="O540" s="242">
        <f t="shared" si="75"/>
        <v>42573</v>
      </c>
      <c r="P540" s="549">
        <f>INDEX(LoadMaster!$M:$M,MATCH(B540,LoadMaster!$C:$C,0))</f>
        <v>42563</v>
      </c>
      <c r="Q540" s="550" t="str">
        <f>INDEX(LoadMaster!$P:$P,MATCH(B540,LoadMaster!$C:$C,0))</f>
        <v>Carson</v>
      </c>
      <c r="R540" s="550" t="str">
        <f>INDEX(LoadMaster!$AH:$AH,MATCH(B540,LoadMaster!$C:$C,0))</f>
        <v>Woodland</v>
      </c>
      <c r="S540" s="550" t="str">
        <f>INDEX(LoadMaster!$DC:$DC,MATCH(B540,LoadMaster!$C:$C,0))</f>
        <v>Sunny</v>
      </c>
      <c r="T540" s="567">
        <f>INDEX(LoadMaster!$DA:$DA,MATCH(B540,LoadMaster!$C:$C,0))</f>
        <v>-97.5</v>
      </c>
      <c r="U540" s="243">
        <f>Table2[[#This Row],[WeekEndingDate]]+7</f>
        <v>42573</v>
      </c>
      <c r="V540" s="550">
        <f t="shared" si="76"/>
        <v>7</v>
      </c>
      <c r="W540" s="548">
        <f t="shared" si="77"/>
        <v>2016</v>
      </c>
    </row>
    <row r="541" spans="1:23">
      <c r="A541" s="550" t="str">
        <f>INDEX(LoadMaster!$A:$A,MATCH(B541,LoadMaster!$C:$C,0))</f>
        <v>81wnwn49</v>
      </c>
      <c r="B541" s="552">
        <v>244081</v>
      </c>
      <c r="C541" s="550" t="str">
        <f>VLOOKUP(Table2[[#This Row],[BrokerConfNo]],LoadMaster!C:D,2,FALSE)</f>
        <v xml:space="preserve">Trans Dynamics, Inc. </v>
      </c>
      <c r="D541" s="550"/>
      <c r="E541" s="548" t="str">
        <f>IF(Table2[[#This Row],[UBActualReceived]]&gt;1,"Received","Pending")</f>
        <v>Pending</v>
      </c>
      <c r="F541" s="241">
        <f>INDEX(LoadMaster!$CU:$CU,MATCH(B541,LoadMaster!$C:$C,0))</f>
        <v>835</v>
      </c>
      <c r="G541" s="134">
        <f>INDEX(LoadMaster!$CX:$CX,MATCH(B541,LoadMaster!$C:$C,0))</f>
        <v>835</v>
      </c>
      <c r="H541" s="241">
        <f>INDEX(LoadMaster!$CW:$CW,MATCH(B541,LoadMaster!$C:$C,0))</f>
        <v>776.55000000000007</v>
      </c>
      <c r="I541" s="338"/>
      <c r="J541" s="525">
        <v>776.55000000000007</v>
      </c>
      <c r="K541" s="241" t="str">
        <f t="shared" si="73"/>
        <v>Less</v>
      </c>
      <c r="L541" s="241">
        <f>INDEX(LoadMaster!$CT:$CT,MATCH(Table2[[#This Row],[BrokerConfNo]],LoadMaster!$C:$C,0))</f>
        <v>0</v>
      </c>
      <c r="M541" s="550" t="str">
        <f>INDEX(LoadMaster!$AO:$AO,MATCH(Table2[[#This Row],[BrokerConfNo]],LoadMaster!$C:$C,0))</f>
        <v>Albel</v>
      </c>
      <c r="N541" s="549">
        <f t="shared" si="74"/>
        <v>42566</v>
      </c>
      <c r="O541" s="242">
        <f t="shared" si="75"/>
        <v>42580</v>
      </c>
      <c r="P541" s="549">
        <f>INDEX(LoadMaster!$M:$M,MATCH(B541,LoadMaster!$C:$C,0))</f>
        <v>42563</v>
      </c>
      <c r="Q541" s="550" t="str">
        <f>INDEX(LoadMaster!$P:$P,MATCH(B541,LoadMaster!$C:$C,0))</f>
        <v>SANTA MARIA</v>
      </c>
      <c r="R541" s="550" t="str">
        <f>INDEX(LoadMaster!$AH:$AH,MATCH(B541,LoadMaster!$C:$C,0))</f>
        <v>ROHNERT PARK</v>
      </c>
      <c r="S541" s="550" t="str">
        <f>INDEX(LoadMaster!$DC:$DC,MATCH(B541,LoadMaster!$C:$C,0))</f>
        <v>Sunny</v>
      </c>
      <c r="T541" s="567">
        <f>INDEX(LoadMaster!$DA:$DA,MATCH(B541,LoadMaster!$C:$C,0))</f>
        <v>58.449999999999932</v>
      </c>
      <c r="U541" s="243">
        <f>Table2[[#This Row],[WeekEndingDate]]+7</f>
        <v>42573</v>
      </c>
      <c r="V541" s="550">
        <f t="shared" si="76"/>
        <v>7</v>
      </c>
      <c r="W541" s="548">
        <f t="shared" si="77"/>
        <v>2016</v>
      </c>
    </row>
    <row r="542" spans="1:23">
      <c r="A542" s="15" t="str">
        <f>INDEX(LoadMaster!$A:$A,MATCH(B542,LoadMaster!$C:$C,0))</f>
        <v>7399ng49</v>
      </c>
      <c r="B542" s="81">
        <v>3327673</v>
      </c>
      <c r="C542" s="15" t="str">
        <f>VLOOKUP(Table2[[#This Row],[BrokerConfNo]],LoadMaster!C:D,2,FALSE)</f>
        <v>ALLEN LUND</v>
      </c>
      <c r="D542" s="549">
        <v>42570</v>
      </c>
      <c r="E542" s="416" t="str">
        <f>IF(Table2[[#This Row],[UBActualReceived]]&gt;1,"Received","Pending")</f>
        <v>Received</v>
      </c>
      <c r="F542" s="134">
        <f>INDEX(LoadMaster!$CU:$CU,MATCH(B542,LoadMaster!$C:$C,0))</f>
        <v>400</v>
      </c>
      <c r="G542" s="134">
        <f>INDEX(LoadMaster!$CX:$CX,MATCH(B542,LoadMaster!$C:$C,0))</f>
        <v>370.5</v>
      </c>
      <c r="H542" s="134">
        <f>INDEX(LoadMaster!$CW:$CW,MATCH(B542,LoadMaster!$C:$C,0))</f>
        <v>372</v>
      </c>
      <c r="I542" s="330">
        <v>370.5</v>
      </c>
      <c r="J542" s="525">
        <v>372</v>
      </c>
      <c r="K542" s="134" t="str">
        <f>IF(I542&lt;G542, "Less", "Full")</f>
        <v>Full</v>
      </c>
      <c r="L542" s="134">
        <f>INDEX(LoadMaster!$CT:$CT,MATCH(Table2[[#This Row],[BrokerConfNo]],LoadMaster!$C:$C,0))</f>
        <v>0</v>
      </c>
      <c r="M542" s="15" t="str">
        <f>INDEX(LoadMaster!$AO:$AO,MATCH(Table2[[#This Row],[BrokerConfNo]],LoadMaster!$C:$C,0))</f>
        <v>Albel</v>
      </c>
      <c r="N542" s="104">
        <f>(5-WEEKDAY(P542,2))+P542</f>
        <v>42559</v>
      </c>
      <c r="O542" s="135">
        <f>IF(M542="Albel",((5-WEEKDAY(P542,2))+P542)+14,(((5-WEEKDAY(P542,2))+P542)+7))</f>
        <v>42573</v>
      </c>
      <c r="P542" s="104">
        <f>INDEX(LoadMaster!$M:$M,MATCH(B542,LoadMaster!$C:$C,0))</f>
        <v>42558</v>
      </c>
      <c r="Q542" s="15" t="str">
        <f>INDEX(LoadMaster!$P:$P,MATCH(B542,LoadMaster!$C:$C,0))</f>
        <v>Reno</v>
      </c>
      <c r="R542" s="15" t="str">
        <f>INDEX(LoadMaster!$AH:$AH,MATCH(B542,LoadMaster!$C:$C,0))</f>
        <v>SAN LEANDRO</v>
      </c>
      <c r="S542" s="15" t="str">
        <f>INDEX(LoadMaster!$DC:$DC,MATCH(B542,LoadMaster!$C:$C,0))</f>
        <v>Sunny</v>
      </c>
      <c r="T542" s="136">
        <f>INDEX(LoadMaster!$DA:$DA,MATCH(B542,LoadMaster!$C:$C,0))</f>
        <v>28</v>
      </c>
      <c r="U542" s="137">
        <f>Table2[[#This Row],[WeekEndingDate]]+7</f>
        <v>42566</v>
      </c>
      <c r="V542" s="15">
        <f>MONTH(P542)</f>
        <v>7</v>
      </c>
      <c r="W542" s="416">
        <f>YEAR(P542)</f>
        <v>2016</v>
      </c>
    </row>
    <row r="543" spans="1:23">
      <c r="A543" s="550" t="str">
        <f>INDEX(LoadMaster!$A:$A,MATCH(B543,LoadMaster!$C:$C,0))</f>
        <v>83338493</v>
      </c>
      <c r="B543" s="552" t="s">
        <v>3410</v>
      </c>
      <c r="C543" s="550" t="str">
        <f>VLOOKUP(Table2[[#This Row],[BrokerConfNo]],LoadMaster!C:D,2,FALSE)</f>
        <v>Veritiv</v>
      </c>
      <c r="D543" s="550"/>
      <c r="E543" s="548" t="str">
        <f>IF(Table2[[#This Row],[UBActualReceived]]&gt;1,"Received","Pending")</f>
        <v>Pending</v>
      </c>
      <c r="F543" s="241">
        <f>INDEX(LoadMaster!$CU:$CU,MATCH(B543,LoadMaster!$C:$C,0))</f>
        <v>475</v>
      </c>
      <c r="G543" s="134">
        <f>INDEX(LoadMaster!$CX:$CX,MATCH(B543,LoadMaster!$C:$C,0))</f>
        <v>475</v>
      </c>
      <c r="H543" s="241">
        <f>INDEX(LoadMaster!$CW:$CW,MATCH(B543,LoadMaster!$C:$C,0))</f>
        <v>441.75</v>
      </c>
      <c r="I543" s="338"/>
      <c r="J543" s="525">
        <v>441.75</v>
      </c>
      <c r="K543" s="241" t="str">
        <f>IF(I543&lt;G543, "Less", "Full")</f>
        <v>Less</v>
      </c>
      <c r="L543" s="241">
        <f>INDEX(LoadMaster!$CT:$CT,MATCH(Table2[[#This Row],[BrokerConfNo]],LoadMaster!$C:$C,0))</f>
        <v>0</v>
      </c>
      <c r="M543" s="550" t="str">
        <f>INDEX(LoadMaster!$AO:$AO,MATCH(Table2[[#This Row],[BrokerConfNo]],LoadMaster!$C:$C,0))</f>
        <v>Arturo</v>
      </c>
      <c r="N543" s="549">
        <f>(5-WEEKDAY(P543,2))+P543</f>
        <v>42559</v>
      </c>
      <c r="O543" s="242">
        <f>IF(M543="Albel",((5-WEEKDAY(P543,2))+P543)+14,(((5-WEEKDAY(P543,2))+P543)+7))</f>
        <v>42566</v>
      </c>
      <c r="P543" s="549">
        <f>INDEX(LoadMaster!$M:$M,MATCH(B543,LoadMaster!$C:$C,0))</f>
        <v>42558</v>
      </c>
      <c r="Q543" s="550" t="str">
        <f>INDEX(LoadMaster!$P:$P,MATCH(B543,LoadMaster!$C:$C,0))</f>
        <v>Sparks</v>
      </c>
      <c r="R543" s="550" t="str">
        <f>INDEX(LoadMaster!$AH:$AH,MATCH(B543,LoadMaster!$C:$C,0))</f>
        <v>Merced</v>
      </c>
      <c r="S543" s="550" t="str">
        <f>INDEX(LoadMaster!$DC:$DC,MATCH(B543,LoadMaster!$C:$C,0))</f>
        <v>Sunny</v>
      </c>
      <c r="T543" s="567">
        <f>INDEX(LoadMaster!$DA:$DA,MATCH(B543,LoadMaster!$C:$C,0))</f>
        <v>33.25</v>
      </c>
      <c r="U543" s="243">
        <f>Table2[[#This Row],[WeekEndingDate]]+7</f>
        <v>42566</v>
      </c>
      <c r="V543" s="550">
        <f>MONTH(P543)</f>
        <v>7</v>
      </c>
      <c r="W543" s="548">
        <f>YEAR(P543)</f>
        <v>2016</v>
      </c>
    </row>
    <row r="544" spans="1:23">
      <c r="A544" s="550" t="str">
        <f>INDEX(LoadMaster!$A:$A,MATCH(B544,LoadMaster!$C:$C,0))</f>
        <v>89183419</v>
      </c>
      <c r="B544" s="552">
        <v>205923389</v>
      </c>
      <c r="C544" s="550" t="str">
        <f>VLOOKUP(Table2[[#This Row],[BrokerConfNo]],LoadMaster!C:D,2,FALSE)</f>
        <v>Ch Robinson</v>
      </c>
      <c r="D544" s="549">
        <v>42566</v>
      </c>
      <c r="E544" s="548" t="str">
        <f>IF(Table2[[#This Row],[UBActualReceived]]&gt;1,"Received","Pending")</f>
        <v>Received</v>
      </c>
      <c r="F544" s="241">
        <f>INDEX(LoadMaster!$CU:$CU,MATCH(B544,LoadMaster!$C:$C,0))</f>
        <v>550</v>
      </c>
      <c r="G544" s="134">
        <f>INDEX(LoadMaster!$CX:$CX,MATCH(B544,LoadMaster!$C:$C,0))</f>
        <v>539</v>
      </c>
      <c r="H544" s="241">
        <f>INDEX(LoadMaster!$CW:$CW,MATCH(B544,LoadMaster!$C:$C,0))</f>
        <v>511.5</v>
      </c>
      <c r="I544" s="338">
        <v>539</v>
      </c>
      <c r="J544" s="525">
        <v>511.5</v>
      </c>
      <c r="K544" s="241" t="str">
        <f t="shared" ref="K544" si="78">IF(I544&lt;G544, "Less", "Full")</f>
        <v>Full</v>
      </c>
      <c r="L544" s="241">
        <f>INDEX(LoadMaster!$CT:$CT,MATCH(Table2[[#This Row],[BrokerConfNo]],LoadMaster!$C:$C,0))</f>
        <v>0</v>
      </c>
      <c r="M544" s="550" t="str">
        <f>INDEX(LoadMaster!$AO:$AO,MATCH(Table2[[#This Row],[BrokerConfNo]],LoadMaster!$C:$C,0))</f>
        <v>Miguel Jaime</v>
      </c>
      <c r="N544" s="549">
        <f t="shared" ref="N544" si="79">(5-WEEKDAY(P544,2))+P544</f>
        <v>42559</v>
      </c>
      <c r="O544" s="242">
        <f t="shared" ref="O544" si="80">IF(M544="Albel",((5-WEEKDAY(P544,2))+P544)+14,(((5-WEEKDAY(P544,2))+P544)+7))</f>
        <v>42566</v>
      </c>
      <c r="P544" s="549">
        <f>INDEX(LoadMaster!$M:$M,MATCH(B544,LoadMaster!$C:$C,0))</f>
        <v>42557</v>
      </c>
      <c r="Q544" s="550" t="str">
        <f>INDEX(LoadMaster!$P:$P,MATCH(B544,LoadMaster!$C:$C,0))</f>
        <v>Chico,</v>
      </c>
      <c r="R544" s="550" t="str">
        <f>INDEX(LoadMaster!$AH:$AH,MATCH(B544,LoadMaster!$C:$C,0))</f>
        <v>CROCKETT</v>
      </c>
      <c r="S544" s="550" t="str">
        <f>INDEX(LoadMaster!$DC:$DC,MATCH(B544,LoadMaster!$C:$C,0))</f>
        <v>Sunny</v>
      </c>
      <c r="T544" s="567">
        <f>INDEX(LoadMaster!$DA:$DA,MATCH(B544,LoadMaster!$C:$C,0))</f>
        <v>27.5</v>
      </c>
      <c r="U544" s="243">
        <f>Table2[[#This Row],[WeekEndingDate]]+7</f>
        <v>42566</v>
      </c>
      <c r="V544" s="550">
        <f t="shared" ref="V544" si="81">MONTH(P544)</f>
        <v>7</v>
      </c>
      <c r="W544" s="548">
        <f t="shared" ref="W544" si="82">YEAR(P544)</f>
        <v>2016</v>
      </c>
    </row>
    <row r="545" spans="1:23">
      <c r="A545" s="550" t="str">
        <f>INDEX(LoadMaster!$A:$A,MATCH(B545,LoadMaster!$C:$C,0))</f>
        <v>07969649</v>
      </c>
      <c r="B545" s="552">
        <v>103807</v>
      </c>
      <c r="C545" s="550" t="str">
        <f>VLOOKUP(Table2[[#This Row],[BrokerConfNo]],LoadMaster!C:D,2,FALSE)</f>
        <v>Arrive Logistics</v>
      </c>
      <c r="D545" s="550"/>
      <c r="E545" s="548" t="str">
        <f>IF(Table2[[#This Row],[UBActualReceived]]&gt;1,"Received","Pending")</f>
        <v>Pending</v>
      </c>
      <c r="F545" s="241">
        <f>INDEX(LoadMaster!$CU:$CU,MATCH(B545,LoadMaster!$C:$C,0))</f>
        <v>600</v>
      </c>
      <c r="G545" s="134">
        <f>INDEX(LoadMaster!$CX:$CX,MATCH(B545,LoadMaster!$C:$C,0))</f>
        <v>600</v>
      </c>
      <c r="H545" s="241">
        <f>INDEX(LoadMaster!$CW:$CW,MATCH(B545,LoadMaster!$C:$C,0))</f>
        <v>558</v>
      </c>
      <c r="I545" s="338"/>
      <c r="J545" s="525">
        <v>558</v>
      </c>
      <c r="K545" s="241" t="str">
        <f t="shared" ref="K545:K552" si="83">IF(I545&lt;G545, "Less", "Full")</f>
        <v>Less</v>
      </c>
      <c r="L545" s="241">
        <f>INDEX(LoadMaster!$CT:$CT,MATCH(Table2[[#This Row],[BrokerConfNo]],LoadMaster!$C:$C,0))</f>
        <v>0</v>
      </c>
      <c r="M545" s="550" t="str">
        <f>INDEX(LoadMaster!$AO:$AO,MATCH(Table2[[#This Row],[BrokerConfNo]],LoadMaster!$C:$C,0))</f>
        <v>Albel</v>
      </c>
      <c r="N545" s="549">
        <f t="shared" ref="N545:N552" si="84">(5-WEEKDAY(P545,2))+P545</f>
        <v>42566</v>
      </c>
      <c r="O545" s="242">
        <f t="shared" ref="O545:O552" si="85">IF(M545="Albel",((5-WEEKDAY(P545,2))+P545)+14,(((5-WEEKDAY(P545,2))+P545)+7))</f>
        <v>42580</v>
      </c>
      <c r="P545" s="549">
        <f>INDEX(LoadMaster!$M:$M,MATCH(B545,LoadMaster!$C:$C,0))</f>
        <v>42564</v>
      </c>
      <c r="Q545" s="550" t="str">
        <f>INDEX(LoadMaster!$P:$P,MATCH(B545,LoadMaster!$C:$C,0))</f>
        <v>ROHNERT PARK</v>
      </c>
      <c r="R545" s="550" t="str">
        <f>INDEX(LoadMaster!$AH:$AH,MATCH(B545,LoadMaster!$C:$C,0))</f>
        <v>KINGSBURG</v>
      </c>
      <c r="S545" s="550" t="str">
        <f>INDEX(LoadMaster!$DC:$DC,MATCH(B545,LoadMaster!$C:$C,0))</f>
        <v>Sunny</v>
      </c>
      <c r="T545" s="567">
        <f>INDEX(LoadMaster!$DA:$DA,MATCH(B545,LoadMaster!$C:$C,0))</f>
        <v>42</v>
      </c>
      <c r="U545" s="243">
        <f>Table2[[#This Row],[WeekEndingDate]]+7</f>
        <v>42573</v>
      </c>
      <c r="V545" s="550">
        <f t="shared" ref="V545:V552" si="86">MONTH(P545)</f>
        <v>7</v>
      </c>
      <c r="W545" s="548">
        <f t="shared" ref="W545:W552" si="87">YEAR(P545)</f>
        <v>2016</v>
      </c>
    </row>
    <row r="546" spans="1:23">
      <c r="A546" s="550" t="str">
        <f>INDEX(LoadMaster!$A:$A,MATCH(B546,LoadMaster!$C:$C,0))</f>
        <v>67wnwn47</v>
      </c>
      <c r="B546" s="552">
        <v>3338667</v>
      </c>
      <c r="C546" s="550" t="str">
        <f>VLOOKUP(Table2[[#This Row],[BrokerConfNo]],LoadMaster!C:D,2,FALSE)</f>
        <v>ALLEN LUND</v>
      </c>
      <c r="D546" s="549">
        <v>42570</v>
      </c>
      <c r="E546" s="548" t="str">
        <f>IF(Table2[[#This Row],[UBActualReceived]]&gt;1,"Received","Pending")</f>
        <v>Received</v>
      </c>
      <c r="F546" s="241">
        <f>INDEX(LoadMaster!$CU:$CU,MATCH(B546,LoadMaster!$C:$C,0))</f>
        <v>400</v>
      </c>
      <c r="G546" s="134">
        <f>INDEX(LoadMaster!$CX:$CX,MATCH(B546,LoadMaster!$C:$C,0))</f>
        <v>370.5</v>
      </c>
      <c r="H546" s="241">
        <f>INDEX(LoadMaster!$CW:$CW,MATCH(B546,LoadMaster!$C:$C,0))</f>
        <v>372</v>
      </c>
      <c r="I546" s="338">
        <v>370.5</v>
      </c>
      <c r="J546" s="525">
        <v>372</v>
      </c>
      <c r="K546" s="241" t="str">
        <f t="shared" si="83"/>
        <v>Full</v>
      </c>
      <c r="L546" s="241">
        <f>INDEX(LoadMaster!$CT:$CT,MATCH(Table2[[#This Row],[BrokerConfNo]],LoadMaster!$C:$C,0))</f>
        <v>0</v>
      </c>
      <c r="M546" s="550" t="str">
        <f>INDEX(LoadMaster!$AO:$AO,MATCH(Table2[[#This Row],[BrokerConfNo]],LoadMaster!$C:$C,0))</f>
        <v>Anthony</v>
      </c>
      <c r="N546" s="549">
        <f t="shared" si="84"/>
        <v>42566</v>
      </c>
      <c r="O546" s="242">
        <f t="shared" si="85"/>
        <v>42573</v>
      </c>
      <c r="P546" s="549">
        <f>INDEX(LoadMaster!$M:$M,MATCH(B546,LoadMaster!$C:$C,0))</f>
        <v>42565</v>
      </c>
      <c r="Q546" s="550" t="str">
        <f>INDEX(LoadMaster!$P:$P,MATCH(B546,LoadMaster!$C:$C,0))</f>
        <v>RENO</v>
      </c>
      <c r="R546" s="550" t="str">
        <f>INDEX(LoadMaster!$AH:$AH,MATCH(B546,LoadMaster!$C:$C,0))</f>
        <v>RICHMOND</v>
      </c>
      <c r="S546" s="550" t="str">
        <f>INDEX(LoadMaster!$DC:$DC,MATCH(B546,LoadMaster!$C:$C,0))</f>
        <v>Sunny</v>
      </c>
      <c r="T546" s="567">
        <f>INDEX(LoadMaster!$DA:$DA,MATCH(B546,LoadMaster!$C:$C,0))</f>
        <v>28</v>
      </c>
      <c r="U546" s="243">
        <f>Table2[[#This Row],[WeekEndingDate]]+7</f>
        <v>42573</v>
      </c>
      <c r="V546" s="550">
        <f t="shared" si="86"/>
        <v>7</v>
      </c>
      <c r="W546" s="548">
        <f t="shared" si="87"/>
        <v>2016</v>
      </c>
    </row>
    <row r="547" spans="1:23">
      <c r="A547" s="550" t="str">
        <f>INDEX(LoadMaster!$A:$A,MATCH(B547,LoadMaster!$C:$C,0))</f>
        <v>17POPO19</v>
      </c>
      <c r="B547" s="552" t="s">
        <v>3428</v>
      </c>
      <c r="C547" s="550" t="str">
        <f>VLOOKUP(Table2[[#This Row],[BrokerConfNo]],LoadMaster!C:D,2,FALSE)</f>
        <v>Veritiv</v>
      </c>
      <c r="D547" s="550"/>
      <c r="E547" s="548" t="str">
        <f>IF(Table2[[#This Row],[UBActualReceived]]&gt;1,"Received","Pending")</f>
        <v>Pending</v>
      </c>
      <c r="F547" s="241">
        <f>INDEX(LoadMaster!$CU:$CU,MATCH(B547,LoadMaster!$C:$C,0))</f>
        <v>440</v>
      </c>
      <c r="G547" s="134">
        <f>INDEX(LoadMaster!$CX:$CX,MATCH(B547,LoadMaster!$C:$C,0))</f>
        <v>440</v>
      </c>
      <c r="H547" s="241">
        <f>INDEX(LoadMaster!$CW:$CW,MATCH(B547,LoadMaster!$C:$C,0))</f>
        <v>409.20000000000005</v>
      </c>
      <c r="I547" s="338"/>
      <c r="J547" s="525">
        <v>409.20000000000005</v>
      </c>
      <c r="K547" s="241" t="str">
        <f t="shared" si="83"/>
        <v>Less</v>
      </c>
      <c r="L547" s="241">
        <f>INDEX(LoadMaster!$CT:$CT,MATCH(Table2[[#This Row],[BrokerConfNo]],LoadMaster!$C:$C,0))</f>
        <v>0</v>
      </c>
      <c r="M547" s="550" t="str">
        <f>INDEX(LoadMaster!$AO:$AO,MATCH(Table2[[#This Row],[BrokerConfNo]],LoadMaster!$C:$C,0))</f>
        <v>Miguel Jaime</v>
      </c>
      <c r="N547" s="549">
        <f t="shared" si="84"/>
        <v>42566</v>
      </c>
      <c r="O547" s="242">
        <f t="shared" si="85"/>
        <v>42573</v>
      </c>
      <c r="P547" s="549">
        <f>INDEX(LoadMaster!$M:$M,MATCH(B547,LoadMaster!$C:$C,0))</f>
        <v>42565</v>
      </c>
      <c r="Q547" s="550" t="str">
        <f>INDEX(LoadMaster!$P:$P,MATCH(B547,LoadMaster!$C:$C,0))</f>
        <v>Modesto</v>
      </c>
      <c r="R547" s="550" t="str">
        <f>INDEX(LoadMaster!$AH:$AH,MATCH(B547,LoadMaster!$C:$C,0))</f>
        <v>Vallejo</v>
      </c>
      <c r="S547" s="550" t="str">
        <f>INDEX(LoadMaster!$DC:$DC,MATCH(B547,LoadMaster!$C:$C,0))</f>
        <v>Sunny</v>
      </c>
      <c r="T547" s="567">
        <f>INDEX(LoadMaster!$DA:$DA,MATCH(B547,LoadMaster!$C:$C,0))</f>
        <v>30.799999999999955</v>
      </c>
      <c r="U547" s="243">
        <f>Table2[[#This Row],[WeekEndingDate]]+7</f>
        <v>42573</v>
      </c>
      <c r="V547" s="550">
        <f t="shared" si="86"/>
        <v>7</v>
      </c>
      <c r="W547" s="548">
        <f t="shared" si="87"/>
        <v>2016</v>
      </c>
    </row>
    <row r="548" spans="1:23">
      <c r="A548" s="550" t="str">
        <f>INDEX(LoadMaster!$A:$A,MATCH(B548,LoadMaster!$C:$C,0))</f>
        <v>26101049</v>
      </c>
      <c r="B548" s="552">
        <v>206576726</v>
      </c>
      <c r="C548" s="550" t="str">
        <f>VLOOKUP(Table2[[#This Row],[BrokerConfNo]],LoadMaster!C:D,2,FALSE)</f>
        <v>Ch Robinson</v>
      </c>
      <c r="D548" s="550"/>
      <c r="E548" s="548" t="str">
        <f>IF(Table2[[#This Row],[UBActualReceived]]&gt;1,"Received","Pending")</f>
        <v>Pending</v>
      </c>
      <c r="F548" s="241">
        <f>INDEX(LoadMaster!$CU:$CU,MATCH(B548,LoadMaster!$C:$C,0))</f>
        <v>1200</v>
      </c>
      <c r="G548" s="134">
        <f>INDEX(LoadMaster!$CX:$CX,MATCH(B548,LoadMaster!$C:$C,0))</f>
        <v>1176</v>
      </c>
      <c r="H548" s="241">
        <f>INDEX(LoadMaster!$CW:$CW,MATCH(B548,LoadMaster!$C:$C,0))</f>
        <v>1116</v>
      </c>
      <c r="I548" s="338"/>
      <c r="J548" s="525">
        <v>1116</v>
      </c>
      <c r="K548" s="241" t="str">
        <f t="shared" si="83"/>
        <v>Less</v>
      </c>
      <c r="L548" s="241">
        <f>INDEX(LoadMaster!$CT:$CT,MATCH(Table2[[#This Row],[BrokerConfNo]],LoadMaster!$C:$C,0))</f>
        <v>0</v>
      </c>
      <c r="M548" s="550" t="str">
        <f>INDEX(LoadMaster!$AO:$AO,MATCH(Table2[[#This Row],[BrokerConfNo]],LoadMaster!$C:$C,0))</f>
        <v>Albel</v>
      </c>
      <c r="N548" s="549">
        <f t="shared" si="84"/>
        <v>42566</v>
      </c>
      <c r="O548" s="242">
        <f t="shared" si="85"/>
        <v>42580</v>
      </c>
      <c r="P548" s="549">
        <f>INDEX(LoadMaster!$M:$M,MATCH(B548,LoadMaster!$C:$C,0))</f>
        <v>42565</v>
      </c>
      <c r="Q548" s="550" t="str">
        <f>INDEX(LoadMaster!$P:$P,MATCH(B548,LoadMaster!$C:$C,0))</f>
        <v>Hanford</v>
      </c>
      <c r="R548" s="550" t="str">
        <f>INDEX(LoadMaster!$AH:$AH,MATCH(B548,LoadMaster!$C:$C,0))</f>
        <v>Placerville/Redding/Yreka</v>
      </c>
      <c r="S548" s="550" t="str">
        <f>INDEX(LoadMaster!$DC:$DC,MATCH(B548,LoadMaster!$C:$C,0))</f>
        <v>Sunny</v>
      </c>
      <c r="T548" s="567">
        <f>INDEX(LoadMaster!$DA:$DA,MATCH(B548,LoadMaster!$C:$C,0))</f>
        <v>60</v>
      </c>
      <c r="U548" s="243">
        <f>Table2[[#This Row],[WeekEndingDate]]+7</f>
        <v>42573</v>
      </c>
      <c r="V548" s="550">
        <f t="shared" si="86"/>
        <v>7</v>
      </c>
      <c r="W548" s="548">
        <f t="shared" si="87"/>
        <v>2016</v>
      </c>
    </row>
    <row r="549" spans="1:23">
      <c r="A549" s="550" t="str">
        <f>INDEX(LoadMaster!$A:$A,MATCH(B549,LoadMaster!$C:$C,0))</f>
        <v>66818119</v>
      </c>
      <c r="B549" s="552">
        <v>205279266</v>
      </c>
      <c r="C549" s="550" t="str">
        <f>VLOOKUP(Table2[[#This Row],[BrokerConfNo]],LoadMaster!C:D,2,FALSE)</f>
        <v>Ch Robinson</v>
      </c>
      <c r="D549" s="550"/>
      <c r="E549" s="548" t="str">
        <f>IF(Table2[[#This Row],[UBActualReceived]]&gt;1,"Received","Pending")</f>
        <v>Pending</v>
      </c>
      <c r="F549" s="241">
        <f>INDEX(LoadMaster!$CU:$CU,MATCH(B549,LoadMaster!$C:$C,0))</f>
        <v>500</v>
      </c>
      <c r="G549" s="134">
        <f>INDEX(LoadMaster!$CX:$CX,MATCH(B549,LoadMaster!$C:$C,0))</f>
        <v>490</v>
      </c>
      <c r="H549" s="241">
        <f>INDEX(LoadMaster!$CW:$CW,MATCH(B549,LoadMaster!$C:$C,0))</f>
        <v>465</v>
      </c>
      <c r="I549" s="338"/>
      <c r="J549" s="525">
        <v>465</v>
      </c>
      <c r="K549" s="241" t="str">
        <f t="shared" si="83"/>
        <v>Less</v>
      </c>
      <c r="L549" s="241">
        <f>INDEX(LoadMaster!$CT:$CT,MATCH(Table2[[#This Row],[BrokerConfNo]],LoadMaster!$C:$C,0))</f>
        <v>0</v>
      </c>
      <c r="M549" s="550" t="str">
        <f>INDEX(LoadMaster!$AO:$AO,MATCH(Table2[[#This Row],[BrokerConfNo]],LoadMaster!$C:$C,0))</f>
        <v>Miguel Jaime</v>
      </c>
      <c r="N549" s="549">
        <f t="shared" si="84"/>
        <v>42566</v>
      </c>
      <c r="O549" s="242">
        <f t="shared" si="85"/>
        <v>42573</v>
      </c>
      <c r="P549" s="549">
        <f>INDEX(LoadMaster!$M:$M,MATCH(B549,LoadMaster!$C:$C,0))</f>
        <v>42565</v>
      </c>
      <c r="Q549" s="550" t="str">
        <f>INDEX(LoadMaster!$P:$P,MATCH(B549,LoadMaster!$C:$C,0))</f>
        <v>ROHNERT PARK</v>
      </c>
      <c r="R549" s="550" t="str">
        <f>INDEX(LoadMaster!$AH:$AH,MATCH(B549,LoadMaster!$C:$C,0))</f>
        <v>VISALIA</v>
      </c>
      <c r="S549" s="550" t="str">
        <f>INDEX(LoadMaster!$DC:$DC,MATCH(B549,LoadMaster!$C:$C,0))</f>
        <v>Sunny</v>
      </c>
      <c r="T549" s="567">
        <f>INDEX(LoadMaster!$DA:$DA,MATCH(B549,LoadMaster!$C:$C,0))</f>
        <v>25</v>
      </c>
      <c r="U549" s="243">
        <f>Table2[[#This Row],[WeekEndingDate]]+7</f>
        <v>42573</v>
      </c>
      <c r="V549" s="550">
        <f t="shared" si="86"/>
        <v>7</v>
      </c>
      <c r="W549" s="548">
        <f t="shared" si="87"/>
        <v>2016</v>
      </c>
    </row>
    <row r="550" spans="1:23">
      <c r="A550" s="550" t="str">
        <f>INDEX(LoadMaster!$A:$A,MATCH(B550,LoadMaster!$C:$C,0))</f>
        <v>54818149</v>
      </c>
      <c r="B550" s="552">
        <v>206420254</v>
      </c>
      <c r="C550" s="550" t="str">
        <f>VLOOKUP(Table2[[#This Row],[BrokerConfNo]],LoadMaster!C:D,2,FALSE)</f>
        <v>Ch Robinson</v>
      </c>
      <c r="D550" s="550"/>
      <c r="E550" s="548" t="str">
        <f>IF(Table2[[#This Row],[UBActualReceived]]&gt;1,"Received","Pending")</f>
        <v>Pending</v>
      </c>
      <c r="F550" s="241">
        <f>INDEX(LoadMaster!$CU:$CU,MATCH(B550,LoadMaster!$C:$C,0))</f>
        <v>370</v>
      </c>
      <c r="G550" s="134">
        <f>INDEX(LoadMaster!$CX:$CX,MATCH(B550,LoadMaster!$C:$C,0))</f>
        <v>362.59999999999997</v>
      </c>
      <c r="H550" s="241">
        <f>INDEX(LoadMaster!$CW:$CW,MATCH(B550,LoadMaster!$C:$C,0))</f>
        <v>344.1</v>
      </c>
      <c r="I550" s="338"/>
      <c r="J550" s="525">
        <v>344.1</v>
      </c>
      <c r="K550" s="241" t="str">
        <f t="shared" si="83"/>
        <v>Less</v>
      </c>
      <c r="L550" s="241">
        <f>INDEX(LoadMaster!$CT:$CT,MATCH(Table2[[#This Row],[BrokerConfNo]],LoadMaster!$C:$C,0))</f>
        <v>0</v>
      </c>
      <c r="M550" s="550" t="str">
        <f>INDEX(LoadMaster!$AO:$AO,MATCH(Table2[[#This Row],[BrokerConfNo]],LoadMaster!$C:$C,0))</f>
        <v>Albel</v>
      </c>
      <c r="N550" s="549">
        <f t="shared" si="84"/>
        <v>42566</v>
      </c>
      <c r="O550" s="242">
        <f t="shared" si="85"/>
        <v>42580</v>
      </c>
      <c r="P550" s="549">
        <f>INDEX(LoadMaster!$M:$M,MATCH(B550,LoadMaster!$C:$C,0))</f>
        <v>42566</v>
      </c>
      <c r="Q550" s="550" t="str">
        <f>INDEX(LoadMaster!$P:$P,MATCH(B550,LoadMaster!$C:$C,0))</f>
        <v>Corning</v>
      </c>
      <c r="R550" s="550" t="str">
        <f>INDEX(LoadMaster!$AH:$AH,MATCH(B550,LoadMaster!$C:$C,0))</f>
        <v>Lathrop</v>
      </c>
      <c r="S550" s="550" t="str">
        <f>INDEX(LoadMaster!$DC:$DC,MATCH(B550,LoadMaster!$C:$C,0))</f>
        <v>Sunny</v>
      </c>
      <c r="T550" s="567">
        <f>INDEX(LoadMaster!$DA:$DA,MATCH(B550,LoadMaster!$C:$C,0))</f>
        <v>18.499999999999979</v>
      </c>
      <c r="U550" s="243">
        <f>Table2[[#This Row],[WeekEndingDate]]+7</f>
        <v>42573</v>
      </c>
      <c r="V550" s="550">
        <f t="shared" si="86"/>
        <v>7</v>
      </c>
      <c r="W550" s="548">
        <f t="shared" si="87"/>
        <v>2016</v>
      </c>
    </row>
    <row r="551" spans="1:23">
      <c r="A551" s="550" t="str">
        <f>INDEX(LoadMaster!$A:$A,MATCH(B551,LoadMaster!$C:$C,0))</f>
        <v>77434347</v>
      </c>
      <c r="B551" s="552" t="s">
        <v>3452</v>
      </c>
      <c r="C551" s="550" t="str">
        <f>VLOOKUP(Table2[[#This Row],[BrokerConfNo]],LoadMaster!C:D,2,FALSE)</f>
        <v>Xcelerated Transportation</v>
      </c>
      <c r="D551" s="550"/>
      <c r="E551" s="548" t="str">
        <f>IF(Table2[[#This Row],[UBActualReceived]]&gt;1,"Received","Pending")</f>
        <v>Pending</v>
      </c>
      <c r="F551" s="241">
        <f>INDEX(LoadMaster!$CU:$CU,MATCH(B551,LoadMaster!$C:$C,0))</f>
        <v>350</v>
      </c>
      <c r="G551" s="134">
        <f>INDEX(LoadMaster!$CX:$CX,MATCH(B551,LoadMaster!$C:$C,0))</f>
        <v>350</v>
      </c>
      <c r="H551" s="241">
        <f>INDEX(LoadMaster!$CW:$CW,MATCH(B551,LoadMaster!$C:$C,0))</f>
        <v>325.5</v>
      </c>
      <c r="I551" s="338"/>
      <c r="J551" s="525">
        <v>325.5</v>
      </c>
      <c r="K551" s="241" t="str">
        <f t="shared" si="83"/>
        <v>Less</v>
      </c>
      <c r="L551" s="241">
        <f>INDEX(LoadMaster!$CT:$CT,MATCH(Table2[[#This Row],[BrokerConfNo]],LoadMaster!$C:$C,0))</f>
        <v>0</v>
      </c>
      <c r="M551" s="550" t="str">
        <f>INDEX(LoadMaster!$AO:$AO,MATCH(Table2[[#This Row],[BrokerConfNo]],LoadMaster!$C:$C,0))</f>
        <v>Anthony</v>
      </c>
      <c r="N551" s="549">
        <f t="shared" si="84"/>
        <v>42566</v>
      </c>
      <c r="O551" s="242">
        <f t="shared" si="85"/>
        <v>42573</v>
      </c>
      <c r="P551" s="549">
        <f>INDEX(LoadMaster!$M:$M,MATCH(B551,LoadMaster!$C:$C,0))</f>
        <v>42566</v>
      </c>
      <c r="Q551" s="550" t="str">
        <f>INDEX(LoadMaster!$P:$P,MATCH(B551,LoadMaster!$C:$C,0))</f>
        <v>NEWARK</v>
      </c>
      <c r="R551" s="550" t="str">
        <f>INDEX(LoadMaster!$AH:$AH,MATCH(B551,LoadMaster!$C:$C,0))</f>
        <v>STOCKTON</v>
      </c>
      <c r="S551" s="550" t="str">
        <f>INDEX(LoadMaster!$DC:$DC,MATCH(B551,LoadMaster!$C:$C,0))</f>
        <v>Sunny</v>
      </c>
      <c r="T551" s="567">
        <f>INDEX(LoadMaster!$DA:$DA,MATCH(B551,LoadMaster!$C:$C,0))</f>
        <v>24.5</v>
      </c>
      <c r="U551" s="243">
        <f>Table2[[#This Row],[WeekEndingDate]]+7</f>
        <v>42573</v>
      </c>
      <c r="V551" s="550">
        <f t="shared" si="86"/>
        <v>7</v>
      </c>
      <c r="W551" s="548">
        <f t="shared" si="87"/>
        <v>2016</v>
      </c>
    </row>
    <row r="552" spans="1:23">
      <c r="A552" s="550" t="str">
        <f>INDEX(LoadMaster!$A:$A,MATCH(B552,LoadMaster!$C:$C,0))</f>
        <v>79393919</v>
      </c>
      <c r="B552" s="552">
        <v>206844779</v>
      </c>
      <c r="C552" s="550" t="str">
        <f>VLOOKUP(Table2[[#This Row],[BrokerConfNo]],LoadMaster!C:D,2,FALSE)</f>
        <v>Ch Robinson</v>
      </c>
      <c r="D552" s="550"/>
      <c r="E552" s="548" t="str">
        <f>IF(Table2[[#This Row],[UBActualReceived]]&gt;1,"Received","Pending")</f>
        <v>Pending</v>
      </c>
      <c r="F552" s="241">
        <f>INDEX(LoadMaster!$CU:$CU,MATCH(B552,LoadMaster!$C:$C,0))</f>
        <v>400</v>
      </c>
      <c r="G552" s="134">
        <f>INDEX(LoadMaster!$CX:$CX,MATCH(B552,LoadMaster!$C:$C,0))</f>
        <v>392</v>
      </c>
      <c r="H552" s="241">
        <f>INDEX(LoadMaster!$CW:$CW,MATCH(B552,LoadMaster!$C:$C,0))</f>
        <v>372</v>
      </c>
      <c r="I552" s="338"/>
      <c r="J552" s="525">
        <v>372</v>
      </c>
      <c r="K552" s="241" t="str">
        <f t="shared" si="83"/>
        <v>Less</v>
      </c>
      <c r="L552" s="241">
        <f>INDEX(LoadMaster!$CT:$CT,MATCH(Table2[[#This Row],[BrokerConfNo]],LoadMaster!$C:$C,0))</f>
        <v>0</v>
      </c>
      <c r="M552" s="550" t="str">
        <f>INDEX(LoadMaster!$AO:$AO,MATCH(Table2[[#This Row],[BrokerConfNo]],LoadMaster!$C:$C,0))</f>
        <v>Miguel Jaime</v>
      </c>
      <c r="N552" s="549">
        <f t="shared" si="84"/>
        <v>42566</v>
      </c>
      <c r="O552" s="242">
        <f t="shared" si="85"/>
        <v>42573</v>
      </c>
      <c r="P552" s="549">
        <f>INDEX(LoadMaster!$M:$M,MATCH(B552,LoadMaster!$C:$C,0))</f>
        <v>42566</v>
      </c>
      <c r="Q552" s="550" t="str">
        <f>INDEX(LoadMaster!$P:$P,MATCH(B552,LoadMaster!$C:$C,0))</f>
        <v>FRESNO</v>
      </c>
      <c r="R552" s="550" t="str">
        <f>INDEX(LoadMaster!$AH:$AH,MATCH(B552,LoadMaster!$C:$C,0))</f>
        <v>Stockton</v>
      </c>
      <c r="S552" s="550" t="str">
        <f>INDEX(LoadMaster!$DC:$DC,MATCH(B552,LoadMaster!$C:$C,0))</f>
        <v>Sunny</v>
      </c>
      <c r="T552" s="567">
        <f>INDEX(LoadMaster!$DA:$DA,MATCH(B552,LoadMaster!$C:$C,0))</f>
        <v>20</v>
      </c>
      <c r="U552" s="243">
        <f>Table2[[#This Row],[WeekEndingDate]]+7</f>
        <v>42573</v>
      </c>
      <c r="V552" s="550">
        <f t="shared" si="86"/>
        <v>7</v>
      </c>
      <c r="W552" s="548">
        <f t="shared" si="87"/>
        <v>2016</v>
      </c>
    </row>
    <row r="553" spans="1:23">
      <c r="A553" s="550" t="str">
        <f>INDEX(LoadMaster!$A:$A,MATCH(B553,LoadMaster!$C:$C,0))</f>
        <v>5099wn47</v>
      </c>
      <c r="B553" s="552">
        <v>206700850</v>
      </c>
      <c r="C553" s="550" t="str">
        <f>VLOOKUP(Table2[[#This Row],[BrokerConfNo]],LoadMaster!C:D,2,FALSE)</f>
        <v>Ch Robinson</v>
      </c>
      <c r="D553" s="550"/>
      <c r="E553" s="548" t="str">
        <f>IF(Table2[[#This Row],[UBActualReceived]]&gt;1,"Received","Pending")</f>
        <v>Pending</v>
      </c>
      <c r="F553" s="241">
        <f>INDEX(LoadMaster!$CU:$CU,MATCH(B553,LoadMaster!$C:$C,0))</f>
        <v>400</v>
      </c>
      <c r="G553" s="134">
        <f>INDEX(LoadMaster!$CX:$CX,MATCH(B553,LoadMaster!$C:$C,0))</f>
        <v>392</v>
      </c>
      <c r="H553" s="241">
        <f>INDEX(LoadMaster!$CW:$CW,MATCH(B553,LoadMaster!$C:$C,0))</f>
        <v>372</v>
      </c>
      <c r="I553" s="338"/>
      <c r="J553" s="525">
        <v>372</v>
      </c>
      <c r="K553" s="241" t="str">
        <f t="shared" ref="K553:K561" si="88">IF(I553&lt;G553, "Less", "Full")</f>
        <v>Less</v>
      </c>
      <c r="L553" s="241">
        <f>INDEX(LoadMaster!$CT:$CT,MATCH(Table2[[#This Row],[BrokerConfNo]],LoadMaster!$C:$C,0))</f>
        <v>0</v>
      </c>
      <c r="M553" s="550" t="str">
        <f>INDEX(LoadMaster!$AO:$AO,MATCH(Table2[[#This Row],[BrokerConfNo]],LoadMaster!$C:$C,0))</f>
        <v>Anthony</v>
      </c>
      <c r="N553" s="549">
        <f t="shared" ref="N553:N561" si="89">(5-WEEKDAY(P553,2))+P553</f>
        <v>42573</v>
      </c>
      <c r="O553" s="242">
        <f t="shared" ref="O553:O561" si="90">IF(M553="Albel",((5-WEEKDAY(P553,2))+P553)+14,(((5-WEEKDAY(P553,2))+P553)+7))</f>
        <v>42580</v>
      </c>
      <c r="P553" s="549">
        <f>INDEX(LoadMaster!$M:$M,MATCH(B553,LoadMaster!$C:$C,0))</f>
        <v>42569</v>
      </c>
      <c r="Q553" s="550" t="str">
        <f>INDEX(LoadMaster!$P:$P,MATCH(B553,LoadMaster!$C:$C,0))</f>
        <v>TURLOCK</v>
      </c>
      <c r="R553" s="550" t="str">
        <f>INDEX(LoadMaster!$AH:$AH,MATCH(B553,LoadMaster!$C:$C,0))</f>
        <v>Oakland</v>
      </c>
      <c r="S553" s="550" t="str">
        <f>INDEX(LoadMaster!$DC:$DC,MATCH(B553,LoadMaster!$C:$C,0))</f>
        <v>Sunny</v>
      </c>
      <c r="T553" s="567">
        <f>INDEX(LoadMaster!$DA:$DA,MATCH(B553,LoadMaster!$C:$C,0))</f>
        <v>20</v>
      </c>
      <c r="U553" s="243">
        <f>Table2[[#This Row],[WeekEndingDate]]+7</f>
        <v>42580</v>
      </c>
      <c r="V553" s="550">
        <f t="shared" ref="V553:V561" si="91">MONTH(P553)</f>
        <v>7</v>
      </c>
      <c r="W553" s="548">
        <f t="shared" ref="W553:W561" si="92">YEAR(P553)</f>
        <v>2016</v>
      </c>
    </row>
    <row r="554" spans="1:23">
      <c r="A554" s="550" t="str">
        <f>INDEX(LoadMaster!$A:$A,MATCH(B554,LoadMaster!$C:$C,0))</f>
        <v>95wn#247</v>
      </c>
      <c r="B554" s="552">
        <v>206912895</v>
      </c>
      <c r="C554" s="550" t="str">
        <f>VLOOKUP(Table2[[#This Row],[BrokerConfNo]],LoadMaster!C:D,2,FALSE)</f>
        <v>Ch Robinson</v>
      </c>
      <c r="D554" s="550"/>
      <c r="E554" s="548" t="str">
        <f>IF(Table2[[#This Row],[UBActualReceived]]&gt;1,"Received","Pending")</f>
        <v>Pending</v>
      </c>
      <c r="F554" s="241">
        <f>INDEX(LoadMaster!$CU:$CU,MATCH(B554,LoadMaster!$C:$C,0))</f>
        <v>425</v>
      </c>
      <c r="G554" s="134">
        <f>INDEX(LoadMaster!$CX:$CX,MATCH(B554,LoadMaster!$C:$C,0))</f>
        <v>416.5</v>
      </c>
      <c r="H554" s="241">
        <f>INDEX(LoadMaster!$CW:$CW,MATCH(B554,LoadMaster!$C:$C,0))</f>
        <v>395.25</v>
      </c>
      <c r="I554" s="338"/>
      <c r="J554" s="525">
        <v>395.25</v>
      </c>
      <c r="K554" s="241" t="str">
        <f t="shared" si="88"/>
        <v>Less</v>
      </c>
      <c r="L554" s="241">
        <f>INDEX(LoadMaster!$CT:$CT,MATCH(Table2[[#This Row],[BrokerConfNo]],LoadMaster!$C:$C,0))</f>
        <v>0</v>
      </c>
      <c r="M554" s="550" t="str">
        <f>INDEX(LoadMaster!$AO:$AO,MATCH(Table2[[#This Row],[BrokerConfNo]],LoadMaster!$C:$C,0))</f>
        <v>Anthony</v>
      </c>
      <c r="N554" s="549">
        <f t="shared" si="89"/>
        <v>42573</v>
      </c>
      <c r="O554" s="242">
        <f t="shared" si="90"/>
        <v>42580</v>
      </c>
      <c r="P554" s="549">
        <f>INDEX(LoadMaster!$M:$M,MATCH(B554,LoadMaster!$C:$C,0))</f>
        <v>42569</v>
      </c>
      <c r="Q554" s="550" t="str">
        <f>INDEX(LoadMaster!$P:$P,MATCH(B554,LoadMaster!$C:$C,0))</f>
        <v>HAYWARD</v>
      </c>
      <c r="R554" s="550" t="str">
        <f>INDEX(LoadMaster!$AH:$AH,MATCH(B554,LoadMaster!$C:$C,0))</f>
        <v>Sacramento</v>
      </c>
      <c r="S554" s="550" t="str">
        <f>INDEX(LoadMaster!$DC:$DC,MATCH(B554,LoadMaster!$C:$C,0))</f>
        <v>Sunny</v>
      </c>
      <c r="T554" s="567">
        <f>INDEX(LoadMaster!$DA:$DA,MATCH(B554,LoadMaster!$C:$C,0))</f>
        <v>21.25</v>
      </c>
      <c r="U554" s="243">
        <f>Table2[[#This Row],[WeekEndingDate]]+7</f>
        <v>42580</v>
      </c>
      <c r="V554" s="550">
        <f t="shared" si="91"/>
        <v>7</v>
      </c>
      <c r="W554" s="548">
        <f t="shared" si="92"/>
        <v>2016</v>
      </c>
    </row>
    <row r="555" spans="1:23">
      <c r="A555" s="550" t="str">
        <f>INDEX(LoadMaster!$A:$A,MATCH(B555,LoadMaster!$C:$C,0))</f>
        <v>27wnwn49</v>
      </c>
      <c r="B555" s="552">
        <v>389227</v>
      </c>
      <c r="C555" s="550" t="str">
        <f>VLOOKUP(Table2[[#This Row],[BrokerConfNo]],LoadMaster!C:D,2,FALSE)</f>
        <v>R2 Logistics</v>
      </c>
      <c r="D555" s="550"/>
      <c r="E555" s="548" t="str">
        <f>IF(Table2[[#This Row],[UBActualReceived]]&gt;1,"Received","Pending")</f>
        <v>Pending</v>
      </c>
      <c r="F555" s="241">
        <f>INDEX(LoadMaster!$CU:$CU,MATCH(B555,LoadMaster!$C:$C,0))</f>
        <v>850</v>
      </c>
      <c r="G555" s="134">
        <f>INDEX(LoadMaster!$CX:$CX,MATCH(B555,LoadMaster!$C:$C,0))</f>
        <v>816</v>
      </c>
      <c r="H555" s="241">
        <f>INDEX(LoadMaster!$CW:$CW,MATCH(B555,LoadMaster!$C:$C,0))</f>
        <v>790.5</v>
      </c>
      <c r="I555" s="338"/>
      <c r="J555" s="525">
        <v>790.5</v>
      </c>
      <c r="K555" s="241" t="str">
        <f t="shared" si="88"/>
        <v>Less</v>
      </c>
      <c r="L555" s="241">
        <f>INDEX(LoadMaster!$CT:$CT,MATCH(Table2[[#This Row],[BrokerConfNo]],LoadMaster!$C:$C,0))</f>
        <v>0</v>
      </c>
      <c r="M555" s="550" t="str">
        <f>INDEX(LoadMaster!$AO:$AO,MATCH(Table2[[#This Row],[BrokerConfNo]],LoadMaster!$C:$C,0))</f>
        <v>Albel</v>
      </c>
      <c r="N555" s="549">
        <f t="shared" si="89"/>
        <v>42573</v>
      </c>
      <c r="O555" s="242">
        <f t="shared" si="90"/>
        <v>42587</v>
      </c>
      <c r="P555" s="549">
        <f>INDEX(LoadMaster!$M:$M,MATCH(B555,LoadMaster!$C:$C,0))</f>
        <v>42569</v>
      </c>
      <c r="Q555" s="550" t="str">
        <f>INDEX(LoadMaster!$P:$P,MATCH(B555,LoadMaster!$C:$C,0))</f>
        <v>Crockett</v>
      </c>
      <c r="R555" s="550" t="str">
        <f>INDEX(LoadMaster!$AH:$AH,MATCH(B555,LoadMaster!$C:$C,0))</f>
        <v>Santa Maria</v>
      </c>
      <c r="S555" s="550" t="str">
        <f>INDEX(LoadMaster!$DC:$DC,MATCH(B555,LoadMaster!$C:$C,0))</f>
        <v>Sunny</v>
      </c>
      <c r="T555" s="567">
        <f>INDEX(LoadMaster!$DA:$DA,MATCH(B555,LoadMaster!$C:$C,0))</f>
        <v>25.5</v>
      </c>
      <c r="U555" s="243">
        <f>Table2[[#This Row],[WeekEndingDate]]+7</f>
        <v>42580</v>
      </c>
      <c r="V555" s="550">
        <f t="shared" si="91"/>
        <v>7</v>
      </c>
      <c r="W555" s="548">
        <f t="shared" si="92"/>
        <v>2016</v>
      </c>
    </row>
    <row r="556" spans="1:23">
      <c r="A556" s="550" t="str">
        <f>INDEX(LoadMaster!$A:$A,MATCH(B556,LoadMaster!$C:$C,0))</f>
        <v>77wnwn47</v>
      </c>
      <c r="B556" s="552">
        <v>389577</v>
      </c>
      <c r="C556" s="550" t="str">
        <f>VLOOKUP(Table2[[#This Row],[BrokerConfNo]],LoadMaster!C:D,2,FALSE)</f>
        <v>R2 Logistics</v>
      </c>
      <c r="D556" s="550"/>
      <c r="E556" s="548" t="str">
        <f>IF(Table2[[#This Row],[UBActualReceived]]&gt;1,"Received","Pending")</f>
        <v>Pending</v>
      </c>
      <c r="F556" s="241">
        <f>INDEX(LoadMaster!$CU:$CU,MATCH(B556,LoadMaster!$C:$C,0))</f>
        <v>850</v>
      </c>
      <c r="G556" s="134">
        <f>INDEX(LoadMaster!$CX:$CX,MATCH(B556,LoadMaster!$C:$C,0))</f>
        <v>816</v>
      </c>
      <c r="H556" s="241">
        <f>INDEX(LoadMaster!$CW:$CW,MATCH(B556,LoadMaster!$C:$C,0))</f>
        <v>790.5</v>
      </c>
      <c r="I556" s="338"/>
      <c r="J556" s="525">
        <v>790.5</v>
      </c>
      <c r="K556" s="241" t="str">
        <f t="shared" si="88"/>
        <v>Less</v>
      </c>
      <c r="L556" s="241">
        <f>INDEX(LoadMaster!$CT:$CT,MATCH(Table2[[#This Row],[BrokerConfNo]],LoadMaster!$C:$C,0))</f>
        <v>0</v>
      </c>
      <c r="M556" s="550" t="str">
        <f>INDEX(LoadMaster!$AO:$AO,MATCH(Table2[[#This Row],[BrokerConfNo]],LoadMaster!$C:$C,0))</f>
        <v>Anthony</v>
      </c>
      <c r="N556" s="549">
        <f t="shared" si="89"/>
        <v>42573</v>
      </c>
      <c r="O556" s="242">
        <f t="shared" si="90"/>
        <v>42580</v>
      </c>
      <c r="P556" s="549">
        <f>INDEX(LoadMaster!$M:$M,MATCH(B556,LoadMaster!$C:$C,0))</f>
        <v>42570</v>
      </c>
      <c r="Q556" s="550" t="str">
        <f>INDEX(LoadMaster!$P:$P,MATCH(B556,LoadMaster!$C:$C,0))</f>
        <v>Crockett</v>
      </c>
      <c r="R556" s="550" t="str">
        <f>INDEX(LoadMaster!$AH:$AH,MATCH(B556,LoadMaster!$C:$C,0))</f>
        <v>Santa Maria</v>
      </c>
      <c r="S556" s="550" t="str">
        <f>INDEX(LoadMaster!$DC:$DC,MATCH(B556,LoadMaster!$C:$C,0))</f>
        <v>Sunny</v>
      </c>
      <c r="T556" s="567">
        <f>INDEX(LoadMaster!$DA:$DA,MATCH(B556,LoadMaster!$C:$C,0))</f>
        <v>25.5</v>
      </c>
      <c r="U556" s="243">
        <f>Table2[[#This Row],[WeekEndingDate]]+7</f>
        <v>42580</v>
      </c>
      <c r="V556" s="550">
        <f t="shared" si="91"/>
        <v>7</v>
      </c>
      <c r="W556" s="548">
        <f t="shared" si="92"/>
        <v>2016</v>
      </c>
    </row>
    <row r="557" spans="1:23">
      <c r="A557" s="550" t="str">
        <f>INDEX(LoadMaster!$A:$A,MATCH(B557,LoadMaster!$C:$C,0))</f>
        <v>7829wn49</v>
      </c>
      <c r="B557" s="552">
        <v>206719278</v>
      </c>
      <c r="C557" s="550" t="str">
        <f>VLOOKUP(Table2[[#This Row],[BrokerConfNo]],LoadMaster!C:D,2,FALSE)</f>
        <v>Ch Robinson</v>
      </c>
      <c r="D557" s="550"/>
      <c r="E557" s="548" t="str">
        <f>IF(Table2[[#This Row],[UBActualReceived]]&gt;1,"Received","Pending")</f>
        <v>Pending</v>
      </c>
      <c r="F557" s="241">
        <f>INDEX(LoadMaster!$CU:$CU,MATCH(B557,LoadMaster!$C:$C,0))</f>
        <v>400</v>
      </c>
      <c r="G557" s="134">
        <f>INDEX(LoadMaster!$CX:$CX,MATCH(B557,LoadMaster!$C:$C,0))</f>
        <v>392</v>
      </c>
      <c r="H557" s="241">
        <f>INDEX(LoadMaster!$CW:$CW,MATCH(B557,LoadMaster!$C:$C,0))</f>
        <v>372</v>
      </c>
      <c r="I557" s="338"/>
      <c r="J557" s="525">
        <v>372</v>
      </c>
      <c r="K557" s="241" t="str">
        <f t="shared" si="88"/>
        <v>Less</v>
      </c>
      <c r="L557" s="241">
        <f>INDEX(LoadMaster!$CT:$CT,MATCH(Table2[[#This Row],[BrokerConfNo]],LoadMaster!$C:$C,0))</f>
        <v>0</v>
      </c>
      <c r="M557" s="550" t="str">
        <f>INDEX(LoadMaster!$AO:$AO,MATCH(Table2[[#This Row],[BrokerConfNo]],LoadMaster!$C:$C,0))</f>
        <v>Albel</v>
      </c>
      <c r="N557" s="549">
        <f t="shared" si="89"/>
        <v>42573</v>
      </c>
      <c r="O557" s="242">
        <f t="shared" si="90"/>
        <v>42587</v>
      </c>
      <c r="P557" s="549">
        <f>INDEX(LoadMaster!$M:$M,MATCH(B557,LoadMaster!$C:$C,0))</f>
        <v>42569</v>
      </c>
      <c r="Q557" s="550" t="str">
        <f>INDEX(LoadMaster!$P:$P,MATCH(B557,LoadMaster!$C:$C,0))</f>
        <v>TRACY</v>
      </c>
      <c r="R557" s="550" t="str">
        <f>INDEX(LoadMaster!$AH:$AH,MATCH(B557,LoadMaster!$C:$C,0))</f>
        <v>BRISBANE</v>
      </c>
      <c r="S557" s="550" t="str">
        <f>INDEX(LoadMaster!$DC:$DC,MATCH(B557,LoadMaster!$C:$C,0))</f>
        <v>Sunny</v>
      </c>
      <c r="T557" s="567">
        <f>INDEX(LoadMaster!$DA:$DA,MATCH(B557,LoadMaster!$C:$C,0))</f>
        <v>20</v>
      </c>
      <c r="U557" s="243">
        <f>Table2[[#This Row],[WeekEndingDate]]+7</f>
        <v>42580</v>
      </c>
      <c r="V557" s="550">
        <f t="shared" si="91"/>
        <v>7</v>
      </c>
      <c r="W557" s="548">
        <f t="shared" si="92"/>
        <v>2016</v>
      </c>
    </row>
    <row r="558" spans="1:23">
      <c r="A558" s="550" t="str">
        <f>INDEX(LoadMaster!$A:$A,MATCH(B558,LoadMaster!$C:$C,0))</f>
        <v>8044wn49</v>
      </c>
      <c r="B558" s="552">
        <v>7243180</v>
      </c>
      <c r="C558" s="550" t="str">
        <f>VLOOKUP(Table2[[#This Row],[BrokerConfNo]],LoadMaster!C:D,2,FALSE)</f>
        <v>TQL</v>
      </c>
      <c r="D558" s="550"/>
      <c r="E558" s="548" t="str">
        <f>IF(Table2[[#This Row],[UBActualReceived]]&gt;1,"Received","Pending")</f>
        <v>Pending</v>
      </c>
      <c r="F558" s="241">
        <f>INDEX(LoadMaster!$CU:$CU,MATCH(B558,LoadMaster!$C:$C,0))</f>
        <v>400</v>
      </c>
      <c r="G558" s="134">
        <f>INDEX(LoadMaster!$CX:$CX,MATCH(B558,LoadMaster!$C:$C,0))</f>
        <v>388</v>
      </c>
      <c r="H558" s="241">
        <f>INDEX(LoadMaster!$CW:$CW,MATCH(B558,LoadMaster!$C:$C,0))</f>
        <v>372</v>
      </c>
      <c r="I558" s="338"/>
      <c r="J558" s="525">
        <v>372</v>
      </c>
      <c r="K558" s="241" t="str">
        <f t="shared" si="88"/>
        <v>Less</v>
      </c>
      <c r="L558" s="241">
        <f>INDEX(LoadMaster!$CT:$CT,MATCH(Table2[[#This Row],[BrokerConfNo]],LoadMaster!$C:$C,0))</f>
        <v>0</v>
      </c>
      <c r="M558" s="550" t="str">
        <f>INDEX(LoadMaster!$AO:$AO,MATCH(Table2[[#This Row],[BrokerConfNo]],LoadMaster!$C:$C,0))</f>
        <v>Albel</v>
      </c>
      <c r="N558" s="549">
        <f t="shared" si="89"/>
        <v>42573</v>
      </c>
      <c r="O558" s="242">
        <f t="shared" si="90"/>
        <v>42587</v>
      </c>
      <c r="P558" s="549">
        <f>INDEX(LoadMaster!$M:$M,MATCH(B558,LoadMaster!$C:$C,0))</f>
        <v>42570</v>
      </c>
      <c r="Q558" s="550" t="str">
        <f>INDEX(LoadMaster!$P:$P,MATCH(B558,LoadMaster!$C:$C,0))</f>
        <v>SANTA MARIA</v>
      </c>
      <c r="R558" s="550" t="str">
        <f>INDEX(LoadMaster!$AH:$AH,MATCH(B558,LoadMaster!$C:$C,0))</f>
        <v>Salinas</v>
      </c>
      <c r="S558" s="550" t="str">
        <f>INDEX(LoadMaster!$DC:$DC,MATCH(B558,LoadMaster!$C:$C,0))</f>
        <v>Sunny</v>
      </c>
      <c r="T558" s="567">
        <f>INDEX(LoadMaster!$DA:$DA,MATCH(B558,LoadMaster!$C:$C,0))</f>
        <v>16</v>
      </c>
      <c r="U558" s="243">
        <f>Table2[[#This Row],[WeekEndingDate]]+7</f>
        <v>42580</v>
      </c>
      <c r="V558" s="550">
        <f t="shared" si="91"/>
        <v>7</v>
      </c>
      <c r="W558" s="548">
        <f t="shared" si="92"/>
        <v>2016</v>
      </c>
    </row>
    <row r="559" spans="1:23">
      <c r="A559" s="550" t="str">
        <f>INDEX(LoadMaster!$A:$A,MATCH(B559,LoadMaster!$C:$C,0))</f>
        <v>24049493</v>
      </c>
      <c r="B559" s="552">
        <v>207044924</v>
      </c>
      <c r="C559" s="550" t="str">
        <f>VLOOKUP(Table2[[#This Row],[BrokerConfNo]],LoadMaster!C:D,2,FALSE)</f>
        <v>Ch Robinson</v>
      </c>
      <c r="D559" s="550"/>
      <c r="E559" s="548" t="str">
        <f>IF(Table2[[#This Row],[UBActualReceived]]&gt;1,"Received","Pending")</f>
        <v>Pending</v>
      </c>
      <c r="F559" s="241">
        <f>INDEX(LoadMaster!$CU:$CU,MATCH(B559,LoadMaster!$C:$C,0))</f>
        <v>800</v>
      </c>
      <c r="G559" s="134">
        <f>INDEX(LoadMaster!$CX:$CX,MATCH(B559,LoadMaster!$C:$C,0))</f>
        <v>784</v>
      </c>
      <c r="H559" s="241">
        <f>INDEX(LoadMaster!$CW:$CW,MATCH(B559,LoadMaster!$C:$C,0))</f>
        <v>744</v>
      </c>
      <c r="I559" s="338"/>
      <c r="J559" s="525">
        <v>744</v>
      </c>
      <c r="K559" s="241" t="str">
        <f t="shared" si="88"/>
        <v>Less</v>
      </c>
      <c r="L559" s="241">
        <f>INDEX(LoadMaster!$CT:$CT,MATCH(Table2[[#This Row],[BrokerConfNo]],LoadMaster!$C:$C,0))</f>
        <v>0</v>
      </c>
      <c r="M559" s="550" t="str">
        <f>INDEX(LoadMaster!$AO:$AO,MATCH(Table2[[#This Row],[BrokerConfNo]],LoadMaster!$C:$C,0))</f>
        <v>Arturo</v>
      </c>
      <c r="N559" s="549">
        <f t="shared" si="89"/>
        <v>42573</v>
      </c>
      <c r="O559" s="242">
        <f t="shared" si="90"/>
        <v>42580</v>
      </c>
      <c r="P559" s="549">
        <f>INDEX(LoadMaster!$M:$M,MATCH(B559,LoadMaster!$C:$C,0))</f>
        <v>42569</v>
      </c>
      <c r="Q559" s="550" t="str">
        <f>INDEX(LoadMaster!$P:$P,MATCH(B559,LoadMaster!$C:$C,0))</f>
        <v>SAN LORENZO</v>
      </c>
      <c r="R559" s="550" t="str">
        <f>INDEX(LoadMaster!$AH:$AH,MATCH(B559,LoadMaster!$C:$C,0))</f>
        <v>Sparks / Reno</v>
      </c>
      <c r="S559" s="550" t="str">
        <f>INDEX(LoadMaster!$DC:$DC,MATCH(B559,LoadMaster!$C:$C,0))</f>
        <v>Sunny</v>
      </c>
      <c r="T559" s="567">
        <f>INDEX(LoadMaster!$DA:$DA,MATCH(B559,LoadMaster!$C:$C,0))</f>
        <v>40</v>
      </c>
      <c r="U559" s="243">
        <f>Table2[[#This Row],[WeekEndingDate]]+7</f>
        <v>42580</v>
      </c>
      <c r="V559" s="550">
        <f t="shared" si="91"/>
        <v>7</v>
      </c>
      <c r="W559" s="548">
        <f t="shared" si="92"/>
        <v>2016</v>
      </c>
    </row>
    <row r="560" spans="1:23">
      <c r="A560" s="550" t="str">
        <f>INDEX(LoadMaster!$A:$A,MATCH(B560,LoadMaster!$C:$C,0))</f>
        <v>43616193</v>
      </c>
      <c r="B560" s="552">
        <v>7241143</v>
      </c>
      <c r="C560" s="550" t="str">
        <f>VLOOKUP(Table2[[#This Row],[BrokerConfNo]],LoadMaster!C:D,2,FALSE)</f>
        <v>TQL</v>
      </c>
      <c r="D560" s="550"/>
      <c r="E560" s="548" t="str">
        <f>IF(Table2[[#This Row],[UBActualReceived]]&gt;1,"Received","Pending")</f>
        <v>Pending</v>
      </c>
      <c r="F560" s="241">
        <f>INDEX(LoadMaster!$CU:$CU,MATCH(B560,LoadMaster!$C:$C,0))</f>
        <v>500</v>
      </c>
      <c r="G560" s="134">
        <f>INDEX(LoadMaster!$CX:$CX,MATCH(B560,LoadMaster!$C:$C,0))</f>
        <v>485</v>
      </c>
      <c r="H560" s="241">
        <f>INDEX(LoadMaster!$CW:$CW,MATCH(B560,LoadMaster!$C:$C,0))</f>
        <v>465</v>
      </c>
      <c r="I560" s="338"/>
      <c r="J560" s="525">
        <v>465</v>
      </c>
      <c r="K560" s="241" t="str">
        <f t="shared" si="88"/>
        <v>Less</v>
      </c>
      <c r="L560" s="241">
        <f>INDEX(LoadMaster!$CT:$CT,MATCH(Table2[[#This Row],[BrokerConfNo]],LoadMaster!$C:$C,0))</f>
        <v>0</v>
      </c>
      <c r="M560" s="550" t="str">
        <f>INDEX(LoadMaster!$AO:$AO,MATCH(Table2[[#This Row],[BrokerConfNo]],LoadMaster!$C:$C,0))</f>
        <v>Arturo</v>
      </c>
      <c r="N560" s="549">
        <f t="shared" si="89"/>
        <v>42573</v>
      </c>
      <c r="O560" s="242">
        <f t="shared" si="90"/>
        <v>42580</v>
      </c>
      <c r="P560" s="549">
        <f>INDEX(LoadMaster!$M:$M,MATCH(B560,LoadMaster!$C:$C,0))</f>
        <v>42570</v>
      </c>
      <c r="Q560" s="550" t="str">
        <f>INDEX(LoadMaster!$P:$P,MATCH(B560,LoadMaster!$C:$C,0))</f>
        <v>FALLON / SPARKS</v>
      </c>
      <c r="R560" s="550" t="str">
        <f>INDEX(LoadMaster!$AH:$AH,MATCH(B560,LoadMaster!$C:$C,0))</f>
        <v>Hayward</v>
      </c>
      <c r="S560" s="550" t="str">
        <f>INDEX(LoadMaster!$DC:$DC,MATCH(B560,LoadMaster!$C:$C,0))</f>
        <v>Sunny</v>
      </c>
      <c r="T560" s="567">
        <f>INDEX(LoadMaster!$DA:$DA,MATCH(B560,LoadMaster!$C:$C,0))</f>
        <v>20</v>
      </c>
      <c r="U560" s="243">
        <f>Table2[[#This Row],[WeekEndingDate]]+7</f>
        <v>42580</v>
      </c>
      <c r="V560" s="550">
        <f t="shared" si="91"/>
        <v>7</v>
      </c>
      <c r="W560" s="548">
        <f t="shared" si="92"/>
        <v>2016</v>
      </c>
    </row>
    <row r="561" spans="1:23">
      <c r="A561" s="550" t="str">
        <f>INDEX(LoadMaster!$A:$A,MATCH(B561,LoadMaster!$C:$C,0))</f>
        <v>21373719</v>
      </c>
      <c r="B561" s="552">
        <v>8036821</v>
      </c>
      <c r="C561" s="550" t="str">
        <f>VLOOKUP(Table2[[#This Row],[BrokerConfNo]],LoadMaster!C:D,2,FALSE)</f>
        <v>Globaltranz</v>
      </c>
      <c r="D561" s="550"/>
      <c r="E561" s="548" t="str">
        <f>IF(Table2[[#This Row],[UBActualReceived]]&gt;1,"Received","Pending")</f>
        <v>Pending</v>
      </c>
      <c r="F561" s="241">
        <f>INDEX(LoadMaster!$CU:$CU,MATCH(B561,LoadMaster!$C:$C,0))</f>
        <v>900</v>
      </c>
      <c r="G561" s="134">
        <f>INDEX(LoadMaster!$CX:$CX,MATCH(B561,LoadMaster!$C:$C,0))</f>
        <v>864</v>
      </c>
      <c r="H561" s="241">
        <f>INDEX(LoadMaster!$CW:$CW,MATCH(B561,LoadMaster!$C:$C,0))</f>
        <v>837</v>
      </c>
      <c r="I561" s="338"/>
      <c r="J561" s="525">
        <v>837</v>
      </c>
      <c r="K561" s="241" t="str">
        <f t="shared" si="88"/>
        <v>Less</v>
      </c>
      <c r="L561" s="241">
        <f>INDEX(LoadMaster!$CT:$CT,MATCH(Table2[[#This Row],[BrokerConfNo]],LoadMaster!$C:$C,0))</f>
        <v>0</v>
      </c>
      <c r="M561" s="550" t="str">
        <f>INDEX(LoadMaster!$AO:$AO,MATCH(Table2[[#This Row],[BrokerConfNo]],LoadMaster!$C:$C,0))</f>
        <v>Miguel Jaime</v>
      </c>
      <c r="N561" s="549">
        <f t="shared" si="89"/>
        <v>42573</v>
      </c>
      <c r="O561" s="242">
        <f t="shared" si="90"/>
        <v>42580</v>
      </c>
      <c r="P561" s="549">
        <f>INDEX(LoadMaster!$M:$M,MATCH(B561,LoadMaster!$C:$C,0))</f>
        <v>42570</v>
      </c>
      <c r="Q561" s="550" t="str">
        <f>INDEX(LoadMaster!$P:$P,MATCH(B561,LoadMaster!$C:$C,0))</f>
        <v>FRESNO</v>
      </c>
      <c r="R561" s="550" t="str">
        <f>INDEX(LoadMaster!$AH:$AH,MATCH(B561,LoadMaster!$C:$C,0))</f>
        <v>Reno</v>
      </c>
      <c r="S561" s="550" t="str">
        <f>INDEX(LoadMaster!$DC:$DC,MATCH(B561,LoadMaster!$C:$C,0))</f>
        <v>Sunny</v>
      </c>
      <c r="T561" s="567">
        <f>INDEX(LoadMaster!$DA:$DA,MATCH(B561,LoadMaster!$C:$C,0))</f>
        <v>27</v>
      </c>
      <c r="U561" s="243">
        <f>Table2[[#This Row],[WeekEndingDate]]+7</f>
        <v>42580</v>
      </c>
      <c r="V561" s="550">
        <f t="shared" si="91"/>
        <v>7</v>
      </c>
      <c r="W561" s="548">
        <f t="shared" si="92"/>
        <v>2016</v>
      </c>
    </row>
    <row r="562" spans="1:23">
      <c r="A562" s="550" t="str">
        <f>INDEX(LoadMaster!$A:$A,MATCH(B562,LoadMaster!$C:$C,0))</f>
        <v>78835474</v>
      </c>
      <c r="B562" s="552">
        <v>8032378</v>
      </c>
      <c r="C562" s="550" t="str">
        <f>VLOOKUP(Table2[[#This Row],[BrokerConfNo]],LoadMaster!C:D,2,FALSE)</f>
        <v>Globaltranz</v>
      </c>
      <c r="D562" s="550"/>
      <c r="E562" s="548" t="str">
        <f>IF(Table2[[#This Row],[UBActualReceived]]&gt;1,"Received","Pending")</f>
        <v>Pending</v>
      </c>
      <c r="F562" s="241">
        <f>INDEX(LoadMaster!$CU:$CU,MATCH(B562,LoadMaster!$C:$C,0))</f>
        <v>900</v>
      </c>
      <c r="G562" s="241">
        <f>INDEX(LoadMaster!$CX:$CX,MATCH(B562,LoadMaster!$C:$C,0))</f>
        <v>864</v>
      </c>
      <c r="H562" s="241">
        <f>INDEX(LoadMaster!$CW:$CW,MATCH(B562,LoadMaster!$C:$C,0))</f>
        <v>837</v>
      </c>
      <c r="I562" s="338"/>
      <c r="J562" s="542"/>
      <c r="K562" s="241" t="str">
        <f t="shared" ref="K562:K574" si="93">IF(I562&lt;G562, "Less", "Full")</f>
        <v>Less</v>
      </c>
      <c r="L562" s="241">
        <f>INDEX(LoadMaster!$CT:$CT,MATCH(Table2[[#This Row],[BrokerConfNo]],LoadMaster!$C:$C,0))</f>
        <v>0</v>
      </c>
      <c r="M562" s="550" t="str">
        <f>INDEX(LoadMaster!$AO:$AO,MATCH(Table2[[#This Row],[BrokerConfNo]],LoadMaster!$C:$C,0))</f>
        <v>Aaron</v>
      </c>
      <c r="N562" s="549">
        <f t="shared" ref="N562:N574" si="94">(5-WEEKDAY(P562,2))+P562</f>
        <v>42573</v>
      </c>
      <c r="O562" s="242">
        <f t="shared" ref="O562:O574" si="95">IF(M562="Albel",((5-WEEKDAY(P562,2))+P562)+14,(((5-WEEKDAY(P562,2))+P562)+7))</f>
        <v>42580</v>
      </c>
      <c r="P562" s="549">
        <f>INDEX(LoadMaster!$M:$M,MATCH(B562,LoadMaster!$C:$C,0))</f>
        <v>42569</v>
      </c>
      <c r="Q562" s="550" t="str">
        <f>INDEX(LoadMaster!$P:$P,MATCH(B562,LoadMaster!$C:$C,0))</f>
        <v>FRESNO</v>
      </c>
      <c r="R562" s="550" t="str">
        <f>INDEX(LoadMaster!$AH:$AH,MATCH(B562,LoadMaster!$C:$C,0))</f>
        <v>Reno</v>
      </c>
      <c r="S562" s="550" t="str">
        <f>INDEX(LoadMaster!$DC:$DC,MATCH(B562,LoadMaster!$C:$C,0))</f>
        <v>Sunny</v>
      </c>
      <c r="T562" s="567">
        <f>INDEX(LoadMaster!$DA:$DA,MATCH(B562,LoadMaster!$C:$C,0))</f>
        <v>27</v>
      </c>
      <c r="U562" s="243">
        <f>Table2[[#This Row],[WeekEndingDate]]+7</f>
        <v>42580</v>
      </c>
      <c r="V562" s="550">
        <f t="shared" ref="V562:V574" si="96">MONTH(P562)</f>
        <v>7</v>
      </c>
      <c r="W562" s="548">
        <f t="shared" ref="W562:W574" si="97">YEAR(P562)</f>
        <v>2016</v>
      </c>
    </row>
    <row r="563" spans="1:23">
      <c r="A563" s="550" t="str">
        <f>INDEX(LoadMaster!$A:$A,MATCH(B563,LoadMaster!$C:$C,0))</f>
        <v>iewnwn74</v>
      </c>
      <c r="B563" s="552" t="s">
        <v>3512</v>
      </c>
      <c r="C563" s="550" t="str">
        <f>VLOOKUP(Table2[[#This Row],[BrokerConfNo]],LoadMaster!C:D,2,FALSE)</f>
        <v>Ray Brothers Transportation Inc.</v>
      </c>
      <c r="D563" s="550"/>
      <c r="E563" s="548" t="str">
        <f>IF(Table2[[#This Row],[UBActualReceived]]&gt;1,"Received","Pending")</f>
        <v>Pending</v>
      </c>
      <c r="F563" s="241">
        <f>INDEX(LoadMaster!$CU:$CU,MATCH(B563,LoadMaster!$C:$C,0))</f>
        <v>700</v>
      </c>
      <c r="G563" s="241">
        <f>INDEX(LoadMaster!$CX:$CX,MATCH(B563,LoadMaster!$C:$C,0))</f>
        <v>700</v>
      </c>
      <c r="H563" s="241">
        <f>INDEX(LoadMaster!$CW:$CW,MATCH(B563,LoadMaster!$C:$C,0))</f>
        <v>651</v>
      </c>
      <c r="I563" s="338"/>
      <c r="J563" s="542"/>
      <c r="K563" s="241" t="str">
        <f t="shared" si="93"/>
        <v>Less</v>
      </c>
      <c r="L563" s="241">
        <f>INDEX(LoadMaster!$CT:$CT,MATCH(Table2[[#This Row],[BrokerConfNo]],LoadMaster!$C:$C,0))</f>
        <v>0</v>
      </c>
      <c r="M563" s="550" t="str">
        <f>INDEX(LoadMaster!$AO:$AO,MATCH(Table2[[#This Row],[BrokerConfNo]],LoadMaster!$C:$C,0))</f>
        <v>Aaron</v>
      </c>
      <c r="N563" s="549">
        <f t="shared" si="94"/>
        <v>42573</v>
      </c>
      <c r="O563" s="242">
        <f t="shared" si="95"/>
        <v>42580</v>
      </c>
      <c r="P563" s="549">
        <f>INDEX(LoadMaster!$M:$M,MATCH(B563,LoadMaster!$C:$C,0))</f>
        <v>42570</v>
      </c>
      <c r="Q563" s="550" t="str">
        <f>INDEX(LoadMaster!$P:$P,MATCH(B563,LoadMaster!$C:$C,0))</f>
        <v>FERNLEY</v>
      </c>
      <c r="R563" s="550" t="str">
        <f>INDEX(LoadMaster!$AH:$AH,MATCH(B563,LoadMaster!$C:$C,0))</f>
        <v>KING CITY</v>
      </c>
      <c r="S563" s="550" t="str">
        <f>INDEX(LoadMaster!$DC:$DC,MATCH(B563,LoadMaster!$C:$C,0))</f>
        <v>Sunny</v>
      </c>
      <c r="T563" s="567">
        <f>INDEX(LoadMaster!$DA:$DA,MATCH(B563,LoadMaster!$C:$C,0))</f>
        <v>49</v>
      </c>
      <c r="U563" s="243">
        <f>Table2[[#This Row],[WeekEndingDate]]+7</f>
        <v>42580</v>
      </c>
      <c r="V563" s="550">
        <f t="shared" si="96"/>
        <v>7</v>
      </c>
      <c r="W563" s="548">
        <f t="shared" si="97"/>
        <v>2016</v>
      </c>
    </row>
    <row r="564" spans="1:23">
      <c r="A564" s="550" t="str">
        <f>INDEX(LoadMaster!$A:$A,MATCH(B564,LoadMaster!$C:$C,0))</f>
        <v>7705wn19</v>
      </c>
      <c r="B564" s="552">
        <v>207121777</v>
      </c>
      <c r="C564" s="550" t="str">
        <f>VLOOKUP(Table2[[#This Row],[BrokerConfNo]],LoadMaster!C:D,2,FALSE)</f>
        <v>Ch Robinson</v>
      </c>
      <c r="D564" s="550"/>
      <c r="E564" s="548" t="str">
        <f>IF(Table2[[#This Row],[UBActualReceived]]&gt;1,"Received","Pending")</f>
        <v>Pending</v>
      </c>
      <c r="F564" s="241">
        <f>INDEX(LoadMaster!$CU:$CU,MATCH(B564,LoadMaster!$C:$C,0))</f>
        <v>600</v>
      </c>
      <c r="G564" s="241">
        <f>INDEX(LoadMaster!$CX:$CX,MATCH(B564,LoadMaster!$C:$C,0))</f>
        <v>588</v>
      </c>
      <c r="H564" s="241">
        <f>INDEX(LoadMaster!$CW:$CW,MATCH(B564,LoadMaster!$C:$C,0))</f>
        <v>558</v>
      </c>
      <c r="I564" s="338"/>
      <c r="J564" s="542"/>
      <c r="K564" s="241" t="str">
        <f t="shared" si="93"/>
        <v>Less</v>
      </c>
      <c r="L564" s="241">
        <f>INDEX(LoadMaster!$CT:$CT,MATCH(Table2[[#This Row],[BrokerConfNo]],LoadMaster!$C:$C,0))</f>
        <v>0</v>
      </c>
      <c r="M564" s="550" t="str">
        <f>INDEX(LoadMaster!$AO:$AO,MATCH(Table2[[#This Row],[BrokerConfNo]],LoadMaster!$C:$C,0))</f>
        <v>Miguel Jaime</v>
      </c>
      <c r="N564" s="549">
        <f t="shared" si="94"/>
        <v>42573</v>
      </c>
      <c r="O564" s="242">
        <f t="shared" si="95"/>
        <v>42580</v>
      </c>
      <c r="P564" s="549">
        <f>INDEX(LoadMaster!$M:$M,MATCH(B564,LoadMaster!$C:$C,0))</f>
        <v>42571</v>
      </c>
      <c r="Q564" s="550" t="str">
        <f>INDEX(LoadMaster!$P:$P,MATCH(B564,LoadMaster!$C:$C,0))</f>
        <v>Reno</v>
      </c>
      <c r="R564" s="550" t="str">
        <f>INDEX(LoadMaster!$AH:$AH,MATCH(B564,LoadMaster!$C:$C,0))</f>
        <v>Red Bluff</v>
      </c>
      <c r="S564" s="550" t="str">
        <f>INDEX(LoadMaster!$DC:$DC,MATCH(B564,LoadMaster!$C:$C,0))</f>
        <v>Sunny</v>
      </c>
      <c r="T564" s="567">
        <f>INDEX(LoadMaster!$DA:$DA,MATCH(B564,LoadMaster!$C:$C,0))</f>
        <v>30</v>
      </c>
      <c r="U564" s="243">
        <f>Table2[[#This Row],[WeekEndingDate]]+7</f>
        <v>42580</v>
      </c>
      <c r="V564" s="550">
        <f t="shared" si="96"/>
        <v>7</v>
      </c>
      <c r="W564" s="548">
        <f t="shared" si="97"/>
        <v>2016</v>
      </c>
    </row>
    <row r="565" spans="1:23">
      <c r="A565" s="550" t="str">
        <f>INDEX(LoadMaster!$A:$A,MATCH(B565,LoadMaster!$C:$C,0))</f>
        <v>29/Awn93</v>
      </c>
      <c r="B565" s="552">
        <v>7250229</v>
      </c>
      <c r="C565" s="550" t="str">
        <f>VLOOKUP(Table2[[#This Row],[BrokerConfNo]],LoadMaster!C:D,2,FALSE)</f>
        <v>TQL</v>
      </c>
      <c r="D565" s="550"/>
      <c r="E565" s="548" t="str">
        <f>IF(Table2[[#This Row],[UBActualReceived]]&gt;1,"Received","Pending")</f>
        <v>Pending</v>
      </c>
      <c r="F565" s="241">
        <f>INDEX(LoadMaster!$CU:$CU,MATCH(B565,LoadMaster!$C:$C,0))</f>
        <v>1400</v>
      </c>
      <c r="G565" s="241">
        <f>INDEX(LoadMaster!$CX:$CX,MATCH(B565,LoadMaster!$C:$C,0))</f>
        <v>1358</v>
      </c>
      <c r="H565" s="241">
        <f>INDEX(LoadMaster!$CW:$CW,MATCH(B565,LoadMaster!$C:$C,0))</f>
        <v>1302</v>
      </c>
      <c r="I565" s="338"/>
      <c r="J565" s="542"/>
      <c r="K565" s="241" t="str">
        <f t="shared" si="93"/>
        <v>Less</v>
      </c>
      <c r="L565" s="241">
        <f>INDEX(LoadMaster!$CT:$CT,MATCH(Table2[[#This Row],[BrokerConfNo]],LoadMaster!$C:$C,0))</f>
        <v>0</v>
      </c>
      <c r="M565" s="550" t="str">
        <f>INDEX(LoadMaster!$AO:$AO,MATCH(Table2[[#This Row],[BrokerConfNo]],LoadMaster!$C:$C,0))</f>
        <v>Arturo</v>
      </c>
      <c r="N565" s="549">
        <f t="shared" si="94"/>
        <v>42573</v>
      </c>
      <c r="O565" s="242">
        <f t="shared" si="95"/>
        <v>42580</v>
      </c>
      <c r="P565" s="549">
        <f>INDEX(LoadMaster!$M:$M,MATCH(B565,LoadMaster!$C:$C,0))</f>
        <v>42571</v>
      </c>
      <c r="Q565" s="550" t="str">
        <f>INDEX(LoadMaster!$P:$P,MATCH(B565,LoadMaster!$C:$C,0))</f>
        <v>South San Francisco</v>
      </c>
      <c r="R565" s="550" t="str">
        <f>INDEX(LoadMaster!$AH:$AH,MATCH(B565,LoadMaster!$C:$C,0))</f>
        <v>LAS VEGAS</v>
      </c>
      <c r="S565" s="550" t="str">
        <f>INDEX(LoadMaster!$DC:$DC,MATCH(B565,LoadMaster!$C:$C,0))</f>
        <v>Sunny</v>
      </c>
      <c r="T565" s="567">
        <f>INDEX(LoadMaster!$DA:$DA,MATCH(B565,LoadMaster!$C:$C,0))</f>
        <v>56</v>
      </c>
      <c r="U565" s="243">
        <f>Table2[[#This Row],[WeekEndingDate]]+7</f>
        <v>42580</v>
      </c>
      <c r="V565" s="550">
        <f t="shared" si="96"/>
        <v>7</v>
      </c>
      <c r="W565" s="548">
        <f t="shared" si="97"/>
        <v>2016</v>
      </c>
    </row>
    <row r="566" spans="1:23">
      <c r="A566" s="550" t="str">
        <f>INDEX(LoadMaster!$A:$A,MATCH(B566,LoadMaster!$C:$C,0))</f>
        <v>30050593</v>
      </c>
      <c r="B566" s="552">
        <v>53930</v>
      </c>
      <c r="C566" s="550" t="str">
        <f>VLOOKUP(Table2[[#This Row],[BrokerConfNo]],LoadMaster!C:D,2,FALSE)</f>
        <v>Cargobarn Inc.</v>
      </c>
      <c r="D566" s="550"/>
      <c r="E566" s="548" t="str">
        <f>IF(Table2[[#This Row],[UBActualReceived]]&gt;1,"Received","Pending")</f>
        <v>Pending</v>
      </c>
      <c r="F566" s="241">
        <f>INDEX(LoadMaster!$CU:$CU,MATCH(B566,LoadMaster!$C:$C,0))</f>
        <v>675</v>
      </c>
      <c r="G566" s="241">
        <f>INDEX(LoadMaster!$CX:$CX,MATCH(B566,LoadMaster!$C:$C,0))</f>
        <v>661.5</v>
      </c>
      <c r="H566" s="241">
        <f>INDEX(LoadMaster!$CW:$CW,MATCH(B566,LoadMaster!$C:$C,0))</f>
        <v>627.75</v>
      </c>
      <c r="I566" s="338"/>
      <c r="J566" s="542"/>
      <c r="K566" s="241" t="str">
        <f t="shared" si="93"/>
        <v>Less</v>
      </c>
      <c r="L566" s="241">
        <f>INDEX(LoadMaster!$CT:$CT,MATCH(Table2[[#This Row],[BrokerConfNo]],LoadMaster!$C:$C,0))</f>
        <v>0</v>
      </c>
      <c r="M566" s="550" t="str">
        <f>INDEX(LoadMaster!$AO:$AO,MATCH(Table2[[#This Row],[BrokerConfNo]],LoadMaster!$C:$C,0))</f>
        <v>Arturo</v>
      </c>
      <c r="N566" s="549">
        <f t="shared" si="94"/>
        <v>42573</v>
      </c>
      <c r="O566" s="242">
        <f t="shared" si="95"/>
        <v>42580</v>
      </c>
      <c r="P566" s="549">
        <f>INDEX(LoadMaster!$M:$M,MATCH(B566,LoadMaster!$C:$C,0))</f>
        <v>42572</v>
      </c>
      <c r="Q566" s="550" t="str">
        <f>INDEX(LoadMaster!$P:$P,MATCH(B566,LoadMaster!$C:$C,0))</f>
        <v>BLUE DIAMOND</v>
      </c>
      <c r="R566" s="550" t="str">
        <f>INDEX(LoadMaster!$AH:$AH,MATCH(B566,LoadMaster!$C:$C,0))</f>
        <v>FIREBAUGH</v>
      </c>
      <c r="S566" s="550" t="str">
        <f>INDEX(LoadMaster!$DC:$DC,MATCH(B566,LoadMaster!$C:$C,0))</f>
        <v>Sunny</v>
      </c>
      <c r="T566" s="567">
        <f>INDEX(LoadMaster!$DA:$DA,MATCH(B566,LoadMaster!$C:$C,0))</f>
        <v>33.75</v>
      </c>
      <c r="U566" s="243">
        <f>Table2[[#This Row],[WeekEndingDate]]+7</f>
        <v>42580</v>
      </c>
      <c r="V566" s="550">
        <f t="shared" si="96"/>
        <v>7</v>
      </c>
      <c r="W566" s="548">
        <f t="shared" si="97"/>
        <v>2016</v>
      </c>
    </row>
    <row r="567" spans="1:23">
      <c r="A567" s="550" t="str">
        <f>INDEX(LoadMaster!$A:$A,MATCH(B567,LoadMaster!$C:$C,0))</f>
        <v>49wnwn47</v>
      </c>
      <c r="B567" s="552">
        <v>8044849</v>
      </c>
      <c r="C567" s="550" t="str">
        <f>VLOOKUP(Table2[[#This Row],[BrokerConfNo]],LoadMaster!C:D,2,FALSE)</f>
        <v>Globaltranz</v>
      </c>
      <c r="D567" s="550"/>
      <c r="E567" s="548" t="str">
        <f>IF(Table2[[#This Row],[UBActualReceived]]&gt;1,"Received","Pending")</f>
        <v>Pending</v>
      </c>
      <c r="F567" s="241">
        <f>INDEX(LoadMaster!$CU:$CU,MATCH(B567,LoadMaster!$C:$C,0))</f>
        <v>900</v>
      </c>
      <c r="G567" s="241">
        <f>INDEX(LoadMaster!$CX:$CX,MATCH(B567,LoadMaster!$C:$C,0))</f>
        <v>864</v>
      </c>
      <c r="H567" s="241">
        <f>INDEX(LoadMaster!$CW:$CW,MATCH(B567,LoadMaster!$C:$C,0))</f>
        <v>837</v>
      </c>
      <c r="I567" s="338"/>
      <c r="J567" s="542"/>
      <c r="K567" s="241" t="str">
        <f t="shared" si="93"/>
        <v>Less</v>
      </c>
      <c r="L567" s="241">
        <f>INDEX(LoadMaster!$CT:$CT,MATCH(Table2[[#This Row],[BrokerConfNo]],LoadMaster!$C:$C,0))</f>
        <v>0</v>
      </c>
      <c r="M567" s="550" t="str">
        <f>INDEX(LoadMaster!$AO:$AO,MATCH(Table2[[#This Row],[BrokerConfNo]],LoadMaster!$C:$C,0))</f>
        <v>Anthony</v>
      </c>
      <c r="N567" s="549">
        <f t="shared" si="94"/>
        <v>42573</v>
      </c>
      <c r="O567" s="242">
        <f t="shared" si="95"/>
        <v>42580</v>
      </c>
      <c r="P567" s="549">
        <f>INDEX(LoadMaster!$M:$M,MATCH(B567,LoadMaster!$C:$C,0))</f>
        <v>42571</v>
      </c>
      <c r="Q567" s="550" t="str">
        <f>INDEX(LoadMaster!$P:$P,MATCH(B567,LoadMaster!$C:$C,0))</f>
        <v>FRESNO</v>
      </c>
      <c r="R567" s="550" t="str">
        <f>INDEX(LoadMaster!$AH:$AH,MATCH(B567,LoadMaster!$C:$C,0))</f>
        <v>Reno</v>
      </c>
      <c r="S567" s="550" t="str">
        <f>INDEX(LoadMaster!$DC:$DC,MATCH(B567,LoadMaster!$C:$C,0))</f>
        <v>Sunny</v>
      </c>
      <c r="T567" s="567">
        <f>INDEX(LoadMaster!$DA:$DA,MATCH(B567,LoadMaster!$C:$C,0))</f>
        <v>27</v>
      </c>
      <c r="U567" s="243">
        <f>Table2[[#This Row],[WeekEndingDate]]+7</f>
        <v>42580</v>
      </c>
      <c r="V567" s="550">
        <f t="shared" si="96"/>
        <v>7</v>
      </c>
      <c r="W567" s="548">
        <f t="shared" si="97"/>
        <v>2016</v>
      </c>
    </row>
    <row r="568" spans="1:23">
      <c r="A568" s="550" t="str">
        <f>INDEX(LoadMaster!$A:$A,MATCH(B568,LoadMaster!$C:$C,0))</f>
        <v>18/Awn49</v>
      </c>
      <c r="B568" s="552">
        <v>207316618</v>
      </c>
      <c r="C568" s="550" t="str">
        <f>VLOOKUP(Table2[[#This Row],[BrokerConfNo]],LoadMaster!C:D,2,FALSE)</f>
        <v>Ch Robinson</v>
      </c>
      <c r="D568" s="550"/>
      <c r="E568" s="548" t="str">
        <f>IF(Table2[[#This Row],[UBActualReceived]]&gt;1,"Received","Pending")</f>
        <v>Pending</v>
      </c>
      <c r="F568" s="241">
        <f>INDEX(LoadMaster!$CU:$CU,MATCH(B568,LoadMaster!$C:$C,0))</f>
        <v>550</v>
      </c>
      <c r="G568" s="241">
        <f>INDEX(LoadMaster!$CX:$CX,MATCH(B568,LoadMaster!$C:$C,0))</f>
        <v>539</v>
      </c>
      <c r="H568" s="241">
        <f>INDEX(LoadMaster!$CW:$CW,MATCH(B568,LoadMaster!$C:$C,0))</f>
        <v>511.5</v>
      </c>
      <c r="I568" s="338"/>
      <c r="J568" s="542"/>
      <c r="K568" s="241" t="str">
        <f t="shared" si="93"/>
        <v>Less</v>
      </c>
      <c r="L568" s="241">
        <f>INDEX(LoadMaster!$CT:$CT,MATCH(Table2[[#This Row],[BrokerConfNo]],LoadMaster!$C:$C,0))</f>
        <v>0</v>
      </c>
      <c r="M568" s="550" t="str">
        <f>INDEX(LoadMaster!$AO:$AO,MATCH(Table2[[#This Row],[BrokerConfNo]],LoadMaster!$C:$C,0))</f>
        <v>Albel</v>
      </c>
      <c r="N568" s="549">
        <f t="shared" si="94"/>
        <v>42573</v>
      </c>
      <c r="O568" s="242">
        <f t="shared" si="95"/>
        <v>42587</v>
      </c>
      <c r="P568" s="549">
        <f>INDEX(LoadMaster!$M:$M,MATCH(B568,LoadMaster!$C:$C,0))</f>
        <v>42572</v>
      </c>
      <c r="Q568" s="550" t="str">
        <f>INDEX(LoadMaster!$P:$P,MATCH(B568,LoadMaster!$C:$C,0))</f>
        <v>FAIRFIELD</v>
      </c>
      <c r="R568" s="550" t="str">
        <f>INDEX(LoadMaster!$AH:$AH,MATCH(B568,LoadMaster!$C:$C,0))</f>
        <v>Sanger</v>
      </c>
      <c r="S568" s="550" t="str">
        <f>INDEX(LoadMaster!$DC:$DC,MATCH(B568,LoadMaster!$C:$C,0))</f>
        <v>Sunny</v>
      </c>
      <c r="T568" s="567">
        <f>INDEX(LoadMaster!$DA:$DA,MATCH(B568,LoadMaster!$C:$C,0))</f>
        <v>27.5</v>
      </c>
      <c r="U568" s="243">
        <f>Table2[[#This Row],[WeekEndingDate]]+7</f>
        <v>42580</v>
      </c>
      <c r="V568" s="550">
        <f t="shared" si="96"/>
        <v>7</v>
      </c>
      <c r="W568" s="548">
        <f t="shared" si="97"/>
        <v>2016</v>
      </c>
    </row>
    <row r="569" spans="1:23">
      <c r="A569" s="550" t="str">
        <f>INDEX(LoadMaster!$A:$A,MATCH(B569,LoadMaster!$C:$C,0))</f>
        <v>79/Awn49</v>
      </c>
      <c r="B569" s="552">
        <v>45579</v>
      </c>
      <c r="C569" s="550" t="str">
        <f>VLOOKUP(Table2[[#This Row],[BrokerConfNo]],LoadMaster!C:D,2,FALSE)</f>
        <v>Boa Logistics</v>
      </c>
      <c r="D569" s="550"/>
      <c r="E569" s="548" t="str">
        <f>IF(Table2[[#This Row],[UBActualReceived]]&gt;1,"Received","Pending")</f>
        <v>Pending</v>
      </c>
      <c r="F569" s="241">
        <f>INDEX(LoadMaster!$CU:$CU,MATCH(B569,LoadMaster!$C:$C,0))</f>
        <v>800</v>
      </c>
      <c r="G569" s="241">
        <f>INDEX(LoadMaster!$CX:$CX,MATCH(B569,LoadMaster!$C:$C,0))</f>
        <v>800</v>
      </c>
      <c r="H569" s="241">
        <f>INDEX(LoadMaster!$CW:$CW,MATCH(B569,LoadMaster!$C:$C,0))</f>
        <v>744</v>
      </c>
      <c r="I569" s="338"/>
      <c r="J569" s="542"/>
      <c r="K569" s="241" t="str">
        <f t="shared" si="93"/>
        <v>Less</v>
      </c>
      <c r="L569" s="241">
        <f>INDEX(LoadMaster!$CT:$CT,MATCH(Table2[[#This Row],[BrokerConfNo]],LoadMaster!$C:$C,0))</f>
        <v>0</v>
      </c>
      <c r="M569" s="550" t="str">
        <f>INDEX(LoadMaster!$AO:$AO,MATCH(Table2[[#This Row],[BrokerConfNo]],LoadMaster!$C:$C,0))</f>
        <v>Albel</v>
      </c>
      <c r="N569" s="549">
        <f t="shared" si="94"/>
        <v>42573</v>
      </c>
      <c r="O569" s="242">
        <f t="shared" si="95"/>
        <v>42587</v>
      </c>
      <c r="P569" s="549">
        <f>INDEX(LoadMaster!$M:$M,MATCH(B569,LoadMaster!$C:$C,0))</f>
        <v>42571</v>
      </c>
      <c r="Q569" s="550" t="str">
        <f>INDEX(LoadMaster!$P:$P,MATCH(B569,LoadMaster!$C:$C,0))</f>
        <v>Paso Robles</v>
      </c>
      <c r="R569" s="550" t="str">
        <f>INDEX(LoadMaster!$AH:$AH,MATCH(B569,LoadMaster!$C:$C,0))</f>
        <v>Santa Rosa</v>
      </c>
      <c r="S569" s="550" t="str">
        <f>INDEX(LoadMaster!$DC:$DC,MATCH(B569,LoadMaster!$C:$C,0))</f>
        <v>Sunny</v>
      </c>
      <c r="T569" s="567">
        <f>INDEX(LoadMaster!$DA:$DA,MATCH(B569,LoadMaster!$C:$C,0))</f>
        <v>56</v>
      </c>
      <c r="U569" s="243">
        <f>Table2[[#This Row],[WeekEndingDate]]+7</f>
        <v>42580</v>
      </c>
      <c r="V569" s="550">
        <f t="shared" si="96"/>
        <v>7</v>
      </c>
      <c r="W569" s="548">
        <f t="shared" si="97"/>
        <v>2016</v>
      </c>
    </row>
    <row r="570" spans="1:23">
      <c r="A570" s="550" t="str">
        <f>INDEX(LoadMaster!$A:$A,MATCH(B570,LoadMaster!$C:$C,0))</f>
        <v>3065wn19</v>
      </c>
      <c r="B570" s="552">
        <v>486212530</v>
      </c>
      <c r="C570" s="550" t="str">
        <f>VLOOKUP(Table2[[#This Row],[BrokerConfNo]],LoadMaster!C:D,2,FALSE)</f>
        <v>Freight Tec Management Group Inc.</v>
      </c>
      <c r="D570" s="550"/>
      <c r="E570" s="548" t="str">
        <f>IF(Table2[[#This Row],[UBActualReceived]]&gt;1,"Received","Pending")</f>
        <v>Pending</v>
      </c>
      <c r="F570" s="241">
        <f>INDEX(LoadMaster!$CU:$CU,MATCH(B570,LoadMaster!$C:$C,0))</f>
        <v>800</v>
      </c>
      <c r="G570" s="241">
        <f>INDEX(LoadMaster!$CX:$CX,MATCH(B570,LoadMaster!$C:$C,0))</f>
        <v>800</v>
      </c>
      <c r="H570" s="241">
        <f>INDEX(LoadMaster!$CW:$CW,MATCH(B570,LoadMaster!$C:$C,0))</f>
        <v>744</v>
      </c>
      <c r="I570" s="338"/>
      <c r="J570" s="542"/>
      <c r="K570" s="241" t="str">
        <f t="shared" si="93"/>
        <v>Less</v>
      </c>
      <c r="L570" s="241">
        <f>INDEX(LoadMaster!$CT:$CT,MATCH(Table2[[#This Row],[BrokerConfNo]],LoadMaster!$C:$C,0))</f>
        <v>0</v>
      </c>
      <c r="M570" s="550" t="str">
        <f>INDEX(LoadMaster!$AO:$AO,MATCH(Table2[[#This Row],[BrokerConfNo]],LoadMaster!$C:$C,0))</f>
        <v>Miguel Jaime</v>
      </c>
      <c r="N570" s="549">
        <f t="shared" si="94"/>
        <v>42573</v>
      </c>
      <c r="O570" s="242">
        <f t="shared" si="95"/>
        <v>42580</v>
      </c>
      <c r="P570" s="549">
        <f>INDEX(LoadMaster!$M:$M,MATCH(B570,LoadMaster!$C:$C,0))</f>
        <v>42572</v>
      </c>
      <c r="Q570" s="550" t="str">
        <f>INDEX(LoadMaster!$P:$P,MATCH(B570,LoadMaster!$C:$C,0))</f>
        <v>BIGGS</v>
      </c>
      <c r="R570" s="550" t="str">
        <f>INDEX(LoadMaster!$AH:$AH,MATCH(B570,LoadMaster!$C:$C,0))</f>
        <v>FULLERTON</v>
      </c>
      <c r="S570" s="550" t="str">
        <f>INDEX(LoadMaster!$DC:$DC,MATCH(B570,LoadMaster!$C:$C,0))</f>
        <v>Sunny</v>
      </c>
      <c r="T570" s="567">
        <f>INDEX(LoadMaster!$DA:$DA,MATCH(B570,LoadMaster!$C:$C,0))</f>
        <v>56</v>
      </c>
      <c r="U570" s="243">
        <f>Table2[[#This Row],[WeekEndingDate]]+7</f>
        <v>42580</v>
      </c>
      <c r="V570" s="550">
        <f t="shared" si="96"/>
        <v>7</v>
      </c>
      <c r="W570" s="548">
        <f t="shared" si="97"/>
        <v>2016</v>
      </c>
    </row>
    <row r="571" spans="1:23">
      <c r="A571" s="550" t="str">
        <f>INDEX(LoadMaster!$A:$A,MATCH(B571,LoadMaster!$C:$C,0))</f>
        <v>1476wn49</v>
      </c>
      <c r="B571" s="552">
        <v>7801614</v>
      </c>
      <c r="C571" s="550" t="str">
        <f>VLOOKUP(Table2[[#This Row],[BrokerConfNo]],LoadMaster!C:D,2,FALSE)</f>
        <v>Coyote</v>
      </c>
      <c r="D571" s="550"/>
      <c r="E571" s="548" t="str">
        <f>IF(Table2[[#This Row],[UBActualReceived]]&gt;1,"Received","Pending")</f>
        <v>Pending</v>
      </c>
      <c r="F571" s="241">
        <f>INDEX(LoadMaster!$CU:$CU,MATCH(B571,LoadMaster!$C:$C,0))</f>
        <v>925</v>
      </c>
      <c r="G571" s="241">
        <f>INDEX(LoadMaster!$CX:$CX,MATCH(B571,LoadMaster!$C:$C,0))</f>
        <v>897.25</v>
      </c>
      <c r="H571" s="241">
        <f>INDEX(LoadMaster!$CW:$CW,MATCH(B571,LoadMaster!$C:$C,0))</f>
        <v>860.25</v>
      </c>
      <c r="I571" s="338"/>
      <c r="J571" s="542"/>
      <c r="K571" s="241" t="str">
        <f t="shared" si="93"/>
        <v>Less</v>
      </c>
      <c r="L571" s="241">
        <f>INDEX(LoadMaster!$CT:$CT,MATCH(Table2[[#This Row],[BrokerConfNo]],LoadMaster!$C:$C,0))</f>
        <v>0</v>
      </c>
      <c r="M571" s="550" t="str">
        <f>INDEX(LoadMaster!$AO:$AO,MATCH(Table2[[#This Row],[BrokerConfNo]],LoadMaster!$C:$C,0))</f>
        <v>Albel</v>
      </c>
      <c r="N571" s="549">
        <f t="shared" si="94"/>
        <v>42573</v>
      </c>
      <c r="O571" s="242">
        <f t="shared" si="95"/>
        <v>42587</v>
      </c>
      <c r="P571" s="549">
        <f>INDEX(LoadMaster!$M:$M,MATCH(B571,LoadMaster!$C:$C,0))</f>
        <v>42573</v>
      </c>
      <c r="Q571" s="550" t="str">
        <f>INDEX(LoadMaster!$P:$P,MATCH(B571,LoadMaster!$C:$C,0))</f>
        <v>Kingsburg</v>
      </c>
      <c r="R571" s="550" t="str">
        <f>INDEX(LoadMaster!$AH:$AH,MATCH(B571,LoadMaster!$C:$C,0))</f>
        <v>Sparks</v>
      </c>
      <c r="S571" s="550" t="str">
        <f>INDEX(LoadMaster!$DC:$DC,MATCH(B571,LoadMaster!$C:$C,0))</f>
        <v>Sunny</v>
      </c>
      <c r="T571" s="567">
        <f>INDEX(LoadMaster!$DA:$DA,MATCH(B571,LoadMaster!$C:$C,0))</f>
        <v>37</v>
      </c>
      <c r="U571" s="243">
        <f>Table2[[#This Row],[WeekEndingDate]]+7</f>
        <v>42580</v>
      </c>
      <c r="V571" s="550">
        <f t="shared" si="96"/>
        <v>7</v>
      </c>
      <c r="W571" s="548">
        <f t="shared" si="97"/>
        <v>2016</v>
      </c>
    </row>
    <row r="572" spans="1:23">
      <c r="A572" s="550" t="str">
        <f>INDEX(LoadMaster!$A:$A,MATCH(B572,LoadMaster!$C:$C,0))</f>
        <v>10wnwn19</v>
      </c>
      <c r="B572" s="552">
        <v>207287010</v>
      </c>
      <c r="C572" s="550" t="str">
        <f>VLOOKUP(Table2[[#This Row],[BrokerConfNo]],LoadMaster!C:D,2,FALSE)</f>
        <v>Ch Robinson</v>
      </c>
      <c r="D572" s="550"/>
      <c r="E572" s="548" t="str">
        <f>IF(Table2[[#This Row],[UBActualReceived]]&gt;1,"Received","Pending")</f>
        <v>Pending</v>
      </c>
      <c r="F572" s="241">
        <f>INDEX(LoadMaster!$CU:$CU,MATCH(B572,LoadMaster!$C:$C,0))</f>
        <v>1500</v>
      </c>
      <c r="G572" s="241">
        <f>INDEX(LoadMaster!$CX:$CX,MATCH(B572,LoadMaster!$C:$C,0))</f>
        <v>1470</v>
      </c>
      <c r="H572" s="241">
        <f>INDEX(LoadMaster!$CW:$CW,MATCH(B572,LoadMaster!$C:$C,0))</f>
        <v>1395</v>
      </c>
      <c r="I572" s="338"/>
      <c r="J572" s="542"/>
      <c r="K572" s="241" t="str">
        <f t="shared" si="93"/>
        <v>Less</v>
      </c>
      <c r="L572" s="241">
        <f>INDEX(LoadMaster!$CT:$CT,MATCH(Table2[[#This Row],[BrokerConfNo]],LoadMaster!$C:$C,0))</f>
        <v>0</v>
      </c>
      <c r="M572" s="550" t="str">
        <f>INDEX(LoadMaster!$AO:$AO,MATCH(Table2[[#This Row],[BrokerConfNo]],LoadMaster!$C:$C,0))</f>
        <v>Miguel Jaime</v>
      </c>
      <c r="N572" s="549">
        <f t="shared" si="94"/>
        <v>42573</v>
      </c>
      <c r="O572" s="242">
        <f t="shared" si="95"/>
        <v>42580</v>
      </c>
      <c r="P572" s="549">
        <f>INDEX(LoadMaster!$M:$M,MATCH(B572,LoadMaster!$C:$C,0))</f>
        <v>42573</v>
      </c>
      <c r="Q572" s="550" t="str">
        <f>INDEX(LoadMaster!$P:$P,MATCH(B572,LoadMaster!$C:$C,0))</f>
        <v>Pomona</v>
      </c>
      <c r="R572" s="550" t="str">
        <f>INDEX(LoadMaster!$AH:$AH,MATCH(B572,LoadMaster!$C:$C,0))</f>
        <v>Sparks</v>
      </c>
      <c r="S572" s="550" t="str">
        <f>INDEX(LoadMaster!$DC:$DC,MATCH(B572,LoadMaster!$C:$C,0))</f>
        <v>Sunny</v>
      </c>
      <c r="T572" s="567">
        <f>INDEX(LoadMaster!$DA:$DA,MATCH(B572,LoadMaster!$C:$C,0))</f>
        <v>75</v>
      </c>
      <c r="U572" s="243">
        <f>Table2[[#This Row],[WeekEndingDate]]+7</f>
        <v>42580</v>
      </c>
      <c r="V572" s="550">
        <f t="shared" si="96"/>
        <v>7</v>
      </c>
      <c r="W572" s="548">
        <f t="shared" si="97"/>
        <v>2016</v>
      </c>
    </row>
    <row r="573" spans="1:23">
      <c r="A573" s="550" t="str">
        <f>INDEX(LoadMaster!$A:$A,MATCH(B573,LoadMaster!$C:$C,0))</f>
        <v>47345193</v>
      </c>
      <c r="B573" s="552">
        <v>8057347</v>
      </c>
      <c r="C573" s="550" t="str">
        <f>VLOOKUP(Table2[[#This Row],[BrokerConfNo]],LoadMaster!C:D,2,FALSE)</f>
        <v>Globaltranz</v>
      </c>
      <c r="D573" s="550"/>
      <c r="E573" s="548" t="str">
        <f>IF(Table2[[#This Row],[UBActualReceived]]&gt;1,"Received","Pending")</f>
        <v>Pending</v>
      </c>
      <c r="F573" s="241">
        <f>INDEX(LoadMaster!$CU:$CU,MATCH(B573,LoadMaster!$C:$C,0))</f>
        <v>850</v>
      </c>
      <c r="G573" s="241">
        <f>INDEX(LoadMaster!$CX:$CX,MATCH(B573,LoadMaster!$C:$C,0))</f>
        <v>816</v>
      </c>
      <c r="H573" s="241">
        <f>INDEX(LoadMaster!$CW:$CW,MATCH(B573,LoadMaster!$C:$C,0))</f>
        <v>790.5</v>
      </c>
      <c r="I573" s="338"/>
      <c r="J573" s="542"/>
      <c r="K573" s="241" t="str">
        <f t="shared" si="93"/>
        <v>Less</v>
      </c>
      <c r="L573" s="241">
        <f>INDEX(LoadMaster!$CT:$CT,MATCH(Table2[[#This Row],[BrokerConfNo]],LoadMaster!$C:$C,0))</f>
        <v>0</v>
      </c>
      <c r="M573" s="550" t="str">
        <f>INDEX(LoadMaster!$AO:$AO,MATCH(Table2[[#This Row],[BrokerConfNo]],LoadMaster!$C:$C,0))</f>
        <v>Arturo</v>
      </c>
      <c r="N573" s="549">
        <f t="shared" si="94"/>
        <v>42573</v>
      </c>
      <c r="O573" s="242">
        <f t="shared" si="95"/>
        <v>42580</v>
      </c>
      <c r="P573" s="549">
        <f>INDEX(LoadMaster!$M:$M,MATCH(B573,LoadMaster!$C:$C,0))</f>
        <v>42573</v>
      </c>
      <c r="Q573" s="550" t="str">
        <f>INDEX(LoadMaster!$P:$P,MATCH(B573,LoadMaster!$C:$C,0))</f>
        <v>FRESNO</v>
      </c>
      <c r="R573" s="550" t="str">
        <f>INDEX(LoadMaster!$AH:$AH,MATCH(B573,LoadMaster!$C:$C,0))</f>
        <v>Reno</v>
      </c>
      <c r="S573" s="550" t="str">
        <f>INDEX(LoadMaster!$DC:$DC,MATCH(B573,LoadMaster!$C:$C,0))</f>
        <v>Sunny</v>
      </c>
      <c r="T573" s="567">
        <f>INDEX(LoadMaster!$DA:$DA,MATCH(B573,LoadMaster!$C:$C,0))</f>
        <v>25.5</v>
      </c>
      <c r="U573" s="243">
        <f>Table2[[#This Row],[WeekEndingDate]]+7</f>
        <v>42580</v>
      </c>
      <c r="V573" s="550">
        <f t="shared" si="96"/>
        <v>7</v>
      </c>
      <c r="W573" s="548">
        <f t="shared" si="97"/>
        <v>2016</v>
      </c>
    </row>
    <row r="574" spans="1:23">
      <c r="A574" s="550" t="str">
        <f>INDEX(LoadMaster!$A:$A,MATCH(B574,LoadMaster!$C:$C,0))</f>
        <v>t3wnwn47</v>
      </c>
      <c r="B574" s="552" t="s">
        <v>3562</v>
      </c>
      <c r="C574" s="550" t="str">
        <f>VLOOKUP(Table2[[#This Row],[BrokerConfNo]],LoadMaster!C:D,2,FALSE)</f>
        <v>Ray Brothers Transportation Inc.</v>
      </c>
      <c r="D574" s="550"/>
      <c r="E574" s="548" t="str">
        <f>IF(Table2[[#This Row],[UBActualReceived]]&gt;1,"Received","Pending")</f>
        <v>Pending</v>
      </c>
      <c r="F574" s="241">
        <f>INDEX(LoadMaster!$CU:$CU,MATCH(B574,LoadMaster!$C:$C,0))</f>
        <v>700</v>
      </c>
      <c r="G574" s="241">
        <f>INDEX(LoadMaster!$CX:$CX,MATCH(B574,LoadMaster!$C:$C,0))</f>
        <v>700</v>
      </c>
      <c r="H574" s="241">
        <f>INDEX(LoadMaster!$CW:$CW,MATCH(B574,LoadMaster!$C:$C,0))</f>
        <v>651</v>
      </c>
      <c r="I574" s="338"/>
      <c r="J574" s="542"/>
      <c r="K574" s="241" t="str">
        <f t="shared" si="93"/>
        <v>Less</v>
      </c>
      <c r="L574" s="241">
        <f>INDEX(LoadMaster!$CT:$CT,MATCH(Table2[[#This Row],[BrokerConfNo]],LoadMaster!$C:$C,0))</f>
        <v>0</v>
      </c>
      <c r="M574" s="550" t="str">
        <f>INDEX(LoadMaster!$AO:$AO,MATCH(Table2[[#This Row],[BrokerConfNo]],LoadMaster!$C:$C,0))</f>
        <v>Anthony</v>
      </c>
      <c r="N574" s="549">
        <f t="shared" si="94"/>
        <v>42573</v>
      </c>
      <c r="O574" s="242">
        <f t="shared" si="95"/>
        <v>42580</v>
      </c>
      <c r="P574" s="549">
        <f>INDEX(LoadMaster!$M:$M,MATCH(B574,LoadMaster!$C:$C,0))</f>
        <v>42572</v>
      </c>
      <c r="Q574" s="550" t="str">
        <f>INDEX(LoadMaster!$P:$P,MATCH(B574,LoadMaster!$C:$C,0))</f>
        <v>FERNLEY</v>
      </c>
      <c r="R574" s="550" t="str">
        <f>INDEX(LoadMaster!$AH:$AH,MATCH(B574,LoadMaster!$C:$C,0))</f>
        <v>KING CITY</v>
      </c>
      <c r="S574" s="550" t="str">
        <f>INDEX(LoadMaster!$DC:$DC,MATCH(B574,LoadMaster!$C:$C,0))</f>
        <v>Sunny</v>
      </c>
      <c r="T574" s="567">
        <f>INDEX(LoadMaster!$DA:$DA,MATCH(B574,LoadMaster!$C:$C,0))</f>
        <v>49</v>
      </c>
      <c r="U574" s="243">
        <f>Table2[[#This Row],[WeekEndingDate]]+7</f>
        <v>42580</v>
      </c>
      <c r="V574" s="550">
        <f t="shared" si="96"/>
        <v>7</v>
      </c>
      <c r="W574" s="548">
        <f t="shared" si="97"/>
        <v>2016</v>
      </c>
    </row>
  </sheetData>
  <conditionalFormatting sqref="B2:B29">
    <cfRule type="duplicateValues" dxfId="120" priority="401"/>
  </conditionalFormatting>
  <conditionalFormatting sqref="B68:B69">
    <cfRule type="duplicateValues" dxfId="119" priority="36"/>
  </conditionalFormatting>
  <conditionalFormatting sqref="B70">
    <cfRule type="duplicateValues" dxfId="118" priority="35"/>
  </conditionalFormatting>
  <conditionalFormatting sqref="B88">
    <cfRule type="duplicateValues" dxfId="117" priority="34"/>
  </conditionalFormatting>
  <conditionalFormatting sqref="B89">
    <cfRule type="duplicateValues" dxfId="116" priority="33"/>
  </conditionalFormatting>
  <conditionalFormatting sqref="B96">
    <cfRule type="duplicateValues" dxfId="115" priority="32"/>
  </conditionalFormatting>
  <conditionalFormatting sqref="B130">
    <cfRule type="duplicateValues" dxfId="114" priority="30"/>
  </conditionalFormatting>
  <conditionalFormatting sqref="B122:B136">
    <cfRule type="duplicateValues" dxfId="113" priority="1443"/>
  </conditionalFormatting>
  <conditionalFormatting sqref="B144:B147">
    <cfRule type="duplicateValues" dxfId="112" priority="21"/>
  </conditionalFormatting>
  <conditionalFormatting sqref="B151">
    <cfRule type="duplicateValues" dxfId="111" priority="20"/>
  </conditionalFormatting>
  <conditionalFormatting sqref="B162">
    <cfRule type="duplicateValues" dxfId="110" priority="19"/>
  </conditionalFormatting>
  <conditionalFormatting sqref="B155:B173">
    <cfRule type="duplicateValues" dxfId="109" priority="18"/>
  </conditionalFormatting>
  <conditionalFormatting sqref="K2:L574">
    <cfRule type="containsText" dxfId="108" priority="16" operator="containsText" text="Less">
      <formula>NOT(ISERROR(SEARCH("Less",K2)))</formula>
    </cfRule>
  </conditionalFormatting>
  <conditionalFormatting sqref="B226:B233">
    <cfRule type="duplicateValues" dxfId="107" priority="2669"/>
  </conditionalFormatting>
  <conditionalFormatting sqref="B1:B504 B506:B510 B512:B1048576">
    <cfRule type="duplicateValues" dxfId="106" priority="4"/>
    <cfRule type="duplicateValues" dxfId="105" priority="13"/>
  </conditionalFormatting>
  <conditionalFormatting sqref="B35:B67 B1 B71:B86 B90:B95 B97:B129 B131">
    <cfRule type="duplicateValues" dxfId="104" priority="3556"/>
  </conditionalFormatting>
  <conditionalFormatting sqref="B35:B67 B1 B71:B86 B90:B95 B97:B129 B131">
    <cfRule type="duplicateValues" dxfId="103" priority="3562"/>
    <cfRule type="duplicateValues" dxfId="102" priority="3563"/>
  </conditionalFormatting>
  <conditionalFormatting sqref="B1:B67 B71:B86 B90:B95 B97:B129 B131">
    <cfRule type="duplicateValues" dxfId="101" priority="3574"/>
    <cfRule type="duplicateValues" dxfId="100" priority="3575"/>
  </conditionalFormatting>
  <conditionalFormatting sqref="B1:B67 B71:B86 B90:B95 B97:B129 B131">
    <cfRule type="duplicateValues" dxfId="99" priority="3584"/>
  </conditionalFormatting>
  <conditionalFormatting sqref="B234:B289 B132:B143 B148:B150 B152:B161 B163:B225">
    <cfRule type="duplicateValues" dxfId="98" priority="3591"/>
  </conditionalFormatting>
  <conditionalFormatting sqref="B234:B289 B132:B143 B148:B150 B152:B161 B163:B225">
    <cfRule type="duplicateValues" dxfId="97" priority="3596"/>
    <cfRule type="duplicateValues" dxfId="96" priority="3597"/>
  </conditionalFormatting>
  <conditionalFormatting sqref="B297">
    <cfRule type="duplicateValues" dxfId="95" priority="10"/>
  </conditionalFormatting>
  <conditionalFormatting sqref="B297">
    <cfRule type="duplicateValues" dxfId="94" priority="11"/>
  </conditionalFormatting>
  <conditionalFormatting sqref="A130">
    <cfRule type="duplicateValues" dxfId="93" priority="4258"/>
  </conditionalFormatting>
  <conditionalFormatting sqref="A226:A233">
    <cfRule type="duplicateValues" dxfId="92" priority="4259"/>
  </conditionalFormatting>
  <conditionalFormatting sqref="A1:A1048576">
    <cfRule type="duplicateValues" dxfId="91" priority="4260"/>
  </conditionalFormatting>
  <conditionalFormatting sqref="B511">
    <cfRule type="duplicateValues" dxfId="90" priority="2"/>
  </conditionalFormatting>
  <conditionalFormatting sqref="B511">
    <cfRule type="duplicateValues" dxfId="89" priority="3"/>
  </conditionalFormatting>
  <conditionalFormatting sqref="B511">
    <cfRule type="duplicateValues" dxfId="88" priority="1"/>
  </conditionalFormatting>
  <pageMargins left="0.7" right="0.7" top="0.75" bottom="0.75" header="0.3" footer="0.3"/>
  <pageSetup orientation="portrait" horizontalDpi="4294967293"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249977111117893"/>
  </sheetPr>
  <dimension ref="A1:AC203"/>
  <sheetViews>
    <sheetView topLeftCell="D1" zoomScaleNormal="100" workbookViewId="0">
      <pane ySplit="1" topLeftCell="A134" activePane="bottomLeft" state="frozen"/>
      <selection activeCell="E20" sqref="E20"/>
      <selection pane="bottomLeft" activeCell="L156" sqref="L156"/>
    </sheetView>
  </sheetViews>
  <sheetFormatPr defaultColWidth="11.7109375" defaultRowHeight="15"/>
  <cols>
    <col min="1" max="1" width="11.5703125" style="1" bestFit="1" customWidth="1"/>
    <col min="2" max="2" width="17.140625" style="1" bestFit="1" customWidth="1"/>
    <col min="3" max="3" width="7.5703125" style="1" bestFit="1" customWidth="1"/>
    <col min="4" max="4" width="8.28515625" style="1" bestFit="1" customWidth="1"/>
    <col min="5" max="5" width="17.85546875" style="1" bestFit="1" customWidth="1"/>
    <col min="6" max="6" width="30" style="1" bestFit="1" customWidth="1"/>
    <col min="7" max="7" width="8.28515625" style="1" bestFit="1" customWidth="1"/>
    <col min="8" max="8" width="8.85546875" style="296" bestFit="1" customWidth="1"/>
    <col min="9" max="9" width="13.5703125" style="2" bestFit="1" customWidth="1"/>
    <col min="10" max="10" width="16" style="296" bestFit="1" customWidth="1"/>
    <col min="11" max="11" width="18.28515625" style="296" bestFit="1" customWidth="1"/>
    <col min="12" max="12" width="14.42578125" style="48" bestFit="1" customWidth="1"/>
    <col min="13" max="13" width="15.140625" style="296" bestFit="1" customWidth="1"/>
    <col min="15" max="15" width="15" style="1" bestFit="1" customWidth="1"/>
    <col min="16" max="16" width="13.5703125" style="48" bestFit="1" customWidth="1"/>
    <col min="17" max="17" width="18.140625" style="16" customWidth="1"/>
    <col min="18" max="18" width="7.28515625" style="16" customWidth="1"/>
    <col min="19" max="19" width="9.28515625" style="2" customWidth="1"/>
    <col min="20" max="20" width="10.7109375" style="296" customWidth="1"/>
    <col min="21" max="21" width="10.85546875" style="2" customWidth="1"/>
    <col min="22" max="22" width="10" style="1" customWidth="1"/>
    <col min="23" max="23" width="12.7109375" style="1" customWidth="1"/>
    <col min="24" max="24" width="12.85546875" style="48" customWidth="1"/>
    <col min="25" max="27" width="12.7109375" style="1" customWidth="1"/>
    <col min="28" max="28" width="12.7109375" style="1" bestFit="1" customWidth="1"/>
    <col min="29" max="92" width="11.7109375" style="1"/>
    <col min="93" max="93" width="10" style="1" bestFit="1" customWidth="1"/>
    <col min="94" max="94" width="3.28515625" style="1" bestFit="1" customWidth="1"/>
    <col min="95" max="95" width="2.140625" style="1" bestFit="1" customWidth="1"/>
    <col min="96" max="16384" width="11.7109375" style="1"/>
  </cols>
  <sheetData>
    <row r="1" spans="1:29" ht="15.75" thickBot="1">
      <c r="A1" s="49" t="s">
        <v>3848</v>
      </c>
      <c r="B1" s="50" t="s">
        <v>3849</v>
      </c>
      <c r="C1" s="50" t="s">
        <v>3850</v>
      </c>
      <c r="D1" s="50" t="s">
        <v>3851</v>
      </c>
      <c r="E1" s="50" t="s">
        <v>3852</v>
      </c>
      <c r="F1" s="50" t="s">
        <v>3853</v>
      </c>
      <c r="G1" s="50" t="s">
        <v>3854</v>
      </c>
      <c r="H1" s="265" t="s">
        <v>3855</v>
      </c>
      <c r="I1" s="51" t="s">
        <v>3856</v>
      </c>
      <c r="J1" s="51" t="s">
        <v>3857</v>
      </c>
      <c r="K1" s="52" t="s">
        <v>3858</v>
      </c>
      <c r="L1" s="84" t="s">
        <v>3859</v>
      </c>
      <c r="M1" s="84" t="s">
        <v>107</v>
      </c>
      <c r="N1" s="85" t="s">
        <v>3860</v>
      </c>
      <c r="O1" s="85" t="s">
        <v>3861</v>
      </c>
      <c r="P1" s="1"/>
      <c r="Q1" s="583" t="s">
        <v>3862</v>
      </c>
      <c r="R1" s="583"/>
      <c r="S1" s="583"/>
      <c r="T1" s="583"/>
      <c r="U1" s="583"/>
      <c r="V1" s="583"/>
      <c r="W1" s="583"/>
      <c r="X1" s="583"/>
      <c r="Y1" s="583"/>
      <c r="Z1" s="583"/>
      <c r="AA1" s="583"/>
      <c r="AB1" s="583"/>
      <c r="AC1" s="583"/>
    </row>
    <row r="2" spans="1:29">
      <c r="A2" s="53">
        <v>42236</v>
      </c>
      <c r="B2" s="1">
        <v>6163050009</v>
      </c>
      <c r="C2" s="1">
        <v>2</v>
      </c>
      <c r="D2" s="1" t="s">
        <v>3863</v>
      </c>
      <c r="E2" s="1" t="s">
        <v>3864</v>
      </c>
      <c r="F2" s="1" t="s">
        <v>3865</v>
      </c>
      <c r="G2" s="1" t="s">
        <v>2206</v>
      </c>
      <c r="H2" s="266">
        <v>123.792</v>
      </c>
      <c r="I2" s="48">
        <v>2.7989999999999999</v>
      </c>
      <c r="J2" s="48">
        <v>346.49</v>
      </c>
      <c r="K2" s="48" t="s">
        <v>3866</v>
      </c>
      <c r="L2" s="16">
        <f t="shared" ref="L2:L33" si="0">((5-WEEKDAY(A2,2))+A2)+7</f>
        <v>42244</v>
      </c>
      <c r="M2" s="16">
        <f t="shared" ref="M2:M33" si="1">(5-WEEKDAY(A2,2))+A2</f>
        <v>42237</v>
      </c>
      <c r="N2" s="2">
        <f>MONTH(Table3[[#This Row],[Date]])</f>
        <v>8</v>
      </c>
      <c r="O2" s="2">
        <f t="shared" ref="O2:O33" si="2">YEAR(A2)</f>
        <v>2015</v>
      </c>
      <c r="P2" s="1"/>
      <c r="Q2" s="127" t="s">
        <v>3867</v>
      </c>
      <c r="R2" s="127" t="s">
        <v>3850</v>
      </c>
      <c r="S2" s="127" t="s">
        <v>3854</v>
      </c>
      <c r="T2" s="127" t="s">
        <v>3848</v>
      </c>
      <c r="U2" s="547" t="s">
        <v>3868</v>
      </c>
      <c r="V2" s="547" t="s">
        <v>3869</v>
      </c>
      <c r="W2" s="547" t="s">
        <v>3870</v>
      </c>
      <c r="X2"/>
    </row>
    <row r="3" spans="1:29">
      <c r="A3" s="53">
        <v>42237</v>
      </c>
      <c r="B3" s="1">
        <v>6163050010</v>
      </c>
      <c r="C3" s="1">
        <v>1</v>
      </c>
      <c r="D3" s="1">
        <v>10860</v>
      </c>
      <c r="E3" s="1" t="s">
        <v>3839</v>
      </c>
      <c r="F3" s="1" t="s">
        <v>3871</v>
      </c>
      <c r="G3" s="1" t="s">
        <v>2206</v>
      </c>
      <c r="H3" s="266">
        <v>71.710999999999999</v>
      </c>
      <c r="I3" s="48">
        <v>2.7890000000000001</v>
      </c>
      <c r="J3" s="48">
        <v>200</v>
      </c>
      <c r="K3" s="48" t="s">
        <v>3866</v>
      </c>
      <c r="L3" s="16">
        <f t="shared" si="0"/>
        <v>42244</v>
      </c>
      <c r="M3" s="16">
        <f t="shared" si="1"/>
        <v>42237</v>
      </c>
      <c r="N3" s="2">
        <f>MONTH(Table3[[#This Row],[Date]])</f>
        <v>8</v>
      </c>
      <c r="O3" s="2">
        <f t="shared" si="2"/>
        <v>2015</v>
      </c>
      <c r="P3" s="1"/>
      <c r="Q3" s="547" t="s">
        <v>3839</v>
      </c>
      <c r="R3" s="547">
        <v>1</v>
      </c>
      <c r="S3" s="547" t="s">
        <v>2206</v>
      </c>
      <c r="T3" s="297">
        <v>42237</v>
      </c>
      <c r="U3" s="3">
        <v>2.7890000000000001</v>
      </c>
      <c r="V3" s="3">
        <v>71.710999999999999</v>
      </c>
      <c r="W3" s="3">
        <v>200</v>
      </c>
      <c r="X3"/>
    </row>
    <row r="4" spans="1:29">
      <c r="A4" s="53">
        <v>42237</v>
      </c>
      <c r="B4" s="1">
        <v>6163050010</v>
      </c>
      <c r="C4" s="1">
        <v>2</v>
      </c>
      <c r="D4" s="1" t="s">
        <v>3863</v>
      </c>
      <c r="E4" s="1" t="s">
        <v>3864</v>
      </c>
      <c r="F4" s="1" t="s">
        <v>3872</v>
      </c>
      <c r="G4" s="1" t="s">
        <v>2206</v>
      </c>
      <c r="H4" s="266">
        <v>72.494</v>
      </c>
      <c r="I4" s="48">
        <v>2.7789999999999999</v>
      </c>
      <c r="J4" s="48">
        <v>201.46</v>
      </c>
      <c r="K4" s="48" t="s">
        <v>3866</v>
      </c>
      <c r="L4" s="16">
        <f t="shared" si="0"/>
        <v>42244</v>
      </c>
      <c r="M4" s="16">
        <f t="shared" si="1"/>
        <v>42237</v>
      </c>
      <c r="N4" s="2">
        <f>MONTH(Table3[[#This Row],[Date]])</f>
        <v>8</v>
      </c>
      <c r="O4" s="2">
        <f t="shared" si="2"/>
        <v>2015</v>
      </c>
      <c r="P4" s="1"/>
      <c r="Q4" s="547"/>
      <c r="R4" s="547"/>
      <c r="S4" s="547"/>
      <c r="T4" s="297">
        <v>42240</v>
      </c>
      <c r="U4" s="3">
        <v>2.7490000000000001</v>
      </c>
      <c r="V4" s="3">
        <v>127.318</v>
      </c>
      <c r="W4" s="3">
        <v>350</v>
      </c>
      <c r="X4"/>
    </row>
    <row r="5" spans="1:29">
      <c r="A5" s="53">
        <v>42240</v>
      </c>
      <c r="B5" s="1">
        <v>6163050011</v>
      </c>
      <c r="C5" s="1">
        <v>1</v>
      </c>
      <c r="D5" s="1">
        <v>10860</v>
      </c>
      <c r="E5" s="1" t="s">
        <v>3839</v>
      </c>
      <c r="F5" s="1" t="s">
        <v>3871</v>
      </c>
      <c r="G5" s="1" t="s">
        <v>2206</v>
      </c>
      <c r="H5" s="266">
        <v>127.318</v>
      </c>
      <c r="I5" s="48">
        <v>2.7490000000000001</v>
      </c>
      <c r="J5" s="48">
        <v>350</v>
      </c>
      <c r="K5" s="48" t="s">
        <v>3866</v>
      </c>
      <c r="L5" s="16">
        <f t="shared" si="0"/>
        <v>42251</v>
      </c>
      <c r="M5" s="16">
        <f t="shared" si="1"/>
        <v>42244</v>
      </c>
      <c r="N5" s="2">
        <f>MONTH(Table3[[#This Row],[Date]])</f>
        <v>8</v>
      </c>
      <c r="O5" s="2">
        <f t="shared" si="2"/>
        <v>2015</v>
      </c>
      <c r="P5" s="1"/>
      <c r="Q5" s="547"/>
      <c r="R5" s="547"/>
      <c r="S5" s="547"/>
      <c r="T5" s="297">
        <v>42244</v>
      </c>
      <c r="U5" s="3">
        <v>2.6989999999999998</v>
      </c>
      <c r="V5" s="3">
        <v>114.86199999999999</v>
      </c>
      <c r="W5" s="3">
        <v>310.01</v>
      </c>
      <c r="X5"/>
    </row>
    <row r="6" spans="1:29">
      <c r="A6" s="53">
        <v>42240</v>
      </c>
      <c r="B6" s="1">
        <v>6163050011</v>
      </c>
      <c r="C6" s="1">
        <v>2</v>
      </c>
      <c r="D6" s="1" t="s">
        <v>3863</v>
      </c>
      <c r="E6" s="1" t="s">
        <v>3864</v>
      </c>
      <c r="F6" s="1" t="s">
        <v>3873</v>
      </c>
      <c r="G6" s="1" t="s">
        <v>2206</v>
      </c>
      <c r="H6" s="266">
        <v>96.677000000000007</v>
      </c>
      <c r="I6" s="48">
        <v>2.4790000000000001</v>
      </c>
      <c r="J6" s="48">
        <v>239.66</v>
      </c>
      <c r="K6" s="48" t="s">
        <v>3866</v>
      </c>
      <c r="L6" s="16">
        <f t="shared" si="0"/>
        <v>42251</v>
      </c>
      <c r="M6" s="16">
        <f t="shared" si="1"/>
        <v>42244</v>
      </c>
      <c r="N6" s="2">
        <f>MONTH(Table3[[#This Row],[Date]])</f>
        <v>8</v>
      </c>
      <c r="O6" s="2">
        <f t="shared" si="2"/>
        <v>2015</v>
      </c>
      <c r="P6" s="1"/>
      <c r="Q6" s="547"/>
      <c r="R6" s="547"/>
      <c r="S6" s="547"/>
      <c r="T6" s="297">
        <v>42247</v>
      </c>
      <c r="U6" s="3">
        <v>2.7890000000000001</v>
      </c>
      <c r="V6" s="3">
        <v>107.589</v>
      </c>
      <c r="W6" s="3">
        <v>300.07</v>
      </c>
      <c r="X6"/>
    </row>
    <row r="7" spans="1:29">
      <c r="A7" s="53">
        <v>42242</v>
      </c>
      <c r="B7" s="1">
        <v>6163050013</v>
      </c>
      <c r="C7" s="1">
        <v>2</v>
      </c>
      <c r="D7" s="1" t="s">
        <v>3863</v>
      </c>
      <c r="E7" s="1" t="s">
        <v>3864</v>
      </c>
      <c r="F7" s="1" t="s">
        <v>3874</v>
      </c>
      <c r="G7" s="1" t="s">
        <v>2233</v>
      </c>
      <c r="H7" s="266">
        <v>70.88</v>
      </c>
      <c r="I7" s="48">
        <v>2.5289999999999999</v>
      </c>
      <c r="J7" s="48">
        <v>179.26</v>
      </c>
      <c r="K7" s="48" t="s">
        <v>3866</v>
      </c>
      <c r="L7" s="16">
        <f t="shared" si="0"/>
        <v>42251</v>
      </c>
      <c r="M7" s="16">
        <f t="shared" si="1"/>
        <v>42244</v>
      </c>
      <c r="N7" s="2">
        <f>MONTH(Table3[[#This Row],[Date]])</f>
        <v>8</v>
      </c>
      <c r="O7" s="2">
        <f t="shared" si="2"/>
        <v>2015</v>
      </c>
      <c r="P7" s="1"/>
      <c r="Q7" s="547" t="s">
        <v>3831</v>
      </c>
      <c r="R7" s="547">
        <v>3</v>
      </c>
      <c r="S7" s="547" t="s">
        <v>2206</v>
      </c>
      <c r="T7" s="297">
        <v>42419</v>
      </c>
      <c r="U7" s="3"/>
      <c r="V7" s="3"/>
      <c r="W7" s="3">
        <v>200</v>
      </c>
      <c r="X7"/>
    </row>
    <row r="8" spans="1:29">
      <c r="A8" s="53">
        <v>42244</v>
      </c>
      <c r="B8" s="1">
        <v>6163050015</v>
      </c>
      <c r="C8" s="1">
        <v>1</v>
      </c>
      <c r="D8" s="1">
        <v>10860</v>
      </c>
      <c r="E8" s="1" t="s">
        <v>3839</v>
      </c>
      <c r="F8" s="1" t="s">
        <v>3872</v>
      </c>
      <c r="G8" s="1" t="s">
        <v>2206</v>
      </c>
      <c r="H8" s="266">
        <v>114.86199999999999</v>
      </c>
      <c r="I8" s="48">
        <v>2.6989999999999998</v>
      </c>
      <c r="J8" s="48">
        <v>310.01</v>
      </c>
      <c r="K8" s="48" t="s">
        <v>3866</v>
      </c>
      <c r="L8" s="16">
        <f t="shared" si="0"/>
        <v>42251</v>
      </c>
      <c r="M8" s="16">
        <f t="shared" si="1"/>
        <v>42244</v>
      </c>
      <c r="N8" s="2">
        <f>MONTH(Table3[[#This Row],[Date]])</f>
        <v>8</v>
      </c>
      <c r="O8" s="2">
        <f t="shared" si="2"/>
        <v>2015</v>
      </c>
      <c r="P8" s="1"/>
      <c r="Q8" s="547"/>
      <c r="R8" s="547"/>
      <c r="S8" s="547"/>
      <c r="T8" s="297">
        <v>42422</v>
      </c>
      <c r="U8" s="3">
        <v>2.2789999999999999</v>
      </c>
      <c r="V8" s="3">
        <v>198.55199999999999</v>
      </c>
      <c r="W8" s="3">
        <v>373.85</v>
      </c>
      <c r="X8"/>
    </row>
    <row r="9" spans="1:29">
      <c r="A9" s="53">
        <v>42247</v>
      </c>
      <c r="B9" s="1">
        <v>6163050016</v>
      </c>
      <c r="C9" s="1">
        <v>1</v>
      </c>
      <c r="D9" s="1">
        <v>10860</v>
      </c>
      <c r="E9" s="1" t="s">
        <v>3839</v>
      </c>
      <c r="F9" s="1" t="s">
        <v>3875</v>
      </c>
      <c r="G9" s="1" t="s">
        <v>2206</v>
      </c>
      <c r="H9" s="266">
        <v>107.589</v>
      </c>
      <c r="I9" s="48">
        <v>2.7890000000000001</v>
      </c>
      <c r="J9" s="48">
        <v>300.07</v>
      </c>
      <c r="K9" s="48" t="s">
        <v>3866</v>
      </c>
      <c r="L9" s="16">
        <f t="shared" si="0"/>
        <v>42258</v>
      </c>
      <c r="M9" s="16">
        <f t="shared" si="1"/>
        <v>42251</v>
      </c>
      <c r="N9" s="2">
        <f>MONTH(Table3[[#This Row],[Date]])</f>
        <v>8</v>
      </c>
      <c r="O9" s="2">
        <f t="shared" si="2"/>
        <v>2015</v>
      </c>
      <c r="P9" s="1"/>
      <c r="Q9" s="547"/>
      <c r="R9" s="547"/>
      <c r="S9" s="547"/>
      <c r="T9" s="297">
        <v>42425</v>
      </c>
      <c r="U9" s="3">
        <v>2.2789999999999999</v>
      </c>
      <c r="V9" s="3">
        <v>60.271999999999998</v>
      </c>
      <c r="W9" s="3">
        <v>113.38</v>
      </c>
      <c r="X9"/>
    </row>
    <row r="10" spans="1:29">
      <c r="A10" s="53">
        <v>42248</v>
      </c>
      <c r="B10" s="1">
        <v>6163050017</v>
      </c>
      <c r="C10" s="1">
        <v>2</v>
      </c>
      <c r="D10" s="1" t="s">
        <v>3863</v>
      </c>
      <c r="E10" s="1" t="s">
        <v>3864</v>
      </c>
      <c r="F10" s="1" t="s">
        <v>3876</v>
      </c>
      <c r="G10" s="1" t="s">
        <v>2206</v>
      </c>
      <c r="H10" s="266">
        <v>80.911000000000001</v>
      </c>
      <c r="I10" s="48">
        <v>2.6999</v>
      </c>
      <c r="J10" s="48">
        <v>218.38</v>
      </c>
      <c r="K10" s="48" t="s">
        <v>3866</v>
      </c>
      <c r="L10" s="16">
        <f t="shared" si="0"/>
        <v>42258</v>
      </c>
      <c r="M10" s="16">
        <f t="shared" si="1"/>
        <v>42251</v>
      </c>
      <c r="N10" s="2">
        <f>MONTH(Table3[[#This Row],[Date]])</f>
        <v>9</v>
      </c>
      <c r="O10" s="2">
        <f t="shared" si="2"/>
        <v>2015</v>
      </c>
      <c r="P10" s="1"/>
      <c r="Q10" s="547"/>
      <c r="R10" s="547"/>
      <c r="S10" s="547"/>
      <c r="T10" s="297">
        <v>42429</v>
      </c>
      <c r="U10" s="3">
        <v>2.2789999999999999</v>
      </c>
      <c r="V10" s="3">
        <v>255.86199999999999</v>
      </c>
      <c r="W10" s="3">
        <v>493.79</v>
      </c>
      <c r="X10"/>
    </row>
    <row r="11" spans="1:29">
      <c r="A11" s="53">
        <v>42249</v>
      </c>
      <c r="B11" s="1">
        <v>6163050018</v>
      </c>
      <c r="C11" s="1">
        <v>2</v>
      </c>
      <c r="D11" s="1" t="s">
        <v>3863</v>
      </c>
      <c r="E11" s="1" t="s">
        <v>3864</v>
      </c>
      <c r="F11" s="1" t="s">
        <v>3877</v>
      </c>
      <c r="G11" s="1" t="s">
        <v>2206</v>
      </c>
      <c r="H11" s="266">
        <v>191.97800000000001</v>
      </c>
      <c r="I11" s="48">
        <v>2.7989999999999999</v>
      </c>
      <c r="J11" s="48">
        <v>537.35</v>
      </c>
      <c r="K11" s="48" t="s">
        <v>3866</v>
      </c>
      <c r="L11" s="16">
        <f t="shared" si="0"/>
        <v>42258</v>
      </c>
      <c r="M11" s="16">
        <f t="shared" si="1"/>
        <v>42251</v>
      </c>
      <c r="N11" s="2">
        <f>MONTH(Table3[[#This Row],[Date]])</f>
        <v>9</v>
      </c>
      <c r="O11" s="2">
        <f t="shared" si="2"/>
        <v>2015</v>
      </c>
      <c r="P11" s="1"/>
      <c r="Q11" s="547"/>
      <c r="R11" s="547"/>
      <c r="S11" s="547"/>
      <c r="T11" s="297">
        <v>42436</v>
      </c>
      <c r="U11" s="3">
        <v>1.899</v>
      </c>
      <c r="V11" s="3">
        <v>238.53100000000001</v>
      </c>
      <c r="W11" s="3">
        <v>429.62</v>
      </c>
      <c r="X11"/>
    </row>
    <row r="12" spans="1:29">
      <c r="A12" s="53">
        <v>42251</v>
      </c>
      <c r="B12" s="1">
        <v>6163050020</v>
      </c>
      <c r="C12" s="1">
        <v>2</v>
      </c>
      <c r="D12" s="1" t="s">
        <v>3863</v>
      </c>
      <c r="E12" s="1" t="s">
        <v>3864</v>
      </c>
      <c r="F12" s="1" t="s">
        <v>3878</v>
      </c>
      <c r="G12" s="1" t="s">
        <v>2233</v>
      </c>
      <c r="H12" s="266">
        <v>124.036</v>
      </c>
      <c r="I12" s="48">
        <v>2.6890000000000001</v>
      </c>
      <c r="J12" s="48">
        <v>333.5</v>
      </c>
      <c r="K12" s="48" t="s">
        <v>3866</v>
      </c>
      <c r="L12" s="16">
        <f t="shared" si="0"/>
        <v>42258</v>
      </c>
      <c r="M12" s="16">
        <f t="shared" si="1"/>
        <v>42251</v>
      </c>
      <c r="N12" s="2">
        <f>MONTH(Table3[[#This Row],[Date]])</f>
        <v>9</v>
      </c>
      <c r="O12" s="2">
        <f t="shared" si="2"/>
        <v>2015</v>
      </c>
      <c r="P12" s="1"/>
      <c r="Q12" s="547"/>
      <c r="R12" s="547"/>
      <c r="S12" s="547"/>
      <c r="T12" s="297">
        <v>42443</v>
      </c>
      <c r="U12" s="3">
        <v>2.339</v>
      </c>
      <c r="V12" s="3">
        <v>211.702</v>
      </c>
      <c r="W12" s="3">
        <v>446.03</v>
      </c>
      <c r="X12"/>
    </row>
    <row r="13" spans="1:29">
      <c r="A13" s="53">
        <v>42252</v>
      </c>
      <c r="B13" s="1">
        <v>6163050020</v>
      </c>
      <c r="C13" s="1">
        <v>2</v>
      </c>
      <c r="D13" s="1" t="s">
        <v>3863</v>
      </c>
      <c r="E13" s="1" t="s">
        <v>3864</v>
      </c>
      <c r="F13" s="1" t="s">
        <v>3879</v>
      </c>
      <c r="G13" s="1" t="s">
        <v>3804</v>
      </c>
      <c r="H13" s="266">
        <v>92.375</v>
      </c>
      <c r="I13" s="48">
        <v>2.629</v>
      </c>
      <c r="J13" s="48">
        <v>242.85</v>
      </c>
      <c r="K13" s="48" t="s">
        <v>3866</v>
      </c>
      <c r="L13" s="16">
        <f t="shared" si="0"/>
        <v>42258</v>
      </c>
      <c r="M13" s="16">
        <f t="shared" si="1"/>
        <v>42251</v>
      </c>
      <c r="N13" s="2">
        <f>MONTH(Table3[[#This Row],[Date]])</f>
        <v>9</v>
      </c>
      <c r="O13" s="2">
        <f t="shared" si="2"/>
        <v>2015</v>
      </c>
      <c r="P13" s="1"/>
      <c r="Q13" s="547"/>
      <c r="R13" s="547"/>
      <c r="S13" s="547"/>
      <c r="T13" s="297">
        <v>42449</v>
      </c>
      <c r="U13" s="3">
        <v>2.2589999999999999</v>
      </c>
      <c r="V13" s="3">
        <v>153.75399999999999</v>
      </c>
      <c r="W13" s="3">
        <v>347.33</v>
      </c>
      <c r="X13"/>
    </row>
    <row r="14" spans="1:29">
      <c r="A14" s="53">
        <v>42253</v>
      </c>
      <c r="B14" s="1">
        <v>6163050020</v>
      </c>
      <c r="C14" s="1">
        <v>2</v>
      </c>
      <c r="D14" s="1" t="s">
        <v>3863</v>
      </c>
      <c r="E14" s="1" t="s">
        <v>3864</v>
      </c>
      <c r="F14" s="1" t="s">
        <v>3880</v>
      </c>
      <c r="G14" s="1" t="s">
        <v>2233</v>
      </c>
      <c r="H14" s="266">
        <v>100.672</v>
      </c>
      <c r="I14" s="48">
        <v>2.629</v>
      </c>
      <c r="J14" s="48">
        <v>264.67</v>
      </c>
      <c r="K14" s="48" t="s">
        <v>3866</v>
      </c>
      <c r="L14" s="16">
        <f t="shared" si="0"/>
        <v>42258</v>
      </c>
      <c r="M14" s="16">
        <f t="shared" si="1"/>
        <v>42251</v>
      </c>
      <c r="N14" s="2">
        <f>MONTH(Table3[[#This Row],[Date]])</f>
        <v>9</v>
      </c>
      <c r="O14" s="2">
        <f t="shared" si="2"/>
        <v>2015</v>
      </c>
      <c r="P14" s="1"/>
      <c r="Q14" s="547"/>
      <c r="R14" s="547"/>
      <c r="S14" s="547"/>
      <c r="T14" s="297">
        <v>42451</v>
      </c>
      <c r="U14" s="3">
        <v>2.339</v>
      </c>
      <c r="V14" s="3">
        <v>75.822000000000003</v>
      </c>
      <c r="W14" s="3">
        <v>439.15</v>
      </c>
      <c r="X14"/>
    </row>
    <row r="15" spans="1:29">
      <c r="A15" s="53">
        <v>42260</v>
      </c>
      <c r="B15" s="1">
        <v>6163050025</v>
      </c>
      <c r="C15" s="1">
        <v>1</v>
      </c>
      <c r="D15" s="1" t="s">
        <v>3863</v>
      </c>
      <c r="E15" s="1" t="s">
        <v>3881</v>
      </c>
      <c r="F15" s="1" t="s">
        <v>3882</v>
      </c>
      <c r="G15" s="1" t="s">
        <v>2206</v>
      </c>
      <c r="H15" s="266">
        <v>127.506</v>
      </c>
      <c r="I15" s="48">
        <v>2.7490000000000001</v>
      </c>
      <c r="J15" s="48">
        <v>350.51</v>
      </c>
      <c r="K15" s="48" t="s">
        <v>3866</v>
      </c>
      <c r="L15" s="16">
        <f t="shared" si="0"/>
        <v>42265</v>
      </c>
      <c r="M15" s="16">
        <f t="shared" si="1"/>
        <v>42258</v>
      </c>
      <c r="N15" s="2">
        <f>MONTH(Table3[[#This Row],[Date]])</f>
        <v>9</v>
      </c>
      <c r="O15" s="2">
        <f t="shared" si="2"/>
        <v>2015</v>
      </c>
      <c r="P15" s="1"/>
      <c r="Q15" s="547"/>
      <c r="R15" s="547"/>
      <c r="S15" s="547"/>
      <c r="T15" s="297">
        <v>42452</v>
      </c>
      <c r="U15" s="3">
        <v>2.2589999999999999</v>
      </c>
      <c r="V15" s="3">
        <v>62.845999999999997</v>
      </c>
      <c r="W15" s="3">
        <v>141.97</v>
      </c>
      <c r="X15"/>
    </row>
    <row r="16" spans="1:29">
      <c r="A16" s="53">
        <v>42276</v>
      </c>
      <c r="B16" s="1">
        <v>6163050037</v>
      </c>
      <c r="C16" s="1">
        <v>3</v>
      </c>
      <c r="D16" s="1" t="s">
        <v>3863</v>
      </c>
      <c r="E16" s="1" t="s">
        <v>3883</v>
      </c>
      <c r="F16" s="1" t="s">
        <v>3884</v>
      </c>
      <c r="G16" s="1" t="s">
        <v>2206</v>
      </c>
      <c r="H16" s="266">
        <v>218.28</v>
      </c>
      <c r="I16" s="48">
        <v>2.6789999999999998</v>
      </c>
      <c r="J16" s="48">
        <v>584.77</v>
      </c>
      <c r="K16" s="48" t="s">
        <v>3866</v>
      </c>
      <c r="L16" s="16">
        <f t="shared" si="0"/>
        <v>42286</v>
      </c>
      <c r="M16" s="16">
        <f t="shared" si="1"/>
        <v>42279</v>
      </c>
      <c r="N16" s="2">
        <f>MONTH(Table3[[#This Row],[Date]])</f>
        <v>9</v>
      </c>
      <c r="O16" s="2">
        <f t="shared" si="2"/>
        <v>2015</v>
      </c>
      <c r="P16" s="1"/>
      <c r="Q16" s="547"/>
      <c r="R16" s="547"/>
      <c r="S16" s="547"/>
      <c r="T16" s="297">
        <v>42457</v>
      </c>
      <c r="U16" s="3">
        <v>2.2589999999999999</v>
      </c>
      <c r="V16" s="3">
        <v>226.31100000000001</v>
      </c>
      <c r="W16" s="3">
        <v>511.24</v>
      </c>
      <c r="X16"/>
    </row>
    <row r="17" spans="1:24">
      <c r="A17" s="53">
        <v>42278</v>
      </c>
      <c r="B17" s="1">
        <v>6163050039</v>
      </c>
      <c r="C17" s="1">
        <v>3</v>
      </c>
      <c r="D17" s="1" t="s">
        <v>3863</v>
      </c>
      <c r="E17" s="1" t="s">
        <v>3883</v>
      </c>
      <c r="F17" s="1" t="s">
        <v>3885</v>
      </c>
      <c r="G17" s="1" t="s">
        <v>2206</v>
      </c>
      <c r="H17" s="266">
        <v>97.028000000000006</v>
      </c>
      <c r="I17" s="48">
        <v>2.6989999999999998</v>
      </c>
      <c r="J17" s="48">
        <v>261.88</v>
      </c>
      <c r="K17" s="48" t="s">
        <v>3866</v>
      </c>
      <c r="L17" s="16">
        <f t="shared" si="0"/>
        <v>42286</v>
      </c>
      <c r="M17" s="16">
        <f t="shared" si="1"/>
        <v>42279</v>
      </c>
      <c r="N17" s="2">
        <f>MONTH(Table3[[#This Row],[Date]])</f>
        <v>10</v>
      </c>
      <c r="O17" s="2">
        <f t="shared" si="2"/>
        <v>2015</v>
      </c>
      <c r="P17" s="1"/>
      <c r="Q17" s="547"/>
      <c r="R17" s="547"/>
      <c r="S17" s="547"/>
      <c r="T17" s="297">
        <v>42459</v>
      </c>
      <c r="U17" s="3">
        <v>2.359</v>
      </c>
      <c r="V17" s="3">
        <v>127.53700000000001</v>
      </c>
      <c r="W17" s="3">
        <v>289.89</v>
      </c>
      <c r="X17"/>
    </row>
    <row r="18" spans="1:24">
      <c r="A18" s="53">
        <v>42283</v>
      </c>
      <c r="B18" s="1">
        <v>6163050042</v>
      </c>
      <c r="C18" s="1">
        <v>3</v>
      </c>
      <c r="D18" s="1" t="s">
        <v>3863</v>
      </c>
      <c r="E18" s="1" t="s">
        <v>3883</v>
      </c>
      <c r="F18" s="1" t="s">
        <v>3886</v>
      </c>
      <c r="G18" s="1" t="s">
        <v>2206</v>
      </c>
      <c r="H18" s="266">
        <v>76.698999999999998</v>
      </c>
      <c r="I18" s="48">
        <v>2.7389999999999999</v>
      </c>
      <c r="J18" s="48">
        <v>210.08</v>
      </c>
      <c r="K18" s="48" t="s">
        <v>3866</v>
      </c>
      <c r="L18" s="16">
        <f t="shared" si="0"/>
        <v>42293</v>
      </c>
      <c r="M18" s="16">
        <f t="shared" si="1"/>
        <v>42286</v>
      </c>
      <c r="N18" s="2">
        <f>MONTH(Table3[[#This Row],[Date]])</f>
        <v>10</v>
      </c>
      <c r="O18" s="2">
        <f t="shared" si="2"/>
        <v>2015</v>
      </c>
      <c r="P18" s="1"/>
      <c r="Q18" s="547"/>
      <c r="R18" s="547"/>
      <c r="S18" s="547"/>
      <c r="T18" s="297">
        <v>42463</v>
      </c>
      <c r="U18" s="3">
        <v>2.2589999999999999</v>
      </c>
      <c r="V18" s="3">
        <v>227.929</v>
      </c>
      <c r="W18" s="3">
        <v>514.89</v>
      </c>
      <c r="X18"/>
    </row>
    <row r="19" spans="1:24">
      <c r="A19" s="53">
        <v>42285</v>
      </c>
      <c r="B19" s="1">
        <v>6163050044</v>
      </c>
      <c r="C19" s="1">
        <v>3</v>
      </c>
      <c r="D19" s="1" t="s">
        <v>3863</v>
      </c>
      <c r="E19" s="1" t="s">
        <v>3883</v>
      </c>
      <c r="F19" s="1" t="s">
        <v>3887</v>
      </c>
      <c r="G19" s="1" t="s">
        <v>2206</v>
      </c>
      <c r="H19" s="266">
        <v>156.334</v>
      </c>
      <c r="I19" s="48">
        <v>2.819</v>
      </c>
      <c r="J19" s="48">
        <v>432.89</v>
      </c>
      <c r="K19" s="48" t="s">
        <v>3866</v>
      </c>
      <c r="L19" s="16">
        <f t="shared" si="0"/>
        <v>42293</v>
      </c>
      <c r="M19" s="16">
        <f t="shared" si="1"/>
        <v>42286</v>
      </c>
      <c r="N19" s="2">
        <f>MONTH(Table3[[#This Row],[Date]])</f>
        <v>10</v>
      </c>
      <c r="O19" s="2">
        <f t="shared" si="2"/>
        <v>2015</v>
      </c>
      <c r="P19" s="1"/>
      <c r="Q19" s="547"/>
      <c r="R19" s="547"/>
      <c r="S19" s="547"/>
      <c r="T19" s="297">
        <v>42466</v>
      </c>
      <c r="U19" s="3">
        <v>2.2389999999999999</v>
      </c>
      <c r="V19" s="3">
        <v>182.70699999999999</v>
      </c>
      <c r="W19" s="3">
        <v>409.08</v>
      </c>
      <c r="X19"/>
    </row>
    <row r="20" spans="1:24">
      <c r="A20" s="53">
        <v>42289</v>
      </c>
      <c r="B20" s="1">
        <v>6163050046</v>
      </c>
      <c r="C20" s="1">
        <v>3</v>
      </c>
      <c r="D20" s="1" t="s">
        <v>3863</v>
      </c>
      <c r="E20" s="1" t="s">
        <v>3883</v>
      </c>
      <c r="F20" s="1" t="s">
        <v>3888</v>
      </c>
      <c r="G20" s="1" t="s">
        <v>2206</v>
      </c>
      <c r="H20" s="266">
        <v>208.21199999999999</v>
      </c>
      <c r="I20" s="48">
        <v>2.6989999999999998</v>
      </c>
      <c r="J20" s="48">
        <v>561.96</v>
      </c>
      <c r="K20" s="48" t="s">
        <v>3866</v>
      </c>
      <c r="L20" s="16">
        <f t="shared" si="0"/>
        <v>42300</v>
      </c>
      <c r="M20" s="16">
        <f t="shared" si="1"/>
        <v>42293</v>
      </c>
      <c r="N20" s="2">
        <f>MONTH(Table3[[#This Row],[Date]])</f>
        <v>10</v>
      </c>
      <c r="O20" s="2">
        <f t="shared" si="2"/>
        <v>2015</v>
      </c>
      <c r="P20" s="1"/>
      <c r="Q20" s="547"/>
      <c r="R20" s="547"/>
      <c r="S20" s="547"/>
      <c r="T20" s="297">
        <v>42471</v>
      </c>
      <c r="U20" s="3">
        <v>2.3290000000000002</v>
      </c>
      <c r="V20" s="3">
        <v>208.958</v>
      </c>
      <c r="W20" s="3">
        <v>486.66</v>
      </c>
      <c r="X20"/>
    </row>
    <row r="21" spans="1:24">
      <c r="A21" s="53">
        <v>42292</v>
      </c>
      <c r="B21" s="1">
        <v>6163050049</v>
      </c>
      <c r="C21" s="1">
        <v>3</v>
      </c>
      <c r="D21" s="1" t="s">
        <v>3863</v>
      </c>
      <c r="E21" s="1" t="s">
        <v>3883</v>
      </c>
      <c r="F21" s="1" t="s">
        <v>3889</v>
      </c>
      <c r="G21" s="1" t="s">
        <v>2206</v>
      </c>
      <c r="H21" s="266">
        <v>190.86199999999999</v>
      </c>
      <c r="I21" s="48">
        <v>2.859</v>
      </c>
      <c r="J21" s="48">
        <v>545.66999999999996</v>
      </c>
      <c r="K21" s="48" t="s">
        <v>3866</v>
      </c>
      <c r="L21" s="16">
        <f t="shared" si="0"/>
        <v>42300</v>
      </c>
      <c r="M21" s="16">
        <f t="shared" si="1"/>
        <v>42293</v>
      </c>
      <c r="N21" s="2">
        <f>MONTH(Table3[[#This Row],[Date]])</f>
        <v>10</v>
      </c>
      <c r="O21" s="2">
        <f t="shared" si="2"/>
        <v>2015</v>
      </c>
      <c r="P21" s="1"/>
      <c r="Q21" s="547"/>
      <c r="R21" s="547"/>
      <c r="S21" s="547"/>
      <c r="T21" s="297">
        <v>42474</v>
      </c>
      <c r="U21" s="3">
        <v>2.2890000000000001</v>
      </c>
      <c r="V21" s="3">
        <v>90.682000000000002</v>
      </c>
      <c r="W21" s="3">
        <v>207.57</v>
      </c>
      <c r="X21"/>
    </row>
    <row r="22" spans="1:24">
      <c r="A22" s="53">
        <v>42297</v>
      </c>
      <c r="B22" s="1">
        <v>6163050052</v>
      </c>
      <c r="C22" s="1">
        <v>3</v>
      </c>
      <c r="D22" s="1" t="s">
        <v>3863</v>
      </c>
      <c r="E22" s="1" t="s">
        <v>3883</v>
      </c>
      <c r="F22" s="1" t="s">
        <v>3890</v>
      </c>
      <c r="G22" s="1" t="s">
        <v>2206</v>
      </c>
      <c r="H22" s="266">
        <v>228.69499999999999</v>
      </c>
      <c r="I22" s="48">
        <v>2.6789999999999998</v>
      </c>
      <c r="J22" s="48">
        <v>612.58000000000004</v>
      </c>
      <c r="K22" s="48" t="s">
        <v>3866</v>
      </c>
      <c r="L22" s="16">
        <f t="shared" si="0"/>
        <v>42307</v>
      </c>
      <c r="M22" s="16">
        <f t="shared" si="1"/>
        <v>42300</v>
      </c>
      <c r="N22" s="2">
        <f>MONTH(Table3[[#This Row],[Date]])</f>
        <v>10</v>
      </c>
      <c r="O22" s="2">
        <f t="shared" si="2"/>
        <v>2015</v>
      </c>
      <c r="P22" s="1"/>
      <c r="Q22" s="547"/>
      <c r="R22" s="547"/>
      <c r="S22" s="547"/>
      <c r="T22" s="297">
        <v>42479</v>
      </c>
      <c r="U22" s="3">
        <v>2.3490000000000002</v>
      </c>
      <c r="V22" s="3">
        <v>225.76499999999999</v>
      </c>
      <c r="W22" s="3">
        <v>530.32000000000005</v>
      </c>
      <c r="X22"/>
    </row>
    <row r="23" spans="1:24">
      <c r="A23" s="53">
        <v>42299</v>
      </c>
      <c r="B23" s="1">
        <v>6163050054</v>
      </c>
      <c r="C23" s="1">
        <v>3</v>
      </c>
      <c r="D23" s="1" t="s">
        <v>3863</v>
      </c>
      <c r="E23" s="1" t="s">
        <v>3883</v>
      </c>
      <c r="F23" s="1" t="s">
        <v>3891</v>
      </c>
      <c r="G23" s="1" t="s">
        <v>2206</v>
      </c>
      <c r="H23" s="266">
        <v>193.23</v>
      </c>
      <c r="I23" s="48">
        <v>2.7589999999999999</v>
      </c>
      <c r="J23" s="48">
        <v>533.12</v>
      </c>
      <c r="K23" s="48" t="s">
        <v>3866</v>
      </c>
      <c r="L23" s="16">
        <f t="shared" si="0"/>
        <v>42307</v>
      </c>
      <c r="M23" s="16">
        <f t="shared" si="1"/>
        <v>42300</v>
      </c>
      <c r="N23" s="2">
        <f>MONTH(Table3[[#This Row],[Date]])</f>
        <v>10</v>
      </c>
      <c r="O23" s="2">
        <f t="shared" si="2"/>
        <v>2015</v>
      </c>
      <c r="P23" s="1"/>
      <c r="Q23" s="547"/>
      <c r="R23" s="547"/>
      <c r="S23" s="547"/>
      <c r="T23" s="297">
        <v>42485</v>
      </c>
      <c r="U23" s="3">
        <v>2.339</v>
      </c>
      <c r="V23" s="3">
        <v>213.464</v>
      </c>
      <c r="W23" s="3">
        <v>512.1</v>
      </c>
      <c r="X23"/>
    </row>
    <row r="24" spans="1:24">
      <c r="A24" s="53">
        <v>42306</v>
      </c>
      <c r="B24" s="1">
        <v>6163050059</v>
      </c>
      <c r="C24" s="1">
        <v>3</v>
      </c>
      <c r="D24" s="1" t="s">
        <v>3863</v>
      </c>
      <c r="E24" s="1" t="s">
        <v>3883</v>
      </c>
      <c r="F24" s="1" t="s">
        <v>3892</v>
      </c>
      <c r="G24" s="1" t="s">
        <v>2206</v>
      </c>
      <c r="H24" s="266">
        <v>212.459</v>
      </c>
      <c r="I24" s="48">
        <v>2.7589999999999999</v>
      </c>
      <c r="J24" s="48">
        <v>575.54999999999995</v>
      </c>
      <c r="K24" s="48" t="s">
        <v>3866</v>
      </c>
      <c r="L24" s="16">
        <f t="shared" si="0"/>
        <v>42314</v>
      </c>
      <c r="M24" s="16">
        <f t="shared" si="1"/>
        <v>42307</v>
      </c>
      <c r="N24" s="2">
        <f>MONTH(Table3[[#This Row],[Date]])</f>
        <v>10</v>
      </c>
      <c r="O24" s="2">
        <f t="shared" si="2"/>
        <v>2015</v>
      </c>
      <c r="P24" s="1"/>
      <c r="Q24" s="547"/>
      <c r="R24" s="547"/>
      <c r="S24" s="547"/>
      <c r="T24" s="297">
        <v>42487</v>
      </c>
      <c r="U24" s="3">
        <v>2.4489999999999998</v>
      </c>
      <c r="V24" s="3">
        <v>50.201999999999998</v>
      </c>
      <c r="W24" s="3">
        <v>122.94</v>
      </c>
      <c r="X24"/>
    </row>
    <row r="25" spans="1:24">
      <c r="A25" s="53">
        <v>42311</v>
      </c>
      <c r="B25" s="1">
        <v>6163050062</v>
      </c>
      <c r="C25" s="1">
        <v>3</v>
      </c>
      <c r="D25" s="1" t="s">
        <v>3863</v>
      </c>
      <c r="E25" s="1" t="s">
        <v>3883</v>
      </c>
      <c r="F25" s="1" t="s">
        <v>3893</v>
      </c>
      <c r="G25" s="1" t="s">
        <v>2206</v>
      </c>
      <c r="H25" s="266">
        <v>219.155</v>
      </c>
      <c r="I25" s="48">
        <v>2.7789999999999999</v>
      </c>
      <c r="J25" s="48">
        <v>598.07000000000005</v>
      </c>
      <c r="K25" s="48" t="s">
        <v>3866</v>
      </c>
      <c r="L25" s="16">
        <f t="shared" si="0"/>
        <v>42321</v>
      </c>
      <c r="M25" s="16">
        <f t="shared" si="1"/>
        <v>42314</v>
      </c>
      <c r="N25" s="2">
        <f>MONTH(Table3[[#This Row],[Date]])</f>
        <v>11</v>
      </c>
      <c r="O25" s="2">
        <f t="shared" si="2"/>
        <v>2015</v>
      </c>
      <c r="P25" s="1"/>
      <c r="Q25" s="547"/>
      <c r="R25" s="547"/>
      <c r="S25" s="547"/>
      <c r="T25" s="297">
        <v>42489</v>
      </c>
      <c r="U25" s="3">
        <v>2.4990000000000001</v>
      </c>
      <c r="V25" s="3">
        <v>70.191999999999993</v>
      </c>
      <c r="W25" s="3">
        <v>175.41</v>
      </c>
      <c r="X25"/>
    </row>
    <row r="26" spans="1:24">
      <c r="A26" s="53">
        <v>42317</v>
      </c>
      <c r="B26" s="1">
        <v>6163050066</v>
      </c>
      <c r="C26" s="1">
        <v>3</v>
      </c>
      <c r="D26" s="1" t="s">
        <v>3863</v>
      </c>
      <c r="E26" s="1" t="s">
        <v>3883</v>
      </c>
      <c r="F26" s="1" t="s">
        <v>3888</v>
      </c>
      <c r="G26" s="1" t="s">
        <v>2206</v>
      </c>
      <c r="H26" s="266">
        <v>174.59200000000001</v>
      </c>
      <c r="I26" s="48">
        <v>2.6989999999999998</v>
      </c>
      <c r="J26" s="48">
        <v>471.22</v>
      </c>
      <c r="K26" s="48" t="s">
        <v>3866</v>
      </c>
      <c r="L26" s="16">
        <f t="shared" si="0"/>
        <v>42328</v>
      </c>
      <c r="M26" s="16">
        <f t="shared" si="1"/>
        <v>42321</v>
      </c>
      <c r="N26" s="2">
        <f>MONTH(Table3[[#This Row],[Date]])</f>
        <v>11</v>
      </c>
      <c r="O26" s="2">
        <f t="shared" si="2"/>
        <v>2015</v>
      </c>
      <c r="P26" s="1"/>
      <c r="Q26" s="547"/>
      <c r="R26" s="547"/>
      <c r="S26" s="547"/>
      <c r="T26" s="297">
        <v>42492</v>
      </c>
      <c r="U26" s="3">
        <v>2.5390000000000001</v>
      </c>
      <c r="V26" s="3">
        <v>208.16900000000001</v>
      </c>
      <c r="W26" s="3">
        <v>498.72</v>
      </c>
      <c r="X26"/>
    </row>
    <row r="27" spans="1:24">
      <c r="A27" s="53">
        <v>42320</v>
      </c>
      <c r="B27" s="1">
        <v>6163050069</v>
      </c>
      <c r="C27" s="1">
        <v>3</v>
      </c>
      <c r="D27" s="1" t="s">
        <v>3863</v>
      </c>
      <c r="E27" s="1" t="s">
        <v>3883</v>
      </c>
      <c r="F27" s="1" t="s">
        <v>3877</v>
      </c>
      <c r="G27" s="1" t="s">
        <v>2206</v>
      </c>
      <c r="H27" s="266">
        <v>195.81100000000001</v>
      </c>
      <c r="I27" s="48">
        <v>2.649</v>
      </c>
      <c r="J27" s="48">
        <v>518.70000000000005</v>
      </c>
      <c r="K27" s="48" t="s">
        <v>3866</v>
      </c>
      <c r="L27" s="16">
        <f t="shared" si="0"/>
        <v>42328</v>
      </c>
      <c r="M27" s="16">
        <f t="shared" si="1"/>
        <v>42321</v>
      </c>
      <c r="N27" s="2">
        <f>MONTH(Table3[[#This Row],[Date]])</f>
        <v>11</v>
      </c>
      <c r="O27" s="2">
        <f t="shared" si="2"/>
        <v>2015</v>
      </c>
      <c r="P27" s="1"/>
      <c r="Q27" s="547"/>
      <c r="R27" s="547"/>
      <c r="S27" s="547"/>
      <c r="T27" s="297">
        <v>42494</v>
      </c>
      <c r="U27" s="3">
        <v>2.4990000000000001</v>
      </c>
      <c r="V27" s="3">
        <v>115.15900000000001</v>
      </c>
      <c r="W27" s="3">
        <v>287.77999999999997</v>
      </c>
      <c r="X27"/>
    </row>
    <row r="28" spans="1:24">
      <c r="A28" s="53">
        <v>42325</v>
      </c>
      <c r="B28" s="1">
        <v>6163050072</v>
      </c>
      <c r="C28" s="1">
        <v>3</v>
      </c>
      <c r="D28" s="1" t="s">
        <v>3863</v>
      </c>
      <c r="E28" s="1" t="s">
        <v>3883</v>
      </c>
      <c r="F28" s="1" t="s">
        <v>3888</v>
      </c>
      <c r="G28" s="1" t="s">
        <v>2206</v>
      </c>
      <c r="H28" s="266">
        <v>180.02</v>
      </c>
      <c r="I28" s="48">
        <v>2.6989999999999998</v>
      </c>
      <c r="J28" s="48">
        <v>485.87</v>
      </c>
      <c r="K28" s="48" t="s">
        <v>3866</v>
      </c>
      <c r="L28" s="16">
        <f t="shared" si="0"/>
        <v>42335</v>
      </c>
      <c r="M28" s="16">
        <f t="shared" si="1"/>
        <v>42328</v>
      </c>
      <c r="N28" s="2">
        <f>MONTH(Table3[[#This Row],[Date]])</f>
        <v>11</v>
      </c>
      <c r="O28" s="2">
        <f t="shared" si="2"/>
        <v>2015</v>
      </c>
      <c r="P28" s="1"/>
      <c r="Q28" s="547"/>
      <c r="R28" s="547"/>
      <c r="S28" s="547"/>
      <c r="T28" s="297">
        <v>42499</v>
      </c>
      <c r="U28" s="3">
        <v>2.6389999999999998</v>
      </c>
      <c r="V28" s="3">
        <v>179.852</v>
      </c>
      <c r="W28" s="3">
        <v>423.6</v>
      </c>
      <c r="X28"/>
    </row>
    <row r="29" spans="1:24">
      <c r="A29" s="53">
        <v>42328</v>
      </c>
      <c r="B29" s="1">
        <v>6163050075</v>
      </c>
      <c r="C29" s="1">
        <v>3</v>
      </c>
      <c r="D29" s="1" t="s">
        <v>3863</v>
      </c>
      <c r="E29" s="1" t="s">
        <v>3883</v>
      </c>
      <c r="F29" s="1" t="s">
        <v>3894</v>
      </c>
      <c r="G29" s="1" t="s">
        <v>2233</v>
      </c>
      <c r="H29" s="266">
        <v>150.649</v>
      </c>
      <c r="I29" s="48">
        <v>2.6890000000000001</v>
      </c>
      <c r="J29" s="48">
        <v>397</v>
      </c>
      <c r="K29" s="48" t="s">
        <v>3866</v>
      </c>
      <c r="L29" s="16">
        <f t="shared" si="0"/>
        <v>42335</v>
      </c>
      <c r="M29" s="16">
        <f t="shared" si="1"/>
        <v>42328</v>
      </c>
      <c r="N29" s="2">
        <f>MONTH(Table3[[#This Row],[Date]])</f>
        <v>11</v>
      </c>
      <c r="O29" s="2">
        <f t="shared" si="2"/>
        <v>2015</v>
      </c>
      <c r="P29" s="1"/>
      <c r="Q29" s="547"/>
      <c r="R29" s="547"/>
      <c r="S29" s="547"/>
      <c r="T29" s="297">
        <v>42502</v>
      </c>
      <c r="U29" s="3">
        <v>2.5590000000000002</v>
      </c>
      <c r="V29" s="3">
        <v>57.136000000000003</v>
      </c>
      <c r="W29" s="3">
        <v>146.21</v>
      </c>
      <c r="X29"/>
    </row>
    <row r="30" spans="1:24">
      <c r="A30" s="53">
        <v>42339</v>
      </c>
      <c r="B30" s="1">
        <v>6163050082</v>
      </c>
      <c r="C30" s="1">
        <v>3</v>
      </c>
      <c r="D30" s="1" t="s">
        <v>3863</v>
      </c>
      <c r="E30" s="1" t="s">
        <v>3883</v>
      </c>
      <c r="F30" s="1" t="s">
        <v>3895</v>
      </c>
      <c r="G30" s="1" t="s">
        <v>2206</v>
      </c>
      <c r="H30" s="266">
        <v>81.082999999999998</v>
      </c>
      <c r="I30" s="48">
        <v>2.6589999999999998</v>
      </c>
      <c r="J30" s="48">
        <v>215.6</v>
      </c>
      <c r="K30" s="48" t="s">
        <v>3866</v>
      </c>
      <c r="L30" s="16">
        <f t="shared" si="0"/>
        <v>42349</v>
      </c>
      <c r="M30" s="16">
        <f t="shared" si="1"/>
        <v>42342</v>
      </c>
      <c r="N30" s="2">
        <f>MONTH(Table3[[#This Row],[Date]])</f>
        <v>12</v>
      </c>
      <c r="O30" s="2">
        <f t="shared" si="2"/>
        <v>2015</v>
      </c>
      <c r="P30" s="1"/>
      <c r="Q30" s="547"/>
      <c r="R30" s="547"/>
      <c r="S30" s="547"/>
      <c r="T30" s="297">
        <v>42506</v>
      </c>
      <c r="U30" s="3">
        <v>4.9879999999999995</v>
      </c>
      <c r="V30" s="3">
        <v>174.05799999999999</v>
      </c>
      <c r="W30" s="3">
        <v>409.64</v>
      </c>
      <c r="X30"/>
    </row>
    <row r="31" spans="1:24">
      <c r="A31" s="53">
        <v>42340</v>
      </c>
      <c r="B31" s="1">
        <v>6163050083</v>
      </c>
      <c r="C31" s="1">
        <v>4</v>
      </c>
      <c r="D31" s="1" t="s">
        <v>3896</v>
      </c>
      <c r="E31" s="1" t="s">
        <v>3897</v>
      </c>
      <c r="F31" s="1" t="s">
        <v>3898</v>
      </c>
      <c r="G31" s="1" t="s">
        <v>2233</v>
      </c>
      <c r="H31" s="266">
        <v>279.77999999999997</v>
      </c>
      <c r="I31" s="48">
        <v>2.5590000000000002</v>
      </c>
      <c r="J31" s="48">
        <v>274.31</v>
      </c>
      <c r="K31" s="48" t="s">
        <v>3866</v>
      </c>
      <c r="L31" s="16">
        <f t="shared" si="0"/>
        <v>42349</v>
      </c>
      <c r="M31" s="16">
        <f t="shared" si="1"/>
        <v>42342</v>
      </c>
      <c r="N31" s="2">
        <f>MONTH(Table3[[#This Row],[Date]])</f>
        <v>12</v>
      </c>
      <c r="O31" s="2">
        <f t="shared" si="2"/>
        <v>2015</v>
      </c>
      <c r="P31" s="1"/>
      <c r="Q31" s="547"/>
      <c r="R31" s="547"/>
      <c r="S31" s="547"/>
      <c r="T31" s="297">
        <v>42508</v>
      </c>
      <c r="U31" s="3">
        <v>5.3480000000000008</v>
      </c>
      <c r="V31" s="3">
        <v>241.10399999999998</v>
      </c>
      <c r="W31" s="3">
        <v>643.26</v>
      </c>
      <c r="X31"/>
    </row>
    <row r="32" spans="1:24">
      <c r="A32" s="53">
        <v>42341</v>
      </c>
      <c r="B32" s="1">
        <v>6163050084</v>
      </c>
      <c r="C32" s="1">
        <v>3</v>
      </c>
      <c r="D32" s="1" t="s">
        <v>3863</v>
      </c>
      <c r="E32" s="1" t="s">
        <v>3883</v>
      </c>
      <c r="F32" s="1" t="s">
        <v>3899</v>
      </c>
      <c r="G32" s="1" t="s">
        <v>2206</v>
      </c>
      <c r="H32" s="2">
        <v>113.126</v>
      </c>
      <c r="I32" s="48">
        <v>2.6589999999999998</v>
      </c>
      <c r="J32" s="48">
        <v>300.8</v>
      </c>
      <c r="K32" s="48" t="s">
        <v>3866</v>
      </c>
      <c r="L32" s="16">
        <f t="shared" si="0"/>
        <v>42349</v>
      </c>
      <c r="M32" s="16">
        <f t="shared" si="1"/>
        <v>42342</v>
      </c>
      <c r="N32" s="2">
        <f>MONTH(Table3[[#This Row],[Date]])</f>
        <v>12</v>
      </c>
      <c r="O32" s="2">
        <f t="shared" si="2"/>
        <v>2015</v>
      </c>
      <c r="P32" s="1"/>
      <c r="Q32" s="547"/>
      <c r="R32" s="547"/>
      <c r="S32" s="547"/>
      <c r="T32" s="297">
        <v>42513</v>
      </c>
      <c r="U32" s="3">
        <v>2.7189999999999999</v>
      </c>
      <c r="V32" s="3">
        <v>207.12</v>
      </c>
      <c r="W32" s="3">
        <v>530.5</v>
      </c>
      <c r="X32"/>
    </row>
    <row r="33" spans="1:24">
      <c r="A33" s="53">
        <v>42341</v>
      </c>
      <c r="B33" s="1">
        <v>6163050084</v>
      </c>
      <c r="C33" s="1">
        <v>4</v>
      </c>
      <c r="D33" s="1" t="s">
        <v>3896</v>
      </c>
      <c r="E33" s="1" t="s">
        <v>3897</v>
      </c>
      <c r="F33" s="1" t="s">
        <v>3900</v>
      </c>
      <c r="G33" s="1" t="s">
        <v>2206</v>
      </c>
      <c r="H33" s="266">
        <v>76.051000000000002</v>
      </c>
      <c r="I33" s="48">
        <v>2.649</v>
      </c>
      <c r="J33" s="48">
        <v>201.46</v>
      </c>
      <c r="K33" s="48" t="s">
        <v>3866</v>
      </c>
      <c r="L33" s="16">
        <f t="shared" si="0"/>
        <v>42349</v>
      </c>
      <c r="M33" s="16">
        <f t="shared" si="1"/>
        <v>42342</v>
      </c>
      <c r="N33" s="2">
        <f>MONTH(Table3[[#This Row],[Date]])</f>
        <v>12</v>
      </c>
      <c r="O33" s="2">
        <f t="shared" si="2"/>
        <v>2015</v>
      </c>
      <c r="P33" s="1"/>
      <c r="Q33" s="547"/>
      <c r="R33" s="547"/>
      <c r="S33" s="547"/>
      <c r="T33" s="297">
        <v>42521</v>
      </c>
      <c r="U33" s="3">
        <v>2.9590000000000001</v>
      </c>
      <c r="V33" s="3">
        <v>93.567999999999998</v>
      </c>
      <c r="W33" s="3">
        <v>268.95</v>
      </c>
      <c r="X33"/>
    </row>
    <row r="34" spans="1:24">
      <c r="A34" s="53">
        <v>42345</v>
      </c>
      <c r="B34" s="1">
        <v>6163050086</v>
      </c>
      <c r="C34" s="1">
        <v>3</v>
      </c>
      <c r="D34" s="1" t="s">
        <v>3863</v>
      </c>
      <c r="E34" s="1" t="s">
        <v>3883</v>
      </c>
      <c r="F34" s="1" t="s">
        <v>3877</v>
      </c>
      <c r="G34" s="1" t="s">
        <v>2206</v>
      </c>
      <c r="H34" s="266">
        <v>196.46199999999999</v>
      </c>
      <c r="I34" s="48">
        <v>2.649</v>
      </c>
      <c r="J34" s="48">
        <v>520.42999999999995</v>
      </c>
      <c r="K34" s="48" t="s">
        <v>3866</v>
      </c>
      <c r="L34" s="16">
        <f t="shared" ref="L34:L65" si="3">((5-WEEKDAY(A34,2))+A34)+7</f>
        <v>42356</v>
      </c>
      <c r="M34" s="16">
        <f t="shared" ref="M34:M65" si="4">(5-WEEKDAY(A34,2))+A34</f>
        <v>42349</v>
      </c>
      <c r="N34" s="2">
        <f>MONTH(Table3[[#This Row],[Date]])</f>
        <v>12</v>
      </c>
      <c r="O34" s="2">
        <f t="shared" ref="O34:O65" si="5">YEAR(A34)</f>
        <v>2015</v>
      </c>
      <c r="P34" s="1"/>
      <c r="Q34" s="547"/>
      <c r="R34" s="547"/>
      <c r="S34" s="547"/>
      <c r="T34" s="297">
        <v>42535</v>
      </c>
      <c r="U34" s="3">
        <v>2.6989999999999998</v>
      </c>
      <c r="V34" s="3">
        <v>188.601</v>
      </c>
      <c r="W34" s="3">
        <v>509.03</v>
      </c>
      <c r="X34"/>
    </row>
    <row r="35" spans="1:24">
      <c r="A35" s="53">
        <v>42346</v>
      </c>
      <c r="B35" s="1">
        <v>6163050087</v>
      </c>
      <c r="C35" s="1">
        <v>4</v>
      </c>
      <c r="D35" s="1" t="s">
        <v>3896</v>
      </c>
      <c r="E35" s="1" t="s">
        <v>3897</v>
      </c>
      <c r="F35" s="1" t="s">
        <v>3901</v>
      </c>
      <c r="G35" s="1" t="s">
        <v>2206</v>
      </c>
      <c r="H35" s="266">
        <v>154.012</v>
      </c>
      <c r="I35" s="48">
        <v>2.6589999999999998</v>
      </c>
      <c r="J35" s="48">
        <v>409.52</v>
      </c>
      <c r="K35" s="48" t="s">
        <v>3866</v>
      </c>
      <c r="L35" s="16">
        <f t="shared" si="3"/>
        <v>42356</v>
      </c>
      <c r="M35" s="16">
        <f t="shared" si="4"/>
        <v>42349</v>
      </c>
      <c r="N35" s="2">
        <f>MONTH(Table3[[#This Row],[Date]])</f>
        <v>12</v>
      </c>
      <c r="O35" s="2">
        <f t="shared" si="5"/>
        <v>2015</v>
      </c>
      <c r="P35" s="1"/>
      <c r="Q35" s="547"/>
      <c r="R35" s="547"/>
      <c r="S35" s="547"/>
      <c r="T35" s="297">
        <v>42541</v>
      </c>
      <c r="U35" s="3">
        <v>2.6989999999999998</v>
      </c>
      <c r="V35" s="3">
        <v>164.66800000000001</v>
      </c>
      <c r="W35" s="3">
        <v>444.44</v>
      </c>
      <c r="X35"/>
    </row>
    <row r="36" spans="1:24">
      <c r="A36" s="53">
        <v>42347</v>
      </c>
      <c r="B36" s="1">
        <v>6163050088</v>
      </c>
      <c r="C36" s="1">
        <v>4</v>
      </c>
      <c r="D36" s="1" t="s">
        <v>3896</v>
      </c>
      <c r="E36" s="1" t="s">
        <v>3897</v>
      </c>
      <c r="F36" s="1" t="s">
        <v>3901</v>
      </c>
      <c r="G36" s="1" t="s">
        <v>2206</v>
      </c>
      <c r="H36" s="266">
        <v>75.840999999999994</v>
      </c>
      <c r="I36" s="48">
        <v>2.5990000000000002</v>
      </c>
      <c r="J36" s="48">
        <v>197.11</v>
      </c>
      <c r="K36" s="48" t="s">
        <v>3866</v>
      </c>
      <c r="L36" s="16">
        <f t="shared" si="3"/>
        <v>42356</v>
      </c>
      <c r="M36" s="16">
        <f t="shared" si="4"/>
        <v>42349</v>
      </c>
      <c r="N36" s="2">
        <f>MONTH(Table3[[#This Row],[Date]])</f>
        <v>12</v>
      </c>
      <c r="O36" s="2">
        <f t="shared" si="5"/>
        <v>2015</v>
      </c>
      <c r="P36" s="1"/>
      <c r="Q36" s="547"/>
      <c r="R36" s="547"/>
      <c r="S36" s="547"/>
      <c r="T36" s="297">
        <v>42544</v>
      </c>
      <c r="U36" s="3">
        <v>5.5179999999999998</v>
      </c>
      <c r="V36" s="3">
        <v>200.32499999999999</v>
      </c>
      <c r="W36" s="3">
        <v>547.03</v>
      </c>
      <c r="X36"/>
    </row>
    <row r="37" spans="1:24">
      <c r="A37" s="53">
        <v>42348</v>
      </c>
      <c r="B37" s="1">
        <v>6163050089</v>
      </c>
      <c r="C37" s="1">
        <v>3</v>
      </c>
      <c r="D37" s="1" t="s">
        <v>3863</v>
      </c>
      <c r="E37" s="1" t="s">
        <v>3883</v>
      </c>
      <c r="F37" s="1" t="s">
        <v>3888</v>
      </c>
      <c r="G37" s="1" t="s">
        <v>2206</v>
      </c>
      <c r="H37" s="266">
        <v>134.90100000000001</v>
      </c>
      <c r="I37" s="48">
        <v>2.5990000000000002</v>
      </c>
      <c r="J37" s="48">
        <v>351.11</v>
      </c>
      <c r="K37" s="48" t="s">
        <v>3866</v>
      </c>
      <c r="L37" s="16">
        <f t="shared" si="3"/>
        <v>42356</v>
      </c>
      <c r="M37" s="16">
        <f t="shared" si="4"/>
        <v>42349</v>
      </c>
      <c r="N37" s="2">
        <f>MONTH(Table3[[#This Row],[Date]])</f>
        <v>12</v>
      </c>
      <c r="O37" s="2">
        <f t="shared" si="5"/>
        <v>2015</v>
      </c>
      <c r="P37" s="1"/>
      <c r="Q37" s="547"/>
      <c r="R37" s="547"/>
      <c r="S37" s="547"/>
      <c r="T37" s="297">
        <v>42549</v>
      </c>
      <c r="U37" s="3">
        <v>2.6989999999999998</v>
      </c>
      <c r="V37" s="3">
        <v>149.58000000000001</v>
      </c>
      <c r="W37" s="3">
        <v>403.66</v>
      </c>
      <c r="X37"/>
    </row>
    <row r="38" spans="1:24">
      <c r="A38" s="53">
        <v>42349</v>
      </c>
      <c r="B38" s="1">
        <v>6163050090</v>
      </c>
      <c r="C38" s="1">
        <v>4</v>
      </c>
      <c r="D38" s="1" t="s">
        <v>3896</v>
      </c>
      <c r="E38" s="1" t="s">
        <v>3897</v>
      </c>
      <c r="F38" s="1" t="s">
        <v>3902</v>
      </c>
      <c r="G38" s="1" t="s">
        <v>2206</v>
      </c>
      <c r="H38" s="266">
        <v>90.375</v>
      </c>
      <c r="I38" s="48">
        <v>2.6989999999999998</v>
      </c>
      <c r="J38" s="48">
        <v>244.42</v>
      </c>
      <c r="K38" s="48" t="s">
        <v>3866</v>
      </c>
      <c r="L38" s="16">
        <f t="shared" si="3"/>
        <v>42356</v>
      </c>
      <c r="M38" s="16">
        <f t="shared" si="4"/>
        <v>42349</v>
      </c>
      <c r="N38" s="2">
        <f>MONTH(Table3[[#This Row],[Date]])</f>
        <v>12</v>
      </c>
      <c r="O38" s="2">
        <f t="shared" si="5"/>
        <v>2015</v>
      </c>
      <c r="P38" s="1"/>
      <c r="Q38" s="547"/>
      <c r="R38" s="547"/>
      <c r="S38" s="547"/>
      <c r="T38" s="297">
        <v>42551</v>
      </c>
      <c r="U38" s="3">
        <v>2.899</v>
      </c>
      <c r="V38" s="3">
        <v>142.91999999999999</v>
      </c>
      <c r="W38" s="3">
        <v>401.96</v>
      </c>
      <c r="X38"/>
    </row>
    <row r="39" spans="1:24">
      <c r="A39" s="53">
        <v>42352</v>
      </c>
      <c r="B39" s="1">
        <v>6163050091</v>
      </c>
      <c r="C39" s="1">
        <v>4</v>
      </c>
      <c r="D39" s="1" t="s">
        <v>3896</v>
      </c>
      <c r="E39" s="1" t="s">
        <v>3897</v>
      </c>
      <c r="F39" s="1" t="s">
        <v>3903</v>
      </c>
      <c r="G39" s="1" t="s">
        <v>2206</v>
      </c>
      <c r="H39" s="266">
        <v>99.988</v>
      </c>
      <c r="I39" s="48">
        <v>2.5790000000000002</v>
      </c>
      <c r="J39" s="48">
        <v>192.73</v>
      </c>
      <c r="K39" s="48" t="s">
        <v>3866</v>
      </c>
      <c r="L39" s="16">
        <f t="shared" si="3"/>
        <v>42363</v>
      </c>
      <c r="M39" s="16">
        <f t="shared" si="4"/>
        <v>42356</v>
      </c>
      <c r="N39" s="2">
        <f>MONTH(Table3[[#This Row],[Date]])</f>
        <v>12</v>
      </c>
      <c r="O39" s="2">
        <f t="shared" si="5"/>
        <v>2015</v>
      </c>
      <c r="P39" s="1"/>
      <c r="Q39" s="547"/>
      <c r="R39" s="547"/>
      <c r="S39" s="547"/>
      <c r="T39" s="297">
        <v>42557</v>
      </c>
      <c r="U39" s="3">
        <v>2.379</v>
      </c>
      <c r="V39" s="3">
        <v>156.86000000000001</v>
      </c>
      <c r="W39" s="3">
        <v>357.98</v>
      </c>
      <c r="X39"/>
    </row>
    <row r="40" spans="1:24">
      <c r="A40" s="53">
        <v>42354</v>
      </c>
      <c r="B40" s="1">
        <v>6163050093</v>
      </c>
      <c r="C40" s="1">
        <v>4</v>
      </c>
      <c r="D40" s="1" t="s">
        <v>3896</v>
      </c>
      <c r="E40" s="1" t="s">
        <v>3897</v>
      </c>
      <c r="F40" s="1" t="s">
        <v>3904</v>
      </c>
      <c r="G40" s="1" t="s">
        <v>2233</v>
      </c>
      <c r="H40" s="266">
        <v>123.277</v>
      </c>
      <c r="I40" s="48">
        <v>2.5190000000000001</v>
      </c>
      <c r="J40" s="48">
        <v>310.52999999999997</v>
      </c>
      <c r="K40" s="48" t="s">
        <v>3866</v>
      </c>
      <c r="L40" s="16">
        <f t="shared" si="3"/>
        <v>42363</v>
      </c>
      <c r="M40" s="16">
        <f t="shared" si="4"/>
        <v>42356</v>
      </c>
      <c r="N40" s="2">
        <f>MONTH(Table3[[#This Row],[Date]])</f>
        <v>12</v>
      </c>
      <c r="O40" s="2">
        <f t="shared" si="5"/>
        <v>2015</v>
      </c>
      <c r="P40" s="1"/>
      <c r="Q40" s="547"/>
      <c r="R40" s="547"/>
      <c r="S40" s="547"/>
      <c r="T40" s="297">
        <v>42562</v>
      </c>
      <c r="U40" s="3">
        <v>2.7890000000000001</v>
      </c>
      <c r="V40" s="3">
        <v>137.75700000000001</v>
      </c>
      <c r="W40" s="3">
        <v>384.2</v>
      </c>
      <c r="X40"/>
    </row>
    <row r="41" spans="1:24">
      <c r="A41" s="53">
        <v>42355</v>
      </c>
      <c r="B41" s="1">
        <v>6163050094</v>
      </c>
      <c r="C41" s="1">
        <v>3</v>
      </c>
      <c r="D41" s="1" t="s">
        <v>3863</v>
      </c>
      <c r="E41" s="1" t="s">
        <v>3883</v>
      </c>
      <c r="F41" s="1" t="s">
        <v>3888</v>
      </c>
      <c r="G41" s="1" t="s">
        <v>2206</v>
      </c>
      <c r="H41" s="266">
        <v>156.63399999999999</v>
      </c>
      <c r="I41" s="48">
        <v>2.5590000000000002</v>
      </c>
      <c r="J41" s="48">
        <v>387.23</v>
      </c>
      <c r="K41" s="48" t="s">
        <v>3866</v>
      </c>
      <c r="L41" s="16">
        <f t="shared" si="3"/>
        <v>42363</v>
      </c>
      <c r="M41" s="16">
        <f t="shared" si="4"/>
        <v>42356</v>
      </c>
      <c r="N41" s="2">
        <f>MONTH(Table3[[#This Row],[Date]])</f>
        <v>12</v>
      </c>
      <c r="O41" s="2">
        <f t="shared" si="5"/>
        <v>2015</v>
      </c>
      <c r="P41" s="1"/>
      <c r="Q41" s="547"/>
      <c r="R41" s="547"/>
      <c r="S41" s="547"/>
      <c r="T41" s="297">
        <v>42563</v>
      </c>
      <c r="U41" s="3">
        <v>2.649</v>
      </c>
      <c r="V41" s="3">
        <v>65.525000000000006</v>
      </c>
      <c r="W41" s="3">
        <v>173.58</v>
      </c>
      <c r="X41"/>
    </row>
    <row r="42" spans="1:24">
      <c r="A42" s="53">
        <v>42356</v>
      </c>
      <c r="B42" s="1">
        <v>6163050095</v>
      </c>
      <c r="C42" s="1">
        <v>4</v>
      </c>
      <c r="D42" s="1" t="s">
        <v>3896</v>
      </c>
      <c r="E42" s="1" t="s">
        <v>3897</v>
      </c>
      <c r="F42" s="1" t="s">
        <v>3901</v>
      </c>
      <c r="G42" s="1" t="s">
        <v>2206</v>
      </c>
      <c r="H42" s="266">
        <v>126.488</v>
      </c>
      <c r="I42" s="48">
        <v>2.5590000000000002</v>
      </c>
      <c r="J42" s="48">
        <v>312.8</v>
      </c>
      <c r="K42" s="48" t="s">
        <v>3866</v>
      </c>
      <c r="L42" s="16">
        <f t="shared" si="3"/>
        <v>42363</v>
      </c>
      <c r="M42" s="16">
        <f t="shared" si="4"/>
        <v>42356</v>
      </c>
      <c r="N42" s="2">
        <f>MONTH(Table3[[#This Row],[Date]])</f>
        <v>12</v>
      </c>
      <c r="O42" s="2">
        <f t="shared" si="5"/>
        <v>2015</v>
      </c>
      <c r="P42" s="1"/>
      <c r="Q42" s="547"/>
      <c r="R42" s="547"/>
      <c r="S42" s="547"/>
      <c r="T42" s="297">
        <v>42569</v>
      </c>
      <c r="U42" s="3">
        <v>2.7690000000000001</v>
      </c>
      <c r="V42" s="3">
        <v>104.85</v>
      </c>
      <c r="W42" s="3">
        <v>290.33</v>
      </c>
      <c r="X42"/>
    </row>
    <row r="43" spans="1:24" s="48" customFormat="1">
      <c r="A43" s="53">
        <v>42360</v>
      </c>
      <c r="B43" s="1">
        <v>6163050097</v>
      </c>
      <c r="C43" s="1">
        <v>3</v>
      </c>
      <c r="D43" s="1" t="s">
        <v>3863</v>
      </c>
      <c r="E43" s="1" t="s">
        <v>3883</v>
      </c>
      <c r="F43" s="1" t="s">
        <v>3891</v>
      </c>
      <c r="G43" s="1" t="s">
        <v>2206</v>
      </c>
      <c r="H43" s="266">
        <v>117.536</v>
      </c>
      <c r="I43" s="48">
        <v>2.5590000000000002</v>
      </c>
      <c r="J43" s="48">
        <v>290.7</v>
      </c>
      <c r="K43" s="48" t="s">
        <v>3866</v>
      </c>
      <c r="L43" s="16">
        <f t="shared" si="3"/>
        <v>42370</v>
      </c>
      <c r="M43" s="16">
        <f t="shared" si="4"/>
        <v>42363</v>
      </c>
      <c r="N43" s="2">
        <f>MONTH(Table3[[#This Row],[Date]])</f>
        <v>12</v>
      </c>
      <c r="O43" s="2">
        <f t="shared" si="5"/>
        <v>2015</v>
      </c>
      <c r="Q43" s="547"/>
      <c r="R43" s="547"/>
      <c r="S43" s="547"/>
      <c r="T43" s="297">
        <v>42571</v>
      </c>
      <c r="U43" s="3">
        <v>2.7890000000000001</v>
      </c>
      <c r="V43" s="3">
        <v>100.21299999999999</v>
      </c>
      <c r="W43" s="3">
        <v>279.49</v>
      </c>
      <c r="X43"/>
    </row>
    <row r="44" spans="1:24" s="48" customFormat="1">
      <c r="A44" s="53">
        <v>42361</v>
      </c>
      <c r="B44" s="1">
        <v>6163050098</v>
      </c>
      <c r="C44" s="1">
        <v>4</v>
      </c>
      <c r="D44" s="1" t="s">
        <v>3896</v>
      </c>
      <c r="E44" s="1" t="s">
        <v>3897</v>
      </c>
      <c r="F44" s="1" t="s">
        <v>3906</v>
      </c>
      <c r="G44" s="1" t="s">
        <v>2206</v>
      </c>
      <c r="H44" s="266">
        <v>25.117999999999999</v>
      </c>
      <c r="I44" s="48">
        <v>2.5390000000000001</v>
      </c>
      <c r="J44" s="48">
        <v>47.46</v>
      </c>
      <c r="K44" s="48" t="s">
        <v>3866</v>
      </c>
      <c r="L44" s="16">
        <f t="shared" si="3"/>
        <v>42370</v>
      </c>
      <c r="M44" s="16">
        <f t="shared" si="4"/>
        <v>42363</v>
      </c>
      <c r="N44" s="2">
        <f>MONTH(Table3[[#This Row],[Date]])</f>
        <v>12</v>
      </c>
      <c r="O44" s="2">
        <f t="shared" si="5"/>
        <v>2015</v>
      </c>
      <c r="Q44" s="547"/>
      <c r="R44" s="547"/>
      <c r="S44" s="547" t="s">
        <v>3965</v>
      </c>
      <c r="T44" s="297">
        <v>42572</v>
      </c>
      <c r="U44" s="3">
        <v>0</v>
      </c>
      <c r="V44" s="3">
        <v>95.697999999999993</v>
      </c>
      <c r="W44" s="3">
        <v>258.86</v>
      </c>
      <c r="X44"/>
    </row>
    <row r="45" spans="1:24" s="48" customFormat="1">
      <c r="A45" s="53">
        <v>42366</v>
      </c>
      <c r="B45" s="1">
        <v>6163050101</v>
      </c>
      <c r="C45" s="1">
        <v>3</v>
      </c>
      <c r="D45" s="1" t="s">
        <v>3863</v>
      </c>
      <c r="E45" s="1" t="s">
        <v>3883</v>
      </c>
      <c r="F45" s="1" t="s">
        <v>3907</v>
      </c>
      <c r="G45" s="1" t="s">
        <v>2206</v>
      </c>
      <c r="H45" s="266">
        <v>120.23099999999999</v>
      </c>
      <c r="I45" s="48">
        <v>2.4990000000000001</v>
      </c>
      <c r="J45" s="48">
        <v>290.14</v>
      </c>
      <c r="K45" s="48" t="s">
        <v>3866</v>
      </c>
      <c r="L45" s="16">
        <f t="shared" si="3"/>
        <v>42377</v>
      </c>
      <c r="M45" s="16">
        <f t="shared" si="4"/>
        <v>42370</v>
      </c>
      <c r="N45" s="2">
        <f>MONTH(Table3[[#This Row],[Date]])</f>
        <v>12</v>
      </c>
      <c r="O45" s="2">
        <f t="shared" si="5"/>
        <v>2015</v>
      </c>
      <c r="Q45" s="547" t="s">
        <v>3905</v>
      </c>
      <c r="R45" s="547">
        <v>1</v>
      </c>
      <c r="S45" s="547" t="s">
        <v>2233</v>
      </c>
      <c r="T45" s="297">
        <v>42435</v>
      </c>
      <c r="U45" s="3">
        <v>2.129</v>
      </c>
      <c r="V45" s="3">
        <v>237.13499999999999</v>
      </c>
      <c r="W45" s="3">
        <v>504.86</v>
      </c>
      <c r="X45"/>
    </row>
    <row r="46" spans="1:24" s="48" customFormat="1">
      <c r="A46" s="53">
        <v>42366</v>
      </c>
      <c r="B46" s="1">
        <v>6163050101</v>
      </c>
      <c r="C46" s="1">
        <v>4</v>
      </c>
      <c r="D46" s="1" t="s">
        <v>3896</v>
      </c>
      <c r="E46" s="1" t="s">
        <v>3897</v>
      </c>
      <c r="F46" s="1" t="s">
        <v>3908</v>
      </c>
      <c r="G46" s="1" t="s">
        <v>2206</v>
      </c>
      <c r="H46" s="266">
        <v>161.33799999999999</v>
      </c>
      <c r="I46" s="48">
        <v>2.4990000000000001</v>
      </c>
      <c r="J46" s="48">
        <v>389.16</v>
      </c>
      <c r="K46" s="48" t="s">
        <v>3866</v>
      </c>
      <c r="L46" s="16">
        <f t="shared" si="3"/>
        <v>42377</v>
      </c>
      <c r="M46" s="16">
        <f t="shared" si="4"/>
        <v>42370</v>
      </c>
      <c r="N46" s="2">
        <f>MONTH(Table3[[#This Row],[Date]])</f>
        <v>12</v>
      </c>
      <c r="O46" s="2">
        <f t="shared" si="5"/>
        <v>2015</v>
      </c>
      <c r="Q46" s="547"/>
      <c r="R46" s="547"/>
      <c r="S46" s="547" t="s">
        <v>2373</v>
      </c>
      <c r="T46" s="297">
        <v>42438</v>
      </c>
      <c r="U46" s="3">
        <v>1.669</v>
      </c>
      <c r="V46" s="3">
        <v>235.39099999999999</v>
      </c>
      <c r="W46" s="3">
        <v>392.87</v>
      </c>
      <c r="X46"/>
    </row>
    <row r="47" spans="1:24" s="48" customFormat="1">
      <c r="A47" s="53">
        <v>42367</v>
      </c>
      <c r="B47" s="1">
        <v>6163050102</v>
      </c>
      <c r="C47" s="1">
        <v>3</v>
      </c>
      <c r="D47" s="1" t="s">
        <v>3863</v>
      </c>
      <c r="E47" s="1" t="s">
        <v>3883</v>
      </c>
      <c r="F47" s="1" t="s">
        <v>3888</v>
      </c>
      <c r="G47" s="1" t="s">
        <v>2206</v>
      </c>
      <c r="H47" s="266">
        <v>140.446</v>
      </c>
      <c r="I47" s="48">
        <v>2.4990000000000001</v>
      </c>
      <c r="J47" s="48">
        <v>338.83</v>
      </c>
      <c r="K47" s="48" t="s">
        <v>3866</v>
      </c>
      <c r="L47" s="16">
        <f t="shared" si="3"/>
        <v>42377</v>
      </c>
      <c r="M47" s="16">
        <f t="shared" si="4"/>
        <v>42370</v>
      </c>
      <c r="N47" s="2">
        <f>MONTH(Table3[[#This Row],[Date]])</f>
        <v>12</v>
      </c>
      <c r="O47" s="2">
        <f t="shared" si="5"/>
        <v>2015</v>
      </c>
      <c r="Q47" s="547" t="s">
        <v>3864</v>
      </c>
      <c r="R47" s="547">
        <v>2</v>
      </c>
      <c r="S47" s="547" t="s">
        <v>2206</v>
      </c>
      <c r="T47" s="297">
        <v>42236</v>
      </c>
      <c r="U47" s="3">
        <v>2.7989999999999999</v>
      </c>
      <c r="V47" s="3">
        <v>123.792</v>
      </c>
      <c r="W47" s="3">
        <v>346.49</v>
      </c>
      <c r="X47"/>
    </row>
    <row r="48" spans="1:24" s="48" customFormat="1">
      <c r="A48" s="53">
        <v>42373</v>
      </c>
      <c r="B48" s="1">
        <v>6163050106</v>
      </c>
      <c r="C48" s="1">
        <v>4</v>
      </c>
      <c r="D48" s="1" t="s">
        <v>3896</v>
      </c>
      <c r="E48" s="1" t="s">
        <v>3897</v>
      </c>
      <c r="F48" s="1" t="s">
        <v>3906</v>
      </c>
      <c r="G48" s="1" t="s">
        <v>2206</v>
      </c>
      <c r="H48" s="266">
        <v>139.126</v>
      </c>
      <c r="I48" s="48">
        <v>2.5390000000000001</v>
      </c>
      <c r="J48" s="48">
        <v>275.39999999999998</v>
      </c>
      <c r="K48" s="48" t="s">
        <v>3866</v>
      </c>
      <c r="L48" s="16">
        <f t="shared" si="3"/>
        <v>42384</v>
      </c>
      <c r="M48" s="16">
        <f t="shared" si="4"/>
        <v>42377</v>
      </c>
      <c r="N48" s="2">
        <f>MONTH(Table3[[#This Row],[Date]])</f>
        <v>1</v>
      </c>
      <c r="O48" s="2">
        <f t="shared" si="5"/>
        <v>2016</v>
      </c>
      <c r="Q48" s="547"/>
      <c r="R48" s="547"/>
      <c r="S48" s="547"/>
      <c r="T48" s="297">
        <v>42237</v>
      </c>
      <c r="U48" s="3">
        <v>2.7789999999999999</v>
      </c>
      <c r="V48" s="3">
        <v>72.494</v>
      </c>
      <c r="W48" s="3">
        <v>201.46</v>
      </c>
      <c r="X48"/>
    </row>
    <row r="49" spans="1:24">
      <c r="A49" s="53">
        <v>42373</v>
      </c>
      <c r="B49" s="1">
        <v>6163050106</v>
      </c>
      <c r="C49" s="1">
        <v>3</v>
      </c>
      <c r="D49" s="1" t="s">
        <v>3863</v>
      </c>
      <c r="E49" s="1" t="s">
        <v>3883</v>
      </c>
      <c r="F49" s="1" t="s">
        <v>3888</v>
      </c>
      <c r="G49" s="1" t="s">
        <v>2206</v>
      </c>
      <c r="H49" s="266">
        <v>120.34699999999999</v>
      </c>
      <c r="I49" s="48">
        <v>2.4990000000000001</v>
      </c>
      <c r="J49" s="48">
        <v>290.42</v>
      </c>
      <c r="K49" s="48" t="s">
        <v>3866</v>
      </c>
      <c r="L49" s="16">
        <f t="shared" si="3"/>
        <v>42384</v>
      </c>
      <c r="M49" s="16">
        <f t="shared" si="4"/>
        <v>42377</v>
      </c>
      <c r="N49" s="2">
        <f>MONTH(Table3[[#This Row],[Date]])</f>
        <v>1</v>
      </c>
      <c r="O49" s="2">
        <f t="shared" si="5"/>
        <v>2016</v>
      </c>
      <c r="P49" s="1"/>
      <c r="Q49" s="547"/>
      <c r="R49" s="547"/>
      <c r="S49" s="547"/>
      <c r="T49" s="297">
        <v>42240</v>
      </c>
      <c r="U49" s="3">
        <v>2.4790000000000001</v>
      </c>
      <c r="V49" s="3">
        <v>96.677000000000007</v>
      </c>
      <c r="W49" s="3">
        <v>239.66</v>
      </c>
      <c r="X49"/>
    </row>
    <row r="50" spans="1:24">
      <c r="A50" s="53">
        <v>42375</v>
      </c>
      <c r="B50" s="1">
        <v>6163050108</v>
      </c>
      <c r="C50" s="1">
        <v>3</v>
      </c>
      <c r="D50" s="1" t="s">
        <v>3863</v>
      </c>
      <c r="E50" s="1" t="s">
        <v>3883</v>
      </c>
      <c r="F50" s="1" t="s">
        <v>3888</v>
      </c>
      <c r="G50" s="1" t="s">
        <v>2206</v>
      </c>
      <c r="H50" s="266">
        <v>122.011</v>
      </c>
      <c r="I50" s="48">
        <v>2.4590000000000001</v>
      </c>
      <c r="J50" s="48">
        <v>289.54000000000002</v>
      </c>
      <c r="K50" s="48" t="s">
        <v>3866</v>
      </c>
      <c r="L50" s="16">
        <f t="shared" si="3"/>
        <v>42384</v>
      </c>
      <c r="M50" s="16">
        <f t="shared" si="4"/>
        <v>42377</v>
      </c>
      <c r="N50" s="2">
        <f>MONTH(Table3[[#This Row],[Date]])</f>
        <v>1</v>
      </c>
      <c r="O50" s="2">
        <f t="shared" si="5"/>
        <v>2016</v>
      </c>
      <c r="P50" s="1"/>
      <c r="Q50" s="547"/>
      <c r="R50" s="547"/>
      <c r="S50" s="547"/>
      <c r="T50" s="297">
        <v>42248</v>
      </c>
      <c r="U50" s="3">
        <v>2.6999</v>
      </c>
      <c r="V50" s="3">
        <v>80.911000000000001</v>
      </c>
      <c r="W50" s="3">
        <v>218.38</v>
      </c>
      <c r="X50"/>
    </row>
    <row r="51" spans="1:24">
      <c r="A51" s="53">
        <v>42376</v>
      </c>
      <c r="B51" s="1">
        <v>6163050109</v>
      </c>
      <c r="C51" s="1">
        <v>4</v>
      </c>
      <c r="D51" s="1" t="s">
        <v>3896</v>
      </c>
      <c r="E51" s="1" t="s">
        <v>3897</v>
      </c>
      <c r="F51" s="1" t="s">
        <v>3909</v>
      </c>
      <c r="G51" s="1" t="s">
        <v>2206</v>
      </c>
      <c r="H51" s="266">
        <v>159.53</v>
      </c>
      <c r="I51" s="48">
        <v>2.5390000000000001</v>
      </c>
      <c r="J51" s="48">
        <v>321.62</v>
      </c>
      <c r="K51" s="48" t="s">
        <v>3866</v>
      </c>
      <c r="L51" s="16">
        <f t="shared" si="3"/>
        <v>42384</v>
      </c>
      <c r="M51" s="16">
        <f t="shared" si="4"/>
        <v>42377</v>
      </c>
      <c r="N51" s="2">
        <f>MONTH(Table3[[#This Row],[Date]])</f>
        <v>1</v>
      </c>
      <c r="O51" s="2">
        <f t="shared" si="5"/>
        <v>2016</v>
      </c>
      <c r="P51" s="1"/>
      <c r="Q51" s="547"/>
      <c r="R51" s="547"/>
      <c r="S51" s="547"/>
      <c r="T51" s="297">
        <v>42249</v>
      </c>
      <c r="U51" s="3">
        <v>2.7989999999999999</v>
      </c>
      <c r="V51" s="3">
        <v>191.97800000000001</v>
      </c>
      <c r="W51" s="3">
        <v>537.35</v>
      </c>
      <c r="X51"/>
    </row>
    <row r="52" spans="1:24">
      <c r="A52" s="53">
        <v>42380</v>
      </c>
      <c r="B52" s="1">
        <v>6163050111</v>
      </c>
      <c r="C52" s="1">
        <v>4</v>
      </c>
      <c r="D52" s="1" t="s">
        <v>3896</v>
      </c>
      <c r="E52" s="1" t="s">
        <v>3897</v>
      </c>
      <c r="F52" s="1" t="s">
        <v>3909</v>
      </c>
      <c r="G52" s="1" t="s">
        <v>2206</v>
      </c>
      <c r="H52" s="266">
        <v>111.672</v>
      </c>
      <c r="I52" s="48">
        <v>2.4990000000000001</v>
      </c>
      <c r="J52" s="48">
        <v>218.03</v>
      </c>
      <c r="K52" s="48" t="s">
        <v>3866</v>
      </c>
      <c r="L52" s="16">
        <f t="shared" si="3"/>
        <v>42391</v>
      </c>
      <c r="M52" s="16">
        <f t="shared" si="4"/>
        <v>42384</v>
      </c>
      <c r="N52" s="2">
        <f>MONTH(Table3[[#This Row],[Date]])</f>
        <v>1</v>
      </c>
      <c r="O52" s="2">
        <f t="shared" si="5"/>
        <v>2016</v>
      </c>
      <c r="P52" s="1"/>
      <c r="Q52" s="547"/>
      <c r="R52" s="547"/>
      <c r="S52" s="547" t="s">
        <v>2233</v>
      </c>
      <c r="T52" s="297">
        <v>42242</v>
      </c>
      <c r="U52" s="3">
        <v>2.5289999999999999</v>
      </c>
      <c r="V52" s="3">
        <v>70.88</v>
      </c>
      <c r="W52" s="3">
        <v>179.26</v>
      </c>
      <c r="X52"/>
    </row>
    <row r="53" spans="1:24">
      <c r="A53" s="53">
        <v>42381</v>
      </c>
      <c r="B53" s="1">
        <v>6163050112</v>
      </c>
      <c r="C53" s="1">
        <v>3</v>
      </c>
      <c r="D53" s="1" t="s">
        <v>3863</v>
      </c>
      <c r="E53" s="1" t="s">
        <v>3883</v>
      </c>
      <c r="F53" s="1" t="s">
        <v>3910</v>
      </c>
      <c r="G53" s="1" t="s">
        <v>2206</v>
      </c>
      <c r="H53" s="266">
        <v>145.94399999999999</v>
      </c>
      <c r="I53" s="48">
        <v>2.399</v>
      </c>
      <c r="J53" s="48">
        <v>350.12</v>
      </c>
      <c r="K53" s="48" t="s">
        <v>3866</v>
      </c>
      <c r="L53" s="16">
        <f t="shared" si="3"/>
        <v>42391</v>
      </c>
      <c r="M53" s="16">
        <f t="shared" si="4"/>
        <v>42384</v>
      </c>
      <c r="N53" s="2">
        <f>MONTH(Table3[[#This Row],[Date]])</f>
        <v>1</v>
      </c>
      <c r="O53" s="2">
        <f t="shared" si="5"/>
        <v>2016</v>
      </c>
      <c r="P53" s="1"/>
      <c r="Q53" s="547"/>
      <c r="R53" s="547"/>
      <c r="S53" s="547"/>
      <c r="T53" s="297">
        <v>42251</v>
      </c>
      <c r="U53" s="3">
        <v>2.6890000000000001</v>
      </c>
      <c r="V53" s="3">
        <v>124.036</v>
      </c>
      <c r="W53" s="3">
        <v>333.5</v>
      </c>
      <c r="X53"/>
    </row>
    <row r="54" spans="1:24">
      <c r="A54" s="53">
        <v>42381</v>
      </c>
      <c r="B54" s="1">
        <v>6163050112</v>
      </c>
      <c r="C54" s="1">
        <v>4</v>
      </c>
      <c r="D54" s="1" t="s">
        <v>3896</v>
      </c>
      <c r="E54" s="1" t="s">
        <v>3897</v>
      </c>
      <c r="F54" s="1" t="s">
        <v>3911</v>
      </c>
      <c r="G54" s="1" t="s">
        <v>2206</v>
      </c>
      <c r="H54" s="266">
        <v>143.54</v>
      </c>
      <c r="I54" s="48">
        <v>2.3490000000000002</v>
      </c>
      <c r="J54" s="48">
        <v>337.18</v>
      </c>
      <c r="K54" s="48" t="s">
        <v>3866</v>
      </c>
      <c r="L54" s="16">
        <f t="shared" si="3"/>
        <v>42391</v>
      </c>
      <c r="M54" s="16">
        <f t="shared" si="4"/>
        <v>42384</v>
      </c>
      <c r="N54" s="2">
        <f>MONTH(Table3[[#This Row],[Date]])</f>
        <v>1</v>
      </c>
      <c r="O54" s="2">
        <f t="shared" si="5"/>
        <v>2016</v>
      </c>
      <c r="P54" s="1"/>
      <c r="Q54" s="547"/>
      <c r="R54" s="547"/>
      <c r="S54" s="547"/>
      <c r="T54" s="297">
        <v>42253</v>
      </c>
      <c r="U54" s="3">
        <v>2.629</v>
      </c>
      <c r="V54" s="3">
        <v>100.672</v>
      </c>
      <c r="W54" s="3">
        <v>264.67</v>
      </c>
      <c r="X54"/>
    </row>
    <row r="55" spans="1:24">
      <c r="A55" s="53">
        <v>42382</v>
      </c>
      <c r="B55" s="1">
        <v>6163050113</v>
      </c>
      <c r="C55" s="1">
        <v>3</v>
      </c>
      <c r="D55" s="1" t="s">
        <v>3863</v>
      </c>
      <c r="E55" s="1" t="s">
        <v>3883</v>
      </c>
      <c r="F55" s="1" t="s">
        <v>3912</v>
      </c>
      <c r="G55" s="1" t="s">
        <v>2206</v>
      </c>
      <c r="H55" s="266">
        <v>196.124</v>
      </c>
      <c r="I55" s="48">
        <v>1.9990000000000001</v>
      </c>
      <c r="J55" s="48">
        <v>392.05</v>
      </c>
      <c r="K55" s="48" t="s">
        <v>3866</v>
      </c>
      <c r="L55" s="16">
        <f t="shared" si="3"/>
        <v>42391</v>
      </c>
      <c r="M55" s="16">
        <f t="shared" si="4"/>
        <v>42384</v>
      </c>
      <c r="N55" s="2">
        <f>MONTH(Table3[[#This Row],[Date]])</f>
        <v>1</v>
      </c>
      <c r="O55" s="2">
        <f t="shared" si="5"/>
        <v>2016</v>
      </c>
      <c r="P55" s="1"/>
      <c r="Q55" s="547"/>
      <c r="R55" s="547"/>
      <c r="S55" s="547" t="s">
        <v>3804</v>
      </c>
      <c r="T55" s="297">
        <v>42252</v>
      </c>
      <c r="U55" s="3">
        <v>2.629</v>
      </c>
      <c r="V55" s="3">
        <v>92.375</v>
      </c>
      <c r="W55" s="3">
        <v>242.85</v>
      </c>
      <c r="X55"/>
    </row>
    <row r="56" spans="1:24">
      <c r="A56" s="53">
        <v>42384</v>
      </c>
      <c r="B56" s="1">
        <v>6163050115</v>
      </c>
      <c r="C56" s="1">
        <v>4</v>
      </c>
      <c r="D56" s="1" t="s">
        <v>3896</v>
      </c>
      <c r="E56" s="1" t="s">
        <v>3897</v>
      </c>
      <c r="F56" s="1" t="s">
        <v>3913</v>
      </c>
      <c r="G56" s="1" t="s">
        <v>2206</v>
      </c>
      <c r="H56" s="266">
        <v>135.428</v>
      </c>
      <c r="I56" s="48">
        <v>2.4390000000000001</v>
      </c>
      <c r="J56" s="48">
        <v>254.93</v>
      </c>
      <c r="K56" s="48" t="s">
        <v>3866</v>
      </c>
      <c r="L56" s="16">
        <f t="shared" si="3"/>
        <v>42391</v>
      </c>
      <c r="M56" s="16">
        <f t="shared" si="4"/>
        <v>42384</v>
      </c>
      <c r="N56" s="2">
        <f>MONTH(Table3[[#This Row],[Date]])</f>
        <v>1</v>
      </c>
      <c r="O56" s="2">
        <f t="shared" si="5"/>
        <v>2016</v>
      </c>
      <c r="P56" s="1"/>
      <c r="Q56" s="547" t="s">
        <v>3897</v>
      </c>
      <c r="R56" s="547">
        <v>1</v>
      </c>
      <c r="S56" s="547" t="s">
        <v>2206</v>
      </c>
      <c r="T56" s="297">
        <v>42446</v>
      </c>
      <c r="U56" s="3">
        <v>2.339</v>
      </c>
      <c r="V56" s="3">
        <v>205.22</v>
      </c>
      <c r="W56" s="3">
        <v>424.77</v>
      </c>
      <c r="X56"/>
    </row>
    <row r="57" spans="1:24">
      <c r="A57" s="53">
        <v>42388</v>
      </c>
      <c r="B57" s="1">
        <v>6163050117</v>
      </c>
      <c r="C57" s="1">
        <v>3</v>
      </c>
      <c r="D57" s="1" t="s">
        <v>3863</v>
      </c>
      <c r="E57" s="1" t="s">
        <v>3883</v>
      </c>
      <c r="F57" s="1" t="s">
        <v>3914</v>
      </c>
      <c r="G57" s="1" t="s">
        <v>2206</v>
      </c>
      <c r="H57" s="266">
        <v>146.63399999999999</v>
      </c>
      <c r="I57" s="48">
        <v>2.399</v>
      </c>
      <c r="J57" s="48">
        <v>339.08</v>
      </c>
      <c r="K57" s="48" t="s">
        <v>3866</v>
      </c>
      <c r="L57" s="16">
        <f t="shared" si="3"/>
        <v>42398</v>
      </c>
      <c r="M57" s="16">
        <f t="shared" si="4"/>
        <v>42391</v>
      </c>
      <c r="N57" s="2">
        <f>MONTH(Table3[[#This Row],[Date]])</f>
        <v>1</v>
      </c>
      <c r="O57" s="2">
        <f t="shared" si="5"/>
        <v>2016</v>
      </c>
      <c r="P57" s="1"/>
      <c r="Q57" s="547"/>
      <c r="R57" s="547"/>
      <c r="S57" s="547"/>
      <c r="T57" s="297">
        <v>42451</v>
      </c>
      <c r="U57" s="3">
        <v>2.379</v>
      </c>
      <c r="V57" s="3">
        <v>112.709</v>
      </c>
      <c r="W57" s="3">
        <v>268.13</v>
      </c>
      <c r="X57"/>
    </row>
    <row r="58" spans="1:24">
      <c r="A58" s="53">
        <v>42389</v>
      </c>
      <c r="B58" s="1">
        <v>6163050118</v>
      </c>
      <c r="C58" s="1">
        <v>3</v>
      </c>
      <c r="D58" s="1" t="s">
        <v>3863</v>
      </c>
      <c r="E58" s="1" t="s">
        <v>3883</v>
      </c>
      <c r="F58" s="1" t="s">
        <v>3915</v>
      </c>
      <c r="G58" s="1" t="s">
        <v>3916</v>
      </c>
      <c r="H58" s="266">
        <v>58.957999999999998</v>
      </c>
      <c r="I58" s="48">
        <v>2.0489999999999999</v>
      </c>
      <c r="J58" s="48">
        <v>176.13</v>
      </c>
      <c r="K58" s="48" t="s">
        <v>3866</v>
      </c>
      <c r="L58" s="16">
        <f t="shared" si="3"/>
        <v>42398</v>
      </c>
      <c r="M58" s="16">
        <f t="shared" si="4"/>
        <v>42391</v>
      </c>
      <c r="N58" s="2">
        <f>MONTH(Table3[[#This Row],[Date]])</f>
        <v>1</v>
      </c>
      <c r="O58" s="2">
        <f t="shared" si="5"/>
        <v>2016</v>
      </c>
      <c r="P58" s="1"/>
      <c r="Q58" s="547"/>
      <c r="R58" s="547"/>
      <c r="S58" s="547"/>
      <c r="T58" s="297">
        <v>42453</v>
      </c>
      <c r="U58" s="3">
        <v>2.4990000000000001</v>
      </c>
      <c r="V58" s="3">
        <v>146.90600000000001</v>
      </c>
      <c r="W58" s="3">
        <v>354.4</v>
      </c>
      <c r="X58"/>
    </row>
    <row r="59" spans="1:24">
      <c r="A59" s="53">
        <v>42389</v>
      </c>
      <c r="B59" s="1">
        <v>6163050118</v>
      </c>
      <c r="C59" s="1">
        <v>4</v>
      </c>
      <c r="D59" s="1" t="s">
        <v>3896</v>
      </c>
      <c r="E59" s="1" t="s">
        <v>3897</v>
      </c>
      <c r="F59" s="1" t="s">
        <v>3906</v>
      </c>
      <c r="G59" s="1" t="s">
        <v>2206</v>
      </c>
      <c r="H59" s="266">
        <v>361.21</v>
      </c>
      <c r="I59" s="48">
        <v>2.4390000000000001</v>
      </c>
      <c r="J59" s="48">
        <v>270.08</v>
      </c>
      <c r="K59" s="48" t="s">
        <v>3866</v>
      </c>
      <c r="L59" s="16">
        <f t="shared" si="3"/>
        <v>42398</v>
      </c>
      <c r="M59" s="16">
        <f t="shared" si="4"/>
        <v>42391</v>
      </c>
      <c r="N59" s="2">
        <f>MONTH(Table3[[#This Row],[Date]])</f>
        <v>1</v>
      </c>
      <c r="O59" s="2">
        <f t="shared" si="5"/>
        <v>2016</v>
      </c>
      <c r="P59" s="1"/>
      <c r="Q59" s="547"/>
      <c r="R59" s="547"/>
      <c r="S59" s="547"/>
      <c r="T59" s="297">
        <v>42458</v>
      </c>
      <c r="U59" s="3">
        <v>2.2589999999999999</v>
      </c>
      <c r="V59" s="3">
        <v>112.959</v>
      </c>
      <c r="W59" s="3">
        <v>245.51</v>
      </c>
      <c r="X59"/>
    </row>
    <row r="60" spans="1:24">
      <c r="A60" s="53">
        <v>42391</v>
      </c>
      <c r="B60" s="1">
        <v>6163050120</v>
      </c>
      <c r="C60" s="1">
        <v>4</v>
      </c>
      <c r="D60" s="1" t="s">
        <v>3896</v>
      </c>
      <c r="E60" s="1" t="s">
        <v>3897</v>
      </c>
      <c r="F60" s="1" t="s">
        <v>3913</v>
      </c>
      <c r="G60" s="1" t="s">
        <v>2206</v>
      </c>
      <c r="H60" s="266">
        <v>139.90799999999999</v>
      </c>
      <c r="I60" s="48">
        <v>2.399</v>
      </c>
      <c r="J60" s="48">
        <v>247.75</v>
      </c>
      <c r="K60" s="48" t="s">
        <v>3866</v>
      </c>
      <c r="L60" s="16">
        <f t="shared" si="3"/>
        <v>42398</v>
      </c>
      <c r="M60" s="16">
        <f t="shared" si="4"/>
        <v>42391</v>
      </c>
      <c r="N60" s="2">
        <f>MONTH(Table3[[#This Row],[Date]])</f>
        <v>1</v>
      </c>
      <c r="O60" s="2">
        <f t="shared" si="5"/>
        <v>2016</v>
      </c>
      <c r="P60" s="1"/>
      <c r="Q60" s="547"/>
      <c r="R60" s="547"/>
      <c r="S60" s="547"/>
      <c r="T60" s="297">
        <v>42466</v>
      </c>
      <c r="U60" s="3">
        <v>2.339</v>
      </c>
      <c r="V60" s="3">
        <v>85.552999999999997</v>
      </c>
      <c r="W60" s="3">
        <v>192.91</v>
      </c>
      <c r="X60"/>
    </row>
    <row r="61" spans="1:24">
      <c r="A61" s="53">
        <v>42394</v>
      </c>
      <c r="B61" s="1">
        <v>6163050121</v>
      </c>
      <c r="C61" s="1">
        <v>3</v>
      </c>
      <c r="D61" s="1" t="s">
        <v>3863</v>
      </c>
      <c r="E61" s="1" t="s">
        <v>3883</v>
      </c>
      <c r="F61" s="1" t="s">
        <v>3913</v>
      </c>
      <c r="G61" s="1" t="s">
        <v>2206</v>
      </c>
      <c r="H61" s="266">
        <v>234.28899999999999</v>
      </c>
      <c r="I61" s="48">
        <v>2.399</v>
      </c>
      <c r="J61" s="48">
        <v>450.51</v>
      </c>
      <c r="K61" s="48" t="s">
        <v>3866</v>
      </c>
      <c r="L61" s="16">
        <f t="shared" si="3"/>
        <v>42405</v>
      </c>
      <c r="M61" s="16">
        <f t="shared" si="4"/>
        <v>42398</v>
      </c>
      <c r="N61" s="2">
        <f>MONTH(Table3[[#This Row],[Date]])</f>
        <v>1</v>
      </c>
      <c r="O61" s="2">
        <f t="shared" si="5"/>
        <v>2016</v>
      </c>
      <c r="P61" s="1"/>
      <c r="Q61" s="547"/>
      <c r="R61" s="547"/>
      <c r="S61" s="547"/>
      <c r="T61" s="297">
        <v>42472</v>
      </c>
      <c r="U61" s="3">
        <v>2.339</v>
      </c>
      <c r="V61" s="3">
        <v>145.661</v>
      </c>
      <c r="W61" s="3">
        <v>310.52999999999997</v>
      </c>
      <c r="X61"/>
    </row>
    <row r="62" spans="1:24">
      <c r="A62" s="53">
        <v>42401</v>
      </c>
      <c r="B62" s="1">
        <v>6163050125</v>
      </c>
      <c r="C62" s="1">
        <v>4</v>
      </c>
      <c r="D62" s="1" t="s">
        <v>3896</v>
      </c>
      <c r="E62" s="1" t="s">
        <v>3897</v>
      </c>
      <c r="F62" s="1" t="s">
        <v>3913</v>
      </c>
      <c r="G62" s="1" t="s">
        <v>2206</v>
      </c>
      <c r="H62" s="266">
        <v>91.983999999999995</v>
      </c>
      <c r="I62" s="48">
        <v>2.37</v>
      </c>
      <c r="J62" s="48">
        <v>175.02</v>
      </c>
      <c r="K62" s="48" t="s">
        <v>3866</v>
      </c>
      <c r="L62" s="16">
        <f t="shared" si="3"/>
        <v>42412</v>
      </c>
      <c r="M62" s="16">
        <f t="shared" si="4"/>
        <v>42405</v>
      </c>
      <c r="N62" s="2">
        <f>MONTH(Table3[[#This Row],[Date]])</f>
        <v>2</v>
      </c>
      <c r="O62" s="2">
        <f t="shared" si="5"/>
        <v>2016</v>
      </c>
      <c r="P62" s="1"/>
      <c r="Q62" s="547"/>
      <c r="R62" s="547"/>
      <c r="S62" s="547"/>
      <c r="T62" s="297">
        <v>42478</v>
      </c>
      <c r="U62" s="3">
        <v>2.399</v>
      </c>
      <c r="V62" s="3">
        <v>68.787000000000006</v>
      </c>
      <c r="W62" s="3">
        <v>159.33000000000001</v>
      </c>
      <c r="X62"/>
    </row>
    <row r="63" spans="1:24">
      <c r="A63" s="53">
        <v>42401</v>
      </c>
      <c r="B63" s="1">
        <v>6163050126</v>
      </c>
      <c r="C63" s="1">
        <v>3</v>
      </c>
      <c r="D63" s="1" t="s">
        <v>3863</v>
      </c>
      <c r="E63" s="1" t="s">
        <v>3883</v>
      </c>
      <c r="F63" s="1" t="s">
        <v>3917</v>
      </c>
      <c r="G63" s="1" t="s">
        <v>2206</v>
      </c>
      <c r="H63" s="266">
        <v>208.18199999999999</v>
      </c>
      <c r="I63" s="48">
        <v>2.37</v>
      </c>
      <c r="J63" s="48">
        <v>495.26</v>
      </c>
      <c r="K63" s="48" t="s">
        <v>3866</v>
      </c>
      <c r="L63" s="16">
        <f t="shared" si="3"/>
        <v>42412</v>
      </c>
      <c r="M63" s="16">
        <f t="shared" si="4"/>
        <v>42405</v>
      </c>
      <c r="N63" s="2">
        <f>MONTH(Table3[[#This Row],[Date]])</f>
        <v>2</v>
      </c>
      <c r="O63" s="2">
        <f t="shared" si="5"/>
        <v>2016</v>
      </c>
      <c r="P63" s="1"/>
      <c r="Q63" s="547"/>
      <c r="R63" s="547"/>
      <c r="S63" s="547"/>
      <c r="T63" s="297">
        <v>42485</v>
      </c>
      <c r="U63" s="3">
        <v>2.1389999999999998</v>
      </c>
      <c r="V63" s="3">
        <v>101.369</v>
      </c>
      <c r="W63" s="3">
        <v>207.19</v>
      </c>
      <c r="X63"/>
    </row>
    <row r="64" spans="1:24">
      <c r="A64" s="53">
        <v>42403</v>
      </c>
      <c r="B64" s="1">
        <v>6163050128</v>
      </c>
      <c r="C64" s="1">
        <v>3</v>
      </c>
      <c r="D64" s="1" t="s">
        <v>3863</v>
      </c>
      <c r="E64" s="1" t="s">
        <v>3883</v>
      </c>
      <c r="F64" s="1" t="s">
        <v>3918</v>
      </c>
      <c r="G64" s="1" t="s">
        <v>2206</v>
      </c>
      <c r="H64" s="266">
        <v>184.32599999999999</v>
      </c>
      <c r="I64" s="48">
        <v>2.359</v>
      </c>
      <c r="J64" s="48">
        <v>418.76</v>
      </c>
      <c r="K64" s="48" t="s">
        <v>3866</v>
      </c>
      <c r="L64" s="16">
        <f t="shared" si="3"/>
        <v>42412</v>
      </c>
      <c r="M64" s="16">
        <f t="shared" si="4"/>
        <v>42405</v>
      </c>
      <c r="N64" s="2">
        <f>MONTH(Table3[[#This Row],[Date]])</f>
        <v>2</v>
      </c>
      <c r="O64" s="2">
        <f t="shared" si="5"/>
        <v>2016</v>
      </c>
      <c r="P64" s="1"/>
      <c r="Q64" s="547"/>
      <c r="R64" s="547"/>
      <c r="S64" s="547"/>
      <c r="T64" s="297">
        <v>42487</v>
      </c>
      <c r="U64" s="3">
        <v>2.1589999999999998</v>
      </c>
      <c r="V64" s="3">
        <v>168.131</v>
      </c>
      <c r="W64" s="3">
        <v>346.68</v>
      </c>
      <c r="X64"/>
    </row>
    <row r="65" spans="1:24">
      <c r="A65" s="53">
        <v>42403</v>
      </c>
      <c r="B65" s="1">
        <v>6163050128</v>
      </c>
      <c r="C65" s="1">
        <v>4</v>
      </c>
      <c r="D65" s="1" t="s">
        <v>3896</v>
      </c>
      <c r="E65" s="1" t="s">
        <v>3897</v>
      </c>
      <c r="F65" s="1" t="s">
        <v>3919</v>
      </c>
      <c r="G65" s="1" t="s">
        <v>2206</v>
      </c>
      <c r="H65" s="266">
        <v>109.82899999999999</v>
      </c>
      <c r="I65" s="48">
        <v>2.3889999999999998</v>
      </c>
      <c r="J65" s="48">
        <v>262.38</v>
      </c>
      <c r="K65" s="48" t="s">
        <v>3866</v>
      </c>
      <c r="L65" s="16">
        <f t="shared" si="3"/>
        <v>42412</v>
      </c>
      <c r="M65" s="16">
        <f t="shared" si="4"/>
        <v>42405</v>
      </c>
      <c r="N65" s="2">
        <f>MONTH(Table3[[#This Row],[Date]])</f>
        <v>2</v>
      </c>
      <c r="O65" s="2">
        <f t="shared" si="5"/>
        <v>2016</v>
      </c>
      <c r="P65" s="1"/>
      <c r="Q65" s="547"/>
      <c r="R65" s="547"/>
      <c r="S65" s="547"/>
      <c r="T65" s="297">
        <v>42492</v>
      </c>
      <c r="U65" s="3">
        <v>2.2989999999999999</v>
      </c>
      <c r="V65" s="3">
        <v>159.923</v>
      </c>
      <c r="W65" s="3">
        <v>352.17</v>
      </c>
      <c r="X65"/>
    </row>
    <row r="66" spans="1:24">
      <c r="A66" s="53">
        <v>42409</v>
      </c>
      <c r="B66" s="1">
        <v>6163050132</v>
      </c>
      <c r="C66" s="1">
        <v>4</v>
      </c>
      <c r="D66" s="1" t="s">
        <v>3896</v>
      </c>
      <c r="E66" s="1" t="s">
        <v>3897</v>
      </c>
      <c r="F66" s="1" t="s">
        <v>3919</v>
      </c>
      <c r="G66" s="1" t="s">
        <v>2206</v>
      </c>
      <c r="H66" s="266">
        <v>150.18</v>
      </c>
      <c r="I66" s="48">
        <v>2.359</v>
      </c>
      <c r="J66" s="48">
        <v>353.89</v>
      </c>
      <c r="K66" s="48" t="s">
        <v>3866</v>
      </c>
      <c r="L66" s="16">
        <f t="shared" ref="L66:L97" si="6">((5-WEEKDAY(A66,2))+A66)+7</f>
        <v>42419</v>
      </c>
      <c r="M66" s="16">
        <f t="shared" ref="M66:M97" si="7">(5-WEEKDAY(A66,2))+A66</f>
        <v>42412</v>
      </c>
      <c r="N66" s="2">
        <f>MONTH(Table3[[#This Row],[Date]])</f>
        <v>2</v>
      </c>
      <c r="O66" s="2">
        <f t="shared" ref="O66:O97" si="8">YEAR(A66)</f>
        <v>2016</v>
      </c>
      <c r="P66" s="1"/>
      <c r="Q66" s="547"/>
      <c r="R66" s="547"/>
      <c r="S66" s="547"/>
      <c r="T66" s="297">
        <v>42499</v>
      </c>
      <c r="U66" s="3">
        <v>2.2989999999999999</v>
      </c>
      <c r="V66" s="3">
        <v>127.379</v>
      </c>
      <c r="W66" s="3">
        <v>280.61</v>
      </c>
      <c r="X66"/>
    </row>
    <row r="67" spans="1:24">
      <c r="A67" s="53">
        <v>42411</v>
      </c>
      <c r="B67" s="1">
        <v>6163050134</v>
      </c>
      <c r="C67" s="1">
        <v>3</v>
      </c>
      <c r="D67" s="1" t="s">
        <v>3863</v>
      </c>
      <c r="E67" s="1" t="s">
        <v>3883</v>
      </c>
      <c r="F67" s="1" t="s">
        <v>3906</v>
      </c>
      <c r="G67" s="1" t="s">
        <v>2206</v>
      </c>
      <c r="H67" s="266">
        <v>212.48</v>
      </c>
      <c r="I67" s="48">
        <v>2.359</v>
      </c>
      <c r="J67" s="48">
        <v>381.77</v>
      </c>
      <c r="K67" s="48" t="s">
        <v>3866</v>
      </c>
      <c r="L67" s="16">
        <f t="shared" si="6"/>
        <v>42419</v>
      </c>
      <c r="M67" s="16">
        <f t="shared" si="7"/>
        <v>42412</v>
      </c>
      <c r="N67" s="2">
        <f>MONTH(Table3[[#This Row],[Date]])</f>
        <v>2</v>
      </c>
      <c r="O67" s="2">
        <f t="shared" si="8"/>
        <v>2016</v>
      </c>
      <c r="P67" s="1"/>
      <c r="Q67" s="547"/>
      <c r="R67" s="547"/>
      <c r="S67" s="547"/>
      <c r="T67" s="297">
        <v>42505</v>
      </c>
      <c r="U67" s="3">
        <v>2.6989999999999998</v>
      </c>
      <c r="V67" s="3">
        <v>159.93199999999999</v>
      </c>
      <c r="W67" s="3">
        <v>417.76</v>
      </c>
      <c r="X67"/>
    </row>
    <row r="68" spans="1:24">
      <c r="A68" s="53">
        <v>42416</v>
      </c>
      <c r="B68" s="1">
        <v>6163050137</v>
      </c>
      <c r="C68" s="1">
        <v>4</v>
      </c>
      <c r="D68" s="1" t="s">
        <v>3896</v>
      </c>
      <c r="E68" s="1" t="s">
        <v>3920</v>
      </c>
      <c r="F68" s="1" t="s">
        <v>3906</v>
      </c>
      <c r="G68" s="1" t="s">
        <v>2206</v>
      </c>
      <c r="H68" s="266">
        <v>194.65899999999999</v>
      </c>
      <c r="I68" s="48">
        <v>2.2989999999999999</v>
      </c>
      <c r="J68" s="48">
        <v>370.32</v>
      </c>
      <c r="K68" s="48" t="s">
        <v>3866</v>
      </c>
      <c r="L68" s="16">
        <f t="shared" si="6"/>
        <v>42426</v>
      </c>
      <c r="M68" s="16">
        <f t="shared" si="7"/>
        <v>42419</v>
      </c>
      <c r="N68" s="2">
        <f>MONTH(Table3[[#This Row],[Date]])</f>
        <v>2</v>
      </c>
      <c r="O68" s="2">
        <f t="shared" si="8"/>
        <v>2016</v>
      </c>
      <c r="P68" s="1"/>
      <c r="Q68" s="547"/>
      <c r="R68" s="547"/>
      <c r="S68" s="547"/>
      <c r="T68" s="297">
        <v>42508</v>
      </c>
      <c r="U68" s="3">
        <v>2.7490000000000001</v>
      </c>
      <c r="V68" s="3">
        <v>144.37100000000001</v>
      </c>
      <c r="W68" s="3">
        <v>396.88</v>
      </c>
      <c r="X68"/>
    </row>
    <row r="69" spans="1:24">
      <c r="A69" s="53">
        <v>42417</v>
      </c>
      <c r="B69" s="1">
        <v>6163050138</v>
      </c>
      <c r="C69" s="1">
        <v>4</v>
      </c>
      <c r="D69" s="1" t="s">
        <v>3896</v>
      </c>
      <c r="E69" s="1" t="s">
        <v>3920</v>
      </c>
      <c r="F69" s="1" t="s">
        <v>3898</v>
      </c>
      <c r="G69" s="1" t="s">
        <v>2233</v>
      </c>
      <c r="H69" s="266">
        <v>62.847999999999999</v>
      </c>
      <c r="I69" s="48">
        <v>2.0990000000000002</v>
      </c>
      <c r="J69" s="48">
        <v>131.91999999999999</v>
      </c>
      <c r="K69" s="48" t="s">
        <v>3866</v>
      </c>
      <c r="L69" s="16">
        <f t="shared" si="6"/>
        <v>42426</v>
      </c>
      <c r="M69" s="16">
        <f t="shared" si="7"/>
        <v>42419</v>
      </c>
      <c r="N69" s="2">
        <f>MONTH(Table3[[#This Row],[Date]])</f>
        <v>2</v>
      </c>
      <c r="O69" s="2">
        <f t="shared" si="8"/>
        <v>2016</v>
      </c>
      <c r="P69" s="1"/>
      <c r="Q69" s="547"/>
      <c r="R69" s="547"/>
      <c r="S69" s="547"/>
      <c r="T69" s="297">
        <v>42512</v>
      </c>
      <c r="U69" s="3">
        <v>2.7589999999999999</v>
      </c>
      <c r="V69" s="3">
        <v>99.085999999999999</v>
      </c>
      <c r="W69" s="3">
        <v>264.95999999999998</v>
      </c>
      <c r="X69"/>
    </row>
    <row r="70" spans="1:24">
      <c r="A70" s="53">
        <v>42418</v>
      </c>
      <c r="B70" s="1">
        <v>6163050139</v>
      </c>
      <c r="C70" s="1">
        <v>3</v>
      </c>
      <c r="D70" s="1" t="s">
        <v>3863</v>
      </c>
      <c r="E70" s="1" t="s">
        <v>3883</v>
      </c>
      <c r="F70" s="1" t="s">
        <v>3909</v>
      </c>
      <c r="G70" s="1" t="s">
        <v>2206</v>
      </c>
      <c r="H70" s="266">
        <v>88.010999999999996</v>
      </c>
      <c r="I70" s="315">
        <v>2.2989999999999999</v>
      </c>
      <c r="J70" s="315">
        <v>163.72</v>
      </c>
      <c r="K70" s="48" t="s">
        <v>3866</v>
      </c>
      <c r="L70" s="317">
        <f t="shared" si="6"/>
        <v>42426</v>
      </c>
      <c r="M70" s="317">
        <f t="shared" si="7"/>
        <v>42419</v>
      </c>
      <c r="N70" s="318">
        <f>MONTH(Table3[[#This Row],[Date]])</f>
        <v>2</v>
      </c>
      <c r="O70" s="318">
        <f t="shared" si="8"/>
        <v>2016</v>
      </c>
      <c r="P70" s="1"/>
      <c r="Q70" s="547"/>
      <c r="R70" s="547"/>
      <c r="S70" s="547"/>
      <c r="T70" s="297">
        <v>42514</v>
      </c>
      <c r="U70" s="3">
        <v>2.7589999999999999</v>
      </c>
      <c r="V70" s="3">
        <v>111.209</v>
      </c>
      <c r="W70" s="3">
        <v>297.32</v>
      </c>
      <c r="X70"/>
    </row>
    <row r="71" spans="1:24">
      <c r="A71" s="53">
        <v>42419</v>
      </c>
      <c r="B71" s="1">
        <v>6163050140</v>
      </c>
      <c r="C71" s="1">
        <v>4</v>
      </c>
      <c r="D71" s="1" t="s">
        <v>3896</v>
      </c>
      <c r="E71" s="1" t="s">
        <v>3920</v>
      </c>
      <c r="F71" s="1" t="s">
        <v>3921</v>
      </c>
      <c r="G71" s="1" t="s">
        <v>2206</v>
      </c>
      <c r="H71" s="266">
        <v>55.328000000000003</v>
      </c>
      <c r="I71" s="315">
        <v>2.2989999999999999</v>
      </c>
      <c r="J71" s="315">
        <v>127.2</v>
      </c>
      <c r="K71" s="48" t="s">
        <v>3866</v>
      </c>
      <c r="L71" s="317">
        <f t="shared" si="6"/>
        <v>42426</v>
      </c>
      <c r="M71" s="317">
        <f t="shared" si="7"/>
        <v>42419</v>
      </c>
      <c r="N71" s="318">
        <f>MONTH(Table3[[#This Row],[Date]])</f>
        <v>2</v>
      </c>
      <c r="O71" s="318">
        <f t="shared" si="8"/>
        <v>2016</v>
      </c>
      <c r="P71" s="1"/>
      <c r="Q71" s="547"/>
      <c r="R71" s="547"/>
      <c r="S71" s="547"/>
      <c r="T71" s="297">
        <v>42519</v>
      </c>
      <c r="U71" s="3">
        <v>2.7589999999999999</v>
      </c>
      <c r="V71" s="3">
        <v>152.166</v>
      </c>
      <c r="W71" s="3">
        <v>406.63</v>
      </c>
      <c r="X71"/>
    </row>
    <row r="72" spans="1:24">
      <c r="A72" s="53">
        <v>42419</v>
      </c>
      <c r="B72" s="1" t="s">
        <v>3922</v>
      </c>
      <c r="C72" s="1">
        <v>3</v>
      </c>
      <c r="D72" s="1" t="s">
        <v>3863</v>
      </c>
      <c r="E72" s="1" t="s">
        <v>3831</v>
      </c>
      <c r="F72" s="1" t="s">
        <v>3906</v>
      </c>
      <c r="G72" s="1" t="s">
        <v>2206</v>
      </c>
      <c r="H72" s="266"/>
      <c r="I72" s="48"/>
      <c r="J72" s="48">
        <v>200</v>
      </c>
      <c r="K72" s="48" t="s">
        <v>3866</v>
      </c>
      <c r="L72" s="16">
        <f t="shared" si="6"/>
        <v>42426</v>
      </c>
      <c r="M72" s="16">
        <f t="shared" si="7"/>
        <v>42419</v>
      </c>
      <c r="N72" s="2">
        <f>MONTH(Table3[[#This Row],[Date]])</f>
        <v>2</v>
      </c>
      <c r="O72" s="2">
        <f t="shared" si="8"/>
        <v>2016</v>
      </c>
      <c r="P72" s="1"/>
      <c r="Q72" s="547"/>
      <c r="R72" s="547"/>
      <c r="S72" s="547"/>
      <c r="T72" s="297">
        <v>42521</v>
      </c>
      <c r="U72" s="3">
        <v>2.7989999999999999</v>
      </c>
      <c r="V72" s="3">
        <v>63.311</v>
      </c>
      <c r="W72" s="3">
        <v>172.01</v>
      </c>
      <c r="X72"/>
    </row>
    <row r="73" spans="1:24">
      <c r="A73" s="53">
        <v>42422</v>
      </c>
      <c r="B73" s="1">
        <v>6163050141</v>
      </c>
      <c r="C73" s="1">
        <v>3</v>
      </c>
      <c r="D73" s="1" t="s">
        <v>3863</v>
      </c>
      <c r="E73" s="1" t="s">
        <v>3831</v>
      </c>
      <c r="F73" s="1" t="s">
        <v>3906</v>
      </c>
      <c r="G73" s="1" t="s">
        <v>2206</v>
      </c>
      <c r="H73" s="266">
        <v>198.55199999999999</v>
      </c>
      <c r="I73" s="48">
        <v>2.2789999999999999</v>
      </c>
      <c r="J73" s="48">
        <v>373.85</v>
      </c>
      <c r="K73" s="48" t="s">
        <v>3866</v>
      </c>
      <c r="L73" s="16">
        <f t="shared" si="6"/>
        <v>42433</v>
      </c>
      <c r="M73" s="16">
        <f t="shared" si="7"/>
        <v>42426</v>
      </c>
      <c r="N73" s="2">
        <f>MONTH(Table3[[#This Row],[Date]])</f>
        <v>2</v>
      </c>
      <c r="O73" s="2">
        <f t="shared" si="8"/>
        <v>2016</v>
      </c>
      <c r="P73" s="1"/>
      <c r="Q73" s="547"/>
      <c r="R73" s="547"/>
      <c r="S73" s="547"/>
      <c r="T73" s="297">
        <v>42527</v>
      </c>
      <c r="U73" s="3">
        <v>2.819</v>
      </c>
      <c r="V73" s="3">
        <v>170.506</v>
      </c>
      <c r="W73" s="3">
        <v>480.66</v>
      </c>
      <c r="X73"/>
    </row>
    <row r="74" spans="1:24">
      <c r="A74" s="53">
        <v>42425</v>
      </c>
      <c r="B74" s="544">
        <v>6163050144</v>
      </c>
      <c r="C74" s="1">
        <v>3</v>
      </c>
      <c r="D74" s="1" t="s">
        <v>3863</v>
      </c>
      <c r="E74" s="1" t="s">
        <v>3831</v>
      </c>
      <c r="F74" s="1" t="s">
        <v>3906</v>
      </c>
      <c r="G74" s="1" t="s">
        <v>2206</v>
      </c>
      <c r="H74" s="266">
        <v>60.271999999999998</v>
      </c>
      <c r="I74" s="48">
        <v>2.2789999999999999</v>
      </c>
      <c r="J74" s="48">
        <v>113.38</v>
      </c>
      <c r="K74" s="48" t="s">
        <v>3866</v>
      </c>
      <c r="L74" s="16">
        <f t="shared" si="6"/>
        <v>42433</v>
      </c>
      <c r="M74" s="16">
        <f t="shared" si="7"/>
        <v>42426</v>
      </c>
      <c r="N74" s="2">
        <f>MONTH(Table3[[#This Row],[Date]])</f>
        <v>2</v>
      </c>
      <c r="O74" s="2">
        <f t="shared" si="8"/>
        <v>2016</v>
      </c>
      <c r="P74" s="1"/>
      <c r="Q74" s="547"/>
      <c r="R74" s="547"/>
      <c r="S74" s="547"/>
      <c r="T74" s="297">
        <v>42529</v>
      </c>
      <c r="U74" s="3">
        <v>2.7989999999999999</v>
      </c>
      <c r="V74" s="3">
        <v>139.79499999999999</v>
      </c>
      <c r="W74" s="3">
        <v>379.2</v>
      </c>
      <c r="X74"/>
    </row>
    <row r="75" spans="1:24">
      <c r="A75" s="53">
        <v>42429</v>
      </c>
      <c r="B75" s="544">
        <v>6163050146</v>
      </c>
      <c r="C75" s="1">
        <v>3</v>
      </c>
      <c r="D75" s="1" t="s">
        <v>3863</v>
      </c>
      <c r="E75" s="1" t="s">
        <v>3831</v>
      </c>
      <c r="F75" s="1" t="s">
        <v>3906</v>
      </c>
      <c r="G75" s="1" t="s">
        <v>2206</v>
      </c>
      <c r="H75" s="266">
        <v>255.86199999999999</v>
      </c>
      <c r="I75" s="48">
        <v>2.2789999999999999</v>
      </c>
      <c r="J75" s="48">
        <v>493.79</v>
      </c>
      <c r="K75" s="48" t="s">
        <v>3866</v>
      </c>
      <c r="L75" s="16">
        <f t="shared" si="6"/>
        <v>42440</v>
      </c>
      <c r="M75" s="16">
        <f t="shared" si="7"/>
        <v>42433</v>
      </c>
      <c r="N75" s="2">
        <f>MONTH(Table3[[#This Row],[Date]])</f>
        <v>2</v>
      </c>
      <c r="O75" s="2">
        <f t="shared" si="8"/>
        <v>2016</v>
      </c>
      <c r="P75" s="1"/>
      <c r="Q75" s="547"/>
      <c r="R75" s="547"/>
      <c r="S75" s="547"/>
      <c r="T75" s="297">
        <v>42531</v>
      </c>
      <c r="U75" s="3">
        <v>2.4790000000000001</v>
      </c>
      <c r="V75" s="3">
        <v>134.59</v>
      </c>
      <c r="W75" s="3">
        <v>320.69</v>
      </c>
      <c r="X75"/>
    </row>
    <row r="76" spans="1:24">
      <c r="A76" s="53">
        <v>42435</v>
      </c>
      <c r="B76" s="1">
        <v>6163050150</v>
      </c>
      <c r="C76" s="1">
        <v>1</v>
      </c>
      <c r="D76" s="1" t="s">
        <v>3896</v>
      </c>
      <c r="E76" s="1" t="s">
        <v>3905</v>
      </c>
      <c r="F76" s="1" t="s">
        <v>3923</v>
      </c>
      <c r="G76" s="1" t="s">
        <v>2233</v>
      </c>
      <c r="H76" s="266">
        <v>237.13499999999999</v>
      </c>
      <c r="I76" s="48">
        <v>2.129</v>
      </c>
      <c r="J76" s="48">
        <v>504.86</v>
      </c>
      <c r="K76" s="48" t="s">
        <v>3866</v>
      </c>
      <c r="L76" s="16">
        <f t="shared" si="6"/>
        <v>42440</v>
      </c>
      <c r="M76" s="16">
        <f t="shared" si="7"/>
        <v>42433</v>
      </c>
      <c r="N76" s="2">
        <f>MONTH(Table3[[#This Row],[Date]])</f>
        <v>3</v>
      </c>
      <c r="O76" s="2">
        <f t="shared" si="8"/>
        <v>2016</v>
      </c>
      <c r="P76" s="1"/>
      <c r="Q76" s="547"/>
      <c r="R76" s="547"/>
      <c r="S76" s="547"/>
      <c r="T76" s="297">
        <v>42536</v>
      </c>
      <c r="U76" s="3">
        <v>2.7989999999999999</v>
      </c>
      <c r="V76" s="3">
        <v>134.35499999999999</v>
      </c>
      <c r="W76" s="3">
        <v>364.47</v>
      </c>
      <c r="X76"/>
    </row>
    <row r="77" spans="1:24">
      <c r="A77" s="53">
        <v>42436</v>
      </c>
      <c r="B77" s="544">
        <v>6163050151</v>
      </c>
      <c r="C77" s="1">
        <v>3</v>
      </c>
      <c r="D77" s="1" t="s">
        <v>3863</v>
      </c>
      <c r="E77" s="1" t="s">
        <v>3831</v>
      </c>
      <c r="F77" s="544" t="s">
        <v>3924</v>
      </c>
      <c r="G77" s="544" t="s">
        <v>2206</v>
      </c>
      <c r="H77" s="266">
        <v>238.53100000000001</v>
      </c>
      <c r="I77" s="48">
        <v>1.899</v>
      </c>
      <c r="J77" s="48">
        <v>429.62</v>
      </c>
      <c r="K77" s="48" t="s">
        <v>3866</v>
      </c>
      <c r="L77" s="16">
        <f t="shared" si="6"/>
        <v>42447</v>
      </c>
      <c r="M77" s="16">
        <f t="shared" si="7"/>
        <v>42440</v>
      </c>
      <c r="N77" s="2">
        <f>MONTH(Table3[[#This Row],[Date]])</f>
        <v>3</v>
      </c>
      <c r="O77" s="2">
        <f t="shared" si="8"/>
        <v>2016</v>
      </c>
      <c r="P77" s="1"/>
      <c r="Q77" s="547"/>
      <c r="R77" s="547"/>
      <c r="S77" s="547"/>
      <c r="T77" s="297">
        <v>42538</v>
      </c>
      <c r="U77" s="3">
        <v>2.399</v>
      </c>
      <c r="V77" s="3">
        <v>119.07599999999999</v>
      </c>
      <c r="W77" s="3">
        <v>274.26</v>
      </c>
      <c r="X77"/>
    </row>
    <row r="78" spans="1:24">
      <c r="A78" s="53">
        <v>42438</v>
      </c>
      <c r="B78" s="1">
        <v>6163050153</v>
      </c>
      <c r="C78" s="1">
        <v>1</v>
      </c>
      <c r="D78" s="1" t="s">
        <v>3896</v>
      </c>
      <c r="E78" s="1" t="s">
        <v>3905</v>
      </c>
      <c r="F78" s="544" t="s">
        <v>3925</v>
      </c>
      <c r="G78" s="544" t="s">
        <v>2373</v>
      </c>
      <c r="H78" s="266">
        <v>235.39099999999999</v>
      </c>
      <c r="I78" s="48">
        <v>1.669</v>
      </c>
      <c r="J78" s="48">
        <v>392.87</v>
      </c>
      <c r="K78" s="48" t="s">
        <v>3866</v>
      </c>
      <c r="L78" s="16">
        <f t="shared" si="6"/>
        <v>42447</v>
      </c>
      <c r="M78" s="16">
        <f t="shared" si="7"/>
        <v>42440</v>
      </c>
      <c r="N78" s="2">
        <f>MONTH(Table3[[#This Row],[Date]])</f>
        <v>3</v>
      </c>
      <c r="O78" s="2">
        <f t="shared" si="8"/>
        <v>2016</v>
      </c>
      <c r="P78" s="1"/>
      <c r="Q78" s="547"/>
      <c r="R78" s="547"/>
      <c r="S78" s="547"/>
      <c r="T78" s="297">
        <v>42542</v>
      </c>
      <c r="U78" s="3">
        <v>2.399</v>
      </c>
      <c r="V78" s="3">
        <v>155.63</v>
      </c>
      <c r="W78" s="3">
        <v>358.29</v>
      </c>
      <c r="X78"/>
    </row>
    <row r="79" spans="1:24">
      <c r="A79" s="53">
        <v>42443</v>
      </c>
      <c r="B79" s="544">
        <v>6163050156</v>
      </c>
      <c r="C79" s="1">
        <v>3</v>
      </c>
      <c r="D79" s="1" t="s">
        <v>3863</v>
      </c>
      <c r="E79" s="1" t="s">
        <v>3831</v>
      </c>
      <c r="F79" s="1" t="s">
        <v>3906</v>
      </c>
      <c r="G79" s="1" t="s">
        <v>2206</v>
      </c>
      <c r="H79" s="266">
        <v>211.702</v>
      </c>
      <c r="I79" s="48">
        <v>2.339</v>
      </c>
      <c r="J79" s="48">
        <v>446.03</v>
      </c>
      <c r="K79" s="48" t="s">
        <v>3866</v>
      </c>
      <c r="L79" s="16">
        <f t="shared" si="6"/>
        <v>42454</v>
      </c>
      <c r="M79" s="16">
        <f t="shared" si="7"/>
        <v>42447</v>
      </c>
      <c r="N79" s="2">
        <f>MONTH(Table3[[#This Row],[Date]])</f>
        <v>3</v>
      </c>
      <c r="O79" s="2">
        <f t="shared" si="8"/>
        <v>2016</v>
      </c>
      <c r="P79" s="1"/>
      <c r="Q79" s="547"/>
      <c r="R79" s="547"/>
      <c r="S79" s="547"/>
      <c r="T79" s="297">
        <v>42549</v>
      </c>
      <c r="U79" s="3">
        <v>2.819</v>
      </c>
      <c r="V79" s="3">
        <v>172.393</v>
      </c>
      <c r="W79" s="3">
        <v>485.98</v>
      </c>
      <c r="X79"/>
    </row>
    <row r="80" spans="1:24">
      <c r="A80" s="53">
        <v>42446</v>
      </c>
      <c r="B80" s="1">
        <v>6163050159</v>
      </c>
      <c r="C80" s="1">
        <v>1</v>
      </c>
      <c r="D80" s="1" t="s">
        <v>3896</v>
      </c>
      <c r="E80" s="1" t="s">
        <v>3897</v>
      </c>
      <c r="F80" s="1" t="s">
        <v>3906</v>
      </c>
      <c r="G80" s="1" t="s">
        <v>2206</v>
      </c>
      <c r="H80" s="266">
        <v>205.22</v>
      </c>
      <c r="I80" s="315">
        <v>2.339</v>
      </c>
      <c r="J80" s="315">
        <v>424.77</v>
      </c>
      <c r="K80" s="315" t="s">
        <v>3866</v>
      </c>
      <c r="L80" s="317">
        <f t="shared" si="6"/>
        <v>42454</v>
      </c>
      <c r="M80" s="317">
        <f t="shared" si="7"/>
        <v>42447</v>
      </c>
      <c r="N80" s="318">
        <f>MONTH(Table3[[#This Row],[Date]])</f>
        <v>3</v>
      </c>
      <c r="O80" s="318">
        <f t="shared" si="8"/>
        <v>2016</v>
      </c>
      <c r="P80" s="1"/>
      <c r="Q80" s="547"/>
      <c r="R80" s="547"/>
      <c r="S80" s="547"/>
      <c r="T80" s="297">
        <v>42547</v>
      </c>
      <c r="U80" s="3">
        <v>2.7789999999999999</v>
      </c>
      <c r="V80" s="3">
        <v>128.44200000000001</v>
      </c>
      <c r="W80" s="3">
        <v>317.27999999999997</v>
      </c>
      <c r="X80"/>
    </row>
    <row r="81" spans="1:24">
      <c r="A81" s="53">
        <v>42449</v>
      </c>
      <c r="B81" s="1">
        <v>6163050160</v>
      </c>
      <c r="C81" s="1">
        <v>3</v>
      </c>
      <c r="D81" s="1" t="s">
        <v>3863</v>
      </c>
      <c r="E81" s="1" t="s">
        <v>3831</v>
      </c>
      <c r="F81" s="1" t="s">
        <v>3926</v>
      </c>
      <c r="G81" s="1" t="s">
        <v>2206</v>
      </c>
      <c r="H81" s="266">
        <v>153.75399999999999</v>
      </c>
      <c r="I81" s="315">
        <v>2.2589999999999999</v>
      </c>
      <c r="J81" s="315">
        <v>347.33</v>
      </c>
      <c r="K81" s="48" t="s">
        <v>3866</v>
      </c>
      <c r="L81" s="317">
        <f t="shared" si="6"/>
        <v>42454</v>
      </c>
      <c r="M81" s="317">
        <f t="shared" si="7"/>
        <v>42447</v>
      </c>
      <c r="N81" s="318">
        <f>MONTH(Table3[[#This Row],[Date]])</f>
        <v>3</v>
      </c>
      <c r="O81" s="318">
        <f t="shared" si="8"/>
        <v>2016</v>
      </c>
      <c r="P81" s="1"/>
      <c r="Q81" s="547"/>
      <c r="R81" s="547"/>
      <c r="S81" s="547"/>
      <c r="T81" s="297">
        <v>42551</v>
      </c>
      <c r="U81" s="3">
        <v>2.7989999999999999</v>
      </c>
      <c r="V81" s="3">
        <v>64.784000000000006</v>
      </c>
      <c r="W81" s="3">
        <v>176</v>
      </c>
      <c r="X81"/>
    </row>
    <row r="82" spans="1:24">
      <c r="A82" s="53">
        <v>42451</v>
      </c>
      <c r="B82" s="1">
        <v>6163050162</v>
      </c>
      <c r="C82" s="1">
        <v>1</v>
      </c>
      <c r="D82" s="1" t="s">
        <v>3896</v>
      </c>
      <c r="E82" s="1" t="s">
        <v>3897</v>
      </c>
      <c r="F82" s="1" t="s">
        <v>3927</v>
      </c>
      <c r="G82" s="1" t="s">
        <v>2206</v>
      </c>
      <c r="H82" s="266">
        <v>112.709</v>
      </c>
      <c r="I82" s="315">
        <v>2.379</v>
      </c>
      <c r="J82" s="315">
        <v>268.13</v>
      </c>
      <c r="K82" s="315" t="s">
        <v>3866</v>
      </c>
      <c r="L82" s="317">
        <f t="shared" si="6"/>
        <v>42461</v>
      </c>
      <c r="M82" s="317">
        <f t="shared" si="7"/>
        <v>42454</v>
      </c>
      <c r="N82" s="318">
        <f>MONTH(Table3[[#This Row],[Date]])</f>
        <v>3</v>
      </c>
      <c r="O82" s="318">
        <f t="shared" si="8"/>
        <v>2016</v>
      </c>
      <c r="P82" s="1"/>
      <c r="Q82" s="547"/>
      <c r="R82" s="547"/>
      <c r="S82" s="547"/>
      <c r="T82" s="297">
        <v>42556</v>
      </c>
      <c r="U82" s="3">
        <v>2.819</v>
      </c>
      <c r="V82" s="3">
        <v>116.36</v>
      </c>
      <c r="W82" s="3">
        <v>328.03</v>
      </c>
      <c r="X82" s="1"/>
    </row>
    <row r="83" spans="1:24">
      <c r="A83" s="53">
        <v>42451</v>
      </c>
      <c r="B83" s="1">
        <v>6163050162</v>
      </c>
      <c r="C83" s="1">
        <v>3</v>
      </c>
      <c r="D83" s="1" t="s">
        <v>3863</v>
      </c>
      <c r="E83" s="1" t="s">
        <v>3831</v>
      </c>
      <c r="F83" s="1" t="s">
        <v>3928</v>
      </c>
      <c r="G83" s="1" t="s">
        <v>2206</v>
      </c>
      <c r="H83" s="266">
        <v>75.822000000000003</v>
      </c>
      <c r="I83" s="315">
        <v>2.339</v>
      </c>
      <c r="J83" s="315">
        <v>439.15</v>
      </c>
      <c r="K83" s="315" t="s">
        <v>3866</v>
      </c>
      <c r="L83" s="317">
        <f t="shared" si="6"/>
        <v>42461</v>
      </c>
      <c r="M83" s="317">
        <f t="shared" si="7"/>
        <v>42454</v>
      </c>
      <c r="N83" s="318">
        <f>MONTH(Table3[[#This Row],[Date]])</f>
        <v>3</v>
      </c>
      <c r="O83" s="318">
        <f t="shared" si="8"/>
        <v>2016</v>
      </c>
      <c r="P83" s="1"/>
      <c r="Q83" s="547"/>
      <c r="R83" s="547"/>
      <c r="S83" s="547"/>
      <c r="T83" s="297">
        <v>42557</v>
      </c>
      <c r="U83" s="3">
        <v>2.8690000000000002</v>
      </c>
      <c r="V83" s="3">
        <v>87.986999999999995</v>
      </c>
      <c r="W83" s="3">
        <v>252.43</v>
      </c>
      <c r="X83" s="1"/>
    </row>
    <row r="84" spans="1:24">
      <c r="A84" s="53">
        <v>42452</v>
      </c>
      <c r="B84" s="1">
        <v>6163050163</v>
      </c>
      <c r="C84" s="1">
        <v>3</v>
      </c>
      <c r="D84" s="1" t="s">
        <v>3863</v>
      </c>
      <c r="E84" s="1" t="s">
        <v>3831</v>
      </c>
      <c r="F84" s="1" t="s">
        <v>3929</v>
      </c>
      <c r="G84" s="1" t="s">
        <v>2206</v>
      </c>
      <c r="H84" s="266">
        <v>62.845999999999997</v>
      </c>
      <c r="I84" s="315">
        <v>2.2589999999999999</v>
      </c>
      <c r="J84" s="315">
        <v>141.97</v>
      </c>
      <c r="K84" s="315" t="s">
        <v>3866</v>
      </c>
      <c r="L84" s="317">
        <f t="shared" si="6"/>
        <v>42461</v>
      </c>
      <c r="M84" s="317">
        <f t="shared" si="7"/>
        <v>42454</v>
      </c>
      <c r="N84" s="318">
        <f>MONTH(Table3[[#This Row],[Date]])</f>
        <v>3</v>
      </c>
      <c r="O84" s="318">
        <f t="shared" si="8"/>
        <v>2016</v>
      </c>
      <c r="P84" s="1"/>
      <c r="Q84" s="547"/>
      <c r="R84" s="547"/>
      <c r="S84" s="547"/>
      <c r="T84" s="297">
        <v>42559</v>
      </c>
      <c r="U84" s="3">
        <v>2.7789999999999999</v>
      </c>
      <c r="V84" s="3">
        <v>143.32499999999999</v>
      </c>
      <c r="W84" s="3">
        <v>351.09</v>
      </c>
      <c r="X84" s="1"/>
    </row>
    <row r="85" spans="1:24">
      <c r="A85" s="53">
        <v>42453</v>
      </c>
      <c r="B85" s="1">
        <v>6163050164</v>
      </c>
      <c r="C85" s="1">
        <v>1</v>
      </c>
      <c r="D85" s="1" t="s">
        <v>3896</v>
      </c>
      <c r="E85" s="1" t="s">
        <v>3897</v>
      </c>
      <c r="F85" s="1" t="s">
        <v>3902</v>
      </c>
      <c r="G85" s="1" t="s">
        <v>2206</v>
      </c>
      <c r="H85" s="266">
        <v>146.90600000000001</v>
      </c>
      <c r="I85" s="48">
        <v>2.4990000000000001</v>
      </c>
      <c r="J85" s="48">
        <v>354.4</v>
      </c>
      <c r="K85" s="48" t="s">
        <v>3866</v>
      </c>
      <c r="L85" s="16">
        <f t="shared" si="6"/>
        <v>42461</v>
      </c>
      <c r="M85" s="16">
        <f t="shared" si="7"/>
        <v>42454</v>
      </c>
      <c r="N85" s="2">
        <f>MONTH(Table3[[#This Row],[Date]])</f>
        <v>3</v>
      </c>
      <c r="O85" s="2">
        <f t="shared" si="8"/>
        <v>2016</v>
      </c>
      <c r="P85" s="1"/>
      <c r="Q85" s="547"/>
      <c r="R85" s="547"/>
      <c r="S85" s="547"/>
      <c r="T85" s="297">
        <v>42561</v>
      </c>
      <c r="U85" s="3">
        <v>2.819</v>
      </c>
      <c r="V85" s="3">
        <v>28.334</v>
      </c>
      <c r="W85" s="3">
        <v>79.87</v>
      </c>
      <c r="X85" s="1"/>
    </row>
    <row r="86" spans="1:24">
      <c r="A86" s="53">
        <v>42454</v>
      </c>
      <c r="B86" s="1">
        <v>6163050165</v>
      </c>
      <c r="C86" s="1">
        <v>1</v>
      </c>
      <c r="D86" s="1" t="s">
        <v>3896</v>
      </c>
      <c r="E86" s="1" t="s">
        <v>3897</v>
      </c>
      <c r="F86" s="1" t="s">
        <v>3930</v>
      </c>
      <c r="G86" s="1" t="s">
        <v>2373</v>
      </c>
      <c r="H86" s="266">
        <v>84.597999999999999</v>
      </c>
      <c r="I86" s="48">
        <v>1.8089999999999999</v>
      </c>
      <c r="J86" s="48">
        <v>153.54</v>
      </c>
      <c r="K86" s="48" t="s">
        <v>3866</v>
      </c>
      <c r="L86" s="16">
        <f t="shared" si="6"/>
        <v>42461</v>
      </c>
      <c r="M86" s="16">
        <f t="shared" si="7"/>
        <v>42454</v>
      </c>
      <c r="N86" s="2">
        <f>MONTH(Table3[[#This Row],[Date]])</f>
        <v>3</v>
      </c>
      <c r="O86" s="2">
        <f t="shared" si="8"/>
        <v>2016</v>
      </c>
      <c r="P86" s="1"/>
      <c r="Q86" s="547"/>
      <c r="R86" s="547"/>
      <c r="S86" s="547"/>
      <c r="T86" s="297">
        <v>42564</v>
      </c>
      <c r="U86" s="3">
        <v>2.7789999999999999</v>
      </c>
      <c r="V86" s="3">
        <v>176.36600000000001</v>
      </c>
      <c r="W86" s="3">
        <v>419.04</v>
      </c>
      <c r="X86" s="1"/>
    </row>
    <row r="87" spans="1:24">
      <c r="A87" s="53">
        <v>42457</v>
      </c>
      <c r="B87" s="1">
        <v>6163050166</v>
      </c>
      <c r="C87" s="1">
        <v>1</v>
      </c>
      <c r="D87" s="1" t="s">
        <v>3896</v>
      </c>
      <c r="E87" s="1" t="s">
        <v>3897</v>
      </c>
      <c r="F87" s="1" t="s">
        <v>3931</v>
      </c>
      <c r="G87" s="1" t="s">
        <v>2373</v>
      </c>
      <c r="H87" s="266">
        <v>87.941000000000003</v>
      </c>
      <c r="I87" s="48">
        <v>1.9390000000000001</v>
      </c>
      <c r="J87" s="48">
        <v>163.1</v>
      </c>
      <c r="K87" s="48" t="s">
        <v>3866</v>
      </c>
      <c r="L87" s="16">
        <f t="shared" si="6"/>
        <v>42468</v>
      </c>
      <c r="M87" s="16">
        <f t="shared" si="7"/>
        <v>42461</v>
      </c>
      <c r="N87" s="2">
        <f>MONTH(Table3[[#This Row],[Date]])</f>
        <v>3</v>
      </c>
      <c r="O87" s="2">
        <f t="shared" si="8"/>
        <v>2016</v>
      </c>
      <c r="P87" s="1"/>
      <c r="Q87" s="547"/>
      <c r="R87" s="547"/>
      <c r="S87" s="547"/>
      <c r="T87" s="297">
        <v>42568</v>
      </c>
      <c r="U87" s="3">
        <v>2.7989999999999999</v>
      </c>
      <c r="V87" s="3">
        <v>104.399</v>
      </c>
      <c r="W87" s="3">
        <v>283.32</v>
      </c>
      <c r="X87" s="1"/>
    </row>
    <row r="88" spans="1:24">
      <c r="A88" s="53">
        <v>42457</v>
      </c>
      <c r="B88" s="1">
        <v>6163050166</v>
      </c>
      <c r="C88" s="1">
        <v>3</v>
      </c>
      <c r="D88" s="1" t="s">
        <v>3863</v>
      </c>
      <c r="E88" s="1" t="s">
        <v>3831</v>
      </c>
      <c r="F88" s="1" t="s">
        <v>3926</v>
      </c>
      <c r="G88" s="1" t="s">
        <v>2206</v>
      </c>
      <c r="H88" s="266">
        <v>226.31100000000001</v>
      </c>
      <c r="I88" s="48">
        <v>2.2589999999999999</v>
      </c>
      <c r="J88" s="48">
        <v>511.24</v>
      </c>
      <c r="K88" s="48" t="s">
        <v>3866</v>
      </c>
      <c r="L88" s="16">
        <f t="shared" si="6"/>
        <v>42468</v>
      </c>
      <c r="M88" s="16">
        <f t="shared" si="7"/>
        <v>42461</v>
      </c>
      <c r="N88" s="2">
        <f>MONTH(Table3[[#This Row],[Date]])</f>
        <v>3</v>
      </c>
      <c r="O88" s="2">
        <f t="shared" si="8"/>
        <v>2016</v>
      </c>
      <c r="P88" s="1"/>
      <c r="Q88" s="547"/>
      <c r="R88" s="547"/>
      <c r="S88" s="547"/>
      <c r="T88" s="297">
        <v>42572</v>
      </c>
      <c r="U88" s="3">
        <v>2.7989999999999999</v>
      </c>
      <c r="V88" s="3">
        <v>173.55699999999999</v>
      </c>
      <c r="W88" s="3">
        <v>470.67</v>
      </c>
      <c r="X88" s="1"/>
    </row>
    <row r="89" spans="1:24">
      <c r="A89" s="53">
        <v>42458</v>
      </c>
      <c r="B89" s="1">
        <v>6163050167</v>
      </c>
      <c r="C89" s="1">
        <v>1</v>
      </c>
      <c r="D89" s="1" t="s">
        <v>3896</v>
      </c>
      <c r="E89" s="1" t="s">
        <v>3897</v>
      </c>
      <c r="F89" s="1" t="s">
        <v>3918</v>
      </c>
      <c r="G89" s="1" t="s">
        <v>2206</v>
      </c>
      <c r="H89" s="266">
        <v>112.959</v>
      </c>
      <c r="I89" s="48">
        <v>2.2589999999999999</v>
      </c>
      <c r="J89" s="48">
        <v>245.51</v>
      </c>
      <c r="K89" s="48" t="s">
        <v>3866</v>
      </c>
      <c r="L89" s="16">
        <f t="shared" si="6"/>
        <v>42468</v>
      </c>
      <c r="M89" s="16">
        <f t="shared" si="7"/>
        <v>42461</v>
      </c>
      <c r="N89" s="2">
        <f>MONTH(Table3[[#This Row],[Date]])</f>
        <v>3</v>
      </c>
      <c r="O89" s="2">
        <f t="shared" si="8"/>
        <v>2016</v>
      </c>
      <c r="P89" s="1"/>
      <c r="Q89" s="547"/>
      <c r="R89" s="547"/>
      <c r="S89" s="547" t="s">
        <v>2233</v>
      </c>
      <c r="T89" s="297">
        <v>42463</v>
      </c>
      <c r="U89" s="3">
        <v>2.2389999999999999</v>
      </c>
      <c r="V89" s="3">
        <v>109.245</v>
      </c>
      <c r="W89" s="3">
        <v>281.89999999999998</v>
      </c>
      <c r="X89" s="1"/>
    </row>
    <row r="90" spans="1:24">
      <c r="A90" s="53">
        <v>42459</v>
      </c>
      <c r="B90" s="544">
        <v>6163050168</v>
      </c>
      <c r="C90" s="1">
        <v>3</v>
      </c>
      <c r="D90" s="1" t="s">
        <v>3863</v>
      </c>
      <c r="E90" s="1" t="s">
        <v>3831</v>
      </c>
      <c r="F90" s="1" t="s">
        <v>3932</v>
      </c>
      <c r="G90" s="1" t="s">
        <v>2206</v>
      </c>
      <c r="H90" s="266">
        <v>127.53700000000001</v>
      </c>
      <c r="I90" s="315">
        <v>2.359</v>
      </c>
      <c r="J90" s="315">
        <v>289.89</v>
      </c>
      <c r="K90" s="48" t="s">
        <v>3866</v>
      </c>
      <c r="L90" s="317">
        <f t="shared" si="6"/>
        <v>42468</v>
      </c>
      <c r="M90" s="317">
        <f t="shared" si="7"/>
        <v>42461</v>
      </c>
      <c r="N90" s="318">
        <f>MONTH(Table3[[#This Row],[Date]])</f>
        <v>3</v>
      </c>
      <c r="O90" s="318">
        <f t="shared" si="8"/>
        <v>2016</v>
      </c>
      <c r="P90" s="1"/>
      <c r="Q90" s="547"/>
      <c r="R90" s="547"/>
      <c r="S90" s="547"/>
      <c r="T90" s="297">
        <v>42495</v>
      </c>
      <c r="U90" s="3">
        <v>2.5390000000000001</v>
      </c>
      <c r="V90" s="3">
        <v>168.87299999999999</v>
      </c>
      <c r="W90" s="3">
        <v>428.77</v>
      </c>
      <c r="X90" s="1"/>
    </row>
    <row r="91" spans="1:24">
      <c r="A91" s="53">
        <v>42463</v>
      </c>
      <c r="B91" s="1">
        <v>6163050170</v>
      </c>
      <c r="C91" s="1">
        <v>1</v>
      </c>
      <c r="D91" s="1" t="s">
        <v>3896</v>
      </c>
      <c r="E91" s="1" t="s">
        <v>3897</v>
      </c>
      <c r="F91" s="1" t="s">
        <v>3933</v>
      </c>
      <c r="G91" s="1" t="s">
        <v>2233</v>
      </c>
      <c r="H91" s="266">
        <v>109.245</v>
      </c>
      <c r="I91" s="315">
        <v>2.2389999999999999</v>
      </c>
      <c r="J91" s="315">
        <v>281.89999999999998</v>
      </c>
      <c r="K91" s="48" t="s">
        <v>3866</v>
      </c>
      <c r="L91" s="317">
        <f t="shared" si="6"/>
        <v>42468</v>
      </c>
      <c r="M91" s="317">
        <f t="shared" si="7"/>
        <v>42461</v>
      </c>
      <c r="N91" s="318">
        <f>MONTH(Table3[[#This Row],[Date]])</f>
        <v>4</v>
      </c>
      <c r="O91" s="318">
        <f t="shared" si="8"/>
        <v>2016</v>
      </c>
      <c r="P91" s="2"/>
      <c r="Q91" s="547"/>
      <c r="R91" s="547"/>
      <c r="S91" s="547"/>
      <c r="T91" s="297">
        <v>42509</v>
      </c>
      <c r="U91" s="3">
        <v>2.6190000000000002</v>
      </c>
      <c r="V91" s="3">
        <v>108.82299999999999</v>
      </c>
      <c r="W91" s="3">
        <v>285.01</v>
      </c>
      <c r="X91" s="1"/>
    </row>
    <row r="92" spans="1:24">
      <c r="A92" s="53">
        <v>42463</v>
      </c>
      <c r="B92" s="1">
        <v>6163050170</v>
      </c>
      <c r="C92" s="1">
        <v>3</v>
      </c>
      <c r="D92" s="1" t="s">
        <v>3863</v>
      </c>
      <c r="E92" s="1" t="s">
        <v>3831</v>
      </c>
      <c r="F92" s="1" t="s">
        <v>3934</v>
      </c>
      <c r="G92" s="1" t="s">
        <v>2206</v>
      </c>
      <c r="H92" s="266">
        <v>227.929</v>
      </c>
      <c r="I92" s="315">
        <v>2.2589999999999999</v>
      </c>
      <c r="J92" s="315">
        <v>514.89</v>
      </c>
      <c r="K92" s="48" t="s">
        <v>3866</v>
      </c>
      <c r="L92" s="317">
        <f t="shared" si="6"/>
        <v>42468</v>
      </c>
      <c r="M92" s="317">
        <f t="shared" si="7"/>
        <v>42461</v>
      </c>
      <c r="N92" s="318">
        <f>MONTH(Table3[[#This Row],[Date]])</f>
        <v>4</v>
      </c>
      <c r="O92" s="318">
        <f t="shared" si="8"/>
        <v>2016</v>
      </c>
      <c r="P92" s="2"/>
      <c r="Q92" s="547"/>
      <c r="R92" s="547"/>
      <c r="S92" s="547"/>
      <c r="T92" s="297">
        <v>42523</v>
      </c>
      <c r="U92" s="3">
        <v>2.6989999999999998</v>
      </c>
      <c r="V92" s="3">
        <v>145.07300000000001</v>
      </c>
      <c r="W92" s="3">
        <v>391.55</v>
      </c>
      <c r="X92" s="1"/>
    </row>
    <row r="93" spans="1:24">
      <c r="A93" s="53">
        <v>42466</v>
      </c>
      <c r="B93" s="1">
        <v>6163050173</v>
      </c>
      <c r="C93" s="1">
        <v>1</v>
      </c>
      <c r="D93" s="1" t="s">
        <v>3896</v>
      </c>
      <c r="E93" s="1" t="s">
        <v>3897</v>
      </c>
      <c r="F93" s="1" t="s">
        <v>3865</v>
      </c>
      <c r="G93" s="1" t="s">
        <v>2206</v>
      </c>
      <c r="H93" s="266">
        <v>85.552999999999997</v>
      </c>
      <c r="I93" s="315">
        <v>2.339</v>
      </c>
      <c r="J93" s="315">
        <v>192.91</v>
      </c>
      <c r="K93" s="48" t="s">
        <v>3866</v>
      </c>
      <c r="L93" s="317">
        <f t="shared" si="6"/>
        <v>42475</v>
      </c>
      <c r="M93" s="317">
        <f t="shared" si="7"/>
        <v>42468</v>
      </c>
      <c r="N93" s="318">
        <f>MONTH(Table3[[#This Row],[Date]])</f>
        <v>4</v>
      </c>
      <c r="O93" s="318">
        <f t="shared" si="8"/>
        <v>2016</v>
      </c>
      <c r="P93" s="2"/>
      <c r="Q93" s="547"/>
      <c r="R93" s="547"/>
      <c r="S93" s="547" t="s">
        <v>2373</v>
      </c>
      <c r="T93" s="297">
        <v>42454</v>
      </c>
      <c r="U93" s="3">
        <v>1.8089999999999999</v>
      </c>
      <c r="V93" s="3">
        <v>84.597999999999999</v>
      </c>
      <c r="W93" s="3">
        <v>153.54</v>
      </c>
      <c r="X93" s="1"/>
    </row>
    <row r="94" spans="1:24">
      <c r="A94" s="53">
        <v>42466</v>
      </c>
      <c r="B94" s="1">
        <v>6163050173</v>
      </c>
      <c r="C94" s="1">
        <v>3</v>
      </c>
      <c r="D94" s="1" t="s">
        <v>3863</v>
      </c>
      <c r="E94" s="1" t="s">
        <v>3831</v>
      </c>
      <c r="F94" s="1" t="s">
        <v>3935</v>
      </c>
      <c r="G94" s="1" t="s">
        <v>2206</v>
      </c>
      <c r="H94" s="266">
        <v>182.70699999999999</v>
      </c>
      <c r="I94" s="315">
        <v>2.2389999999999999</v>
      </c>
      <c r="J94" s="315">
        <v>409.08</v>
      </c>
      <c r="K94" s="48" t="s">
        <v>3866</v>
      </c>
      <c r="L94" s="317">
        <f t="shared" si="6"/>
        <v>42475</v>
      </c>
      <c r="M94" s="317">
        <f t="shared" si="7"/>
        <v>42468</v>
      </c>
      <c r="N94" s="318">
        <f>MONTH(Table3[[#This Row],[Date]])</f>
        <v>4</v>
      </c>
      <c r="O94" s="318">
        <f t="shared" si="8"/>
        <v>2016</v>
      </c>
      <c r="P94" s="2"/>
      <c r="Q94" s="547"/>
      <c r="R94" s="547"/>
      <c r="S94" s="547"/>
      <c r="T94" s="297">
        <v>42457</v>
      </c>
      <c r="U94" s="3">
        <v>1.9390000000000001</v>
      </c>
      <c r="V94" s="3">
        <v>87.941000000000003</v>
      </c>
      <c r="W94" s="3">
        <v>163.1</v>
      </c>
      <c r="X94" s="1"/>
    </row>
    <row r="95" spans="1:24">
      <c r="A95" s="53">
        <v>42471</v>
      </c>
      <c r="B95" s="1">
        <v>6163050176</v>
      </c>
      <c r="C95" s="1">
        <v>3</v>
      </c>
      <c r="D95" s="1" t="s">
        <v>3863</v>
      </c>
      <c r="E95" s="1" t="s">
        <v>3831</v>
      </c>
      <c r="F95" s="1" t="s">
        <v>3936</v>
      </c>
      <c r="G95" s="1" t="s">
        <v>2206</v>
      </c>
      <c r="H95" s="266">
        <v>208.958</v>
      </c>
      <c r="I95" s="568">
        <v>2.3290000000000002</v>
      </c>
      <c r="J95" s="568">
        <v>486.66</v>
      </c>
      <c r="K95" s="568" t="s">
        <v>3866</v>
      </c>
      <c r="L95" s="569">
        <f t="shared" si="6"/>
        <v>42482</v>
      </c>
      <c r="M95" s="569">
        <f t="shared" si="7"/>
        <v>42475</v>
      </c>
      <c r="N95" s="555">
        <f>MONTH(Table3[[#This Row],[Date]])</f>
        <v>4</v>
      </c>
      <c r="O95" s="555">
        <f t="shared" si="8"/>
        <v>2016</v>
      </c>
      <c r="P95" s="2"/>
      <c r="Q95" s="547"/>
      <c r="R95" s="547">
        <v>4</v>
      </c>
      <c r="S95" s="547" t="s">
        <v>2206</v>
      </c>
      <c r="T95" s="297">
        <v>42341</v>
      </c>
      <c r="U95" s="3">
        <v>2.649</v>
      </c>
      <c r="V95" s="3">
        <v>76.051000000000002</v>
      </c>
      <c r="W95" s="3">
        <v>201.46</v>
      </c>
      <c r="X95" s="1"/>
    </row>
    <row r="96" spans="1:24">
      <c r="A96" s="53">
        <v>42472</v>
      </c>
      <c r="B96" s="1">
        <v>6163050177</v>
      </c>
      <c r="C96" s="1">
        <v>1</v>
      </c>
      <c r="D96" s="1" t="s">
        <v>3896</v>
      </c>
      <c r="E96" s="1" t="s">
        <v>3897</v>
      </c>
      <c r="F96" s="1" t="s">
        <v>3906</v>
      </c>
      <c r="G96" s="1" t="s">
        <v>2206</v>
      </c>
      <c r="H96" s="266">
        <v>145.661</v>
      </c>
      <c r="I96" s="568">
        <v>2.339</v>
      </c>
      <c r="J96" s="568">
        <v>310.52999999999997</v>
      </c>
      <c r="K96" s="48" t="s">
        <v>3866</v>
      </c>
      <c r="L96" s="569">
        <f t="shared" si="6"/>
        <v>42482</v>
      </c>
      <c r="M96" s="569">
        <f t="shared" si="7"/>
        <v>42475</v>
      </c>
      <c r="N96" s="555">
        <f>MONTH(Table3[[#This Row],[Date]])</f>
        <v>4</v>
      </c>
      <c r="O96" s="555">
        <f t="shared" si="8"/>
        <v>2016</v>
      </c>
      <c r="P96" s="2"/>
      <c r="Q96" s="547"/>
      <c r="R96" s="547"/>
      <c r="S96" s="547"/>
      <c r="T96" s="297">
        <v>42346</v>
      </c>
      <c r="U96" s="3">
        <v>2.6589999999999998</v>
      </c>
      <c r="V96" s="3">
        <v>154.012</v>
      </c>
      <c r="W96" s="3">
        <v>409.52</v>
      </c>
      <c r="X96" s="1"/>
    </row>
    <row r="97" spans="1:26">
      <c r="A97" s="53">
        <v>42474</v>
      </c>
      <c r="B97" s="1">
        <v>6163050179</v>
      </c>
      <c r="C97" s="1">
        <v>3</v>
      </c>
      <c r="D97" s="1" t="s">
        <v>3863</v>
      </c>
      <c r="E97" s="1" t="s">
        <v>3831</v>
      </c>
      <c r="F97" s="1" t="s">
        <v>3935</v>
      </c>
      <c r="G97" s="1" t="s">
        <v>2206</v>
      </c>
      <c r="H97" s="266">
        <v>90.682000000000002</v>
      </c>
      <c r="I97" s="568">
        <v>2.2890000000000001</v>
      </c>
      <c r="J97" s="568">
        <v>207.57</v>
      </c>
      <c r="K97" s="568" t="s">
        <v>3866</v>
      </c>
      <c r="L97" s="569">
        <f t="shared" si="6"/>
        <v>42482</v>
      </c>
      <c r="M97" s="569">
        <f t="shared" si="7"/>
        <v>42475</v>
      </c>
      <c r="N97" s="555">
        <f>MONTH(Table3[[#This Row],[Date]])</f>
        <v>4</v>
      </c>
      <c r="O97" s="555">
        <f t="shared" si="8"/>
        <v>2016</v>
      </c>
      <c r="P97" s="2"/>
      <c r="Q97" s="547"/>
      <c r="R97" s="547"/>
      <c r="S97" s="547"/>
      <c r="T97" s="297">
        <v>42347</v>
      </c>
      <c r="U97" s="3">
        <v>2.5990000000000002</v>
      </c>
      <c r="V97" s="3">
        <v>75.840999999999994</v>
      </c>
      <c r="W97" s="3">
        <v>197.11</v>
      </c>
      <c r="X97" s="1"/>
    </row>
    <row r="98" spans="1:26">
      <c r="A98" s="53">
        <v>42478</v>
      </c>
      <c r="B98" s="1">
        <v>6163050181</v>
      </c>
      <c r="C98" s="1">
        <v>1</v>
      </c>
      <c r="D98" s="1" t="s">
        <v>3896</v>
      </c>
      <c r="E98" s="1" t="s">
        <v>3897</v>
      </c>
      <c r="F98" s="1" t="s">
        <v>3908</v>
      </c>
      <c r="G98" s="1" t="s">
        <v>2206</v>
      </c>
      <c r="H98" s="266">
        <v>68.787000000000006</v>
      </c>
      <c r="I98" s="568">
        <v>2.399</v>
      </c>
      <c r="J98" s="568">
        <v>159.33000000000001</v>
      </c>
      <c r="K98" s="48" t="s">
        <v>3866</v>
      </c>
      <c r="L98" s="569">
        <f t="shared" ref="L98:L129" si="9">((5-WEEKDAY(A98,2))+A98)+7</f>
        <v>42489</v>
      </c>
      <c r="M98" s="569">
        <f t="shared" ref="M98:M129" si="10">(5-WEEKDAY(A98,2))+A98</f>
        <v>42482</v>
      </c>
      <c r="N98" s="555">
        <f>MONTH(Table3[[#This Row],[Date]])</f>
        <v>4</v>
      </c>
      <c r="O98" s="555">
        <f t="shared" ref="O98:O129" si="11">YEAR(A98)</f>
        <v>2016</v>
      </c>
      <c r="P98" s="2"/>
      <c r="Q98" s="547"/>
      <c r="R98" s="547"/>
      <c r="S98" s="547"/>
      <c r="T98" s="297">
        <v>42349</v>
      </c>
      <c r="U98" s="3">
        <v>2.6989999999999998</v>
      </c>
      <c r="V98" s="3">
        <v>90.375</v>
      </c>
      <c r="W98" s="3">
        <v>244.42</v>
      </c>
      <c r="X98" s="1"/>
    </row>
    <row r="99" spans="1:26">
      <c r="A99" s="53">
        <v>42479</v>
      </c>
      <c r="B99" s="1">
        <v>6163050182</v>
      </c>
      <c r="C99" s="1">
        <v>3</v>
      </c>
      <c r="D99" s="1" t="s">
        <v>3863</v>
      </c>
      <c r="E99" s="1" t="s">
        <v>3831</v>
      </c>
      <c r="F99" s="1" t="s">
        <v>3935</v>
      </c>
      <c r="G99" s="1" t="s">
        <v>2206</v>
      </c>
      <c r="H99" s="266">
        <v>225.76499999999999</v>
      </c>
      <c r="I99" s="568">
        <v>2.3490000000000002</v>
      </c>
      <c r="J99" s="568">
        <v>530.32000000000005</v>
      </c>
      <c r="K99" s="568" t="s">
        <v>3866</v>
      </c>
      <c r="L99" s="569">
        <f t="shared" si="9"/>
        <v>42489</v>
      </c>
      <c r="M99" s="569">
        <f t="shared" si="10"/>
        <v>42482</v>
      </c>
      <c r="N99" s="555">
        <f>MONTH(Table3[[#This Row],[Date]])</f>
        <v>4</v>
      </c>
      <c r="O99" s="555">
        <f t="shared" si="11"/>
        <v>2016</v>
      </c>
      <c r="P99" s="2"/>
      <c r="Q99" s="547"/>
      <c r="R99" s="547"/>
      <c r="S99" s="547"/>
      <c r="T99" s="297">
        <v>42352</v>
      </c>
      <c r="U99" s="3">
        <v>2.5790000000000002</v>
      </c>
      <c r="V99" s="3">
        <v>99.988</v>
      </c>
      <c r="W99" s="3">
        <v>192.73</v>
      </c>
      <c r="X99" s="1"/>
    </row>
    <row r="100" spans="1:26">
      <c r="A100" s="53">
        <v>42485</v>
      </c>
      <c r="B100" s="1">
        <v>6163050186</v>
      </c>
      <c r="C100" s="1">
        <v>1</v>
      </c>
      <c r="D100" s="1" t="s">
        <v>3896</v>
      </c>
      <c r="E100" s="1" t="s">
        <v>3897</v>
      </c>
      <c r="F100" s="1" t="s">
        <v>3937</v>
      </c>
      <c r="G100" s="1" t="s">
        <v>2206</v>
      </c>
      <c r="H100" s="266">
        <v>101.369</v>
      </c>
      <c r="I100" s="568">
        <v>2.1389999999999998</v>
      </c>
      <c r="J100" s="568">
        <v>207.19</v>
      </c>
      <c r="K100" s="48" t="s">
        <v>3866</v>
      </c>
      <c r="L100" s="569">
        <f t="shared" si="9"/>
        <v>42496</v>
      </c>
      <c r="M100" s="569">
        <f t="shared" si="10"/>
        <v>42489</v>
      </c>
      <c r="N100" s="555">
        <f>MONTH(Table3[[#This Row],[Date]])</f>
        <v>4</v>
      </c>
      <c r="O100" s="555">
        <f t="shared" si="11"/>
        <v>2016</v>
      </c>
      <c r="P100" s="2"/>
      <c r="Q100" s="547"/>
      <c r="R100" s="547"/>
      <c r="S100" s="547"/>
      <c r="T100" s="297">
        <v>42356</v>
      </c>
      <c r="U100" s="3">
        <v>2.5590000000000002</v>
      </c>
      <c r="V100" s="3">
        <v>126.488</v>
      </c>
      <c r="W100" s="3">
        <v>312.8</v>
      </c>
      <c r="X100" s="1"/>
    </row>
    <row r="101" spans="1:26">
      <c r="A101" s="53">
        <v>42485</v>
      </c>
      <c r="B101" s="1">
        <v>6163050186</v>
      </c>
      <c r="C101" s="1">
        <v>3</v>
      </c>
      <c r="D101" s="1" t="s">
        <v>3863</v>
      </c>
      <c r="E101" s="1" t="s">
        <v>3831</v>
      </c>
      <c r="F101" s="1" t="s">
        <v>3935</v>
      </c>
      <c r="G101" s="1" t="s">
        <v>2206</v>
      </c>
      <c r="H101" s="266">
        <v>213.464</v>
      </c>
      <c r="I101" s="568">
        <v>2.339</v>
      </c>
      <c r="J101" s="568">
        <v>512.1</v>
      </c>
      <c r="K101" s="48" t="s">
        <v>3866</v>
      </c>
      <c r="L101" s="569">
        <f t="shared" si="9"/>
        <v>42496</v>
      </c>
      <c r="M101" s="569">
        <f t="shared" si="10"/>
        <v>42489</v>
      </c>
      <c r="N101" s="555">
        <f>MONTH(Table3[[#This Row],[Date]])</f>
        <v>4</v>
      </c>
      <c r="O101" s="555">
        <f t="shared" si="11"/>
        <v>2016</v>
      </c>
      <c r="P101" s="2"/>
      <c r="Q101" s="547"/>
      <c r="R101" s="547"/>
      <c r="S101" s="547"/>
      <c r="T101" s="297">
        <v>42361</v>
      </c>
      <c r="U101" s="3">
        <v>2.5390000000000001</v>
      </c>
      <c r="V101" s="3">
        <v>25.117999999999999</v>
      </c>
      <c r="W101" s="3">
        <v>47.46</v>
      </c>
      <c r="X101" s="1"/>
    </row>
    <row r="102" spans="1:26">
      <c r="A102" s="53">
        <v>42487</v>
      </c>
      <c r="B102" s="1">
        <v>6163050188</v>
      </c>
      <c r="C102" s="1">
        <v>1</v>
      </c>
      <c r="D102" s="1" t="s">
        <v>3896</v>
      </c>
      <c r="E102" s="1" t="s">
        <v>3897</v>
      </c>
      <c r="F102" s="1" t="s">
        <v>3937</v>
      </c>
      <c r="G102" s="1" t="s">
        <v>2206</v>
      </c>
      <c r="H102" s="266">
        <v>168.131</v>
      </c>
      <c r="I102" s="568">
        <v>2.1589999999999998</v>
      </c>
      <c r="J102" s="568">
        <v>346.68</v>
      </c>
      <c r="K102" s="48" t="s">
        <v>3866</v>
      </c>
      <c r="L102" s="569">
        <f t="shared" si="9"/>
        <v>42496</v>
      </c>
      <c r="M102" s="569">
        <f t="shared" si="10"/>
        <v>42489</v>
      </c>
      <c r="N102" s="555">
        <f>MONTH(Table3[[#This Row],[Date]])</f>
        <v>4</v>
      </c>
      <c r="O102" s="555">
        <f t="shared" si="11"/>
        <v>2016</v>
      </c>
      <c r="P102" s="2"/>
      <c r="Q102" s="547"/>
      <c r="R102" s="547"/>
      <c r="S102" s="547"/>
      <c r="T102" s="297">
        <v>42366</v>
      </c>
      <c r="U102" s="3">
        <v>2.4990000000000001</v>
      </c>
      <c r="V102" s="3">
        <v>161.33799999999999</v>
      </c>
      <c r="W102" s="3">
        <v>389.16</v>
      </c>
      <c r="X102" s="1"/>
    </row>
    <row r="103" spans="1:26">
      <c r="A103" s="53">
        <v>42487</v>
      </c>
      <c r="B103" s="1">
        <v>6163050189</v>
      </c>
      <c r="C103" s="1">
        <v>3</v>
      </c>
      <c r="D103" s="1" t="s">
        <v>3863</v>
      </c>
      <c r="E103" s="1" t="s">
        <v>3831</v>
      </c>
      <c r="F103" s="1" t="s">
        <v>3935</v>
      </c>
      <c r="G103" s="1" t="s">
        <v>2206</v>
      </c>
      <c r="H103" s="266">
        <v>50.201999999999998</v>
      </c>
      <c r="I103" s="568">
        <v>2.4489999999999998</v>
      </c>
      <c r="J103" s="568">
        <v>122.94</v>
      </c>
      <c r="K103" s="48" t="s">
        <v>3866</v>
      </c>
      <c r="L103" s="569">
        <f t="shared" si="9"/>
        <v>42496</v>
      </c>
      <c r="M103" s="569">
        <f t="shared" si="10"/>
        <v>42489</v>
      </c>
      <c r="N103" s="555">
        <f>MONTH(Table3[[#This Row],[Date]])</f>
        <v>4</v>
      </c>
      <c r="O103" s="555">
        <f t="shared" si="11"/>
        <v>2016</v>
      </c>
      <c r="P103" s="2"/>
      <c r="Q103" s="547"/>
      <c r="R103" s="547"/>
      <c r="S103" s="547"/>
      <c r="T103" s="297">
        <v>42373</v>
      </c>
      <c r="U103" s="3">
        <v>2.5390000000000001</v>
      </c>
      <c r="V103" s="3">
        <v>139.126</v>
      </c>
      <c r="W103" s="3">
        <v>275.39999999999998</v>
      </c>
      <c r="X103" s="1"/>
    </row>
    <row r="104" spans="1:26">
      <c r="A104" s="53">
        <v>42489</v>
      </c>
      <c r="B104" s="1">
        <v>6163050190</v>
      </c>
      <c r="C104" s="1">
        <v>3</v>
      </c>
      <c r="D104" s="1" t="s">
        <v>3863</v>
      </c>
      <c r="E104" s="1" t="s">
        <v>3831</v>
      </c>
      <c r="F104" s="1" t="s">
        <v>3938</v>
      </c>
      <c r="G104" s="1" t="s">
        <v>2206</v>
      </c>
      <c r="H104" s="266">
        <v>70.191999999999993</v>
      </c>
      <c r="I104" s="568">
        <v>2.4990000000000001</v>
      </c>
      <c r="J104" s="568">
        <v>175.41</v>
      </c>
      <c r="K104" s="48" t="s">
        <v>3866</v>
      </c>
      <c r="L104" s="569">
        <f t="shared" si="9"/>
        <v>42496</v>
      </c>
      <c r="M104" s="569">
        <f t="shared" si="10"/>
        <v>42489</v>
      </c>
      <c r="N104" s="555">
        <f>MONTH(Table3[[#This Row],[Date]])</f>
        <v>4</v>
      </c>
      <c r="O104" s="555">
        <f t="shared" si="11"/>
        <v>2016</v>
      </c>
      <c r="P104" s="2"/>
      <c r="Q104" s="547"/>
      <c r="R104" s="547"/>
      <c r="S104" s="547"/>
      <c r="T104" s="297">
        <v>42376</v>
      </c>
      <c r="U104" s="3">
        <v>2.5390000000000001</v>
      </c>
      <c r="V104" s="3">
        <v>159.53</v>
      </c>
      <c r="W104" s="3">
        <v>321.62</v>
      </c>
      <c r="X104" s="1"/>
    </row>
    <row r="105" spans="1:26">
      <c r="A105" s="53">
        <v>42492</v>
      </c>
      <c r="B105" s="1">
        <v>6163050191</v>
      </c>
      <c r="C105" s="1">
        <v>1</v>
      </c>
      <c r="D105" s="1" t="s">
        <v>3896</v>
      </c>
      <c r="E105" s="244" t="s">
        <v>3897</v>
      </c>
      <c r="F105" s="1" t="s">
        <v>3924</v>
      </c>
      <c r="G105" s="1" t="s">
        <v>2206</v>
      </c>
      <c r="H105" s="555">
        <v>159.923</v>
      </c>
      <c r="I105" s="568">
        <v>2.2989999999999999</v>
      </c>
      <c r="J105" s="568">
        <v>352.17</v>
      </c>
      <c r="K105" s="48" t="s">
        <v>3866</v>
      </c>
      <c r="L105" s="569">
        <f t="shared" si="9"/>
        <v>42503</v>
      </c>
      <c r="M105" s="569">
        <f t="shared" si="10"/>
        <v>42496</v>
      </c>
      <c r="N105" s="555">
        <f>MONTH(Table3[[#This Row],[Date]])</f>
        <v>5</v>
      </c>
      <c r="O105" s="555">
        <f t="shared" si="11"/>
        <v>2016</v>
      </c>
      <c r="P105" s="2"/>
      <c r="Q105" s="547"/>
      <c r="R105" s="547"/>
      <c r="S105" s="547"/>
      <c r="T105" s="297">
        <v>42380</v>
      </c>
      <c r="U105" s="3">
        <v>2.4990000000000001</v>
      </c>
      <c r="V105" s="3">
        <v>111.672</v>
      </c>
      <c r="W105" s="3">
        <v>218.03</v>
      </c>
      <c r="X105" s="1"/>
    </row>
    <row r="106" spans="1:26">
      <c r="A106" s="53">
        <v>42492</v>
      </c>
      <c r="B106" s="1">
        <v>6163050191</v>
      </c>
      <c r="C106" s="1">
        <v>3</v>
      </c>
      <c r="D106" s="1" t="s">
        <v>3863</v>
      </c>
      <c r="E106" s="1" t="s">
        <v>3831</v>
      </c>
      <c r="F106" s="1" t="s">
        <v>3872</v>
      </c>
      <c r="G106" s="1" t="s">
        <v>2206</v>
      </c>
      <c r="H106" s="2">
        <v>208.16900000000001</v>
      </c>
      <c r="I106" s="568">
        <v>2.5390000000000001</v>
      </c>
      <c r="J106" s="568">
        <v>498.72</v>
      </c>
      <c r="K106" s="48" t="s">
        <v>3866</v>
      </c>
      <c r="L106" s="569">
        <f t="shared" si="9"/>
        <v>42503</v>
      </c>
      <c r="M106" s="569">
        <f t="shared" si="10"/>
        <v>42496</v>
      </c>
      <c r="N106" s="555">
        <f>MONTH(Table3[[#This Row],[Date]])</f>
        <v>5</v>
      </c>
      <c r="O106" s="555">
        <f t="shared" si="11"/>
        <v>2016</v>
      </c>
      <c r="P106" s="2"/>
      <c r="Q106" s="547"/>
      <c r="R106" s="547"/>
      <c r="S106" s="547"/>
      <c r="T106" s="297">
        <v>42381</v>
      </c>
      <c r="U106" s="3">
        <v>2.3490000000000002</v>
      </c>
      <c r="V106" s="3">
        <v>143.54</v>
      </c>
      <c r="W106" s="3">
        <v>337.18</v>
      </c>
      <c r="X106" s="1"/>
    </row>
    <row r="107" spans="1:26">
      <c r="A107" s="53">
        <v>42494</v>
      </c>
      <c r="B107" s="1">
        <v>6163050193</v>
      </c>
      <c r="C107" s="1">
        <v>3</v>
      </c>
      <c r="D107" s="1" t="s">
        <v>3863</v>
      </c>
      <c r="E107" s="1" t="s">
        <v>3831</v>
      </c>
      <c r="F107" s="1" t="s">
        <v>3935</v>
      </c>
      <c r="G107" s="1" t="s">
        <v>2206</v>
      </c>
      <c r="H107" s="2">
        <v>115.15900000000001</v>
      </c>
      <c r="I107" s="568">
        <v>2.4990000000000001</v>
      </c>
      <c r="J107" s="568">
        <v>287.77999999999997</v>
      </c>
      <c r="K107" s="48" t="s">
        <v>3866</v>
      </c>
      <c r="L107" s="569">
        <f t="shared" si="9"/>
        <v>42503</v>
      </c>
      <c r="M107" s="569">
        <f t="shared" si="10"/>
        <v>42496</v>
      </c>
      <c r="N107" s="555">
        <f>MONTH(Table3[[#This Row],[Date]])</f>
        <v>5</v>
      </c>
      <c r="O107" s="555">
        <f t="shared" si="11"/>
        <v>2016</v>
      </c>
      <c r="P107" s="544"/>
      <c r="Q107" s="547"/>
      <c r="R107" s="547"/>
      <c r="S107" s="547"/>
      <c r="T107" s="297">
        <v>42384</v>
      </c>
      <c r="U107" s="3">
        <v>2.4390000000000001</v>
      </c>
      <c r="V107" s="3">
        <v>135.428</v>
      </c>
      <c r="W107" s="3">
        <v>254.93</v>
      </c>
      <c r="X107" s="544"/>
    </row>
    <row r="108" spans="1:26">
      <c r="A108" s="53">
        <v>42495</v>
      </c>
      <c r="B108" s="1">
        <v>6163050194</v>
      </c>
      <c r="C108" s="1">
        <v>1</v>
      </c>
      <c r="D108" s="1" t="s">
        <v>3896</v>
      </c>
      <c r="E108" s="1" t="s">
        <v>3897</v>
      </c>
      <c r="F108" s="1" t="s">
        <v>3898</v>
      </c>
      <c r="G108" s="1" t="s">
        <v>2233</v>
      </c>
      <c r="H108" s="266">
        <v>168.87299999999999</v>
      </c>
      <c r="I108" s="568">
        <v>2.5390000000000001</v>
      </c>
      <c r="J108" s="568">
        <v>428.77</v>
      </c>
      <c r="K108" s="48" t="s">
        <v>3866</v>
      </c>
      <c r="L108" s="569">
        <f t="shared" si="9"/>
        <v>42503</v>
      </c>
      <c r="M108" s="569">
        <f t="shared" si="10"/>
        <v>42496</v>
      </c>
      <c r="N108" s="555">
        <f>MONTH(Table3[[#This Row],[Date]])</f>
        <v>5</v>
      </c>
      <c r="O108" s="555">
        <f t="shared" si="11"/>
        <v>2016</v>
      </c>
      <c r="P108" s="544"/>
      <c r="Q108" s="547"/>
      <c r="R108" s="547"/>
      <c r="S108" s="547"/>
      <c r="T108" s="297">
        <v>42389</v>
      </c>
      <c r="U108" s="3">
        <v>2.4390000000000001</v>
      </c>
      <c r="V108" s="3">
        <v>361.21</v>
      </c>
      <c r="W108" s="3">
        <v>270.08</v>
      </c>
      <c r="X108" s="544"/>
    </row>
    <row r="109" spans="1:26">
      <c r="A109" s="53">
        <v>42499</v>
      </c>
      <c r="B109" s="1">
        <v>6163050196</v>
      </c>
      <c r="C109" s="1">
        <v>1</v>
      </c>
      <c r="D109" s="1" t="s">
        <v>3896</v>
      </c>
      <c r="E109" s="1" t="s">
        <v>3897</v>
      </c>
      <c r="F109" s="1" t="s">
        <v>3939</v>
      </c>
      <c r="G109" s="1" t="s">
        <v>2206</v>
      </c>
      <c r="H109" s="266">
        <v>127.379</v>
      </c>
      <c r="I109" s="568">
        <v>2.2989999999999999</v>
      </c>
      <c r="J109" s="568">
        <v>280.61</v>
      </c>
      <c r="K109" s="48" t="s">
        <v>3866</v>
      </c>
      <c r="L109" s="569">
        <f t="shared" si="9"/>
        <v>42510</v>
      </c>
      <c r="M109" s="569">
        <f t="shared" si="10"/>
        <v>42503</v>
      </c>
      <c r="N109" s="555">
        <f>MONTH(Table3[[#This Row],[Date]])</f>
        <v>5</v>
      </c>
      <c r="O109" s="555">
        <f t="shared" si="11"/>
        <v>2016</v>
      </c>
      <c r="P109" s="16"/>
      <c r="Q109" s="547"/>
      <c r="R109" s="547"/>
      <c r="S109" s="547"/>
      <c r="T109" s="297">
        <v>42391</v>
      </c>
      <c r="U109" s="3">
        <v>2.399</v>
      </c>
      <c r="V109" s="3">
        <v>139.90799999999999</v>
      </c>
      <c r="W109" s="3">
        <v>247.75</v>
      </c>
      <c r="X109" s="544"/>
      <c r="Y109" s="544"/>
      <c r="Z109" s="544"/>
    </row>
    <row r="110" spans="1:26">
      <c r="A110" s="53">
        <v>42499</v>
      </c>
      <c r="B110" s="1">
        <v>6163050196</v>
      </c>
      <c r="C110" s="1">
        <v>3</v>
      </c>
      <c r="D110" s="1" t="s">
        <v>3863</v>
      </c>
      <c r="E110" s="1" t="s">
        <v>3831</v>
      </c>
      <c r="F110" s="1" t="s">
        <v>3872</v>
      </c>
      <c r="G110" s="1" t="s">
        <v>2206</v>
      </c>
      <c r="H110" s="266">
        <v>179.852</v>
      </c>
      <c r="I110" s="568">
        <v>2.6389999999999998</v>
      </c>
      <c r="J110" s="568">
        <v>423.6</v>
      </c>
      <c r="K110" s="48" t="s">
        <v>3866</v>
      </c>
      <c r="L110" s="569">
        <f t="shared" si="9"/>
        <v>42510</v>
      </c>
      <c r="M110" s="569">
        <f t="shared" si="10"/>
        <v>42503</v>
      </c>
      <c r="N110" s="555">
        <f>MONTH(Table3[[#This Row],[Date]])</f>
        <v>5</v>
      </c>
      <c r="O110" s="555">
        <f t="shared" si="11"/>
        <v>2016</v>
      </c>
      <c r="P110" s="16"/>
      <c r="Q110" s="547"/>
      <c r="R110" s="547"/>
      <c r="S110" s="547"/>
      <c r="T110" s="297">
        <v>42401</v>
      </c>
      <c r="U110" s="3">
        <v>2.37</v>
      </c>
      <c r="V110" s="3">
        <v>91.983999999999995</v>
      </c>
      <c r="W110" s="3">
        <v>175.02</v>
      </c>
      <c r="X110" s="544"/>
      <c r="Y110" s="544"/>
      <c r="Z110" s="544"/>
    </row>
    <row r="111" spans="1:26">
      <c r="A111" s="53">
        <v>42502</v>
      </c>
      <c r="B111" s="1">
        <v>6163050199</v>
      </c>
      <c r="C111" s="1">
        <v>3</v>
      </c>
      <c r="D111" s="1" t="s">
        <v>3863</v>
      </c>
      <c r="E111" s="1" t="s">
        <v>3831</v>
      </c>
      <c r="F111" s="1" t="s">
        <v>3935</v>
      </c>
      <c r="G111" s="1" t="s">
        <v>2206</v>
      </c>
      <c r="H111" s="266">
        <v>57.136000000000003</v>
      </c>
      <c r="I111" s="568">
        <v>2.5590000000000002</v>
      </c>
      <c r="J111" s="568">
        <v>146.21</v>
      </c>
      <c r="K111" s="48" t="s">
        <v>3866</v>
      </c>
      <c r="L111" s="569">
        <f t="shared" si="9"/>
        <v>42510</v>
      </c>
      <c r="M111" s="569">
        <f t="shared" si="10"/>
        <v>42503</v>
      </c>
      <c r="N111" s="555">
        <f>MONTH(Table3[[#This Row],[Date]])</f>
        <v>5</v>
      </c>
      <c r="O111" s="555">
        <f t="shared" si="11"/>
        <v>2016</v>
      </c>
      <c r="P111" s="16"/>
      <c r="Q111" s="547"/>
      <c r="R111" s="547"/>
      <c r="S111" s="547"/>
      <c r="T111" s="297">
        <v>42403</v>
      </c>
      <c r="U111" s="3">
        <v>2.3889999999999998</v>
      </c>
      <c r="V111" s="3">
        <v>109.82899999999999</v>
      </c>
      <c r="W111" s="3">
        <v>262.38</v>
      </c>
      <c r="X111" s="544"/>
      <c r="Y111" s="544"/>
      <c r="Z111" s="544"/>
    </row>
    <row r="112" spans="1:26">
      <c r="A112" s="53">
        <v>42505</v>
      </c>
      <c r="B112" s="1">
        <v>6163050200</v>
      </c>
      <c r="C112" s="1">
        <v>1</v>
      </c>
      <c r="D112" s="1" t="s">
        <v>3896</v>
      </c>
      <c r="E112" s="1" t="s">
        <v>3897</v>
      </c>
      <c r="F112" s="1" t="s">
        <v>3940</v>
      </c>
      <c r="G112" s="1" t="s">
        <v>2206</v>
      </c>
      <c r="H112" s="266">
        <v>159.93199999999999</v>
      </c>
      <c r="I112" s="568">
        <v>2.6989999999999998</v>
      </c>
      <c r="J112" s="568">
        <v>417.76</v>
      </c>
      <c r="K112" s="48" t="s">
        <v>3866</v>
      </c>
      <c r="L112" s="569">
        <f t="shared" si="9"/>
        <v>42510</v>
      </c>
      <c r="M112" s="569">
        <f t="shared" si="10"/>
        <v>42503</v>
      </c>
      <c r="N112" s="555">
        <f>MONTH(Table3[[#This Row],[Date]])</f>
        <v>5</v>
      </c>
      <c r="O112" s="555">
        <f t="shared" si="11"/>
        <v>2016</v>
      </c>
      <c r="P112" s="16"/>
      <c r="Q112" s="547"/>
      <c r="R112" s="547"/>
      <c r="S112" s="547"/>
      <c r="T112" s="297">
        <v>42409</v>
      </c>
      <c r="U112" s="3">
        <v>2.359</v>
      </c>
      <c r="V112" s="3">
        <v>150.18</v>
      </c>
      <c r="W112" s="3">
        <v>353.89</v>
      </c>
      <c r="X112" s="544"/>
      <c r="Y112" s="544"/>
      <c r="Z112" s="544"/>
    </row>
    <row r="113" spans="1:27">
      <c r="A113" s="53">
        <v>42506</v>
      </c>
      <c r="B113" s="1">
        <v>6163050201</v>
      </c>
      <c r="C113" s="1">
        <v>3</v>
      </c>
      <c r="D113" s="1" t="s">
        <v>3863</v>
      </c>
      <c r="E113" s="1" t="s">
        <v>3831</v>
      </c>
      <c r="F113" s="1" t="s">
        <v>3923</v>
      </c>
      <c r="G113" s="1" t="s">
        <v>2206</v>
      </c>
      <c r="H113" s="266">
        <v>53.857999999999997</v>
      </c>
      <c r="I113" s="568">
        <v>2.6890000000000001</v>
      </c>
      <c r="J113" s="568">
        <v>144.82</v>
      </c>
      <c r="K113" s="48" t="s">
        <v>3866</v>
      </c>
      <c r="L113" s="569">
        <f t="shared" si="9"/>
        <v>42517</v>
      </c>
      <c r="M113" s="569">
        <f t="shared" si="10"/>
        <v>42510</v>
      </c>
      <c r="N113" s="555">
        <f>MONTH(Table3[[#This Row],[Date]])</f>
        <v>5</v>
      </c>
      <c r="O113" s="555">
        <f t="shared" si="11"/>
        <v>2016</v>
      </c>
      <c r="P113" s="16"/>
      <c r="Q113" s="547"/>
      <c r="R113" s="547"/>
      <c r="S113" s="547" t="s">
        <v>2233</v>
      </c>
      <c r="T113" s="297">
        <v>42340</v>
      </c>
      <c r="U113" s="3">
        <v>2.5590000000000002</v>
      </c>
      <c r="V113" s="3">
        <v>279.77999999999997</v>
      </c>
      <c r="W113" s="3">
        <v>274.31</v>
      </c>
      <c r="X113" s="544"/>
      <c r="Y113" s="544"/>
      <c r="Z113" s="544"/>
    </row>
    <row r="114" spans="1:27">
      <c r="A114" s="53">
        <v>42506</v>
      </c>
      <c r="B114" s="1">
        <v>6163050201</v>
      </c>
      <c r="C114" s="1">
        <v>3</v>
      </c>
      <c r="D114" s="1" t="s">
        <v>3863</v>
      </c>
      <c r="E114" s="1" t="s">
        <v>3831</v>
      </c>
      <c r="F114" s="1" t="s">
        <v>3941</v>
      </c>
      <c r="G114" s="1" t="s">
        <v>2206</v>
      </c>
      <c r="H114" s="266">
        <v>120.2</v>
      </c>
      <c r="I114" s="568">
        <v>2.2989999999999999</v>
      </c>
      <c r="J114" s="568">
        <v>264.82</v>
      </c>
      <c r="K114" s="48" t="s">
        <v>3866</v>
      </c>
      <c r="L114" s="569">
        <f t="shared" si="9"/>
        <v>42517</v>
      </c>
      <c r="M114" s="569">
        <f t="shared" si="10"/>
        <v>42510</v>
      </c>
      <c r="N114" s="555">
        <f>MONTH(Table3[[#This Row],[Date]])</f>
        <v>5</v>
      </c>
      <c r="O114" s="555">
        <f t="shared" si="11"/>
        <v>2016</v>
      </c>
      <c r="P114" s="16"/>
      <c r="Q114" s="547"/>
      <c r="R114" s="547"/>
      <c r="S114" s="547"/>
      <c r="T114" s="297">
        <v>42354</v>
      </c>
      <c r="U114" s="3">
        <v>2.5190000000000001</v>
      </c>
      <c r="V114" s="3">
        <v>123.277</v>
      </c>
      <c r="W114" s="3">
        <v>310.52999999999997</v>
      </c>
      <c r="X114" s="544"/>
      <c r="Y114" s="544"/>
      <c r="Z114" s="544"/>
    </row>
    <row r="115" spans="1:27">
      <c r="A115" s="53">
        <v>42508</v>
      </c>
      <c r="B115" s="1">
        <v>6163050203</v>
      </c>
      <c r="C115" s="1">
        <v>1</v>
      </c>
      <c r="D115" s="1" t="s">
        <v>3896</v>
      </c>
      <c r="E115" s="1" t="s">
        <v>3897</v>
      </c>
      <c r="F115" s="1" t="s">
        <v>3942</v>
      </c>
      <c r="G115" s="1" t="s">
        <v>2206</v>
      </c>
      <c r="H115" s="266">
        <v>144.37100000000001</v>
      </c>
      <c r="I115" s="568">
        <v>2.7490000000000001</v>
      </c>
      <c r="J115" s="568">
        <v>396.88</v>
      </c>
      <c r="K115" s="48" t="s">
        <v>3866</v>
      </c>
      <c r="L115" s="569">
        <f t="shared" si="9"/>
        <v>42517</v>
      </c>
      <c r="M115" s="569">
        <f t="shared" si="10"/>
        <v>42510</v>
      </c>
      <c r="N115" s="555">
        <f>MONTH(Table3[[#This Row],[Date]])</f>
        <v>5</v>
      </c>
      <c r="O115" s="555">
        <f t="shared" si="11"/>
        <v>2016</v>
      </c>
      <c r="P115" s="16"/>
      <c r="Q115" s="547" t="s">
        <v>3920</v>
      </c>
      <c r="R115" s="547">
        <v>4</v>
      </c>
      <c r="S115" s="547" t="s">
        <v>2206</v>
      </c>
      <c r="T115" s="297">
        <v>42416</v>
      </c>
      <c r="U115" s="3">
        <v>2.2989999999999999</v>
      </c>
      <c r="V115" s="3">
        <v>194.65899999999999</v>
      </c>
      <c r="W115" s="3">
        <v>370.32</v>
      </c>
      <c r="X115" s="544"/>
      <c r="Y115" s="544"/>
      <c r="Z115" s="544"/>
    </row>
    <row r="116" spans="1:27">
      <c r="A116" s="53">
        <v>42508</v>
      </c>
      <c r="B116" s="1">
        <v>6163050203</v>
      </c>
      <c r="C116" s="1">
        <v>3</v>
      </c>
      <c r="D116" s="1" t="s">
        <v>3863</v>
      </c>
      <c r="E116" s="1" t="s">
        <v>3831</v>
      </c>
      <c r="F116" s="1" t="s">
        <v>3923</v>
      </c>
      <c r="G116" s="1" t="s">
        <v>2206</v>
      </c>
      <c r="H116" s="266">
        <v>110.902</v>
      </c>
      <c r="I116" s="568">
        <v>2.7490000000000001</v>
      </c>
      <c r="J116" s="568">
        <v>304.87</v>
      </c>
      <c r="K116" s="48" t="s">
        <v>3866</v>
      </c>
      <c r="L116" s="569">
        <f t="shared" si="9"/>
        <v>42517</v>
      </c>
      <c r="M116" s="569">
        <f t="shared" si="10"/>
        <v>42510</v>
      </c>
      <c r="N116" s="555">
        <f>MONTH(Table3[[#This Row],[Date]])</f>
        <v>5</v>
      </c>
      <c r="O116" s="555">
        <f t="shared" si="11"/>
        <v>2016</v>
      </c>
      <c r="P116" s="16"/>
      <c r="Q116" s="547"/>
      <c r="R116" s="547"/>
      <c r="S116" s="547"/>
      <c r="T116" s="297">
        <v>42419</v>
      </c>
      <c r="U116" s="3">
        <v>2.2989999999999999</v>
      </c>
      <c r="V116" s="3">
        <v>55.328000000000003</v>
      </c>
      <c r="W116" s="3">
        <v>127.2</v>
      </c>
      <c r="X116" s="544"/>
      <c r="Y116" s="544"/>
      <c r="Z116" s="544"/>
    </row>
    <row r="117" spans="1:27">
      <c r="A117" s="53">
        <v>42508</v>
      </c>
      <c r="B117" s="1">
        <v>6163050203</v>
      </c>
      <c r="C117" s="1">
        <v>3</v>
      </c>
      <c r="D117" s="1" t="s">
        <v>3863</v>
      </c>
      <c r="E117" s="1" t="s">
        <v>3831</v>
      </c>
      <c r="F117" s="1" t="s">
        <v>3926</v>
      </c>
      <c r="G117" s="1" t="s">
        <v>2206</v>
      </c>
      <c r="H117" s="266">
        <v>130.202</v>
      </c>
      <c r="I117" s="568">
        <v>2.5990000000000002</v>
      </c>
      <c r="J117" s="568">
        <v>338.39</v>
      </c>
      <c r="K117" s="48" t="s">
        <v>3866</v>
      </c>
      <c r="L117" s="569">
        <f t="shared" si="9"/>
        <v>42517</v>
      </c>
      <c r="M117" s="569">
        <f t="shared" si="10"/>
        <v>42510</v>
      </c>
      <c r="N117" s="555">
        <f>MONTH(Table3[[#This Row],[Date]])</f>
        <v>5</v>
      </c>
      <c r="O117" s="555">
        <f t="shared" si="11"/>
        <v>2016</v>
      </c>
      <c r="P117" s="16"/>
      <c r="Q117" s="547"/>
      <c r="R117" s="547"/>
      <c r="S117" s="547" t="s">
        <v>2233</v>
      </c>
      <c r="T117" s="297">
        <v>42417</v>
      </c>
      <c r="U117" s="3">
        <v>2.0990000000000002</v>
      </c>
      <c r="V117" s="3">
        <v>62.847999999999999</v>
      </c>
      <c r="W117" s="3">
        <v>131.91999999999999</v>
      </c>
      <c r="X117" s="544"/>
      <c r="Y117" s="544"/>
      <c r="Z117" s="544"/>
    </row>
    <row r="118" spans="1:27">
      <c r="A118" s="53">
        <v>42509</v>
      </c>
      <c r="B118" s="1">
        <v>6163050204</v>
      </c>
      <c r="C118" s="1">
        <v>1</v>
      </c>
      <c r="D118" s="1" t="s">
        <v>3896</v>
      </c>
      <c r="E118" s="1" t="s">
        <v>3897</v>
      </c>
      <c r="F118" s="1" t="s">
        <v>3943</v>
      </c>
      <c r="G118" s="1" t="s">
        <v>2233</v>
      </c>
      <c r="H118" s="266">
        <v>108.82299999999999</v>
      </c>
      <c r="I118" s="568">
        <v>2.6190000000000002</v>
      </c>
      <c r="J118" s="568">
        <v>285.01</v>
      </c>
      <c r="K118" s="48" t="s">
        <v>3866</v>
      </c>
      <c r="L118" s="569">
        <f t="shared" si="9"/>
        <v>42517</v>
      </c>
      <c r="M118" s="569">
        <f t="shared" si="10"/>
        <v>42510</v>
      </c>
      <c r="N118" s="555">
        <f>MONTH(Table3[[#This Row],[Date]])</f>
        <v>5</v>
      </c>
      <c r="O118" s="555">
        <f t="shared" si="11"/>
        <v>2016</v>
      </c>
      <c r="P118" s="16"/>
      <c r="Q118" s="547" t="s">
        <v>3881</v>
      </c>
      <c r="R118" s="547">
        <v>1</v>
      </c>
      <c r="S118" s="547" t="s">
        <v>2206</v>
      </c>
      <c r="T118" s="297">
        <v>42260</v>
      </c>
      <c r="U118" s="3">
        <v>2.7490000000000001</v>
      </c>
      <c r="V118" s="3">
        <v>127.506</v>
      </c>
      <c r="W118" s="3">
        <v>350.51</v>
      </c>
      <c r="X118" s="544"/>
      <c r="Y118" s="544"/>
      <c r="Z118" s="544"/>
    </row>
    <row r="119" spans="1:27">
      <c r="A119" s="53">
        <v>42512</v>
      </c>
      <c r="B119" s="1">
        <v>6163050205</v>
      </c>
      <c r="C119" s="1">
        <v>1</v>
      </c>
      <c r="D119" s="1" t="s">
        <v>3896</v>
      </c>
      <c r="E119" s="1" t="s">
        <v>3897</v>
      </c>
      <c r="F119" s="1" t="s">
        <v>3944</v>
      </c>
      <c r="G119" s="1" t="s">
        <v>2206</v>
      </c>
      <c r="H119" s="266">
        <v>99.085999999999999</v>
      </c>
      <c r="I119" s="568">
        <v>2.7589999999999999</v>
      </c>
      <c r="J119" s="568">
        <v>264.95999999999998</v>
      </c>
      <c r="K119" s="48" t="s">
        <v>3866</v>
      </c>
      <c r="L119" s="569">
        <f t="shared" si="9"/>
        <v>42517</v>
      </c>
      <c r="M119" s="569">
        <f t="shared" si="10"/>
        <v>42510</v>
      </c>
      <c r="N119" s="555">
        <f>MONTH(Table3[[#This Row],[Date]])</f>
        <v>5</v>
      </c>
      <c r="O119" s="555">
        <f t="shared" si="11"/>
        <v>2016</v>
      </c>
      <c r="P119" s="16"/>
      <c r="Q119" s="547" t="s">
        <v>3883</v>
      </c>
      <c r="R119" s="547">
        <v>3</v>
      </c>
      <c r="S119" s="547" t="s">
        <v>3916</v>
      </c>
      <c r="T119" s="297">
        <v>42389</v>
      </c>
      <c r="U119" s="3">
        <v>2.0489999999999999</v>
      </c>
      <c r="V119" s="3">
        <v>58.957999999999998</v>
      </c>
      <c r="W119" s="3">
        <v>176.13</v>
      </c>
      <c r="X119" s="544"/>
      <c r="Y119" s="544"/>
      <c r="Z119" s="544"/>
    </row>
    <row r="120" spans="1:27">
      <c r="A120" s="53">
        <v>42513</v>
      </c>
      <c r="B120" s="1">
        <v>6163050206</v>
      </c>
      <c r="C120" s="1">
        <v>3</v>
      </c>
      <c r="D120" s="1" t="s">
        <v>3863</v>
      </c>
      <c r="E120" s="1" t="s">
        <v>3831</v>
      </c>
      <c r="F120" s="1" t="s">
        <v>3945</v>
      </c>
      <c r="G120" s="1" t="s">
        <v>2206</v>
      </c>
      <c r="H120" s="266">
        <v>207.12</v>
      </c>
      <c r="I120" s="568">
        <v>2.7189999999999999</v>
      </c>
      <c r="J120" s="568">
        <v>530.5</v>
      </c>
      <c r="K120" s="48" t="s">
        <v>3866</v>
      </c>
      <c r="L120" s="569">
        <f t="shared" si="9"/>
        <v>42524</v>
      </c>
      <c r="M120" s="569">
        <f t="shared" si="10"/>
        <v>42517</v>
      </c>
      <c r="N120" s="555">
        <f>MONTH(Table3[[#This Row],[Date]])</f>
        <v>5</v>
      </c>
      <c r="O120" s="555">
        <f t="shared" si="11"/>
        <v>2016</v>
      </c>
      <c r="P120" s="16"/>
      <c r="Q120" s="547"/>
      <c r="R120" s="547"/>
      <c r="S120" s="547" t="s">
        <v>2206</v>
      </c>
      <c r="T120" s="297">
        <v>42276</v>
      </c>
      <c r="U120" s="3">
        <v>2.6789999999999998</v>
      </c>
      <c r="V120" s="3">
        <v>218.28</v>
      </c>
      <c r="W120" s="3">
        <v>584.77</v>
      </c>
      <c r="X120" s="544"/>
      <c r="Y120" s="544"/>
      <c r="Z120" s="544"/>
    </row>
    <row r="121" spans="1:27">
      <c r="A121" s="53">
        <v>42514</v>
      </c>
      <c r="B121" s="1">
        <v>6163050207</v>
      </c>
      <c r="C121" s="1">
        <v>1</v>
      </c>
      <c r="D121" s="1" t="s">
        <v>3896</v>
      </c>
      <c r="E121" s="1" t="s">
        <v>3897</v>
      </c>
      <c r="F121" s="1" t="s">
        <v>3946</v>
      </c>
      <c r="G121" s="1" t="s">
        <v>2206</v>
      </c>
      <c r="H121" s="266">
        <v>111.209</v>
      </c>
      <c r="I121" s="568">
        <v>2.7589999999999999</v>
      </c>
      <c r="J121" s="568">
        <v>297.32</v>
      </c>
      <c r="K121" s="48" t="s">
        <v>3866</v>
      </c>
      <c r="L121" s="569">
        <f t="shared" si="9"/>
        <v>42524</v>
      </c>
      <c r="M121" s="569">
        <f t="shared" si="10"/>
        <v>42517</v>
      </c>
      <c r="N121" s="555">
        <f>MONTH(Table3[[#This Row],[Date]])</f>
        <v>5</v>
      </c>
      <c r="O121" s="555">
        <f t="shared" si="11"/>
        <v>2016</v>
      </c>
      <c r="P121" s="16"/>
      <c r="Q121" s="547"/>
      <c r="R121" s="547"/>
      <c r="S121" s="547"/>
      <c r="T121" s="297">
        <v>42278</v>
      </c>
      <c r="U121" s="3">
        <v>2.6989999999999998</v>
      </c>
      <c r="V121" s="3">
        <v>97.028000000000006</v>
      </c>
      <c r="W121" s="3">
        <v>261.88</v>
      </c>
      <c r="X121" s="544"/>
      <c r="Y121" s="544"/>
      <c r="Z121" s="544"/>
    </row>
    <row r="122" spans="1:27">
      <c r="A122" s="53">
        <v>42519</v>
      </c>
      <c r="B122" s="1">
        <v>6163050210</v>
      </c>
      <c r="C122" s="1">
        <v>1</v>
      </c>
      <c r="D122" s="1" t="s">
        <v>3896</v>
      </c>
      <c r="E122" s="1" t="s">
        <v>3897</v>
      </c>
      <c r="F122" s="1" t="s">
        <v>3940</v>
      </c>
      <c r="G122" s="1" t="s">
        <v>2206</v>
      </c>
      <c r="H122" s="266">
        <v>152.166</v>
      </c>
      <c r="I122" s="568">
        <v>2.7589999999999999</v>
      </c>
      <c r="J122" s="568">
        <v>406.63</v>
      </c>
      <c r="K122" s="48" t="s">
        <v>3866</v>
      </c>
      <c r="L122" s="569">
        <f t="shared" si="9"/>
        <v>42524</v>
      </c>
      <c r="M122" s="569">
        <f t="shared" si="10"/>
        <v>42517</v>
      </c>
      <c r="N122" s="555">
        <f>MONTH(Table3[[#This Row],[Date]])</f>
        <v>5</v>
      </c>
      <c r="O122" s="555">
        <f t="shared" si="11"/>
        <v>2016</v>
      </c>
      <c r="P122" s="16"/>
      <c r="Q122" s="547"/>
      <c r="R122" s="547"/>
      <c r="S122" s="547"/>
      <c r="T122" s="297">
        <v>42283</v>
      </c>
      <c r="U122" s="3">
        <v>2.7389999999999999</v>
      </c>
      <c r="V122" s="3">
        <v>76.698999999999998</v>
      </c>
      <c r="W122" s="3">
        <v>210.08</v>
      </c>
      <c r="X122" s="544"/>
      <c r="Y122" s="544"/>
      <c r="Z122" s="544"/>
    </row>
    <row r="123" spans="1:27">
      <c r="A123" s="53">
        <v>42521</v>
      </c>
      <c r="B123" s="1">
        <v>6163050212</v>
      </c>
      <c r="C123" s="1">
        <v>1</v>
      </c>
      <c r="D123" s="1" t="s">
        <v>3896</v>
      </c>
      <c r="E123" s="1" t="s">
        <v>3897</v>
      </c>
      <c r="F123" s="1" t="s">
        <v>3947</v>
      </c>
      <c r="G123" s="1" t="s">
        <v>2206</v>
      </c>
      <c r="H123" s="266">
        <v>63.311</v>
      </c>
      <c r="I123" s="568">
        <v>2.7989999999999999</v>
      </c>
      <c r="J123" s="568">
        <v>172.01</v>
      </c>
      <c r="K123" s="48" t="s">
        <v>3866</v>
      </c>
      <c r="L123" s="569">
        <f t="shared" si="9"/>
        <v>42531</v>
      </c>
      <c r="M123" s="569">
        <f t="shared" si="10"/>
        <v>42524</v>
      </c>
      <c r="N123" s="555">
        <f>MONTH(Table3[[#This Row],[Date]])</f>
        <v>5</v>
      </c>
      <c r="O123" s="555">
        <f t="shared" si="11"/>
        <v>2016</v>
      </c>
      <c r="P123" s="16"/>
      <c r="Q123" s="547"/>
      <c r="R123" s="547"/>
      <c r="S123" s="547"/>
      <c r="T123" s="297">
        <v>42285</v>
      </c>
      <c r="U123" s="3">
        <v>2.819</v>
      </c>
      <c r="V123" s="3">
        <v>156.334</v>
      </c>
      <c r="W123" s="3">
        <v>432.89</v>
      </c>
      <c r="X123" s="544"/>
      <c r="Y123" s="544"/>
      <c r="Z123" s="544"/>
      <c r="AA123" s="544"/>
    </row>
    <row r="124" spans="1:27">
      <c r="A124" s="53">
        <v>42521</v>
      </c>
      <c r="B124" s="1">
        <v>6163050212</v>
      </c>
      <c r="C124" s="1">
        <v>3</v>
      </c>
      <c r="D124" s="1" t="s">
        <v>3863</v>
      </c>
      <c r="E124" s="1" t="s">
        <v>3831</v>
      </c>
      <c r="F124" s="1" t="s">
        <v>3948</v>
      </c>
      <c r="G124" s="1" t="s">
        <v>2206</v>
      </c>
      <c r="H124" s="266">
        <v>93.567999999999998</v>
      </c>
      <c r="I124" s="568">
        <v>2.9590000000000001</v>
      </c>
      <c r="J124" s="568">
        <v>268.95</v>
      </c>
      <c r="K124" s="48" t="s">
        <v>3866</v>
      </c>
      <c r="L124" s="569">
        <f t="shared" si="9"/>
        <v>42531</v>
      </c>
      <c r="M124" s="569">
        <f t="shared" si="10"/>
        <v>42524</v>
      </c>
      <c r="N124" s="555">
        <f>MONTH(Table3[[#This Row],[Date]])</f>
        <v>5</v>
      </c>
      <c r="O124" s="555">
        <f t="shared" si="11"/>
        <v>2016</v>
      </c>
      <c r="P124" s="16"/>
      <c r="Q124" s="547"/>
      <c r="R124" s="547"/>
      <c r="S124" s="547"/>
      <c r="T124" s="297">
        <v>42289</v>
      </c>
      <c r="U124" s="3">
        <v>2.6989999999999998</v>
      </c>
      <c r="V124" s="3">
        <v>208.21199999999999</v>
      </c>
      <c r="W124" s="3">
        <v>561.96</v>
      </c>
      <c r="X124" s="544"/>
      <c r="Y124" s="544"/>
      <c r="Z124" s="544"/>
      <c r="AA124" s="544"/>
    </row>
    <row r="125" spans="1:27">
      <c r="A125" s="53">
        <v>42523</v>
      </c>
      <c r="B125" s="1">
        <v>6163050214</v>
      </c>
      <c r="C125" s="1">
        <v>1</v>
      </c>
      <c r="D125" s="1" t="s">
        <v>3896</v>
      </c>
      <c r="E125" s="1" t="s">
        <v>3897</v>
      </c>
      <c r="F125" s="1" t="s">
        <v>3894</v>
      </c>
      <c r="G125" s="1" t="s">
        <v>2233</v>
      </c>
      <c r="H125" s="266">
        <v>145.07300000000001</v>
      </c>
      <c r="I125" s="568">
        <v>2.6989999999999998</v>
      </c>
      <c r="J125" s="568">
        <v>391.55</v>
      </c>
      <c r="K125" s="48" t="s">
        <v>3866</v>
      </c>
      <c r="L125" s="569">
        <f t="shared" si="9"/>
        <v>42531</v>
      </c>
      <c r="M125" s="569">
        <f t="shared" si="10"/>
        <v>42524</v>
      </c>
      <c r="N125" s="555">
        <f>MONTH(Table3[[#This Row],[Date]])</f>
        <v>6</v>
      </c>
      <c r="O125" s="555">
        <f t="shared" si="11"/>
        <v>2016</v>
      </c>
      <c r="P125" s="16"/>
      <c r="Q125" s="547"/>
      <c r="R125" s="547"/>
      <c r="S125" s="547"/>
      <c r="T125" s="297">
        <v>42292</v>
      </c>
      <c r="U125" s="3">
        <v>2.859</v>
      </c>
      <c r="V125" s="3">
        <v>190.86199999999999</v>
      </c>
      <c r="W125" s="3">
        <v>545.66999999999996</v>
      </c>
      <c r="X125" s="544"/>
      <c r="Y125" s="544"/>
      <c r="Z125" s="544"/>
      <c r="AA125" s="544"/>
    </row>
    <row r="126" spans="1:27">
      <c r="A126" s="53">
        <v>42527</v>
      </c>
      <c r="B126" s="1">
        <v>6163050216</v>
      </c>
      <c r="C126" s="1">
        <v>1</v>
      </c>
      <c r="D126" s="1" t="s">
        <v>3896</v>
      </c>
      <c r="E126" s="1" t="s">
        <v>3897</v>
      </c>
      <c r="F126" s="1" t="s">
        <v>3919</v>
      </c>
      <c r="G126" s="1" t="s">
        <v>2206</v>
      </c>
      <c r="H126" s="266">
        <v>170.506</v>
      </c>
      <c r="I126" s="568">
        <v>2.819</v>
      </c>
      <c r="J126" s="568">
        <v>480.66</v>
      </c>
      <c r="K126" s="48" t="s">
        <v>3866</v>
      </c>
      <c r="L126" s="569">
        <f t="shared" si="9"/>
        <v>42538</v>
      </c>
      <c r="M126" s="569">
        <f t="shared" si="10"/>
        <v>42531</v>
      </c>
      <c r="N126" s="555">
        <f>MONTH(Table3[[#This Row],[Date]])</f>
        <v>6</v>
      </c>
      <c r="O126" s="555">
        <f t="shared" si="11"/>
        <v>2016</v>
      </c>
      <c r="P126" s="16"/>
      <c r="Q126" s="547"/>
      <c r="R126" s="547"/>
      <c r="S126" s="547"/>
      <c r="T126" s="297">
        <v>42297</v>
      </c>
      <c r="U126" s="3">
        <v>2.6789999999999998</v>
      </c>
      <c r="V126" s="3">
        <v>228.69499999999999</v>
      </c>
      <c r="W126" s="3">
        <v>612.58000000000004</v>
      </c>
      <c r="X126" s="544"/>
      <c r="Y126" s="544"/>
      <c r="Z126" s="544"/>
      <c r="AA126" s="544"/>
    </row>
    <row r="127" spans="1:27">
      <c r="A127" s="53">
        <v>42529</v>
      </c>
      <c r="B127" s="1">
        <v>6163050218</v>
      </c>
      <c r="C127" s="1">
        <v>1</v>
      </c>
      <c r="D127" s="1" t="s">
        <v>3896</v>
      </c>
      <c r="E127" s="1" t="s">
        <v>3897</v>
      </c>
      <c r="F127" s="1" t="s">
        <v>3901</v>
      </c>
      <c r="G127" s="1" t="s">
        <v>2206</v>
      </c>
      <c r="H127" s="266">
        <v>139.79499999999999</v>
      </c>
      <c r="I127" s="568">
        <v>2.7989999999999999</v>
      </c>
      <c r="J127" s="568">
        <v>379.2</v>
      </c>
      <c r="K127" s="48" t="s">
        <v>3866</v>
      </c>
      <c r="L127" s="569">
        <f t="shared" si="9"/>
        <v>42538</v>
      </c>
      <c r="M127" s="569">
        <f t="shared" si="10"/>
        <v>42531</v>
      </c>
      <c r="N127" s="555">
        <f>MONTH(Table3[[#This Row],[Date]])</f>
        <v>6</v>
      </c>
      <c r="O127" s="555">
        <f t="shared" si="11"/>
        <v>2016</v>
      </c>
      <c r="P127" s="16"/>
      <c r="Q127" s="547"/>
      <c r="R127" s="547"/>
      <c r="S127" s="547"/>
      <c r="T127" s="297">
        <v>42299</v>
      </c>
      <c r="U127" s="3">
        <v>2.7589999999999999</v>
      </c>
      <c r="V127" s="3">
        <v>193.23</v>
      </c>
      <c r="W127" s="3">
        <v>533.12</v>
      </c>
      <c r="X127" s="544"/>
      <c r="Y127" s="544"/>
      <c r="Z127" s="544"/>
      <c r="AA127" s="544"/>
    </row>
    <row r="128" spans="1:27">
      <c r="A128" s="53">
        <v>42531</v>
      </c>
      <c r="B128" s="1">
        <v>6163050220</v>
      </c>
      <c r="C128" s="1">
        <v>1</v>
      </c>
      <c r="D128" s="1" t="s">
        <v>3896</v>
      </c>
      <c r="E128" s="1" t="s">
        <v>3897</v>
      </c>
      <c r="F128" s="1" t="s">
        <v>3939</v>
      </c>
      <c r="G128" s="1" t="s">
        <v>2206</v>
      </c>
      <c r="H128" s="266">
        <v>134.59</v>
      </c>
      <c r="I128" s="568">
        <v>2.4790000000000001</v>
      </c>
      <c r="J128" s="568">
        <v>320.69</v>
      </c>
      <c r="K128" s="48" t="s">
        <v>3866</v>
      </c>
      <c r="L128" s="569">
        <f t="shared" si="9"/>
        <v>42538</v>
      </c>
      <c r="M128" s="569">
        <f t="shared" si="10"/>
        <v>42531</v>
      </c>
      <c r="N128" s="555">
        <f>MONTH(Table3[[#This Row],[Date]])</f>
        <v>6</v>
      </c>
      <c r="O128" s="555">
        <f t="shared" si="11"/>
        <v>2016</v>
      </c>
      <c r="P128" s="16"/>
      <c r="Q128" s="547"/>
      <c r="R128" s="547"/>
      <c r="S128" s="547"/>
      <c r="T128" s="297">
        <v>42306</v>
      </c>
      <c r="U128" s="3">
        <v>2.7589999999999999</v>
      </c>
      <c r="V128" s="3">
        <v>212.459</v>
      </c>
      <c r="W128" s="3">
        <v>575.54999999999995</v>
      </c>
      <c r="X128" s="544"/>
      <c r="Y128" s="544"/>
      <c r="Z128" s="544"/>
      <c r="AA128" s="544"/>
    </row>
    <row r="129" spans="1:27">
      <c r="A129" s="53">
        <v>42535</v>
      </c>
      <c r="B129" s="1">
        <v>6163050221</v>
      </c>
      <c r="C129" s="1">
        <v>3</v>
      </c>
      <c r="D129" s="1" t="s">
        <v>3863</v>
      </c>
      <c r="E129" s="1" t="s">
        <v>3831</v>
      </c>
      <c r="F129" s="1" t="s">
        <v>3934</v>
      </c>
      <c r="G129" s="1" t="s">
        <v>2206</v>
      </c>
      <c r="H129" s="266">
        <v>188.601</v>
      </c>
      <c r="I129" s="568">
        <v>2.6989999999999998</v>
      </c>
      <c r="J129" s="568">
        <v>509.03</v>
      </c>
      <c r="K129" s="48" t="s">
        <v>3866</v>
      </c>
      <c r="L129" s="569">
        <f t="shared" si="9"/>
        <v>42545</v>
      </c>
      <c r="M129" s="569">
        <f t="shared" si="10"/>
        <v>42538</v>
      </c>
      <c r="N129" s="555">
        <f>MONTH(Table3[[#This Row],[Date]])</f>
        <v>6</v>
      </c>
      <c r="O129" s="555">
        <f t="shared" si="11"/>
        <v>2016</v>
      </c>
      <c r="P129" s="16"/>
      <c r="Q129" s="547"/>
      <c r="R129" s="547"/>
      <c r="S129" s="547"/>
      <c r="T129" s="297">
        <v>42311</v>
      </c>
      <c r="U129" s="3">
        <v>2.7789999999999999</v>
      </c>
      <c r="V129" s="3">
        <v>219.155</v>
      </c>
      <c r="W129" s="3">
        <v>598.07000000000005</v>
      </c>
      <c r="X129" s="544"/>
      <c r="Y129" s="544"/>
      <c r="Z129" s="544"/>
      <c r="AA129" s="544"/>
    </row>
    <row r="130" spans="1:27">
      <c r="A130" s="53">
        <v>42536</v>
      </c>
      <c r="B130" s="1">
        <v>6163050222</v>
      </c>
      <c r="C130" s="1">
        <v>1</v>
      </c>
      <c r="D130" s="1" t="s">
        <v>3896</v>
      </c>
      <c r="E130" s="1" t="s">
        <v>3897</v>
      </c>
      <c r="F130" s="1" t="s">
        <v>3865</v>
      </c>
      <c r="G130" s="1" t="s">
        <v>2206</v>
      </c>
      <c r="H130" s="266">
        <v>134.35499999999999</v>
      </c>
      <c r="I130" s="568">
        <v>2.7989999999999999</v>
      </c>
      <c r="J130" s="568">
        <v>364.47</v>
      </c>
      <c r="K130" s="48" t="s">
        <v>3866</v>
      </c>
      <c r="L130" s="569">
        <f t="shared" ref="L130:L146" si="12">((5-WEEKDAY(A130,2))+A130)+7</f>
        <v>42545</v>
      </c>
      <c r="M130" s="569">
        <f t="shared" ref="M130:M146" si="13">(5-WEEKDAY(A130,2))+A130</f>
        <v>42538</v>
      </c>
      <c r="N130" s="555">
        <f>MONTH(Table3[[#This Row],[Date]])</f>
        <v>6</v>
      </c>
      <c r="O130" s="555">
        <f t="shared" ref="O130:O146" si="14">YEAR(A130)</f>
        <v>2016</v>
      </c>
      <c r="P130" s="16"/>
      <c r="Q130" s="547"/>
      <c r="R130" s="547"/>
      <c r="S130" s="547"/>
      <c r="T130" s="297">
        <v>42317</v>
      </c>
      <c r="U130" s="3">
        <v>2.6989999999999998</v>
      </c>
      <c r="V130" s="3">
        <v>174.59200000000001</v>
      </c>
      <c r="W130" s="3">
        <v>471.22</v>
      </c>
      <c r="X130" s="544"/>
      <c r="Y130" s="544"/>
      <c r="Z130" s="544"/>
      <c r="AA130" s="544"/>
    </row>
    <row r="131" spans="1:27">
      <c r="A131" s="53">
        <v>42538</v>
      </c>
      <c r="B131" s="1">
        <v>6163050224</v>
      </c>
      <c r="C131" s="1">
        <v>1</v>
      </c>
      <c r="D131" s="1" t="s">
        <v>3896</v>
      </c>
      <c r="E131" s="1" t="s">
        <v>3897</v>
      </c>
      <c r="F131" s="1" t="s">
        <v>3937</v>
      </c>
      <c r="G131" s="1" t="s">
        <v>2206</v>
      </c>
      <c r="H131" s="266">
        <v>119.07599999999999</v>
      </c>
      <c r="I131" s="568">
        <v>2.399</v>
      </c>
      <c r="J131" s="568">
        <v>274.26</v>
      </c>
      <c r="K131" s="48" t="s">
        <v>3866</v>
      </c>
      <c r="L131" s="569">
        <f t="shared" si="12"/>
        <v>42545</v>
      </c>
      <c r="M131" s="569">
        <f t="shared" si="13"/>
        <v>42538</v>
      </c>
      <c r="N131" s="555">
        <f>MONTH(Table3[[#This Row],[Date]])</f>
        <v>6</v>
      </c>
      <c r="O131" s="555">
        <f t="shared" si="14"/>
        <v>2016</v>
      </c>
      <c r="P131" s="16"/>
      <c r="Q131" s="547"/>
      <c r="R131" s="547"/>
      <c r="S131" s="547"/>
      <c r="T131" s="297">
        <v>42320</v>
      </c>
      <c r="U131" s="3">
        <v>2.649</v>
      </c>
      <c r="V131" s="3">
        <v>195.81100000000001</v>
      </c>
      <c r="W131" s="3">
        <v>518.70000000000005</v>
      </c>
      <c r="X131" s="544"/>
      <c r="Y131" s="544"/>
      <c r="Z131" s="544"/>
      <c r="AA131" s="544"/>
    </row>
    <row r="132" spans="1:27">
      <c r="A132" s="53">
        <v>42541</v>
      </c>
      <c r="B132" s="1">
        <v>6163050225</v>
      </c>
      <c r="C132" s="1">
        <v>3</v>
      </c>
      <c r="D132" s="1" t="s">
        <v>3863</v>
      </c>
      <c r="E132" s="1" t="s">
        <v>3831</v>
      </c>
      <c r="F132" s="1" t="s">
        <v>3934</v>
      </c>
      <c r="G132" s="1" t="s">
        <v>2206</v>
      </c>
      <c r="H132" s="266">
        <v>164.66800000000001</v>
      </c>
      <c r="I132" s="568">
        <v>2.6989999999999998</v>
      </c>
      <c r="J132" s="568">
        <v>444.44</v>
      </c>
      <c r="K132" s="48" t="s">
        <v>3866</v>
      </c>
      <c r="L132" s="569">
        <f t="shared" si="12"/>
        <v>42552</v>
      </c>
      <c r="M132" s="569">
        <f t="shared" si="13"/>
        <v>42545</v>
      </c>
      <c r="N132" s="555">
        <f>MONTH(Table3[[#This Row],[Date]])</f>
        <v>6</v>
      </c>
      <c r="O132" s="555">
        <f t="shared" si="14"/>
        <v>2016</v>
      </c>
      <c r="P132" s="16"/>
      <c r="Q132" s="547"/>
      <c r="R132" s="547"/>
      <c r="S132" s="547"/>
      <c r="T132" s="297">
        <v>42325</v>
      </c>
      <c r="U132" s="3">
        <v>2.6989999999999998</v>
      </c>
      <c r="V132" s="3">
        <v>180.02</v>
      </c>
      <c r="W132" s="3">
        <v>485.87</v>
      </c>
      <c r="X132" s="544"/>
      <c r="Y132" s="544"/>
      <c r="Z132" s="544"/>
      <c r="AA132" s="544"/>
    </row>
    <row r="133" spans="1:27">
      <c r="A133" s="53">
        <v>42542</v>
      </c>
      <c r="B133" s="1">
        <v>6163050226</v>
      </c>
      <c r="C133" s="1">
        <v>1</v>
      </c>
      <c r="D133" s="1" t="s">
        <v>3896</v>
      </c>
      <c r="E133" s="1" t="s">
        <v>3897</v>
      </c>
      <c r="F133" s="1" t="s">
        <v>3949</v>
      </c>
      <c r="G133" s="1" t="s">
        <v>2206</v>
      </c>
      <c r="H133" s="266">
        <v>155.63</v>
      </c>
      <c r="I133" s="568">
        <v>2.399</v>
      </c>
      <c r="J133" s="568">
        <v>358.29</v>
      </c>
      <c r="K133" s="48" t="s">
        <v>3866</v>
      </c>
      <c r="L133" s="569">
        <f t="shared" si="12"/>
        <v>42552</v>
      </c>
      <c r="M133" s="569">
        <f t="shared" si="13"/>
        <v>42545</v>
      </c>
      <c r="N133" s="555">
        <f>MONTH(Table3[[#This Row],[Date]])</f>
        <v>6</v>
      </c>
      <c r="O133" s="555">
        <f t="shared" si="14"/>
        <v>2016</v>
      </c>
      <c r="P133" s="16"/>
      <c r="Q133" s="547"/>
      <c r="R133" s="547"/>
      <c r="S133" s="547"/>
      <c r="T133" s="297">
        <v>42339</v>
      </c>
      <c r="U133" s="3">
        <v>2.6589999999999998</v>
      </c>
      <c r="V133" s="3">
        <v>81.082999999999998</v>
      </c>
      <c r="W133" s="3">
        <v>215.6</v>
      </c>
      <c r="X133" s="544"/>
      <c r="Y133" s="544"/>
      <c r="Z133" s="544"/>
      <c r="AA133" s="544"/>
    </row>
    <row r="134" spans="1:27">
      <c r="A134" s="53">
        <v>42544</v>
      </c>
      <c r="B134" s="1">
        <v>6163050228</v>
      </c>
      <c r="C134" s="1">
        <v>3</v>
      </c>
      <c r="D134" s="1" t="s">
        <v>3863</v>
      </c>
      <c r="E134" s="1" t="s">
        <v>3950</v>
      </c>
      <c r="F134" s="1" t="s">
        <v>3951</v>
      </c>
      <c r="G134" s="1" t="s">
        <v>2206</v>
      </c>
      <c r="H134" s="266">
        <v>52.945</v>
      </c>
      <c r="I134" s="48">
        <v>2.819</v>
      </c>
      <c r="J134" s="48">
        <v>149.25</v>
      </c>
      <c r="K134" s="48" t="s">
        <v>3866</v>
      </c>
      <c r="L134" s="16">
        <f t="shared" si="12"/>
        <v>42552</v>
      </c>
      <c r="M134" s="16">
        <f t="shared" si="13"/>
        <v>42545</v>
      </c>
      <c r="N134" s="2">
        <f>MONTH(Table3[[#This Row],[Date]])</f>
        <v>6</v>
      </c>
      <c r="O134" s="2">
        <f t="shared" si="14"/>
        <v>2016</v>
      </c>
      <c r="P134" s="16"/>
      <c r="Q134" s="547"/>
      <c r="R134" s="547"/>
      <c r="S134" s="547"/>
      <c r="T134" s="297">
        <v>42341</v>
      </c>
      <c r="U134" s="3">
        <v>2.6589999999999998</v>
      </c>
      <c r="V134" s="3">
        <v>113.126</v>
      </c>
      <c r="W134" s="3">
        <v>300.8</v>
      </c>
      <c r="X134" s="544"/>
      <c r="Y134" s="544"/>
      <c r="Z134" s="544"/>
      <c r="AA134" s="544"/>
    </row>
    <row r="135" spans="1:27">
      <c r="A135" s="53">
        <v>42544</v>
      </c>
      <c r="B135" s="544">
        <v>6163050228</v>
      </c>
      <c r="C135" s="1">
        <v>3</v>
      </c>
      <c r="D135" s="1" t="s">
        <v>3863</v>
      </c>
      <c r="E135" s="1" t="s">
        <v>3950</v>
      </c>
      <c r="F135" t="s">
        <v>3926</v>
      </c>
      <c r="G135" s="1" t="s">
        <v>2206</v>
      </c>
      <c r="H135" s="266">
        <v>147.38</v>
      </c>
      <c r="I135" s="48">
        <v>2.6989999999999998</v>
      </c>
      <c r="J135" s="48">
        <v>397.78</v>
      </c>
      <c r="K135" s="48" t="s">
        <v>3866</v>
      </c>
      <c r="L135" s="16">
        <f t="shared" si="12"/>
        <v>42552</v>
      </c>
      <c r="M135" s="16">
        <f t="shared" si="13"/>
        <v>42545</v>
      </c>
      <c r="N135" s="2">
        <f>MONTH(Table3[[#This Row],[Date]])</f>
        <v>6</v>
      </c>
      <c r="O135" s="2">
        <f t="shared" si="14"/>
        <v>2016</v>
      </c>
      <c r="P135" s="16"/>
      <c r="Q135" s="547"/>
      <c r="R135" s="547"/>
      <c r="S135" s="547"/>
      <c r="T135" s="297">
        <v>42345</v>
      </c>
      <c r="U135" s="3">
        <v>2.649</v>
      </c>
      <c r="V135" s="3">
        <v>196.46199999999999</v>
      </c>
      <c r="W135" s="3">
        <v>520.42999999999995</v>
      </c>
      <c r="X135" s="544"/>
      <c r="Y135" s="544"/>
      <c r="Z135" s="544"/>
      <c r="AA135" s="544"/>
    </row>
    <row r="136" spans="1:27">
      <c r="A136" s="53">
        <v>42547</v>
      </c>
      <c r="B136" s="1">
        <v>6163050229</v>
      </c>
      <c r="C136" s="1">
        <v>1</v>
      </c>
      <c r="D136" s="1" t="s">
        <v>3896</v>
      </c>
      <c r="E136" s="1" t="s">
        <v>3897</v>
      </c>
      <c r="F136" t="s">
        <v>3945</v>
      </c>
      <c r="G136" s="1" t="s">
        <v>2206</v>
      </c>
      <c r="H136" s="266">
        <v>128.44200000000001</v>
      </c>
      <c r="I136" s="48">
        <v>2.7789999999999999</v>
      </c>
      <c r="J136" s="48">
        <v>317.27999999999997</v>
      </c>
      <c r="K136" s="48" t="s">
        <v>3866</v>
      </c>
      <c r="L136" s="16">
        <f t="shared" si="12"/>
        <v>42552</v>
      </c>
      <c r="M136" s="16">
        <f t="shared" si="13"/>
        <v>42545</v>
      </c>
      <c r="N136" s="2">
        <f>MONTH(Table3[[#This Row],[Date]])</f>
        <v>6</v>
      </c>
      <c r="O136" s="2">
        <f t="shared" si="14"/>
        <v>2016</v>
      </c>
      <c r="P136" s="16"/>
      <c r="Q136" s="547"/>
      <c r="R136" s="547"/>
      <c r="S136" s="547"/>
      <c r="T136" s="297">
        <v>42348</v>
      </c>
      <c r="U136" s="3">
        <v>2.5990000000000002</v>
      </c>
      <c r="V136" s="3">
        <v>134.90100000000001</v>
      </c>
      <c r="W136" s="3">
        <v>351.11</v>
      </c>
      <c r="X136" s="544"/>
      <c r="Y136" s="544"/>
      <c r="Z136" s="544"/>
      <c r="AA136" s="544"/>
    </row>
    <row r="137" spans="1:27">
      <c r="A137" s="53">
        <v>42549</v>
      </c>
      <c r="B137" s="544">
        <v>6163050231</v>
      </c>
      <c r="C137" s="1">
        <v>1</v>
      </c>
      <c r="D137" s="1" t="s">
        <v>3896</v>
      </c>
      <c r="E137" s="1" t="s">
        <v>3897</v>
      </c>
      <c r="F137" t="s">
        <v>3952</v>
      </c>
      <c r="G137" s="1" t="s">
        <v>2206</v>
      </c>
      <c r="H137" s="266">
        <v>172.393</v>
      </c>
      <c r="I137" s="48">
        <v>2.819</v>
      </c>
      <c r="J137" s="48">
        <v>485.98</v>
      </c>
      <c r="K137" s="48" t="s">
        <v>3866</v>
      </c>
      <c r="L137" s="16">
        <f t="shared" si="12"/>
        <v>42559</v>
      </c>
      <c r="M137" s="16">
        <f t="shared" si="13"/>
        <v>42552</v>
      </c>
      <c r="N137" s="2">
        <f>MONTH(Table3[[#This Row],[Date]])</f>
        <v>6</v>
      </c>
      <c r="O137" s="2">
        <f t="shared" si="14"/>
        <v>2016</v>
      </c>
      <c r="P137" s="16"/>
      <c r="Q137" s="547"/>
      <c r="R137" s="547"/>
      <c r="S137" s="547"/>
      <c r="T137" s="297">
        <v>42355</v>
      </c>
      <c r="U137" s="3">
        <v>2.5590000000000002</v>
      </c>
      <c r="V137" s="3">
        <v>156.63399999999999</v>
      </c>
      <c r="W137" s="3">
        <v>387.23</v>
      </c>
      <c r="X137" s="544"/>
      <c r="Y137" s="544"/>
      <c r="Z137" s="544"/>
      <c r="AA137" s="544"/>
    </row>
    <row r="138" spans="1:27">
      <c r="A138" s="53">
        <v>42549</v>
      </c>
      <c r="B138" s="544">
        <v>6163050231</v>
      </c>
      <c r="C138" s="1">
        <v>3</v>
      </c>
      <c r="D138" s="1" t="s">
        <v>3863</v>
      </c>
      <c r="E138" s="1" t="s">
        <v>3950</v>
      </c>
      <c r="F138" t="s">
        <v>3926</v>
      </c>
      <c r="G138" s="1" t="s">
        <v>2206</v>
      </c>
      <c r="H138" s="266">
        <v>149.58000000000001</v>
      </c>
      <c r="I138" s="48">
        <v>2.6989999999999998</v>
      </c>
      <c r="J138" s="48">
        <v>403.66</v>
      </c>
      <c r="K138" s="48" t="s">
        <v>3866</v>
      </c>
      <c r="L138" s="16">
        <f t="shared" si="12"/>
        <v>42559</v>
      </c>
      <c r="M138" s="16">
        <f t="shared" si="13"/>
        <v>42552</v>
      </c>
      <c r="N138" s="2">
        <f>MONTH(Table3[[#This Row],[Date]])</f>
        <v>6</v>
      </c>
      <c r="O138" s="2">
        <f t="shared" si="14"/>
        <v>2016</v>
      </c>
      <c r="P138" s="16"/>
      <c r="Q138" s="547"/>
      <c r="R138" s="547"/>
      <c r="S138" s="547"/>
      <c r="T138" s="297">
        <v>42360</v>
      </c>
      <c r="U138" s="3">
        <v>2.5590000000000002</v>
      </c>
      <c r="V138" s="3">
        <v>117.536</v>
      </c>
      <c r="W138" s="3">
        <v>290.7</v>
      </c>
      <c r="X138" s="544"/>
      <c r="Y138" s="544"/>
      <c r="Z138" s="544"/>
      <c r="AA138" s="544"/>
    </row>
    <row r="139" spans="1:27">
      <c r="A139" s="53">
        <v>42551</v>
      </c>
      <c r="B139" s="544">
        <v>6163050233</v>
      </c>
      <c r="C139" s="1">
        <v>1</v>
      </c>
      <c r="D139" s="1" t="s">
        <v>3896</v>
      </c>
      <c r="E139" s="1" t="s">
        <v>3897</v>
      </c>
      <c r="F139" t="s">
        <v>3940</v>
      </c>
      <c r="G139" s="1" t="s">
        <v>2206</v>
      </c>
      <c r="H139" s="266">
        <v>64.784000000000006</v>
      </c>
      <c r="I139" s="568">
        <v>2.7989999999999999</v>
      </c>
      <c r="J139" s="568">
        <v>176</v>
      </c>
      <c r="K139" s="48" t="s">
        <v>3866</v>
      </c>
      <c r="L139" s="569">
        <f t="shared" si="12"/>
        <v>42559</v>
      </c>
      <c r="M139" s="569">
        <f t="shared" si="13"/>
        <v>42552</v>
      </c>
      <c r="N139" s="555">
        <f>MONTH(Table3[[#This Row],[Date]])</f>
        <v>6</v>
      </c>
      <c r="O139" s="555">
        <f t="shared" si="14"/>
        <v>2016</v>
      </c>
      <c r="P139" s="16"/>
      <c r="Q139" s="547"/>
      <c r="R139" s="547"/>
      <c r="S139" s="547"/>
      <c r="T139" s="297">
        <v>42366</v>
      </c>
      <c r="U139" s="3">
        <v>2.4990000000000001</v>
      </c>
      <c r="V139" s="3">
        <v>120.23099999999999</v>
      </c>
      <c r="W139" s="3">
        <v>290.14</v>
      </c>
      <c r="X139" s="544"/>
      <c r="Y139" s="544"/>
      <c r="Z139" s="544"/>
      <c r="AA139" s="544"/>
    </row>
    <row r="140" spans="1:27" ht="17.25" customHeight="1">
      <c r="A140" s="53">
        <v>42551</v>
      </c>
      <c r="B140" s="1">
        <v>6163050233</v>
      </c>
      <c r="C140" s="1">
        <v>3</v>
      </c>
      <c r="D140" s="1" t="s">
        <v>3863</v>
      </c>
      <c r="E140" s="1" t="s">
        <v>3831</v>
      </c>
      <c r="F140" t="s">
        <v>3946</v>
      </c>
      <c r="G140" s="1" t="s">
        <v>2206</v>
      </c>
      <c r="H140" s="266">
        <v>142.91999999999999</v>
      </c>
      <c r="I140" s="568">
        <v>2.899</v>
      </c>
      <c r="J140" s="568">
        <v>401.96</v>
      </c>
      <c r="K140" s="48" t="s">
        <v>3866</v>
      </c>
      <c r="L140" s="569">
        <f t="shared" si="12"/>
        <v>42559</v>
      </c>
      <c r="M140" s="569">
        <f t="shared" si="13"/>
        <v>42552</v>
      </c>
      <c r="N140" s="555">
        <f>MONTH(Table3[[#This Row],[Date]])</f>
        <v>6</v>
      </c>
      <c r="O140" s="555">
        <f t="shared" si="14"/>
        <v>2016</v>
      </c>
      <c r="P140" s="16"/>
      <c r="Q140" s="547"/>
      <c r="R140" s="547"/>
      <c r="S140" s="547"/>
      <c r="T140" s="297">
        <v>42367</v>
      </c>
      <c r="U140" s="3">
        <v>2.4990000000000001</v>
      </c>
      <c r="V140" s="3">
        <v>140.446</v>
      </c>
      <c r="W140" s="3">
        <v>338.83</v>
      </c>
      <c r="X140" s="544"/>
      <c r="Y140" s="544"/>
      <c r="Z140" s="544"/>
      <c r="AA140" s="544"/>
    </row>
    <row r="141" spans="1:27">
      <c r="A141" s="53">
        <v>42556</v>
      </c>
      <c r="B141" s="544">
        <v>6163050236</v>
      </c>
      <c r="C141" s="1">
        <v>1</v>
      </c>
      <c r="D141" s="1" t="s">
        <v>3896</v>
      </c>
      <c r="E141" s="1" t="s">
        <v>3897</v>
      </c>
      <c r="F141" t="s">
        <v>3951</v>
      </c>
      <c r="G141" s="1" t="s">
        <v>2206</v>
      </c>
      <c r="H141" s="266">
        <v>116.36</v>
      </c>
      <c r="I141" s="568">
        <v>2.819</v>
      </c>
      <c r="J141" s="568">
        <v>328.03</v>
      </c>
      <c r="K141" s="568" t="s">
        <v>3953</v>
      </c>
      <c r="L141" s="569">
        <f t="shared" si="12"/>
        <v>42566</v>
      </c>
      <c r="M141" s="569">
        <f t="shared" si="13"/>
        <v>42559</v>
      </c>
      <c r="N141" s="555">
        <f>MONTH(Table3[[#This Row],[Date]])</f>
        <v>7</v>
      </c>
      <c r="O141" s="555">
        <f t="shared" si="14"/>
        <v>2016</v>
      </c>
      <c r="P141" s="16"/>
      <c r="Q141" s="547"/>
      <c r="R141" s="547"/>
      <c r="S141" s="547"/>
      <c r="T141" s="297">
        <v>42373</v>
      </c>
      <c r="U141" s="3">
        <v>2.4990000000000001</v>
      </c>
      <c r="V141" s="3">
        <v>120.34699999999999</v>
      </c>
      <c r="W141" s="3">
        <v>290.42</v>
      </c>
      <c r="X141" s="544"/>
      <c r="Y141" s="544"/>
      <c r="Z141" s="544"/>
      <c r="AA141" s="544"/>
    </row>
    <row r="142" spans="1:27">
      <c r="A142" s="53">
        <v>42557</v>
      </c>
      <c r="B142" s="1">
        <v>6163050237</v>
      </c>
      <c r="C142" s="1">
        <v>3</v>
      </c>
      <c r="D142" s="1" t="s">
        <v>3863</v>
      </c>
      <c r="E142" s="1" t="s">
        <v>3831</v>
      </c>
      <c r="F142" s="1" t="s">
        <v>3924</v>
      </c>
      <c r="G142" s="1" t="s">
        <v>2206</v>
      </c>
      <c r="H142" s="266">
        <v>156.86000000000001</v>
      </c>
      <c r="I142" s="568">
        <v>2.379</v>
      </c>
      <c r="J142" s="568">
        <v>357.98</v>
      </c>
      <c r="K142" s="568" t="s">
        <v>3953</v>
      </c>
      <c r="L142" s="569">
        <f t="shared" si="12"/>
        <v>42566</v>
      </c>
      <c r="M142" s="569">
        <f t="shared" si="13"/>
        <v>42559</v>
      </c>
      <c r="N142" s="555">
        <f>MONTH(Table3[[#This Row],[Date]])</f>
        <v>7</v>
      </c>
      <c r="O142" s="555">
        <f t="shared" si="14"/>
        <v>2016</v>
      </c>
      <c r="P142" s="16"/>
      <c r="Q142" s="547"/>
      <c r="R142" s="547"/>
      <c r="S142" s="547"/>
      <c r="T142" s="297">
        <v>42375</v>
      </c>
      <c r="U142" s="3">
        <v>2.4590000000000001</v>
      </c>
      <c r="V142" s="3">
        <v>122.011</v>
      </c>
      <c r="W142" s="3">
        <v>289.54000000000002</v>
      </c>
      <c r="X142" s="544"/>
      <c r="Y142" s="544"/>
      <c r="Z142" s="544"/>
      <c r="AA142" s="544"/>
    </row>
    <row r="143" spans="1:27">
      <c r="A143" s="53">
        <v>42557</v>
      </c>
      <c r="B143" s="1">
        <v>6163050237</v>
      </c>
      <c r="C143" s="1">
        <v>1</v>
      </c>
      <c r="D143" s="1" t="s">
        <v>3896</v>
      </c>
      <c r="E143" s="1" t="s">
        <v>3897</v>
      </c>
      <c r="F143" s="1" t="s">
        <v>3954</v>
      </c>
      <c r="G143" s="1" t="s">
        <v>2206</v>
      </c>
      <c r="H143" s="266">
        <v>87.986999999999995</v>
      </c>
      <c r="I143" s="568">
        <v>2.8690000000000002</v>
      </c>
      <c r="J143" s="568">
        <v>252.43</v>
      </c>
      <c r="K143" s="568" t="s">
        <v>3953</v>
      </c>
      <c r="L143" s="569">
        <f t="shared" si="12"/>
        <v>42566</v>
      </c>
      <c r="M143" s="569">
        <f t="shared" si="13"/>
        <v>42559</v>
      </c>
      <c r="N143" s="555">
        <f>MONTH(Table3[[#This Row],[Date]])</f>
        <v>7</v>
      </c>
      <c r="O143" s="555">
        <f t="shared" si="14"/>
        <v>2016</v>
      </c>
      <c r="P143" s="16"/>
      <c r="Q143" s="547"/>
      <c r="R143" s="547"/>
      <c r="S143" s="547"/>
      <c r="T143" s="297">
        <v>42381</v>
      </c>
      <c r="U143" s="3">
        <v>2.399</v>
      </c>
      <c r="V143" s="3">
        <v>145.94399999999999</v>
      </c>
      <c r="W143" s="3">
        <v>350.12</v>
      </c>
      <c r="X143" s="544"/>
      <c r="Y143" s="544"/>
      <c r="Z143" s="544"/>
      <c r="AA143" s="544"/>
    </row>
    <row r="144" spans="1:27">
      <c r="A144" s="53">
        <v>42559</v>
      </c>
      <c r="B144" s="1">
        <v>6163050239</v>
      </c>
      <c r="C144" s="1">
        <v>1</v>
      </c>
      <c r="D144" s="1" t="s">
        <v>3896</v>
      </c>
      <c r="E144" s="1" t="s">
        <v>3897</v>
      </c>
      <c r="F144" s="1" t="s">
        <v>3955</v>
      </c>
      <c r="G144" s="1" t="s">
        <v>2206</v>
      </c>
      <c r="H144" s="266">
        <v>143.32499999999999</v>
      </c>
      <c r="I144" s="568">
        <v>2.7789999999999999</v>
      </c>
      <c r="J144" s="568">
        <v>351.09</v>
      </c>
      <c r="K144" s="568" t="s">
        <v>3953</v>
      </c>
      <c r="L144" s="569">
        <f t="shared" si="12"/>
        <v>42566</v>
      </c>
      <c r="M144" s="569">
        <f t="shared" si="13"/>
        <v>42559</v>
      </c>
      <c r="N144" s="555">
        <f>MONTH(Table3[[#This Row],[Date]])</f>
        <v>7</v>
      </c>
      <c r="O144" s="555">
        <f t="shared" si="14"/>
        <v>2016</v>
      </c>
      <c r="P144" s="16"/>
      <c r="Q144" s="547"/>
      <c r="R144" s="547"/>
      <c r="S144" s="547"/>
      <c r="T144" s="297">
        <v>42382</v>
      </c>
      <c r="U144" s="3">
        <v>1.9990000000000001</v>
      </c>
      <c r="V144" s="3">
        <v>196.124</v>
      </c>
      <c r="W144" s="3">
        <v>392.05</v>
      </c>
      <c r="X144" s="544"/>
      <c r="Y144" s="544"/>
      <c r="Z144" s="544"/>
      <c r="AA144" s="544"/>
    </row>
    <row r="145" spans="1:28">
      <c r="A145" s="53">
        <v>42561</v>
      </c>
      <c r="B145" s="1">
        <v>6163050239</v>
      </c>
      <c r="C145" s="1">
        <v>1</v>
      </c>
      <c r="D145" s="1" t="s">
        <v>3896</v>
      </c>
      <c r="E145" s="1" t="s">
        <v>3897</v>
      </c>
      <c r="F145" s="1" t="s">
        <v>3951</v>
      </c>
      <c r="G145" s="1" t="s">
        <v>2206</v>
      </c>
      <c r="H145" s="266">
        <v>28.334</v>
      </c>
      <c r="I145" s="568">
        <v>2.819</v>
      </c>
      <c r="J145" s="568">
        <v>79.87</v>
      </c>
      <c r="K145" s="568" t="s">
        <v>3953</v>
      </c>
      <c r="L145" s="569">
        <f t="shared" si="12"/>
        <v>42566</v>
      </c>
      <c r="M145" s="569">
        <f t="shared" si="13"/>
        <v>42559</v>
      </c>
      <c r="N145" s="555">
        <f>MONTH(Table3[[#This Row],[Date]])</f>
        <v>7</v>
      </c>
      <c r="O145" s="555">
        <f t="shared" si="14"/>
        <v>2016</v>
      </c>
      <c r="P145" s="16"/>
      <c r="Q145" s="547"/>
      <c r="R145" s="547"/>
      <c r="S145" s="547"/>
      <c r="T145" s="297">
        <v>42388</v>
      </c>
      <c r="U145" s="3">
        <v>2.399</v>
      </c>
      <c r="V145" s="3">
        <v>146.63399999999999</v>
      </c>
      <c r="W145" s="3">
        <v>339.08</v>
      </c>
      <c r="X145" s="544"/>
      <c r="Y145" s="544"/>
      <c r="Z145" s="544"/>
      <c r="AA145" s="544"/>
    </row>
    <row r="146" spans="1:28">
      <c r="A146" s="53">
        <v>42562</v>
      </c>
      <c r="B146" s="1">
        <v>6163050240</v>
      </c>
      <c r="C146" s="1">
        <v>3</v>
      </c>
      <c r="D146" s="1" t="s">
        <v>3863</v>
      </c>
      <c r="E146" s="1" t="s">
        <v>3831</v>
      </c>
      <c r="F146" s="1" t="s">
        <v>3936</v>
      </c>
      <c r="G146" s="1" t="s">
        <v>2206</v>
      </c>
      <c r="H146" s="266">
        <v>137.75700000000001</v>
      </c>
      <c r="I146" s="568">
        <v>2.7890000000000001</v>
      </c>
      <c r="J146" s="568">
        <v>384.2</v>
      </c>
      <c r="K146" s="568" t="s">
        <v>3953</v>
      </c>
      <c r="L146" s="569">
        <f t="shared" si="12"/>
        <v>42573</v>
      </c>
      <c r="M146" s="569">
        <f t="shared" si="13"/>
        <v>42566</v>
      </c>
      <c r="N146" s="555">
        <f>MONTH(Table3[[#This Row],[Date]])</f>
        <v>7</v>
      </c>
      <c r="O146" s="555">
        <f t="shared" si="14"/>
        <v>2016</v>
      </c>
      <c r="P146" s="16"/>
      <c r="Q146" s="547"/>
      <c r="R146" s="547"/>
      <c r="S146" s="547"/>
      <c r="T146" s="297">
        <v>42394</v>
      </c>
      <c r="U146" s="3">
        <v>2.399</v>
      </c>
      <c r="V146" s="3">
        <v>234.28899999999999</v>
      </c>
      <c r="W146" s="3">
        <v>450.51</v>
      </c>
      <c r="X146" s="544"/>
      <c r="Y146" s="544"/>
      <c r="Z146" s="544"/>
      <c r="AA146" s="544"/>
    </row>
    <row r="147" spans="1:28">
      <c r="A147" s="53">
        <v>42563</v>
      </c>
      <c r="B147" s="1">
        <v>6163050241</v>
      </c>
      <c r="C147" s="1">
        <v>3</v>
      </c>
      <c r="D147" s="1" t="s">
        <v>3863</v>
      </c>
      <c r="E147" s="1" t="s">
        <v>3831</v>
      </c>
      <c r="F147" t="s">
        <v>3926</v>
      </c>
      <c r="G147" s="1" t="s">
        <v>2206</v>
      </c>
      <c r="H147" s="266">
        <v>65.525000000000006</v>
      </c>
      <c r="I147" s="568">
        <v>2.649</v>
      </c>
      <c r="J147" s="568">
        <v>173.58</v>
      </c>
      <c r="K147" s="568" t="s">
        <v>3953</v>
      </c>
      <c r="L147" s="569">
        <f t="shared" ref="L147:L156" si="15">((5-WEEKDAY(A147,2))+A147)+7</f>
        <v>42573</v>
      </c>
      <c r="M147" s="569">
        <f t="shared" ref="M147:M156" si="16">(5-WEEKDAY(A147,2))+A147</f>
        <v>42566</v>
      </c>
      <c r="N147" s="555">
        <f>MONTH(Table3[[#This Row],[Date]])</f>
        <v>7</v>
      </c>
      <c r="O147" s="555">
        <f t="shared" ref="O147:O156" si="17">YEAR(A147)</f>
        <v>2016</v>
      </c>
      <c r="Q147" s="547"/>
      <c r="R147" s="547"/>
      <c r="S147" s="547"/>
      <c r="T147" s="297">
        <v>42401</v>
      </c>
      <c r="U147" s="3">
        <v>2.37</v>
      </c>
      <c r="V147" s="3">
        <v>208.18199999999999</v>
      </c>
      <c r="W147" s="3">
        <v>495.26</v>
      </c>
      <c r="X147" s="544"/>
      <c r="Y147" s="544"/>
      <c r="Z147" s="544"/>
      <c r="AA147" s="544"/>
      <c r="AB147" s="544"/>
    </row>
    <row r="148" spans="1:28">
      <c r="A148" s="53">
        <v>42564</v>
      </c>
      <c r="B148" s="1">
        <v>6163050242</v>
      </c>
      <c r="C148" s="1">
        <v>1</v>
      </c>
      <c r="D148" s="1" t="s">
        <v>3896</v>
      </c>
      <c r="E148" s="1" t="s">
        <v>3897</v>
      </c>
      <c r="F148" s="1" t="s">
        <v>3955</v>
      </c>
      <c r="G148" s="1" t="s">
        <v>2206</v>
      </c>
      <c r="H148" s="266">
        <v>176.36600000000001</v>
      </c>
      <c r="I148" s="568">
        <v>2.7789999999999999</v>
      </c>
      <c r="J148" s="568">
        <v>419.04</v>
      </c>
      <c r="K148" s="568" t="s">
        <v>3953</v>
      </c>
      <c r="L148" s="569">
        <f t="shared" si="15"/>
        <v>42573</v>
      </c>
      <c r="M148" s="569">
        <f t="shared" si="16"/>
        <v>42566</v>
      </c>
      <c r="N148" s="555">
        <f>MONTH(Table3[[#This Row],[Date]])</f>
        <v>7</v>
      </c>
      <c r="O148" s="555">
        <f t="shared" si="17"/>
        <v>2016</v>
      </c>
      <c r="Q148" s="547"/>
      <c r="R148" s="547"/>
      <c r="S148" s="547"/>
      <c r="T148" s="297">
        <v>42403</v>
      </c>
      <c r="U148" s="3">
        <v>2.359</v>
      </c>
      <c r="V148" s="3">
        <v>184.32599999999999</v>
      </c>
      <c r="W148" s="3">
        <v>418.76</v>
      </c>
      <c r="X148" s="544"/>
      <c r="Y148" s="544"/>
      <c r="Z148" s="544"/>
      <c r="AA148" s="544"/>
      <c r="AB148" s="544"/>
    </row>
    <row r="149" spans="1:28">
      <c r="A149" s="53">
        <v>42565</v>
      </c>
      <c r="B149" s="1">
        <v>6163050243</v>
      </c>
      <c r="C149" s="1">
        <v>4</v>
      </c>
      <c r="D149" s="1" t="s">
        <v>3956</v>
      </c>
      <c r="E149" s="1" t="s">
        <v>3957</v>
      </c>
      <c r="F149" t="s">
        <v>3958</v>
      </c>
      <c r="G149" s="1" t="s">
        <v>2206</v>
      </c>
      <c r="H149" s="266">
        <v>100.101</v>
      </c>
      <c r="I149" s="568">
        <v>2.7989999999999999</v>
      </c>
      <c r="J149" s="568">
        <v>271.67</v>
      </c>
      <c r="K149" s="568" t="s">
        <v>3953</v>
      </c>
      <c r="L149" s="569">
        <f t="shared" si="15"/>
        <v>42573</v>
      </c>
      <c r="M149" s="569">
        <f t="shared" si="16"/>
        <v>42566</v>
      </c>
      <c r="N149" s="555">
        <f>MONTH(Table3[[#This Row],[Date]])</f>
        <v>7</v>
      </c>
      <c r="O149" s="555">
        <f t="shared" si="17"/>
        <v>2016</v>
      </c>
      <c r="Q149" s="547"/>
      <c r="R149" s="547"/>
      <c r="S149" s="547"/>
      <c r="T149" s="297">
        <v>42411</v>
      </c>
      <c r="U149" s="3">
        <v>2.359</v>
      </c>
      <c r="V149" s="3">
        <v>212.48</v>
      </c>
      <c r="W149" s="3">
        <v>381.77</v>
      </c>
      <c r="X149" s="544"/>
      <c r="Y149" s="544"/>
      <c r="Z149" s="544"/>
      <c r="AA149" s="544"/>
      <c r="AB149" s="544"/>
    </row>
    <row r="150" spans="1:28">
      <c r="A150" s="53">
        <v>42568</v>
      </c>
      <c r="B150" s="1">
        <v>6163050244</v>
      </c>
      <c r="C150" s="1">
        <v>1</v>
      </c>
      <c r="D150" s="1" t="s">
        <v>3896</v>
      </c>
      <c r="E150" s="1" t="s">
        <v>3897</v>
      </c>
      <c r="F150" t="s">
        <v>3946</v>
      </c>
      <c r="G150" s="1" t="s">
        <v>2206</v>
      </c>
      <c r="H150" s="266">
        <v>104.399</v>
      </c>
      <c r="I150" s="568">
        <v>2.7989999999999999</v>
      </c>
      <c r="J150" s="568">
        <v>283.32</v>
      </c>
      <c r="K150" s="568" t="s">
        <v>3953</v>
      </c>
      <c r="L150" s="569">
        <f t="shared" si="15"/>
        <v>42573</v>
      </c>
      <c r="M150" s="569">
        <f t="shared" si="16"/>
        <v>42566</v>
      </c>
      <c r="N150" s="555">
        <f>MONTH(Table3[[#This Row],[Date]])</f>
        <v>7</v>
      </c>
      <c r="O150" s="555">
        <f t="shared" si="17"/>
        <v>2016</v>
      </c>
      <c r="Q150" s="547"/>
      <c r="R150" s="547"/>
      <c r="S150" s="547"/>
      <c r="T150" s="297">
        <v>42418</v>
      </c>
      <c r="U150" s="3">
        <v>2.2989999999999999</v>
      </c>
      <c r="V150" s="3">
        <v>88.010999999999996</v>
      </c>
      <c r="W150" s="3">
        <v>163.72</v>
      </c>
      <c r="X150" s="544"/>
      <c r="Y150" s="544"/>
      <c r="Z150" s="544"/>
      <c r="AA150" s="544"/>
      <c r="AB150" s="544"/>
    </row>
    <row r="151" spans="1:28">
      <c r="A151" s="53">
        <v>42569</v>
      </c>
      <c r="B151" s="1">
        <v>6163050245</v>
      </c>
      <c r="C151" s="1">
        <v>3</v>
      </c>
      <c r="D151" s="1" t="s">
        <v>3960</v>
      </c>
      <c r="E151" s="1" t="s">
        <v>3831</v>
      </c>
      <c r="F151" t="s">
        <v>3961</v>
      </c>
      <c r="G151" s="1" t="s">
        <v>2206</v>
      </c>
      <c r="H151" s="266">
        <v>104.85</v>
      </c>
      <c r="I151" s="568">
        <v>2.7690000000000001</v>
      </c>
      <c r="J151" s="568">
        <v>290.33</v>
      </c>
      <c r="K151" s="568" t="s">
        <v>3953</v>
      </c>
      <c r="L151" s="569">
        <f t="shared" si="15"/>
        <v>42580</v>
      </c>
      <c r="M151" s="569">
        <f t="shared" si="16"/>
        <v>42573</v>
      </c>
      <c r="N151" s="555">
        <f>MONTH(Table3[[#This Row],[Date]])</f>
        <v>7</v>
      </c>
      <c r="O151" s="555">
        <f t="shared" si="17"/>
        <v>2016</v>
      </c>
      <c r="Q151" s="547"/>
      <c r="R151" s="547"/>
      <c r="S151" s="547" t="s">
        <v>2233</v>
      </c>
      <c r="T151" s="297">
        <v>42328</v>
      </c>
      <c r="U151" s="3">
        <v>2.6890000000000001</v>
      </c>
      <c r="V151" s="3">
        <v>150.649</v>
      </c>
      <c r="W151" s="3">
        <v>397</v>
      </c>
      <c r="X151" s="544"/>
      <c r="Y151" s="544"/>
      <c r="Z151" s="544"/>
      <c r="AA151" s="544"/>
      <c r="AB151" s="544"/>
    </row>
    <row r="152" spans="1:28">
      <c r="A152" s="53">
        <v>42571</v>
      </c>
      <c r="B152" s="1">
        <v>6163050247</v>
      </c>
      <c r="C152" s="1">
        <v>3</v>
      </c>
      <c r="D152" s="1" t="s">
        <v>3960</v>
      </c>
      <c r="E152" s="1" t="s">
        <v>3831</v>
      </c>
      <c r="F152" t="s">
        <v>3962</v>
      </c>
      <c r="G152" s="1" t="s">
        <v>2206</v>
      </c>
      <c r="H152" s="266">
        <v>100.21299999999999</v>
      </c>
      <c r="I152" s="568">
        <v>2.7890000000000001</v>
      </c>
      <c r="J152" s="568">
        <v>279.49</v>
      </c>
      <c r="K152" s="568" t="s">
        <v>3953</v>
      </c>
      <c r="L152" s="569">
        <f t="shared" si="15"/>
        <v>42580</v>
      </c>
      <c r="M152" s="569">
        <f t="shared" si="16"/>
        <v>42573</v>
      </c>
      <c r="N152" s="555">
        <f>MONTH(Table3[[#This Row],[Date]])</f>
        <v>7</v>
      </c>
      <c r="O152" s="555">
        <f t="shared" si="17"/>
        <v>2016</v>
      </c>
      <c r="Q152" s="547" t="s">
        <v>4666</v>
      </c>
      <c r="R152" s="547">
        <v>4</v>
      </c>
      <c r="S152" s="547" t="s">
        <v>2206</v>
      </c>
      <c r="T152" s="297">
        <v>42571</v>
      </c>
      <c r="U152" s="3">
        <v>2.2789999999999999</v>
      </c>
      <c r="V152" s="3">
        <v>217.291</v>
      </c>
      <c r="W152" s="3">
        <v>473.96</v>
      </c>
      <c r="X152" s="544"/>
      <c r="Y152" s="544"/>
      <c r="Z152" s="544"/>
      <c r="AA152" s="544"/>
      <c r="AB152" s="544"/>
    </row>
    <row r="153" spans="1:28">
      <c r="A153" s="53">
        <v>42571</v>
      </c>
      <c r="B153" s="1">
        <v>6163050247</v>
      </c>
      <c r="C153" s="1">
        <v>4</v>
      </c>
      <c r="D153" s="1" t="s">
        <v>3963</v>
      </c>
      <c r="F153" t="s">
        <v>3924</v>
      </c>
      <c r="G153" s="1" t="s">
        <v>2206</v>
      </c>
      <c r="H153" s="266">
        <v>217.291</v>
      </c>
      <c r="I153" s="568">
        <v>2.2789999999999999</v>
      </c>
      <c r="J153" s="568">
        <v>473.96</v>
      </c>
      <c r="K153" s="568" t="s">
        <v>3953</v>
      </c>
      <c r="L153" s="569">
        <f t="shared" si="15"/>
        <v>42580</v>
      </c>
      <c r="M153" s="569">
        <f t="shared" si="16"/>
        <v>42573</v>
      </c>
      <c r="N153" s="555">
        <f>MONTH(Table3[[#This Row],[Date]])</f>
        <v>7</v>
      </c>
      <c r="O153" s="555">
        <f t="shared" si="17"/>
        <v>2016</v>
      </c>
      <c r="Q153" s="547" t="s">
        <v>3957</v>
      </c>
      <c r="R153" s="547">
        <v>4</v>
      </c>
      <c r="S153" s="547" t="s">
        <v>2206</v>
      </c>
      <c r="T153" s="297">
        <v>42565</v>
      </c>
      <c r="U153" s="3">
        <v>2.7989999999999999</v>
      </c>
      <c r="V153" s="3">
        <v>100.101</v>
      </c>
      <c r="W153" s="3">
        <v>271.67</v>
      </c>
      <c r="X153" s="544"/>
      <c r="Y153" s="544"/>
      <c r="Z153" s="544"/>
      <c r="AA153" s="544"/>
      <c r="AB153" s="544"/>
    </row>
    <row r="154" spans="1:28">
      <c r="A154" s="53">
        <v>42571</v>
      </c>
      <c r="B154" s="1">
        <v>6163050247</v>
      </c>
      <c r="C154" s="1">
        <v>5</v>
      </c>
      <c r="D154" s="1" t="s">
        <v>3956</v>
      </c>
      <c r="E154" s="1" t="s">
        <v>3957</v>
      </c>
      <c r="F154" t="s">
        <v>3946</v>
      </c>
      <c r="G154" s="1" t="s">
        <v>2233</v>
      </c>
      <c r="H154" s="266">
        <v>50.301000000000002</v>
      </c>
      <c r="I154" s="568">
        <v>2.6589999999999998</v>
      </c>
      <c r="J154" s="568">
        <v>129.72</v>
      </c>
      <c r="K154" s="568" t="s">
        <v>3953</v>
      </c>
      <c r="L154" s="569">
        <f t="shared" si="15"/>
        <v>42580</v>
      </c>
      <c r="M154" s="569">
        <f t="shared" si="16"/>
        <v>42573</v>
      </c>
      <c r="N154" s="555">
        <f>MONTH(Table3[[#This Row],[Date]])</f>
        <v>7</v>
      </c>
      <c r="O154" s="555">
        <f t="shared" si="17"/>
        <v>2016</v>
      </c>
      <c r="Q154" s="547"/>
      <c r="R154" s="547">
        <v>5</v>
      </c>
      <c r="S154" s="547" t="s">
        <v>2233</v>
      </c>
      <c r="T154" s="297">
        <v>42571</v>
      </c>
      <c r="U154" s="3">
        <v>2.6589999999999998</v>
      </c>
      <c r="V154" s="3">
        <v>50.301000000000002</v>
      </c>
      <c r="W154" s="3">
        <v>129.72</v>
      </c>
      <c r="X154" s="544"/>
      <c r="Y154" s="544"/>
      <c r="Z154" s="544"/>
      <c r="AA154" s="544"/>
      <c r="AB154" s="544"/>
    </row>
    <row r="155" spans="1:28">
      <c r="A155" s="53">
        <v>42572</v>
      </c>
      <c r="B155" s="1">
        <v>6163050248</v>
      </c>
      <c r="C155" s="1">
        <v>1</v>
      </c>
      <c r="D155" s="1" t="s">
        <v>3896</v>
      </c>
      <c r="E155" s="1" t="s">
        <v>3897</v>
      </c>
      <c r="F155" t="s">
        <v>3940</v>
      </c>
      <c r="G155" s="1" t="s">
        <v>2206</v>
      </c>
      <c r="H155" s="266">
        <v>173.55699999999999</v>
      </c>
      <c r="I155" s="568">
        <v>2.7989999999999999</v>
      </c>
      <c r="J155" s="568">
        <v>470.67</v>
      </c>
      <c r="K155" s="568" t="s">
        <v>3953</v>
      </c>
      <c r="L155" s="569">
        <f t="shared" si="15"/>
        <v>42580</v>
      </c>
      <c r="M155" s="569">
        <f t="shared" si="16"/>
        <v>42573</v>
      </c>
      <c r="N155" s="555">
        <f>MONTH(Table3[[#This Row],[Date]])</f>
        <v>7</v>
      </c>
      <c r="O155" s="555">
        <f t="shared" si="17"/>
        <v>2016</v>
      </c>
      <c r="Q155" s="547" t="s">
        <v>3959</v>
      </c>
      <c r="R155" s="547"/>
      <c r="S155" s="547"/>
      <c r="T155" s="547"/>
      <c r="U155" s="3">
        <v>387.7099</v>
      </c>
      <c r="V155" s="3">
        <v>21273.655999999999</v>
      </c>
      <c r="W155" s="3">
        <v>51151.449999999983</v>
      </c>
      <c r="X155" s="544"/>
      <c r="Y155" s="544"/>
      <c r="Z155" s="544"/>
      <c r="AA155" s="544"/>
      <c r="AB155" s="544"/>
    </row>
    <row r="156" spans="1:28">
      <c r="A156" s="53">
        <v>42572</v>
      </c>
      <c r="B156" s="1">
        <v>6163050248</v>
      </c>
      <c r="C156" s="1">
        <v>3</v>
      </c>
      <c r="D156" s="1" t="s">
        <v>3863</v>
      </c>
      <c r="E156" s="1" t="s">
        <v>3831</v>
      </c>
      <c r="F156" t="s">
        <v>3964</v>
      </c>
      <c r="G156" s="1" t="s">
        <v>3965</v>
      </c>
      <c r="H156" s="266">
        <v>95.697999999999993</v>
      </c>
      <c r="I156" s="568" t="s">
        <v>3966</v>
      </c>
      <c r="J156" s="568">
        <v>258.86</v>
      </c>
      <c r="K156" s="568" t="s">
        <v>3953</v>
      </c>
      <c r="L156" s="569">
        <f t="shared" si="15"/>
        <v>42580</v>
      </c>
      <c r="M156" s="569">
        <f t="shared" si="16"/>
        <v>42573</v>
      </c>
      <c r="N156" s="555">
        <f>MONTH(Table3[[#This Row],[Date]])</f>
        <v>7</v>
      </c>
      <c r="O156" s="555">
        <f t="shared" si="17"/>
        <v>2016</v>
      </c>
      <c r="T156" s="544"/>
      <c r="V156" s="544"/>
      <c r="W156" s="544"/>
      <c r="X156" s="544"/>
      <c r="Y156" s="544"/>
      <c r="Z156" s="544"/>
      <c r="AA156" s="544"/>
      <c r="AB156" s="544"/>
    </row>
    <row r="157" spans="1:28">
      <c r="H157" s="544"/>
      <c r="J157" s="544"/>
      <c r="K157" s="544"/>
      <c r="M157" s="544"/>
      <c r="T157" s="544"/>
      <c r="V157" s="544"/>
      <c r="W157" s="544"/>
      <c r="X157" s="544"/>
      <c r="Y157" s="544"/>
      <c r="Z157" s="544"/>
      <c r="AA157" s="544"/>
      <c r="AB157" s="544"/>
    </row>
    <row r="158" spans="1:28">
      <c r="H158" s="544"/>
      <c r="J158" s="544"/>
      <c r="K158" s="544"/>
      <c r="M158" s="544"/>
      <c r="T158" s="544"/>
      <c r="V158" s="544"/>
      <c r="W158" s="544"/>
      <c r="X158" s="544"/>
      <c r="Y158" s="544"/>
      <c r="Z158" s="544"/>
      <c r="AA158" s="544"/>
      <c r="AB158" s="544"/>
    </row>
    <row r="159" spans="1:28">
      <c r="H159" s="544"/>
      <c r="J159" s="544"/>
      <c r="K159" s="544"/>
      <c r="M159" s="544"/>
      <c r="T159" s="544"/>
      <c r="V159" s="544"/>
      <c r="W159" s="544"/>
      <c r="X159" s="544"/>
      <c r="Y159" s="544"/>
      <c r="Z159" s="544"/>
      <c r="AA159" s="544"/>
      <c r="AB159" s="544"/>
    </row>
    <row r="160" spans="1:28">
      <c r="H160" s="544"/>
      <c r="J160" s="544"/>
      <c r="K160" s="544"/>
      <c r="M160" s="544"/>
      <c r="T160" s="544"/>
      <c r="V160" s="544"/>
      <c r="W160" s="544"/>
      <c r="X160" s="544"/>
      <c r="Y160" s="544"/>
      <c r="Z160" s="544"/>
      <c r="AA160" s="544"/>
      <c r="AB160" s="544"/>
    </row>
    <row r="161" spans="22:28">
      <c r="V161" s="544"/>
      <c r="W161" s="544"/>
      <c r="X161" s="544"/>
      <c r="Y161" s="544"/>
      <c r="Z161" s="544"/>
      <c r="AA161" s="544"/>
      <c r="AB161" s="544"/>
    </row>
    <row r="162" spans="22:28">
      <c r="V162" s="544"/>
      <c r="W162" s="544"/>
      <c r="X162" s="544"/>
      <c r="Y162" s="544"/>
      <c r="Z162" s="544"/>
      <c r="AA162" s="544"/>
      <c r="AB162" s="544"/>
    </row>
    <row r="163" spans="22:28">
      <c r="V163" s="544"/>
      <c r="W163" s="544"/>
      <c r="X163" s="544"/>
      <c r="Y163" s="544"/>
      <c r="Z163" s="544"/>
      <c r="AA163" s="544"/>
      <c r="AB163" s="544"/>
    </row>
    <row r="164" spans="22:28">
      <c r="V164" s="544"/>
      <c r="W164" s="544"/>
      <c r="X164" s="544"/>
      <c r="Y164" s="544"/>
      <c r="Z164" s="544"/>
      <c r="AA164" s="544"/>
      <c r="AB164" s="544"/>
    </row>
    <row r="165" spans="22:28">
      <c r="V165" s="544"/>
      <c r="W165" s="544"/>
      <c r="X165" s="544"/>
      <c r="Y165" s="544"/>
      <c r="Z165" s="544"/>
      <c r="AA165" s="544"/>
      <c r="AB165" s="544"/>
    </row>
    <row r="166" spans="22:28">
      <c r="V166" s="544"/>
      <c r="W166" s="544"/>
      <c r="X166" s="544"/>
      <c r="Y166" s="544"/>
      <c r="Z166" s="544"/>
      <c r="AA166" s="544"/>
      <c r="AB166" s="544"/>
    </row>
    <row r="167" spans="22:28">
      <c r="V167" s="544"/>
      <c r="W167" s="544"/>
      <c r="X167" s="544"/>
      <c r="Y167" s="544"/>
      <c r="Z167" s="544"/>
      <c r="AA167" s="544"/>
      <c r="AB167" s="544"/>
    </row>
    <row r="168" spans="22:28">
      <c r="V168" s="544"/>
      <c r="W168" s="544"/>
      <c r="X168" s="544"/>
      <c r="Y168" s="544"/>
      <c r="Z168" s="544"/>
      <c r="AA168" s="544"/>
      <c r="AB168" s="544"/>
    </row>
    <row r="169" spans="22:28">
      <c r="V169" s="544"/>
      <c r="W169" s="544"/>
      <c r="X169" s="544"/>
      <c r="Y169" s="544"/>
      <c r="Z169" s="544"/>
      <c r="AA169" s="544"/>
      <c r="AB169" s="544"/>
    </row>
    <row r="170" spans="22:28">
      <c r="V170" s="544"/>
      <c r="W170" s="544"/>
      <c r="X170" s="544"/>
      <c r="Y170" s="544"/>
      <c r="Z170" s="544"/>
      <c r="AA170" s="544"/>
      <c r="AB170" s="544"/>
    </row>
    <row r="171" spans="22:28">
      <c r="V171" s="544"/>
      <c r="W171" s="544"/>
      <c r="X171" s="544"/>
      <c r="Y171" s="544"/>
      <c r="Z171" s="544"/>
      <c r="AA171" s="544"/>
      <c r="AB171" s="544"/>
    </row>
    <row r="172" spans="22:28">
      <c r="V172" s="544"/>
      <c r="W172" s="544"/>
      <c r="X172" s="544"/>
      <c r="Y172" s="544"/>
      <c r="Z172" s="544"/>
      <c r="AA172" s="544"/>
      <c r="AB172" s="544"/>
    </row>
    <row r="173" spans="22:28">
      <c r="V173" s="544"/>
      <c r="W173" s="544"/>
      <c r="X173" s="544"/>
      <c r="Y173" s="544"/>
      <c r="Z173" s="544"/>
      <c r="AA173" s="544"/>
      <c r="AB173" s="544"/>
    </row>
    <row r="174" spans="22:28">
      <c r="V174" s="544"/>
      <c r="W174" s="544"/>
      <c r="X174" s="544"/>
      <c r="Y174" s="544"/>
      <c r="Z174" s="544"/>
      <c r="AA174" s="544"/>
      <c r="AB174" s="544"/>
    </row>
    <row r="175" spans="22:28">
      <c r="V175" s="544"/>
      <c r="W175" s="544"/>
      <c r="X175" s="544"/>
      <c r="Y175" s="544"/>
      <c r="Z175" s="544"/>
      <c r="AA175" s="544"/>
      <c r="AB175" s="544"/>
    </row>
    <row r="176" spans="22:28">
      <c r="V176" s="544"/>
      <c r="W176" s="544"/>
      <c r="X176" s="544"/>
      <c r="Y176" s="544"/>
      <c r="Z176" s="544"/>
      <c r="AA176" s="544"/>
      <c r="AB176" s="544"/>
    </row>
    <row r="177" spans="22:28">
      <c r="V177" s="544"/>
      <c r="W177" s="544"/>
      <c r="X177" s="544"/>
      <c r="Y177" s="544"/>
      <c r="Z177" s="544"/>
      <c r="AA177" s="544"/>
      <c r="AB177" s="544"/>
    </row>
    <row r="178" spans="22:28">
      <c r="V178" s="544"/>
      <c r="W178" s="544"/>
      <c r="X178" s="544"/>
      <c r="Y178" s="544"/>
      <c r="Z178" s="544"/>
      <c r="AA178" s="544"/>
      <c r="AB178" s="544"/>
    </row>
    <row r="179" spans="22:28">
      <c r="V179" s="544"/>
      <c r="W179" s="544"/>
      <c r="X179" s="544"/>
      <c r="Y179" s="544"/>
      <c r="Z179" s="544"/>
      <c r="AA179" s="544"/>
      <c r="AB179" s="544"/>
    </row>
    <row r="180" spans="22:28">
      <c r="V180" s="544"/>
      <c r="W180" s="544"/>
      <c r="X180" s="544"/>
      <c r="Y180" s="544"/>
      <c r="Z180" s="544"/>
      <c r="AA180" s="544"/>
      <c r="AB180" s="544"/>
    </row>
    <row r="181" spans="22:28">
      <c r="V181" s="544"/>
      <c r="W181" s="544"/>
      <c r="X181" s="544"/>
      <c r="Y181" s="544"/>
      <c r="Z181" s="544"/>
      <c r="AA181" s="544"/>
      <c r="AB181" s="544"/>
    </row>
    <row r="182" spans="22:28">
      <c r="V182" s="544"/>
      <c r="W182" s="544"/>
      <c r="X182" s="544"/>
      <c r="Y182" s="544"/>
      <c r="Z182" s="544"/>
      <c r="AA182" s="544"/>
      <c r="AB182" s="544"/>
    </row>
    <row r="183" spans="22:28">
      <c r="V183" s="544"/>
      <c r="W183" s="544"/>
      <c r="X183" s="544"/>
      <c r="Y183" s="544"/>
      <c r="Z183" s="544"/>
      <c r="AA183" s="544"/>
      <c r="AB183" s="544"/>
    </row>
    <row r="184" spans="22:28">
      <c r="V184" s="544"/>
      <c r="W184" s="544"/>
      <c r="X184" s="544"/>
      <c r="Y184" s="544"/>
      <c r="Z184" s="544"/>
      <c r="AA184" s="544"/>
      <c r="AB184" s="544"/>
    </row>
    <row r="185" spans="22:28">
      <c r="V185" s="544"/>
      <c r="W185" s="544"/>
      <c r="X185" s="544"/>
      <c r="Y185" s="544"/>
      <c r="Z185" s="544"/>
      <c r="AA185" s="544"/>
      <c r="AB185" s="544"/>
    </row>
    <row r="186" spans="22:28">
      <c r="V186" s="544"/>
      <c r="W186" s="544"/>
      <c r="X186" s="544"/>
      <c r="Y186" s="544"/>
      <c r="Z186" s="544"/>
      <c r="AA186" s="544"/>
      <c r="AB186" s="544"/>
    </row>
    <row r="187" spans="22:28">
      <c r="V187" s="544"/>
      <c r="W187" s="544"/>
      <c r="X187" s="544"/>
      <c r="Y187" s="544"/>
      <c r="Z187" s="544"/>
      <c r="AA187" s="544"/>
      <c r="AB187" s="544"/>
    </row>
    <row r="188" spans="22:28">
      <c r="V188" s="544"/>
      <c r="W188" s="544"/>
      <c r="X188" s="544"/>
      <c r="Y188" s="544"/>
      <c r="Z188" s="544"/>
      <c r="AA188" s="544"/>
      <c r="AB188" s="544"/>
    </row>
    <row r="189" spans="22:28">
      <c r="V189" s="544"/>
      <c r="W189" s="544"/>
      <c r="X189" s="544"/>
      <c r="Y189" s="544"/>
      <c r="Z189" s="544"/>
      <c r="AA189" s="544"/>
      <c r="AB189" s="544"/>
    </row>
    <row r="190" spans="22:28">
      <c r="V190" s="544"/>
      <c r="W190" s="544"/>
      <c r="X190" s="544"/>
      <c r="Y190" s="544"/>
      <c r="Z190" s="544"/>
      <c r="AA190" s="544"/>
      <c r="AB190" s="544"/>
    </row>
    <row r="191" spans="22:28">
      <c r="V191" s="544"/>
      <c r="W191" s="544"/>
      <c r="X191" s="544"/>
      <c r="Y191" s="544"/>
      <c r="Z191" s="544"/>
      <c r="AA191" s="544"/>
      <c r="AB191" s="544"/>
    </row>
    <row r="192" spans="22:28">
      <c r="V192" s="544"/>
      <c r="W192" s="544"/>
      <c r="X192" s="544"/>
      <c r="Y192" s="544"/>
      <c r="Z192" s="544"/>
      <c r="AA192" s="544"/>
      <c r="AB192" s="544"/>
    </row>
    <row r="193" spans="22:28">
      <c r="V193" s="544"/>
      <c r="W193" s="544"/>
      <c r="X193" s="544"/>
      <c r="Y193" s="544"/>
      <c r="Z193" s="544"/>
      <c r="AA193" s="544"/>
      <c r="AB193" s="544"/>
    </row>
    <row r="194" spans="22:28">
      <c r="V194" s="544"/>
      <c r="W194" s="544"/>
      <c r="X194" s="544"/>
      <c r="Y194" s="544"/>
      <c r="Z194" s="544"/>
      <c r="AA194" s="544"/>
      <c r="AB194" s="544"/>
    </row>
    <row r="195" spans="22:28">
      <c r="V195" s="544"/>
      <c r="W195" s="544"/>
      <c r="X195" s="544"/>
      <c r="Y195" s="544"/>
      <c r="Z195" s="544"/>
      <c r="AA195" s="544"/>
      <c r="AB195" s="544"/>
    </row>
    <row r="196" spans="22:28">
      <c r="V196" s="544"/>
      <c r="W196" s="544"/>
      <c r="X196" s="544"/>
      <c r="Y196" s="544"/>
      <c r="Z196" s="544"/>
      <c r="AA196" s="544"/>
      <c r="AB196" s="544"/>
    </row>
    <row r="197" spans="22:28">
      <c r="V197" s="544"/>
      <c r="W197" s="544"/>
      <c r="X197" s="544"/>
      <c r="Y197" s="544"/>
      <c r="Z197" s="544"/>
      <c r="AA197" s="544"/>
      <c r="AB197" s="544"/>
    </row>
    <row r="198" spans="22:28">
      <c r="V198" s="544"/>
      <c r="W198" s="544"/>
      <c r="X198" s="544"/>
      <c r="Y198" s="544"/>
      <c r="Z198" s="544"/>
      <c r="AA198" s="544"/>
      <c r="AB198" s="544"/>
    </row>
    <row r="199" spans="22:28">
      <c r="V199" s="544"/>
      <c r="W199" s="544"/>
      <c r="X199" s="544"/>
      <c r="Y199" s="544"/>
      <c r="Z199" s="544"/>
      <c r="AA199" s="544"/>
      <c r="AB199" s="544"/>
    </row>
    <row r="200" spans="22:28">
      <c r="V200" s="544"/>
      <c r="W200" s="544"/>
      <c r="X200" s="544"/>
      <c r="Y200" s="544"/>
      <c r="Z200" s="544"/>
      <c r="AA200" s="544"/>
      <c r="AB200" s="544"/>
    </row>
    <row r="201" spans="22:28">
      <c r="V201" s="544"/>
      <c r="W201" s="544"/>
      <c r="X201" s="544"/>
      <c r="Y201" s="544"/>
      <c r="Z201" s="544"/>
      <c r="AA201" s="544"/>
      <c r="AB201" s="544"/>
    </row>
    <row r="202" spans="22:28">
      <c r="V202" s="544"/>
      <c r="W202" s="544"/>
      <c r="X202" s="544"/>
      <c r="Y202" s="544"/>
      <c r="Z202" s="544"/>
      <c r="AA202" s="544"/>
      <c r="AB202" s="544"/>
    </row>
    <row r="203" spans="22:28">
      <c r="V203" s="544"/>
      <c r="W203" s="544"/>
      <c r="X203" s="544"/>
      <c r="Y203" s="544"/>
      <c r="Z203" s="544"/>
      <c r="AA203" s="544"/>
      <c r="AB203" s="544"/>
    </row>
  </sheetData>
  <mergeCells count="1">
    <mergeCell ref="Q1:AC1"/>
  </mergeCells>
  <conditionalFormatting sqref="L107:L108 N109:N122 O123:O146 K1:K146 K149 P149:P1048576">
    <cfRule type="containsText" dxfId="87" priority="3" operator="containsText" text="Settled">
      <formula>NOT(ISERROR(SEARCH("Settled",K1)))</formula>
    </cfRule>
  </conditionalFormatting>
  <conditionalFormatting sqref="P147 K147">
    <cfRule type="containsText" dxfId="86" priority="2" operator="containsText" text="Settled">
      <formula>NOT(ISERROR(SEARCH("Settled",K147)))</formula>
    </cfRule>
  </conditionalFormatting>
  <conditionalFormatting sqref="K148 P148">
    <cfRule type="containsText" dxfId="85" priority="1" operator="containsText" text="Settled">
      <formula>NOT(ISERROR(SEARCH("Settled",K148)))</formula>
    </cfRule>
  </conditionalFormatting>
  <pageMargins left="0.25" right="0.25" top="0.75" bottom="0.75" header="0.3" footer="0.3"/>
  <pageSetup orientation="portrait" horizontalDpi="4294967293" r:id="rId2"/>
  <drawing r:id="rId3"/>
  <tableParts count="1">
    <tablePart r:id="rId4"/>
  </tableParts>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249977111117893"/>
  </sheetPr>
  <dimension ref="A1:AE552"/>
  <sheetViews>
    <sheetView tabSelected="1" topLeftCell="A235" zoomScale="90" zoomScaleNormal="90" workbookViewId="0">
      <selection activeCell="F49" sqref="F49"/>
    </sheetView>
  </sheetViews>
  <sheetFormatPr defaultColWidth="11.7109375" defaultRowHeight="15"/>
  <cols>
    <col min="1" max="1" width="11.5703125" style="298" bestFit="1" customWidth="1"/>
    <col min="2" max="2" width="10.140625" style="298" bestFit="1" customWidth="1"/>
    <col min="3" max="3" width="21.7109375" style="296" customWidth="1"/>
    <col min="4" max="4" width="19.85546875" style="298" bestFit="1" customWidth="1"/>
    <col min="5" max="5" width="21" style="298" customWidth="1"/>
    <col min="6" max="6" width="82" style="298" bestFit="1" customWidth="1"/>
    <col min="7" max="7" width="36.7109375" style="298" customWidth="1"/>
    <col min="8" max="8" width="18.7109375" style="298" bestFit="1" customWidth="1"/>
    <col min="9" max="9" width="7.28515625" style="296" bestFit="1" customWidth="1"/>
    <col min="10" max="10" width="11.140625" style="296" bestFit="1" customWidth="1"/>
    <col min="11" max="11" width="16.7109375" style="296" bestFit="1" customWidth="1"/>
    <col min="12" max="12" width="15.7109375" style="298" customWidth="1"/>
    <col min="13" max="13" width="21.28515625" style="145" bestFit="1" customWidth="1"/>
    <col min="14" max="14" width="21.28515625" style="296" bestFit="1" customWidth="1"/>
    <col min="15" max="15" width="14.42578125" style="296" bestFit="1" customWidth="1"/>
    <col min="16" max="16" width="13.85546875" style="296" customWidth="1"/>
    <col min="17" max="17" width="15.140625" style="296" bestFit="1" customWidth="1"/>
    <col min="18" max="18" width="14.42578125" style="1" bestFit="1" customWidth="1"/>
    <col min="19" max="19" width="15.28515625" style="172" bestFit="1" customWidth="1"/>
    <col min="20" max="20" width="13.5703125" style="150" bestFit="1" customWidth="1"/>
    <col min="21" max="21" width="14.140625" style="150" bestFit="1" customWidth="1"/>
    <col min="22" max="22" width="9.140625" style="150" bestFit="1" customWidth="1"/>
    <col min="23" max="25" width="11.7109375" style="298"/>
    <col min="26" max="26" width="13.28515625" style="298" customWidth="1"/>
    <col min="27" max="27" width="13.5703125" style="298" customWidth="1"/>
    <col min="28" max="28" width="33.140625" style="298" customWidth="1"/>
    <col min="29" max="29" width="41.28515625" style="174" customWidth="1"/>
    <col min="30" max="30" width="13.5703125" style="298" customWidth="1"/>
    <col min="31" max="31" width="13.5703125" style="298" bestFit="1" customWidth="1"/>
    <col min="32" max="16384" width="11.7109375" style="298"/>
  </cols>
  <sheetData>
    <row r="1" spans="1:31" s="349" customFormat="1">
      <c r="A1" s="344" t="s">
        <v>3848</v>
      </c>
      <c r="B1" s="344" t="s">
        <v>3851</v>
      </c>
      <c r="C1" s="345" t="s">
        <v>3967</v>
      </c>
      <c r="D1" s="346" t="s">
        <v>3849</v>
      </c>
      <c r="E1" s="345" t="s">
        <v>3968</v>
      </c>
      <c r="F1" s="345" t="s">
        <v>3969</v>
      </c>
      <c r="G1" s="345" t="s">
        <v>3853</v>
      </c>
      <c r="H1" s="348" t="s">
        <v>3970</v>
      </c>
      <c r="I1" s="345" t="s">
        <v>3855</v>
      </c>
      <c r="J1" s="347" t="s">
        <v>3971</v>
      </c>
      <c r="K1" s="347" t="s">
        <v>3972</v>
      </c>
      <c r="L1" s="345" t="s">
        <v>3852</v>
      </c>
      <c r="M1" s="345" t="s">
        <v>3973</v>
      </c>
      <c r="N1" s="85" t="s">
        <v>3974</v>
      </c>
      <c r="O1" s="85" t="s">
        <v>3975</v>
      </c>
      <c r="P1" s="85" t="s">
        <v>109</v>
      </c>
      <c r="Q1" s="85" t="s">
        <v>3976</v>
      </c>
      <c r="R1" s="84" t="s">
        <v>3977</v>
      </c>
      <c r="S1" s="11" t="s">
        <v>3859</v>
      </c>
      <c r="T1" s="85" t="s">
        <v>3860</v>
      </c>
      <c r="U1" s="85" t="s">
        <v>3823</v>
      </c>
      <c r="AC1" s="590"/>
    </row>
    <row r="2" spans="1:31" s="131" customFormat="1">
      <c r="A2" s="143">
        <v>42005</v>
      </c>
      <c r="B2" s="143" t="s">
        <v>3978</v>
      </c>
      <c r="C2" s="298" t="s">
        <v>3979</v>
      </c>
      <c r="D2" s="145"/>
      <c r="E2" s="298" t="s">
        <v>3980</v>
      </c>
      <c r="F2" s="298" t="s">
        <v>3981</v>
      </c>
      <c r="G2" s="298" t="s">
        <v>3982</v>
      </c>
      <c r="H2" s="15"/>
      <c r="I2" s="298" t="s">
        <v>123</v>
      </c>
      <c r="J2" s="59">
        <v>4378</v>
      </c>
      <c r="K2" s="59" t="s">
        <v>3983</v>
      </c>
      <c r="L2" s="298" t="s">
        <v>3984</v>
      </c>
      <c r="M2" s="298" t="s">
        <v>3985</v>
      </c>
      <c r="N2" s="144" t="str">
        <f>IFERROR(INDEX(EquipmentTBL!$H:$H,MATCH(Table5[[#This Row],[Unit'#]],EquipmentTBL!$A:$A,0)),"NONE")</f>
        <v>NONE</v>
      </c>
      <c r="O2" s="144" t="str">
        <f>IFERROR(INDEX(EquipmentTBL!$C:$C,MATCH(Table5[[#This Row],[Unit'#]],EquipmentTBL!$A:$A,0)),"NONE")</f>
        <v>NONE</v>
      </c>
      <c r="P2" s="144" t="str">
        <f>IFERROR(INDEX(EquipmentTBL!$B:$B,MATCH(Table5[[#This Row],[Unit'#]],EquipmentTBL!$A:$A,0)),"NONE")</f>
        <v>NONE</v>
      </c>
      <c r="Q2" s="144" t="str">
        <f>IFERROR(INDEX(EquipmentTBL!$D:$D,MATCH(Table5[[#This Row],[Unit'#]],EquipmentTBL!$A:$A,0)),"NONE")</f>
        <v>NONE</v>
      </c>
      <c r="R2" s="146">
        <f>(5-WEEKDAY(A2,2))+A2</f>
        <v>42006</v>
      </c>
      <c r="S2" s="172">
        <f>((5-WEEKDAY(A2,2))+A2)+7</f>
        <v>42013</v>
      </c>
      <c r="T2" s="144">
        <f>MONTH(A2)</f>
        <v>1</v>
      </c>
      <c r="U2" s="144">
        <f>YEAR(R2)</f>
        <v>2015</v>
      </c>
      <c r="AC2" s="5"/>
    </row>
    <row r="3" spans="1:31">
      <c r="A3" s="146">
        <v>42013</v>
      </c>
      <c r="B3" s="143" t="s">
        <v>3978</v>
      </c>
      <c r="C3" s="298" t="s">
        <v>3979</v>
      </c>
      <c r="D3" s="145"/>
      <c r="E3" s="298" t="s">
        <v>3980</v>
      </c>
      <c r="F3" s="298" t="s">
        <v>3986</v>
      </c>
      <c r="G3" s="298" t="s">
        <v>3987</v>
      </c>
      <c r="H3" s="15"/>
      <c r="I3" s="298" t="s">
        <v>123</v>
      </c>
      <c r="J3" s="147">
        <v>150</v>
      </c>
      <c r="K3" s="59" t="s">
        <v>3983</v>
      </c>
      <c r="L3" s="298" t="s">
        <v>3988</v>
      </c>
      <c r="M3" s="298" t="s">
        <v>3989</v>
      </c>
      <c r="N3" s="144" t="str">
        <f>IFERROR(INDEX(EquipmentTBL!$H:$H,MATCH(Table5[[#This Row],[Unit'#]],EquipmentTBL!$A:$A,0)),"NONE")</f>
        <v>NONE</v>
      </c>
      <c r="O3" s="144" t="str">
        <f>IFERROR(INDEX(EquipmentTBL!$C:$C,MATCH(Table5[[#This Row],[Unit'#]],EquipmentTBL!$A:$A,0)),"NONE")</f>
        <v>NONE</v>
      </c>
      <c r="P3" s="144" t="str">
        <f>IFERROR(INDEX(EquipmentTBL!$B:$B,MATCH(Table5[[#This Row],[Unit'#]],EquipmentTBL!$A:$A,0)),"NONE")</f>
        <v>NONE</v>
      </c>
      <c r="Q3" s="144" t="str">
        <f>IFERROR(INDEX(EquipmentTBL!$D:$D,MATCH(Table5[[#This Row],[Unit'#]],EquipmentTBL!$A:$A,0)),"NONE")</f>
        <v>NONE</v>
      </c>
      <c r="R3" s="143">
        <f>(5-WEEKDAY(A3,2))+A3</f>
        <v>42013</v>
      </c>
      <c r="S3" s="172">
        <f>((5-WEEKDAY(A3,2))+A3)+7</f>
        <v>42020</v>
      </c>
      <c r="T3" s="144">
        <f>MONTH(A3)</f>
        <v>1</v>
      </c>
      <c r="U3" s="144">
        <f>YEAR(R3)</f>
        <v>2015</v>
      </c>
      <c r="V3" s="298"/>
    </row>
    <row r="4" spans="1:31">
      <c r="A4" s="146">
        <v>42217</v>
      </c>
      <c r="B4" s="143" t="s">
        <v>3978</v>
      </c>
      <c r="C4" s="298" t="s">
        <v>3990</v>
      </c>
      <c r="D4" s="145"/>
      <c r="E4" s="298" t="s">
        <v>3980</v>
      </c>
      <c r="F4" s="298" t="s">
        <v>3991</v>
      </c>
      <c r="G4" s="148" t="s">
        <v>3992</v>
      </c>
      <c r="H4" s="15"/>
      <c r="I4" s="298" t="s">
        <v>123</v>
      </c>
      <c r="J4" s="59">
        <v>4</v>
      </c>
      <c r="K4" s="59" t="s">
        <v>3983</v>
      </c>
      <c r="L4" s="298" t="s">
        <v>3984</v>
      </c>
      <c r="M4" s="298" t="s">
        <v>3985</v>
      </c>
      <c r="N4" s="144" t="str">
        <f>IFERROR(INDEX(EquipmentTBL!$H:$H,MATCH(Table5[[#This Row],[Unit'#]],EquipmentTBL!$A:$A,0)),"NONE")</f>
        <v>NONE</v>
      </c>
      <c r="O4" s="144" t="str">
        <f>IFERROR(INDEX(EquipmentTBL!$C:$C,MATCH(Table5[[#This Row],[Unit'#]],EquipmentTBL!$A:$A,0)),"NONE")</f>
        <v>NONE</v>
      </c>
      <c r="P4" s="144" t="str">
        <f>IFERROR(INDEX(EquipmentTBL!$B:$B,MATCH(Table5[[#This Row],[Unit'#]],EquipmentTBL!$A:$A,0)),"NONE")</f>
        <v>NONE</v>
      </c>
      <c r="Q4" s="144" t="str">
        <f>IFERROR(INDEX(EquipmentTBL!$D:$D,MATCH(Table5[[#This Row],[Unit'#]],EquipmentTBL!$A:$A,0)),"NONE")</f>
        <v>NONE</v>
      </c>
      <c r="R4" s="146">
        <f>(5-WEEKDAY(A4,2))+A4</f>
        <v>42216</v>
      </c>
      <c r="S4" s="104">
        <f>((5-WEEKDAY(A4,2))+A4)+7</f>
        <v>42223</v>
      </c>
      <c r="T4" s="144">
        <f>MONTH(A4)</f>
        <v>8</v>
      </c>
      <c r="U4" s="144">
        <f>YEAR(R4)</f>
        <v>2015</v>
      </c>
      <c r="V4" s="298"/>
    </row>
    <row r="5" spans="1:31">
      <c r="A5" s="146">
        <v>42217</v>
      </c>
      <c r="B5" s="143" t="s">
        <v>3978</v>
      </c>
      <c r="C5" s="298" t="s">
        <v>3979</v>
      </c>
      <c r="D5" s="145"/>
      <c r="E5" s="298" t="s">
        <v>3980</v>
      </c>
      <c r="F5" s="148" t="s">
        <v>3993</v>
      </c>
      <c r="G5" s="298" t="s">
        <v>3994</v>
      </c>
      <c r="H5" s="15"/>
      <c r="I5" s="298" t="s">
        <v>123</v>
      </c>
      <c r="J5" s="59">
        <v>50</v>
      </c>
      <c r="K5" s="59" t="s">
        <v>3983</v>
      </c>
      <c r="L5" s="298" t="s">
        <v>3984</v>
      </c>
      <c r="M5" s="298" t="s">
        <v>3985</v>
      </c>
      <c r="N5" s="144" t="str">
        <f>IFERROR(INDEX(EquipmentTBL!$H:$H,MATCH(Table5[[#This Row],[Unit'#]],EquipmentTBL!$A:$A,0)),"NONE")</f>
        <v>NONE</v>
      </c>
      <c r="O5" s="144" t="str">
        <f>IFERROR(INDEX(EquipmentTBL!$C:$C,MATCH(Table5[[#This Row],[Unit'#]],EquipmentTBL!$A:$A,0)),"NONE")</f>
        <v>NONE</v>
      </c>
      <c r="P5" s="144" t="str">
        <f>IFERROR(INDEX(EquipmentTBL!$B:$B,MATCH(Table5[[#This Row],[Unit'#]],EquipmentTBL!$A:$A,0)),"NONE")</f>
        <v>NONE</v>
      </c>
      <c r="Q5" s="144" t="str">
        <f>IFERROR(INDEX(EquipmentTBL!$D:$D,MATCH(Table5[[#This Row],[Unit'#]],EquipmentTBL!$A:$A,0)),"NONE")</f>
        <v>NONE</v>
      </c>
      <c r="R5" s="146">
        <f>(5-WEEKDAY(A5,2))+A5</f>
        <v>42216</v>
      </c>
      <c r="S5" s="104">
        <f>((5-WEEKDAY(A5,2))+A5)+7</f>
        <v>42223</v>
      </c>
      <c r="T5" s="144">
        <f>MONTH(A5)</f>
        <v>8</v>
      </c>
      <c r="U5" s="144">
        <f>YEAR(R5)</f>
        <v>2015</v>
      </c>
      <c r="V5" s="298"/>
    </row>
    <row r="6" spans="1:31">
      <c r="A6" s="146">
        <v>42217</v>
      </c>
      <c r="B6" s="143" t="s">
        <v>3978</v>
      </c>
      <c r="C6" s="298" t="s">
        <v>3979</v>
      </c>
      <c r="D6" s="145"/>
      <c r="E6" s="298" t="s">
        <v>3980</v>
      </c>
      <c r="F6" s="148" t="s">
        <v>3995</v>
      </c>
      <c r="G6" s="148" t="s">
        <v>3996</v>
      </c>
      <c r="H6" s="15"/>
      <c r="I6" s="298" t="s">
        <v>123</v>
      </c>
      <c r="J6" s="59">
        <v>2626.31</v>
      </c>
      <c r="K6" s="59" t="s">
        <v>3983</v>
      </c>
      <c r="L6" s="298" t="s">
        <v>3984</v>
      </c>
      <c r="M6" s="298" t="s">
        <v>3985</v>
      </c>
      <c r="N6" s="144" t="str">
        <f>IFERROR(INDEX(EquipmentTBL!$H:$H,MATCH(Table5[[#This Row],[Unit'#]],EquipmentTBL!$A:$A,0)),"NONE")</f>
        <v>NONE</v>
      </c>
      <c r="O6" s="144" t="str">
        <f>IFERROR(INDEX(EquipmentTBL!$C:$C,MATCH(Table5[[#This Row],[Unit'#]],EquipmentTBL!$A:$A,0)),"NONE")</f>
        <v>NONE</v>
      </c>
      <c r="P6" s="144" t="str">
        <f>IFERROR(INDEX(EquipmentTBL!$B:$B,MATCH(Table5[[#This Row],[Unit'#]],EquipmentTBL!$A:$A,0)),"NONE")</f>
        <v>NONE</v>
      </c>
      <c r="Q6" s="144" t="str">
        <f>IFERROR(INDEX(EquipmentTBL!$D:$D,MATCH(Table5[[#This Row],[Unit'#]],EquipmentTBL!$A:$A,0)),"NONE")</f>
        <v>NONE</v>
      </c>
      <c r="R6" s="146">
        <f>(5-WEEKDAY(A6,2))+A6</f>
        <v>42216</v>
      </c>
      <c r="S6" s="104">
        <f>((5-WEEKDAY(A6,2))+A6)+7</f>
        <v>42223</v>
      </c>
      <c r="T6" s="144">
        <f>MONTH(A6)</f>
        <v>8</v>
      </c>
      <c r="U6" s="144">
        <f>YEAR(R6)</f>
        <v>2015</v>
      </c>
      <c r="V6" s="298"/>
    </row>
    <row r="7" spans="1:31">
      <c r="A7" s="146">
        <v>42217</v>
      </c>
      <c r="B7" s="143" t="s">
        <v>3863</v>
      </c>
      <c r="C7" s="298" t="s">
        <v>3997</v>
      </c>
      <c r="D7" s="145"/>
      <c r="E7" s="298" t="s">
        <v>3980</v>
      </c>
      <c r="F7" s="298" t="s">
        <v>3998</v>
      </c>
      <c r="G7" s="298" t="s">
        <v>3999</v>
      </c>
      <c r="H7" s="15"/>
      <c r="I7" s="298" t="s">
        <v>123</v>
      </c>
      <c r="J7" s="59">
        <v>125</v>
      </c>
      <c r="K7" s="59" t="s">
        <v>3983</v>
      </c>
      <c r="L7" s="298" t="s">
        <v>3984</v>
      </c>
      <c r="M7" s="298" t="s">
        <v>3985</v>
      </c>
      <c r="N7" s="144" t="str">
        <f>IFERROR(INDEX(EquipmentTBL!$H:$H,MATCH(Table5[[#This Row],[Unit'#]],EquipmentTBL!$A:$A,0)),"NONE")</f>
        <v>2HSCUAPR88C657099</v>
      </c>
      <c r="O7" s="144" t="str">
        <f>IFERROR(INDEX(EquipmentTBL!$C:$C,MATCH(Table5[[#This Row],[Unit'#]],EquipmentTBL!$A:$A,0)),"NONE")</f>
        <v>International</v>
      </c>
      <c r="P7" s="144">
        <f>IFERROR(INDEX(EquipmentTBL!$B:$B,MATCH(Table5[[#This Row],[Unit'#]],EquipmentTBL!$A:$A,0)),"NONE")</f>
        <v>2008</v>
      </c>
      <c r="Q7" s="144" t="str">
        <f>IFERROR(INDEX(EquipmentTBL!$D:$D,MATCH(Table5[[#This Row],[Unit'#]],EquipmentTBL!$A:$A,0)),"NONE")</f>
        <v>Prostar Eagle</v>
      </c>
      <c r="R7" s="146">
        <f>(5-WEEKDAY(A7,2))+A7</f>
        <v>42216</v>
      </c>
      <c r="S7" s="104">
        <f>((5-WEEKDAY(A7,2))+A7)+7</f>
        <v>42223</v>
      </c>
      <c r="T7" s="144">
        <f>MONTH(A7)</f>
        <v>8</v>
      </c>
      <c r="U7" s="144">
        <f>YEAR(R7)</f>
        <v>2015</v>
      </c>
      <c r="V7" s="298"/>
      <c r="Z7" s="521" t="s">
        <v>4585</v>
      </c>
      <c r="AA7" s="521" t="s">
        <v>3848</v>
      </c>
      <c r="AB7" s="521" t="s">
        <v>3853</v>
      </c>
      <c r="AC7" s="521" t="s">
        <v>3969</v>
      </c>
      <c r="AD7" s="523" t="s">
        <v>4718</v>
      </c>
      <c r="AE7"/>
    </row>
    <row r="8" spans="1:31">
      <c r="A8" s="146">
        <v>42217</v>
      </c>
      <c r="B8" s="143" t="s">
        <v>3863</v>
      </c>
      <c r="C8" s="298" t="s">
        <v>3997</v>
      </c>
      <c r="D8" s="145"/>
      <c r="E8" s="298" t="s">
        <v>3980</v>
      </c>
      <c r="F8" s="298" t="s">
        <v>4000</v>
      </c>
      <c r="G8" s="298" t="s">
        <v>3999</v>
      </c>
      <c r="H8" s="15"/>
      <c r="I8" s="298" t="s">
        <v>123</v>
      </c>
      <c r="J8" s="59">
        <v>125</v>
      </c>
      <c r="K8" s="59" t="s">
        <v>3983</v>
      </c>
      <c r="L8" s="298" t="s">
        <v>3984</v>
      </c>
      <c r="M8" s="298" t="s">
        <v>3985</v>
      </c>
      <c r="N8" s="144" t="str">
        <f>IFERROR(INDEX(EquipmentTBL!$H:$H,MATCH(Table5[[#This Row],[Unit'#]],EquipmentTBL!$A:$A,0)),"NONE")</f>
        <v>2HSCUAPR88C657099</v>
      </c>
      <c r="O8" s="144" t="str">
        <f>IFERROR(INDEX(EquipmentTBL!$C:$C,MATCH(Table5[[#This Row],[Unit'#]],EquipmentTBL!$A:$A,0)),"NONE")</f>
        <v>International</v>
      </c>
      <c r="P8" s="144">
        <f>IFERROR(INDEX(EquipmentTBL!$B:$B,MATCH(Table5[[#This Row],[Unit'#]],EquipmentTBL!$A:$A,0)),"NONE")</f>
        <v>2008</v>
      </c>
      <c r="Q8" s="144" t="str">
        <f>IFERROR(INDEX(EquipmentTBL!$D:$D,MATCH(Table5[[#This Row],[Unit'#]],EquipmentTBL!$A:$A,0)),"NONE")</f>
        <v>Prostar Eagle</v>
      </c>
      <c r="R8" s="146">
        <f>(5-WEEKDAY(A8,2))+A8</f>
        <v>42216</v>
      </c>
      <c r="S8" s="104">
        <f>((5-WEEKDAY(A8,2))+A8)+7</f>
        <v>42223</v>
      </c>
      <c r="T8" s="144">
        <f>MONTH(A8)</f>
        <v>8</v>
      </c>
      <c r="U8" s="144">
        <f>YEAR(R8)</f>
        <v>2015</v>
      </c>
      <c r="V8" s="298"/>
      <c r="Z8" t="s">
        <v>4113</v>
      </c>
      <c r="AA8" s="256">
        <v>42327</v>
      </c>
      <c r="AB8" t="s">
        <v>4069</v>
      </c>
      <c r="AC8" t="s">
        <v>4114</v>
      </c>
      <c r="AD8" s="523">
        <v>0</v>
      </c>
      <c r="AE8"/>
    </row>
    <row r="9" spans="1:31">
      <c r="A9" s="146">
        <v>42222</v>
      </c>
      <c r="B9" s="143" t="s">
        <v>4001</v>
      </c>
      <c r="C9" s="298" t="s">
        <v>4002</v>
      </c>
      <c r="D9" s="145" t="s">
        <v>4003</v>
      </c>
      <c r="E9" s="298" t="s">
        <v>3980</v>
      </c>
      <c r="F9" s="298" t="s">
        <v>4004</v>
      </c>
      <c r="G9" s="298" t="s">
        <v>4005</v>
      </c>
      <c r="H9" s="15"/>
      <c r="I9" s="298" t="s">
        <v>123</v>
      </c>
      <c r="J9" s="59">
        <v>242</v>
      </c>
      <c r="K9" s="59" t="s">
        <v>3983</v>
      </c>
      <c r="L9" s="298" t="s">
        <v>3839</v>
      </c>
      <c r="M9" s="298" t="s">
        <v>3985</v>
      </c>
      <c r="N9" s="144" t="str">
        <f>IFERROR(INDEX(EquipmentTBL!$H:$H,MATCH(Table5[[#This Row],[Unit'#]],EquipmentTBL!$A:$A,0)),"NONE")</f>
        <v>1JJV532V3BL370658</v>
      </c>
      <c r="O9" s="144" t="str">
        <f>IFERROR(INDEX(EquipmentTBL!$C:$C,MATCH(Table5[[#This Row],[Unit'#]],EquipmentTBL!$A:$A,0)),"NONE")</f>
        <v>Wabash</v>
      </c>
      <c r="P9" s="144">
        <f>IFERROR(INDEX(EquipmentTBL!$B:$B,MATCH(Table5[[#This Row],[Unit'#]],EquipmentTBL!$A:$A,0)),"NONE")</f>
        <v>2011</v>
      </c>
      <c r="Q9" s="144" t="str">
        <f>IFERROR(INDEX(EquipmentTBL!$D:$D,MATCH(Table5[[#This Row],[Unit'#]],EquipmentTBL!$A:$A,0)),"NONE")</f>
        <v>DryVan</v>
      </c>
      <c r="R9" s="146">
        <f>(5-WEEKDAY(A9,2))+A9</f>
        <v>42223</v>
      </c>
      <c r="S9" s="104">
        <f>((5-WEEKDAY(A9,2))+A9)+7</f>
        <v>42230</v>
      </c>
      <c r="T9" s="144">
        <f>MONTH(A9)</f>
        <v>8</v>
      </c>
      <c r="U9" s="144">
        <f>YEAR(R9)</f>
        <v>2015</v>
      </c>
      <c r="V9" s="298"/>
      <c r="Z9" t="s">
        <v>3978</v>
      </c>
      <c r="AA9" s="256">
        <v>42005</v>
      </c>
      <c r="AB9" t="s">
        <v>3982</v>
      </c>
      <c r="AC9" t="s">
        <v>3981</v>
      </c>
      <c r="AD9" s="523">
        <v>4378</v>
      </c>
      <c r="AE9"/>
    </row>
    <row r="10" spans="1:31">
      <c r="A10" s="146">
        <v>42222</v>
      </c>
      <c r="B10" s="143" t="s">
        <v>3863</v>
      </c>
      <c r="C10" s="298" t="s">
        <v>4002</v>
      </c>
      <c r="D10" s="145">
        <v>152750</v>
      </c>
      <c r="E10" s="298" t="s">
        <v>4006</v>
      </c>
      <c r="F10" s="298" t="s">
        <v>4007</v>
      </c>
      <c r="G10" s="298" t="s">
        <v>4008</v>
      </c>
      <c r="H10" s="15"/>
      <c r="I10" s="298" t="s">
        <v>123</v>
      </c>
      <c r="J10" s="59">
        <v>391</v>
      </c>
      <c r="K10" s="59" t="s">
        <v>3983</v>
      </c>
      <c r="L10" s="298" t="s">
        <v>3839</v>
      </c>
      <c r="M10" s="298" t="s">
        <v>3985</v>
      </c>
      <c r="N10" s="144" t="str">
        <f>IFERROR(INDEX(EquipmentTBL!$H:$H,MATCH(Table5[[#This Row],[Unit'#]],EquipmentTBL!$A:$A,0)),"NONE")</f>
        <v>2HSCUAPR88C657099</v>
      </c>
      <c r="O10" s="144" t="str">
        <f>IFERROR(INDEX(EquipmentTBL!$C:$C,MATCH(Table5[[#This Row],[Unit'#]],EquipmentTBL!$A:$A,0)),"NONE")</f>
        <v>International</v>
      </c>
      <c r="P10" s="144">
        <f>IFERROR(INDEX(EquipmentTBL!$B:$B,MATCH(Table5[[#This Row],[Unit'#]],EquipmentTBL!$A:$A,0)),"NONE")</f>
        <v>2008</v>
      </c>
      <c r="Q10" s="144" t="str">
        <f>IFERROR(INDEX(EquipmentTBL!$D:$D,MATCH(Table5[[#This Row],[Unit'#]],EquipmentTBL!$A:$A,0)),"NONE")</f>
        <v>Prostar Eagle</v>
      </c>
      <c r="R10" s="146">
        <f>(5-WEEKDAY(A10,2))+A10</f>
        <v>42223</v>
      </c>
      <c r="S10" s="104">
        <f>((5-WEEKDAY(A10,2))+A10)+7</f>
        <v>42230</v>
      </c>
      <c r="T10" s="144">
        <f>MONTH(A10)</f>
        <v>8</v>
      </c>
      <c r="U10" s="144">
        <f>YEAR(R10)</f>
        <v>2015</v>
      </c>
      <c r="V10" s="298"/>
      <c r="Z10"/>
      <c r="AA10" s="256">
        <v>42013</v>
      </c>
      <c r="AB10" t="s">
        <v>3987</v>
      </c>
      <c r="AC10" t="s">
        <v>3986</v>
      </c>
      <c r="AD10" s="523">
        <v>150</v>
      </c>
      <c r="AE10"/>
    </row>
    <row r="11" spans="1:31">
      <c r="A11" s="146">
        <v>42222</v>
      </c>
      <c r="B11" s="143" t="s">
        <v>4001</v>
      </c>
      <c r="C11" s="298" t="s">
        <v>4002</v>
      </c>
      <c r="D11" s="145">
        <v>152750</v>
      </c>
      <c r="E11" s="298" t="s">
        <v>4006</v>
      </c>
      <c r="F11" s="298" t="s">
        <v>4009</v>
      </c>
      <c r="G11" s="298" t="s">
        <v>4008</v>
      </c>
      <c r="H11" s="15"/>
      <c r="I11" s="298" t="s">
        <v>123</v>
      </c>
      <c r="J11" s="59">
        <v>0</v>
      </c>
      <c r="K11" s="59" t="s">
        <v>3983</v>
      </c>
      <c r="L11" s="298" t="s">
        <v>3839</v>
      </c>
      <c r="M11" s="298" t="s">
        <v>3985</v>
      </c>
      <c r="N11" s="144" t="str">
        <f>IFERROR(INDEX(EquipmentTBL!$H:$H,MATCH(Table5[[#This Row],[Unit'#]],EquipmentTBL!$A:$A,0)),"NONE")</f>
        <v>1JJV532V3BL370658</v>
      </c>
      <c r="O11" s="144" t="str">
        <f>IFERROR(INDEX(EquipmentTBL!$C:$C,MATCH(Table5[[#This Row],[Unit'#]],EquipmentTBL!$A:$A,0)),"NONE")</f>
        <v>Wabash</v>
      </c>
      <c r="P11" s="144">
        <f>IFERROR(INDEX(EquipmentTBL!$B:$B,MATCH(Table5[[#This Row],[Unit'#]],EquipmentTBL!$A:$A,0)),"NONE")</f>
        <v>2011</v>
      </c>
      <c r="Q11" s="144" t="str">
        <f>IFERROR(INDEX(EquipmentTBL!$D:$D,MATCH(Table5[[#This Row],[Unit'#]],EquipmentTBL!$A:$A,0)),"NONE")</f>
        <v>DryVan</v>
      </c>
      <c r="R11" s="146">
        <f>(5-WEEKDAY(A11,2))+A11</f>
        <v>42223</v>
      </c>
      <c r="S11" s="104">
        <f>((5-WEEKDAY(A11,2))+A11)+7</f>
        <v>42230</v>
      </c>
      <c r="T11" s="144">
        <f>MONTH(A11)</f>
        <v>8</v>
      </c>
      <c r="U11" s="144">
        <f>YEAR(R11)</f>
        <v>2015</v>
      </c>
      <c r="V11" s="298"/>
      <c r="Z11"/>
      <c r="AA11" s="256">
        <v>42217</v>
      </c>
      <c r="AB11" t="s">
        <v>3994</v>
      </c>
      <c r="AC11" t="s">
        <v>3993</v>
      </c>
      <c r="AD11" s="523">
        <v>50</v>
      </c>
      <c r="AE11"/>
    </row>
    <row r="12" spans="1:31">
      <c r="A12" s="146">
        <v>42231</v>
      </c>
      <c r="B12" s="143" t="s">
        <v>3863</v>
      </c>
      <c r="C12" s="298" t="s">
        <v>3990</v>
      </c>
      <c r="D12" s="145">
        <v>2968</v>
      </c>
      <c r="E12" s="298" t="s">
        <v>3980</v>
      </c>
      <c r="F12" s="298" t="s">
        <v>4010</v>
      </c>
      <c r="G12" s="298" t="s">
        <v>4011</v>
      </c>
      <c r="H12" s="15"/>
      <c r="I12" s="298" t="s">
        <v>123</v>
      </c>
      <c r="J12" s="59">
        <v>95</v>
      </c>
      <c r="K12" s="59" t="s">
        <v>3983</v>
      </c>
      <c r="L12" s="298" t="s">
        <v>3984</v>
      </c>
      <c r="M12" s="298" t="s">
        <v>3985</v>
      </c>
      <c r="N12" s="144" t="str">
        <f>IFERROR(INDEX(EquipmentTBL!$H:$H,MATCH(Table5[[#This Row],[Unit'#]],EquipmentTBL!$A:$A,0)),"NONE")</f>
        <v>2HSCUAPR88C657099</v>
      </c>
      <c r="O12" s="144" t="str">
        <f>IFERROR(INDEX(EquipmentTBL!$C:$C,MATCH(Table5[[#This Row],[Unit'#]],EquipmentTBL!$A:$A,0)),"NONE")</f>
        <v>International</v>
      </c>
      <c r="P12" s="144">
        <f>IFERROR(INDEX(EquipmentTBL!$B:$B,MATCH(Table5[[#This Row],[Unit'#]],EquipmentTBL!$A:$A,0)),"NONE")</f>
        <v>2008</v>
      </c>
      <c r="Q12" s="144" t="str">
        <f>IFERROR(INDEX(EquipmentTBL!$D:$D,MATCH(Table5[[#This Row],[Unit'#]],EquipmentTBL!$A:$A,0)),"NONE")</f>
        <v>Prostar Eagle</v>
      </c>
      <c r="R12" s="146">
        <f>(5-WEEKDAY(A12,2))+A12</f>
        <v>42230</v>
      </c>
      <c r="S12" s="104">
        <f>((5-WEEKDAY(A12,2))+A12)+7</f>
        <v>42237</v>
      </c>
      <c r="T12" s="144">
        <f>MONTH(A12)</f>
        <v>8</v>
      </c>
      <c r="U12" s="144">
        <f>YEAR(R12)</f>
        <v>2015</v>
      </c>
      <c r="V12" s="298"/>
      <c r="Z12"/>
      <c r="AA12"/>
      <c r="AB12" t="s">
        <v>3996</v>
      </c>
      <c r="AC12" t="s">
        <v>3995</v>
      </c>
      <c r="AD12" s="523">
        <v>2626.31</v>
      </c>
      <c r="AE12"/>
    </row>
    <row r="13" spans="1:31">
      <c r="A13" s="146">
        <v>42231</v>
      </c>
      <c r="B13" s="143" t="s">
        <v>4001</v>
      </c>
      <c r="C13" s="298" t="s">
        <v>4002</v>
      </c>
      <c r="D13" s="145" t="s">
        <v>4012</v>
      </c>
      <c r="E13" s="298" t="s">
        <v>4013</v>
      </c>
      <c r="F13" s="298" t="s">
        <v>4014</v>
      </c>
      <c r="G13" s="298" t="s">
        <v>4015</v>
      </c>
      <c r="H13" s="15"/>
      <c r="I13" s="298" t="s">
        <v>123</v>
      </c>
      <c r="J13" s="59">
        <v>97.42</v>
      </c>
      <c r="K13" s="59" t="s">
        <v>3983</v>
      </c>
      <c r="L13" s="298" t="s">
        <v>3984</v>
      </c>
      <c r="M13" s="298" t="s">
        <v>3985</v>
      </c>
      <c r="N13" s="144" t="str">
        <f>IFERROR(INDEX(EquipmentTBL!$H:$H,MATCH(Table5[[#This Row],[Unit'#]],EquipmentTBL!$A:$A,0)),"NONE")</f>
        <v>1JJV532V3BL370658</v>
      </c>
      <c r="O13" s="144" t="str">
        <f>IFERROR(INDEX(EquipmentTBL!$C:$C,MATCH(Table5[[#This Row],[Unit'#]],EquipmentTBL!$A:$A,0)),"NONE")</f>
        <v>Wabash</v>
      </c>
      <c r="P13" s="144">
        <f>IFERROR(INDEX(EquipmentTBL!$B:$B,MATCH(Table5[[#This Row],[Unit'#]],EquipmentTBL!$A:$A,0)),"NONE")</f>
        <v>2011</v>
      </c>
      <c r="Q13" s="144" t="str">
        <f>IFERROR(INDEX(EquipmentTBL!$D:$D,MATCH(Table5[[#This Row],[Unit'#]],EquipmentTBL!$A:$A,0)),"NONE")</f>
        <v>DryVan</v>
      </c>
      <c r="R13" s="146">
        <f>(5-WEEKDAY(A13,2))+A13</f>
        <v>42230</v>
      </c>
      <c r="S13" s="104">
        <f>((5-WEEKDAY(A13,2))+A13)+7</f>
        <v>42237</v>
      </c>
      <c r="T13" s="144">
        <f>MONTH(A13)</f>
        <v>8</v>
      </c>
      <c r="U13" s="144">
        <f>YEAR(R13)</f>
        <v>2015</v>
      </c>
      <c r="V13" s="298"/>
      <c r="Z13"/>
      <c r="AA13" s="256">
        <v>42256</v>
      </c>
      <c r="AB13" t="s">
        <v>4042</v>
      </c>
      <c r="AC13" t="s">
        <v>4041</v>
      </c>
      <c r="AD13" s="523">
        <v>32</v>
      </c>
      <c r="AE13"/>
    </row>
    <row r="14" spans="1:31">
      <c r="A14" s="146">
        <v>42233</v>
      </c>
      <c r="B14" s="143" t="s">
        <v>4001</v>
      </c>
      <c r="C14" s="298" t="s">
        <v>4002</v>
      </c>
      <c r="D14" s="145">
        <v>71639461</v>
      </c>
      <c r="E14" s="298" t="s">
        <v>3980</v>
      </c>
      <c r="F14" s="298" t="s">
        <v>4016</v>
      </c>
      <c r="G14" s="298" t="s">
        <v>4017</v>
      </c>
      <c r="H14" s="15"/>
      <c r="I14" s="298" t="s">
        <v>123</v>
      </c>
      <c r="J14" s="59">
        <v>1.24</v>
      </c>
      <c r="K14" s="59" t="s">
        <v>3983</v>
      </c>
      <c r="L14" s="298" t="s">
        <v>3984</v>
      </c>
      <c r="M14" s="298" t="s">
        <v>3985</v>
      </c>
      <c r="N14" s="144" t="str">
        <f>IFERROR(INDEX(EquipmentTBL!$H:$H,MATCH(Table5[[#This Row],[Unit'#]],EquipmentTBL!$A:$A,0)),"NONE")</f>
        <v>1JJV532V3BL370658</v>
      </c>
      <c r="O14" s="144" t="str">
        <f>IFERROR(INDEX(EquipmentTBL!$C:$C,MATCH(Table5[[#This Row],[Unit'#]],EquipmentTBL!$A:$A,0)),"NONE")</f>
        <v>Wabash</v>
      </c>
      <c r="P14" s="144">
        <f>IFERROR(INDEX(EquipmentTBL!$B:$B,MATCH(Table5[[#This Row],[Unit'#]],EquipmentTBL!$A:$A,0)),"NONE")</f>
        <v>2011</v>
      </c>
      <c r="Q14" s="144" t="str">
        <f>IFERROR(INDEX(EquipmentTBL!$D:$D,MATCH(Table5[[#This Row],[Unit'#]],EquipmentTBL!$A:$A,0)),"NONE")</f>
        <v>DryVan</v>
      </c>
      <c r="R14" s="146">
        <f>(5-WEEKDAY(A14,2))+A14</f>
        <v>42237</v>
      </c>
      <c r="S14" s="104">
        <f>((5-WEEKDAY(A14,2))+A14)+7</f>
        <v>42244</v>
      </c>
      <c r="T14" s="144">
        <f>MONTH(A14)</f>
        <v>8</v>
      </c>
      <c r="U14" s="144">
        <f>YEAR(R14)</f>
        <v>2015</v>
      </c>
      <c r="V14" s="298"/>
      <c r="Z14"/>
      <c r="AA14" s="256">
        <v>42262</v>
      </c>
      <c r="AB14" t="s">
        <v>4042</v>
      </c>
      <c r="AC14" t="s">
        <v>4046</v>
      </c>
      <c r="AD14" s="523">
        <v>3</v>
      </c>
      <c r="AE14"/>
    </row>
    <row r="15" spans="1:31">
      <c r="A15" s="146">
        <v>42233</v>
      </c>
      <c r="B15" s="143" t="s">
        <v>4001</v>
      </c>
      <c r="C15" s="298" t="s">
        <v>4002</v>
      </c>
      <c r="D15" s="145">
        <v>5911</v>
      </c>
      <c r="E15" s="298" t="s">
        <v>4013</v>
      </c>
      <c r="F15" s="298" t="s">
        <v>4018</v>
      </c>
      <c r="G15" s="298" t="s">
        <v>4019</v>
      </c>
      <c r="H15" s="15"/>
      <c r="I15" s="298" t="s">
        <v>123</v>
      </c>
      <c r="J15" s="59">
        <v>134.72</v>
      </c>
      <c r="K15" s="59" t="s">
        <v>3983</v>
      </c>
      <c r="L15" s="298" t="s">
        <v>3839</v>
      </c>
      <c r="M15" s="298" t="s">
        <v>3985</v>
      </c>
      <c r="N15" s="144" t="str">
        <f>IFERROR(INDEX(EquipmentTBL!$H:$H,MATCH(Table5[[#This Row],[Unit'#]],EquipmentTBL!$A:$A,0)),"NONE")</f>
        <v>1JJV532V3BL370658</v>
      </c>
      <c r="O15" s="144" t="str">
        <f>IFERROR(INDEX(EquipmentTBL!$C:$C,MATCH(Table5[[#This Row],[Unit'#]],EquipmentTBL!$A:$A,0)),"NONE")</f>
        <v>Wabash</v>
      </c>
      <c r="P15" s="144">
        <f>IFERROR(INDEX(EquipmentTBL!$B:$B,MATCH(Table5[[#This Row],[Unit'#]],EquipmentTBL!$A:$A,0)),"NONE")</f>
        <v>2011</v>
      </c>
      <c r="Q15" s="144" t="str">
        <f>IFERROR(INDEX(EquipmentTBL!$D:$D,MATCH(Table5[[#This Row],[Unit'#]],EquipmentTBL!$A:$A,0)),"NONE")</f>
        <v>DryVan</v>
      </c>
      <c r="R15" s="146">
        <f>(5-WEEKDAY(A15,2))+A15</f>
        <v>42237</v>
      </c>
      <c r="S15" s="104">
        <f>((5-WEEKDAY(A15,2))+A15)+7</f>
        <v>42244</v>
      </c>
      <c r="T15" s="144">
        <f>MONTH(A15)</f>
        <v>8</v>
      </c>
      <c r="U15" s="144">
        <f>YEAR(R15)</f>
        <v>2015</v>
      </c>
      <c r="V15" s="298"/>
      <c r="Z15"/>
      <c r="AA15" s="256">
        <v>42263</v>
      </c>
      <c r="AB15" t="s">
        <v>4050</v>
      </c>
      <c r="AC15" t="s">
        <v>4049</v>
      </c>
      <c r="AD15" s="523">
        <v>34.950000000000003</v>
      </c>
      <c r="AE15"/>
    </row>
    <row r="16" spans="1:31">
      <c r="A16" s="146">
        <v>42234</v>
      </c>
      <c r="B16" s="143" t="s">
        <v>3863</v>
      </c>
      <c r="C16" s="298" t="s">
        <v>3979</v>
      </c>
      <c r="D16" s="145"/>
      <c r="E16" s="298" t="s">
        <v>3980</v>
      </c>
      <c r="F16" s="298" t="s">
        <v>4020</v>
      </c>
      <c r="G16" s="298" t="s">
        <v>4021</v>
      </c>
      <c r="H16" s="15"/>
      <c r="I16" s="298" t="s">
        <v>123</v>
      </c>
      <c r="J16" s="59">
        <v>504</v>
      </c>
      <c r="K16" s="59" t="s">
        <v>3983</v>
      </c>
      <c r="L16" s="298" t="s">
        <v>133</v>
      </c>
      <c r="M16" s="298" t="s">
        <v>3985</v>
      </c>
      <c r="N16" s="144" t="str">
        <f>IFERROR(INDEX(EquipmentTBL!$H:$H,MATCH(Table5[[#This Row],[Unit'#]],EquipmentTBL!$A:$A,0)),"NONE")</f>
        <v>2HSCUAPR88C657099</v>
      </c>
      <c r="O16" s="144" t="str">
        <f>IFERROR(INDEX(EquipmentTBL!$C:$C,MATCH(Table5[[#This Row],[Unit'#]],EquipmentTBL!$A:$A,0)),"NONE")</f>
        <v>International</v>
      </c>
      <c r="P16" s="144">
        <f>IFERROR(INDEX(EquipmentTBL!$B:$B,MATCH(Table5[[#This Row],[Unit'#]],EquipmentTBL!$A:$A,0)),"NONE")</f>
        <v>2008</v>
      </c>
      <c r="Q16" s="144" t="str">
        <f>IFERROR(INDEX(EquipmentTBL!$D:$D,MATCH(Table5[[#This Row],[Unit'#]],EquipmentTBL!$A:$A,0)),"NONE")</f>
        <v>Prostar Eagle</v>
      </c>
      <c r="R16" s="146">
        <f>(5-WEEKDAY(A16,2))+A16</f>
        <v>42237</v>
      </c>
      <c r="S16" s="104">
        <f>((5-WEEKDAY(A16,2))+A16)+7</f>
        <v>42244</v>
      </c>
      <c r="T16" s="144">
        <f>MONTH(A16)</f>
        <v>8</v>
      </c>
      <c r="U16" s="144">
        <f>YEAR(R16)</f>
        <v>2015</v>
      </c>
      <c r="V16" s="298"/>
      <c r="Z16"/>
      <c r="AA16" s="256">
        <v>42275</v>
      </c>
      <c r="AB16" t="s">
        <v>4057</v>
      </c>
      <c r="AC16" t="s">
        <v>4056</v>
      </c>
      <c r="AD16" s="523">
        <v>55</v>
      </c>
      <c r="AE16"/>
    </row>
    <row r="17" spans="1:31">
      <c r="A17" s="146">
        <v>42234</v>
      </c>
      <c r="B17" s="143" t="s">
        <v>3863</v>
      </c>
      <c r="C17" s="298" t="s">
        <v>3979</v>
      </c>
      <c r="D17" s="145">
        <v>73960398</v>
      </c>
      <c r="E17" s="298" t="s">
        <v>3980</v>
      </c>
      <c r="F17" s="298" t="s">
        <v>4023</v>
      </c>
      <c r="G17" s="298" t="s">
        <v>4024</v>
      </c>
      <c r="H17" s="15"/>
      <c r="I17" s="298">
        <v>1</v>
      </c>
      <c r="J17" s="59">
        <v>10.5</v>
      </c>
      <c r="K17" s="59" t="s">
        <v>3983</v>
      </c>
      <c r="L17" s="298" t="s">
        <v>3839</v>
      </c>
      <c r="M17" s="298" t="s">
        <v>3985</v>
      </c>
      <c r="N17" s="144" t="str">
        <f>IFERROR(INDEX(EquipmentTBL!$H:$H,MATCH(Table5[[#This Row],[Unit'#]],EquipmentTBL!$A:$A,0)),"NONE")</f>
        <v>2HSCUAPR88C657099</v>
      </c>
      <c r="O17" s="144" t="str">
        <f>IFERROR(INDEX(EquipmentTBL!$C:$C,MATCH(Table5[[#This Row],[Unit'#]],EquipmentTBL!$A:$A,0)),"NONE")</f>
        <v>International</v>
      </c>
      <c r="P17" s="144">
        <f>IFERROR(INDEX(EquipmentTBL!$B:$B,MATCH(Table5[[#This Row],[Unit'#]],EquipmentTBL!$A:$A,0)),"NONE")</f>
        <v>2008</v>
      </c>
      <c r="Q17" s="144" t="str">
        <f>IFERROR(INDEX(EquipmentTBL!$D:$D,MATCH(Table5[[#This Row],[Unit'#]],EquipmentTBL!$A:$A,0)),"NONE")</f>
        <v>Prostar Eagle</v>
      </c>
      <c r="R17" s="146">
        <f>(5-WEEKDAY(A17,2))+A17</f>
        <v>42237</v>
      </c>
      <c r="S17" s="104">
        <f>((5-WEEKDAY(A17,2))+A17)+7</f>
        <v>42244</v>
      </c>
      <c r="T17" s="144">
        <f>MONTH(A17)</f>
        <v>8</v>
      </c>
      <c r="U17" s="144">
        <f>YEAR(R17)</f>
        <v>2015</v>
      </c>
      <c r="V17" s="298"/>
      <c r="Z17"/>
      <c r="AA17" s="256">
        <v>42277</v>
      </c>
      <c r="AB17" t="s">
        <v>4061</v>
      </c>
      <c r="AC17" t="s">
        <v>4060</v>
      </c>
      <c r="AD17" s="523">
        <v>12</v>
      </c>
      <c r="AE17"/>
    </row>
    <row r="18" spans="1:31">
      <c r="A18" s="146">
        <v>42234</v>
      </c>
      <c r="B18" s="143" t="s">
        <v>3863</v>
      </c>
      <c r="C18" s="298" t="s">
        <v>4002</v>
      </c>
      <c r="D18" s="145">
        <v>5474</v>
      </c>
      <c r="E18" s="298" t="s">
        <v>4006</v>
      </c>
      <c r="F18" s="298" t="s">
        <v>4025</v>
      </c>
      <c r="G18" s="298" t="s">
        <v>4026</v>
      </c>
      <c r="H18" s="15"/>
      <c r="I18" s="298" t="s">
        <v>123</v>
      </c>
      <c r="J18" s="59">
        <v>19.074300000000001</v>
      </c>
      <c r="K18" s="59" t="s">
        <v>3983</v>
      </c>
      <c r="L18" s="298" t="s">
        <v>3984</v>
      </c>
      <c r="M18" s="298" t="s">
        <v>3985</v>
      </c>
      <c r="N18" s="144" t="str">
        <f>IFERROR(INDEX(EquipmentTBL!$H:$H,MATCH(Table5[[#This Row],[Unit'#]],EquipmentTBL!$A:$A,0)),"NONE")</f>
        <v>2HSCUAPR88C657099</v>
      </c>
      <c r="O18" s="144" t="str">
        <f>IFERROR(INDEX(EquipmentTBL!$C:$C,MATCH(Table5[[#This Row],[Unit'#]],EquipmentTBL!$A:$A,0)),"NONE")</f>
        <v>International</v>
      </c>
      <c r="P18" s="144">
        <f>IFERROR(INDEX(EquipmentTBL!$B:$B,MATCH(Table5[[#This Row],[Unit'#]],EquipmentTBL!$A:$A,0)),"NONE")</f>
        <v>2008</v>
      </c>
      <c r="Q18" s="144" t="str">
        <f>IFERROR(INDEX(EquipmentTBL!$D:$D,MATCH(Table5[[#This Row],[Unit'#]],EquipmentTBL!$A:$A,0)),"NONE")</f>
        <v>Prostar Eagle</v>
      </c>
      <c r="R18" s="146">
        <f>(5-WEEKDAY(A18,2))+A18</f>
        <v>42237</v>
      </c>
      <c r="S18" s="104">
        <f>((5-WEEKDAY(A18,2))+A18)+7</f>
        <v>42244</v>
      </c>
      <c r="T18" s="144">
        <f>MONTH(A18)</f>
        <v>8</v>
      </c>
      <c r="U18" s="144">
        <f>YEAR(R18)</f>
        <v>2015</v>
      </c>
      <c r="V18" s="298"/>
      <c r="Z18"/>
      <c r="AA18" s="256">
        <v>42278</v>
      </c>
      <c r="AB18" t="s">
        <v>4063</v>
      </c>
      <c r="AC18" t="s">
        <v>4062</v>
      </c>
      <c r="AD18" s="523">
        <v>6</v>
      </c>
      <c r="AE18"/>
    </row>
    <row r="19" spans="1:31">
      <c r="A19" s="146">
        <v>42234</v>
      </c>
      <c r="B19" s="143" t="s">
        <v>3863</v>
      </c>
      <c r="C19" s="298" t="s">
        <v>4002</v>
      </c>
      <c r="D19" s="145">
        <v>5474</v>
      </c>
      <c r="E19" s="298" t="s">
        <v>4006</v>
      </c>
      <c r="F19" s="298" t="s">
        <v>4027</v>
      </c>
      <c r="G19" s="298" t="s">
        <v>4026</v>
      </c>
      <c r="H19" s="15"/>
      <c r="I19" s="298" t="s">
        <v>123</v>
      </c>
      <c r="J19" s="59">
        <v>15.157450000000001</v>
      </c>
      <c r="K19" s="59" t="s">
        <v>3983</v>
      </c>
      <c r="L19" s="298" t="s">
        <v>3984</v>
      </c>
      <c r="M19" s="298" t="s">
        <v>3985</v>
      </c>
      <c r="N19" s="144" t="str">
        <f>IFERROR(INDEX(EquipmentTBL!$H:$H,MATCH(Table5[[#This Row],[Unit'#]],EquipmentTBL!$A:$A,0)),"NONE")</f>
        <v>2HSCUAPR88C657099</v>
      </c>
      <c r="O19" s="144" t="str">
        <f>IFERROR(INDEX(EquipmentTBL!$C:$C,MATCH(Table5[[#This Row],[Unit'#]],EquipmentTBL!$A:$A,0)),"NONE")</f>
        <v>International</v>
      </c>
      <c r="P19" s="144">
        <f>IFERROR(INDEX(EquipmentTBL!$B:$B,MATCH(Table5[[#This Row],[Unit'#]],EquipmentTBL!$A:$A,0)),"NONE")</f>
        <v>2008</v>
      </c>
      <c r="Q19" s="144" t="str">
        <f>IFERROR(INDEX(EquipmentTBL!$D:$D,MATCH(Table5[[#This Row],[Unit'#]],EquipmentTBL!$A:$A,0)),"NONE")</f>
        <v>Prostar Eagle</v>
      </c>
      <c r="R19" s="146">
        <f>(5-WEEKDAY(A19,2))+A19</f>
        <v>42237</v>
      </c>
      <c r="S19" s="104">
        <f>((5-WEEKDAY(A19,2))+A19)+7</f>
        <v>42244</v>
      </c>
      <c r="T19" s="144">
        <f>MONTH(A19)</f>
        <v>8</v>
      </c>
      <c r="U19" s="144">
        <f>YEAR(R19)</f>
        <v>2015</v>
      </c>
      <c r="V19" s="298"/>
      <c r="Z19"/>
      <c r="AA19" s="256">
        <v>42293</v>
      </c>
      <c r="AB19" t="s">
        <v>4050</v>
      </c>
      <c r="AC19" t="s">
        <v>4049</v>
      </c>
      <c r="AD19" s="523">
        <v>34.950000000000003</v>
      </c>
      <c r="AE19"/>
    </row>
    <row r="20" spans="1:31">
      <c r="A20" s="146">
        <v>42241</v>
      </c>
      <c r="B20" s="143" t="s">
        <v>3863</v>
      </c>
      <c r="C20" s="298" t="s">
        <v>4002</v>
      </c>
      <c r="D20" s="145">
        <v>5953</v>
      </c>
      <c r="E20" s="298" t="s">
        <v>4028</v>
      </c>
      <c r="F20" s="298" t="s">
        <v>4029</v>
      </c>
      <c r="G20" s="298" t="s">
        <v>4019</v>
      </c>
      <c r="H20" s="15"/>
      <c r="I20" s="298" t="s">
        <v>123</v>
      </c>
      <c r="J20" s="59">
        <v>125</v>
      </c>
      <c r="K20" s="59" t="s">
        <v>3983</v>
      </c>
      <c r="L20" s="298" t="s">
        <v>3984</v>
      </c>
      <c r="M20" s="298" t="s">
        <v>3985</v>
      </c>
      <c r="N20" s="144" t="str">
        <f>IFERROR(INDEX(EquipmentTBL!$H:$H,MATCH(Table5[[#This Row],[Unit'#]],EquipmentTBL!$A:$A,0)),"NONE")</f>
        <v>2HSCUAPR88C657099</v>
      </c>
      <c r="O20" s="144" t="str">
        <f>IFERROR(INDEX(EquipmentTBL!$C:$C,MATCH(Table5[[#This Row],[Unit'#]],EquipmentTBL!$A:$A,0)),"NONE")</f>
        <v>International</v>
      </c>
      <c r="P20" s="144">
        <f>IFERROR(INDEX(EquipmentTBL!$B:$B,MATCH(Table5[[#This Row],[Unit'#]],EquipmentTBL!$A:$A,0)),"NONE")</f>
        <v>2008</v>
      </c>
      <c r="Q20" s="144" t="str">
        <f>IFERROR(INDEX(EquipmentTBL!$D:$D,MATCH(Table5[[#This Row],[Unit'#]],EquipmentTBL!$A:$A,0)),"NONE")</f>
        <v>Prostar Eagle</v>
      </c>
      <c r="R20" s="146">
        <f>(5-WEEKDAY(A20,2))+A20</f>
        <v>42244</v>
      </c>
      <c r="S20" s="104">
        <f>((5-WEEKDAY(A20,2))+A20)+7</f>
        <v>42251</v>
      </c>
      <c r="T20" s="144">
        <f>MONTH(A20)</f>
        <v>8</v>
      </c>
      <c r="U20" s="144">
        <f>YEAR(R20)</f>
        <v>2015</v>
      </c>
      <c r="V20" s="298"/>
      <c r="Z20"/>
      <c r="AA20" s="256">
        <v>42309</v>
      </c>
      <c r="AB20" t="s">
        <v>4073</v>
      </c>
      <c r="AC20" t="s">
        <v>4073</v>
      </c>
      <c r="AD20" s="523">
        <v>100</v>
      </c>
      <c r="AE20"/>
    </row>
    <row r="21" spans="1:31">
      <c r="A21" s="146">
        <v>42241</v>
      </c>
      <c r="B21" s="143" t="s">
        <v>4030</v>
      </c>
      <c r="C21" s="298" t="s">
        <v>4002</v>
      </c>
      <c r="D21" s="145">
        <v>5952</v>
      </c>
      <c r="E21" s="298" t="s">
        <v>4028</v>
      </c>
      <c r="F21" s="298" t="s">
        <v>4031</v>
      </c>
      <c r="G21" s="298" t="s">
        <v>4019</v>
      </c>
      <c r="H21" s="15"/>
      <c r="I21" s="298" t="s">
        <v>123</v>
      </c>
      <c r="J21" s="59">
        <v>200</v>
      </c>
      <c r="K21" s="59" t="s">
        <v>3983</v>
      </c>
      <c r="L21" s="298" t="s">
        <v>3984</v>
      </c>
      <c r="M21" s="298" t="s">
        <v>3985</v>
      </c>
      <c r="N21" s="144" t="str">
        <f>IFERROR(INDEX(EquipmentTBL!$H:$H,MATCH(Table5[[#This Row],[Unit'#]],EquipmentTBL!$A:$A,0)),"NONE")</f>
        <v>1GRAA0625XB130354</v>
      </c>
      <c r="O21" s="144" t="str">
        <f>IFERROR(INDEX(EquipmentTBL!$C:$C,MATCH(Table5[[#This Row],[Unit'#]],EquipmentTBL!$A:$A,0)),"NONE")</f>
        <v>Grate Dane</v>
      </c>
      <c r="P21" s="144">
        <f>IFERROR(INDEX(EquipmentTBL!$B:$B,MATCH(Table5[[#This Row],[Unit'#]],EquipmentTBL!$A:$A,0)),"NONE")</f>
        <v>1999</v>
      </c>
      <c r="Q21" s="144" t="str">
        <f>IFERROR(INDEX(EquipmentTBL!$D:$D,MATCH(Table5[[#This Row],[Unit'#]],EquipmentTBL!$A:$A,0)),"NONE")</f>
        <v>DryVan</v>
      </c>
      <c r="R21" s="146">
        <f>(5-WEEKDAY(A21,2))+A21</f>
        <v>42244</v>
      </c>
      <c r="S21" s="104">
        <f>((5-WEEKDAY(A21,2))+A21)+7</f>
        <v>42251</v>
      </c>
      <c r="T21" s="144">
        <f>MONTH(A21)</f>
        <v>8</v>
      </c>
      <c r="U21" s="144">
        <f>YEAR(R21)</f>
        <v>2015</v>
      </c>
      <c r="V21" s="298"/>
      <c r="Z21"/>
      <c r="AA21" s="256">
        <v>42311</v>
      </c>
      <c r="AB21" t="s">
        <v>4078</v>
      </c>
      <c r="AC21" t="s">
        <v>4077</v>
      </c>
      <c r="AD21" s="523">
        <v>5.68</v>
      </c>
      <c r="AE21"/>
    </row>
    <row r="22" spans="1:31">
      <c r="A22" s="570">
        <v>42241</v>
      </c>
      <c r="B22" s="143" t="s">
        <v>3863</v>
      </c>
      <c r="C22" s="298" t="s">
        <v>3990</v>
      </c>
      <c r="D22" s="145">
        <v>5953</v>
      </c>
      <c r="E22" s="298" t="s">
        <v>3980</v>
      </c>
      <c r="F22" s="298" t="s">
        <v>4032</v>
      </c>
      <c r="G22" s="298" t="s">
        <v>4019</v>
      </c>
      <c r="H22" s="15"/>
      <c r="I22" s="298" t="s">
        <v>123</v>
      </c>
      <c r="J22" s="59">
        <v>125</v>
      </c>
      <c r="K22" s="59" t="s">
        <v>3983</v>
      </c>
      <c r="L22" s="298" t="s">
        <v>3984</v>
      </c>
      <c r="M22" s="298" t="s">
        <v>3985</v>
      </c>
      <c r="N22" s="144" t="str">
        <f>IFERROR(INDEX(EquipmentTBL!$H:$H,MATCH(Table5[[#This Row],[Unit'#]],EquipmentTBL!$A:$A,0)),"NONE")</f>
        <v>2HSCUAPR88C657099</v>
      </c>
      <c r="O22" s="144" t="str">
        <f>IFERROR(INDEX(EquipmentTBL!$C:$C,MATCH(Table5[[#This Row],[Unit'#]],EquipmentTBL!$A:$A,0)),"NONE")</f>
        <v>International</v>
      </c>
      <c r="P22" s="144">
        <f>IFERROR(INDEX(EquipmentTBL!$B:$B,MATCH(Table5[[#This Row],[Unit'#]],EquipmentTBL!$A:$A,0)),"NONE")</f>
        <v>2008</v>
      </c>
      <c r="Q22" s="144" t="str">
        <f>IFERROR(INDEX(EquipmentTBL!$D:$D,MATCH(Table5[[#This Row],[Unit'#]],EquipmentTBL!$A:$A,0)),"NONE")</f>
        <v>Prostar Eagle</v>
      </c>
      <c r="R22" s="146">
        <f>(5-WEEKDAY(A22,2))+A22</f>
        <v>42244</v>
      </c>
      <c r="S22" s="104">
        <f>((5-WEEKDAY(A22,2))+A22)+7</f>
        <v>42251</v>
      </c>
      <c r="T22" s="144">
        <f>MONTH(A22)</f>
        <v>8</v>
      </c>
      <c r="U22" s="144">
        <f>YEAR(R22)</f>
        <v>2015</v>
      </c>
      <c r="V22" s="298"/>
      <c r="Z22"/>
      <c r="AA22" s="256">
        <v>42317</v>
      </c>
      <c r="AB22" t="s">
        <v>4087</v>
      </c>
      <c r="AC22" t="s">
        <v>4087</v>
      </c>
      <c r="AD22" s="523">
        <v>47</v>
      </c>
      <c r="AE22"/>
    </row>
    <row r="23" spans="1:31">
      <c r="A23" s="146">
        <v>42244</v>
      </c>
      <c r="B23" s="143" t="s">
        <v>3863</v>
      </c>
      <c r="C23" s="298" t="s">
        <v>3990</v>
      </c>
      <c r="D23" s="145"/>
      <c r="E23" s="298" t="s">
        <v>3980</v>
      </c>
      <c r="F23" s="298" t="s">
        <v>4033</v>
      </c>
      <c r="G23" s="298" t="s">
        <v>4034</v>
      </c>
      <c r="H23" s="15"/>
      <c r="I23" s="298" t="s">
        <v>123</v>
      </c>
      <c r="J23" s="59">
        <v>6.51</v>
      </c>
      <c r="K23" s="59" t="s">
        <v>3983</v>
      </c>
      <c r="L23" s="298" t="s">
        <v>3984</v>
      </c>
      <c r="M23" s="298" t="s">
        <v>3985</v>
      </c>
      <c r="N23" s="144" t="str">
        <f>IFERROR(INDEX(EquipmentTBL!$H:$H,MATCH(Table5[[#This Row],[Unit'#]],EquipmentTBL!$A:$A,0)),"NONE")</f>
        <v>2HSCUAPR88C657099</v>
      </c>
      <c r="O23" s="144" t="str">
        <f>IFERROR(INDEX(EquipmentTBL!$C:$C,MATCH(Table5[[#This Row],[Unit'#]],EquipmentTBL!$A:$A,0)),"NONE")</f>
        <v>International</v>
      </c>
      <c r="P23" s="144">
        <f>IFERROR(INDEX(EquipmentTBL!$B:$B,MATCH(Table5[[#This Row],[Unit'#]],EquipmentTBL!$A:$A,0)),"NONE")</f>
        <v>2008</v>
      </c>
      <c r="Q23" s="144" t="str">
        <f>IFERROR(INDEX(EquipmentTBL!$D:$D,MATCH(Table5[[#This Row],[Unit'#]],EquipmentTBL!$A:$A,0)),"NONE")</f>
        <v>Prostar Eagle</v>
      </c>
      <c r="R23" s="146">
        <f>(5-WEEKDAY(A23,2))+A23</f>
        <v>42244</v>
      </c>
      <c r="S23" s="104">
        <f>((5-WEEKDAY(A23,2))+A23)+7</f>
        <v>42251</v>
      </c>
      <c r="T23" s="144">
        <f>MONTH(A23)</f>
        <v>8</v>
      </c>
      <c r="U23" s="144">
        <f>YEAR(R23)</f>
        <v>2015</v>
      </c>
      <c r="V23" s="298"/>
      <c r="Z23"/>
      <c r="AA23" s="256">
        <v>42320</v>
      </c>
      <c r="AB23" t="s">
        <v>4090</v>
      </c>
      <c r="AC23" t="s">
        <v>4089</v>
      </c>
      <c r="AD23" s="523">
        <v>32</v>
      </c>
      <c r="AE23"/>
    </row>
    <row r="24" spans="1:31">
      <c r="A24" s="146">
        <v>42248</v>
      </c>
      <c r="B24" s="143" t="s">
        <v>3863</v>
      </c>
      <c r="C24" s="298" t="s">
        <v>3997</v>
      </c>
      <c r="D24" s="145"/>
      <c r="E24" s="298" t="s">
        <v>3980</v>
      </c>
      <c r="F24" s="298" t="s">
        <v>4000</v>
      </c>
      <c r="G24" s="298" t="s">
        <v>3999</v>
      </c>
      <c r="H24" s="15"/>
      <c r="I24" s="298" t="s">
        <v>123</v>
      </c>
      <c r="J24" s="59">
        <v>125</v>
      </c>
      <c r="K24" s="59" t="s">
        <v>3983</v>
      </c>
      <c r="L24" s="298" t="s">
        <v>3984</v>
      </c>
      <c r="M24" s="298" t="s">
        <v>3985</v>
      </c>
      <c r="N24" s="144" t="str">
        <f>IFERROR(INDEX(EquipmentTBL!$H:$H,MATCH(Table5[[#This Row],[Unit'#]],EquipmentTBL!$A:$A,0)),"NONE")</f>
        <v>2HSCUAPR88C657099</v>
      </c>
      <c r="O24" s="144" t="str">
        <f>IFERROR(INDEX(EquipmentTBL!$C:$C,MATCH(Table5[[#This Row],[Unit'#]],EquipmentTBL!$A:$A,0)),"NONE")</f>
        <v>International</v>
      </c>
      <c r="P24" s="144">
        <f>IFERROR(INDEX(EquipmentTBL!$B:$B,MATCH(Table5[[#This Row],[Unit'#]],EquipmentTBL!$A:$A,0)),"NONE")</f>
        <v>2008</v>
      </c>
      <c r="Q24" s="144" t="str">
        <f>IFERROR(INDEX(EquipmentTBL!$D:$D,MATCH(Table5[[#This Row],[Unit'#]],EquipmentTBL!$A:$A,0)),"NONE")</f>
        <v>Prostar Eagle</v>
      </c>
      <c r="R24" s="146">
        <f>(5-WEEKDAY(A24,2))+A24</f>
        <v>42251</v>
      </c>
      <c r="S24" s="104">
        <f>((5-WEEKDAY(A24,2))+A24)+7</f>
        <v>42258</v>
      </c>
      <c r="T24" s="144">
        <f>MONTH(A24)</f>
        <v>9</v>
      </c>
      <c r="U24" s="144">
        <f>YEAR(R24)</f>
        <v>2015</v>
      </c>
      <c r="V24" s="298"/>
      <c r="Z24"/>
      <c r="AA24" s="256">
        <v>42322</v>
      </c>
      <c r="AB24" t="s">
        <v>4050</v>
      </c>
      <c r="AC24" t="s">
        <v>4049</v>
      </c>
      <c r="AD24" s="523">
        <v>34.950000000000003</v>
      </c>
      <c r="AE24"/>
    </row>
    <row r="25" spans="1:31">
      <c r="A25" s="146">
        <v>42249</v>
      </c>
      <c r="B25" s="143" t="s">
        <v>3978</v>
      </c>
      <c r="C25" s="298" t="s">
        <v>3990</v>
      </c>
      <c r="D25" s="145">
        <v>524548223000</v>
      </c>
      <c r="E25" s="298" t="s">
        <v>3980</v>
      </c>
      <c r="F25" s="298" t="s">
        <v>4035</v>
      </c>
      <c r="G25" s="298" t="s">
        <v>4036</v>
      </c>
      <c r="H25" s="15"/>
      <c r="I25" s="298" t="s">
        <v>123</v>
      </c>
      <c r="J25" s="59">
        <v>171.36</v>
      </c>
      <c r="K25" s="59" t="s">
        <v>3983</v>
      </c>
      <c r="L25" s="298" t="s">
        <v>3839</v>
      </c>
      <c r="M25" s="298" t="s">
        <v>3985</v>
      </c>
      <c r="N25" s="144" t="str">
        <f>IFERROR(INDEX(EquipmentTBL!$H:$H,MATCH(Table5[[#This Row],[Unit'#]],EquipmentTBL!$A:$A,0)),"NONE")</f>
        <v>NONE</v>
      </c>
      <c r="O25" s="144" t="str">
        <f>IFERROR(INDEX(EquipmentTBL!$C:$C,MATCH(Table5[[#This Row],[Unit'#]],EquipmentTBL!$A:$A,0)),"NONE")</f>
        <v>NONE</v>
      </c>
      <c r="P25" s="144" t="str">
        <f>IFERROR(INDEX(EquipmentTBL!$B:$B,MATCH(Table5[[#This Row],[Unit'#]],EquipmentTBL!$A:$A,0)),"NONE")</f>
        <v>NONE</v>
      </c>
      <c r="Q25" s="144" t="str">
        <f>IFERROR(INDEX(EquipmentTBL!$D:$D,MATCH(Table5[[#This Row],[Unit'#]],EquipmentTBL!$A:$A,0)),"NONE")</f>
        <v>NONE</v>
      </c>
      <c r="R25" s="146">
        <f>(5-WEEKDAY(A25,2))+A25</f>
        <v>42251</v>
      </c>
      <c r="S25" s="104">
        <f>((5-WEEKDAY(A25,2))+A25)+7</f>
        <v>42258</v>
      </c>
      <c r="T25" s="144">
        <f>MONTH(A25)</f>
        <v>9</v>
      </c>
      <c r="U25" s="144">
        <f>YEAR(R25)</f>
        <v>2015</v>
      </c>
      <c r="V25" s="298"/>
      <c r="Z25"/>
      <c r="AA25" s="256">
        <v>42324</v>
      </c>
      <c r="AB25" t="s">
        <v>4042</v>
      </c>
      <c r="AC25" t="s">
        <v>4103</v>
      </c>
      <c r="AD25" s="523">
        <v>3</v>
      </c>
      <c r="AE25"/>
    </row>
    <row r="26" spans="1:31">
      <c r="A26" s="146">
        <v>42249</v>
      </c>
      <c r="B26" s="143" t="s">
        <v>3863</v>
      </c>
      <c r="C26" s="298" t="s">
        <v>3979</v>
      </c>
      <c r="D26" s="145"/>
      <c r="E26" s="298" t="s">
        <v>3980</v>
      </c>
      <c r="F26" s="298" t="s">
        <v>382</v>
      </c>
      <c r="G26" s="298" t="s">
        <v>4037</v>
      </c>
      <c r="H26" s="15"/>
      <c r="I26" s="298" t="s">
        <v>123</v>
      </c>
      <c r="J26" s="59">
        <v>60</v>
      </c>
      <c r="K26" s="59" t="s">
        <v>3983</v>
      </c>
      <c r="L26" s="298" t="s">
        <v>3984</v>
      </c>
      <c r="M26" s="416" t="s">
        <v>3985</v>
      </c>
      <c r="N26" s="144" t="str">
        <f>IFERROR(INDEX(EquipmentTBL!$H:$H,MATCH(Table5[[#This Row],[Unit'#]],EquipmentTBL!$A:$A,0)),"NONE")</f>
        <v>2HSCUAPR88C657099</v>
      </c>
      <c r="O26" s="144" t="str">
        <f>IFERROR(INDEX(EquipmentTBL!$C:$C,MATCH(Table5[[#This Row],[Unit'#]],EquipmentTBL!$A:$A,0)),"NONE")</f>
        <v>International</v>
      </c>
      <c r="P26" s="144">
        <f>IFERROR(INDEX(EquipmentTBL!$B:$B,MATCH(Table5[[#This Row],[Unit'#]],EquipmentTBL!$A:$A,0)),"NONE")</f>
        <v>2008</v>
      </c>
      <c r="Q26" s="144" t="str">
        <f>IFERROR(INDEX(EquipmentTBL!$D:$D,MATCH(Table5[[#This Row],[Unit'#]],EquipmentTBL!$A:$A,0)),"NONE")</f>
        <v>Prostar Eagle</v>
      </c>
      <c r="R26" s="146">
        <f>(5-WEEKDAY(A26,2))+A26</f>
        <v>42251</v>
      </c>
      <c r="S26" s="104">
        <f>((5-WEEKDAY(A26,2))+A26)+7</f>
        <v>42258</v>
      </c>
      <c r="T26" s="144">
        <f>MONTH(A26)</f>
        <v>9</v>
      </c>
      <c r="U26" s="144">
        <f>YEAR(R26)</f>
        <v>2015</v>
      </c>
      <c r="V26" s="298"/>
      <c r="Z26"/>
      <c r="AA26"/>
      <c r="AB26"/>
      <c r="AC26" t="s">
        <v>4105</v>
      </c>
      <c r="AD26" s="523">
        <v>3</v>
      </c>
      <c r="AE26"/>
    </row>
    <row r="27" spans="1:31">
      <c r="A27" s="146">
        <v>42249</v>
      </c>
      <c r="B27" s="143" t="s">
        <v>3863</v>
      </c>
      <c r="C27" s="298" t="s">
        <v>3979</v>
      </c>
      <c r="D27" s="145">
        <v>172813</v>
      </c>
      <c r="E27" s="298" t="s">
        <v>3980</v>
      </c>
      <c r="F27" s="298" t="s">
        <v>4023</v>
      </c>
      <c r="G27" s="298" t="s">
        <v>4038</v>
      </c>
      <c r="H27" s="15"/>
      <c r="I27" s="298">
        <v>1</v>
      </c>
      <c r="J27" s="59">
        <v>9.5</v>
      </c>
      <c r="K27" s="59" t="s">
        <v>3983</v>
      </c>
      <c r="L27" s="298" t="s">
        <v>3984</v>
      </c>
      <c r="M27" s="298" t="s">
        <v>3985</v>
      </c>
      <c r="N27" s="144" t="str">
        <f>IFERROR(INDEX(EquipmentTBL!$H:$H,MATCH(Table5[[#This Row],[Unit'#]],EquipmentTBL!$A:$A,0)),"NONE")</f>
        <v>2HSCUAPR88C657099</v>
      </c>
      <c r="O27" s="144" t="str">
        <f>IFERROR(INDEX(EquipmentTBL!$C:$C,MATCH(Table5[[#This Row],[Unit'#]],EquipmentTBL!$A:$A,0)),"NONE")</f>
        <v>International</v>
      </c>
      <c r="P27" s="144">
        <f>IFERROR(INDEX(EquipmentTBL!$B:$B,MATCH(Table5[[#This Row],[Unit'#]],EquipmentTBL!$A:$A,0)),"NONE")</f>
        <v>2008</v>
      </c>
      <c r="Q27" s="144" t="str">
        <f>IFERROR(INDEX(EquipmentTBL!$D:$D,MATCH(Table5[[#This Row],[Unit'#]],EquipmentTBL!$A:$A,0)),"NONE")</f>
        <v>Prostar Eagle</v>
      </c>
      <c r="R27" s="146">
        <f>(5-WEEKDAY(A27,2))+A27</f>
        <v>42251</v>
      </c>
      <c r="S27" s="104">
        <f>((5-WEEKDAY(A27,2))+A27)+7</f>
        <v>42258</v>
      </c>
      <c r="T27" s="144">
        <f>MONTH(A27)</f>
        <v>9</v>
      </c>
      <c r="U27" s="144">
        <f>YEAR(R27)</f>
        <v>2015</v>
      </c>
      <c r="V27" s="298"/>
      <c r="Z27"/>
      <c r="AA27"/>
      <c r="AB27" t="s">
        <v>4104</v>
      </c>
      <c r="AC27" t="s">
        <v>141</v>
      </c>
      <c r="AD27" s="523">
        <v>4.47</v>
      </c>
      <c r="AE27"/>
    </row>
    <row r="28" spans="1:31">
      <c r="A28" s="146">
        <v>42250</v>
      </c>
      <c r="B28" s="143" t="s">
        <v>3978</v>
      </c>
      <c r="C28" s="298" t="s">
        <v>3990</v>
      </c>
      <c r="D28" s="145">
        <v>524602543000</v>
      </c>
      <c r="E28" s="298" t="s">
        <v>3980</v>
      </c>
      <c r="F28" s="298" t="s">
        <v>4035</v>
      </c>
      <c r="G28" s="298" t="s">
        <v>4036</v>
      </c>
      <c r="H28" s="15"/>
      <c r="I28" s="298" t="s">
        <v>123</v>
      </c>
      <c r="J28" s="59">
        <v>8.56</v>
      </c>
      <c r="K28" s="59" t="s">
        <v>3983</v>
      </c>
      <c r="L28" s="298" t="s">
        <v>3839</v>
      </c>
      <c r="M28" s="298" t="s">
        <v>3985</v>
      </c>
      <c r="N28" s="144" t="str">
        <f>IFERROR(INDEX(EquipmentTBL!$H:$H,MATCH(Table5[[#This Row],[Unit'#]],EquipmentTBL!$A:$A,0)),"NONE")</f>
        <v>NONE</v>
      </c>
      <c r="O28" s="144" t="str">
        <f>IFERROR(INDEX(EquipmentTBL!$C:$C,MATCH(Table5[[#This Row],[Unit'#]],EquipmentTBL!$A:$A,0)),"NONE")</f>
        <v>NONE</v>
      </c>
      <c r="P28" s="144" t="str">
        <f>IFERROR(INDEX(EquipmentTBL!$B:$B,MATCH(Table5[[#This Row],[Unit'#]],EquipmentTBL!$A:$A,0)),"NONE")</f>
        <v>NONE</v>
      </c>
      <c r="Q28" s="144" t="str">
        <f>IFERROR(INDEX(EquipmentTBL!$D:$D,MATCH(Table5[[#This Row],[Unit'#]],EquipmentTBL!$A:$A,0)),"NONE")</f>
        <v>NONE</v>
      </c>
      <c r="R28" s="146">
        <f>(5-WEEKDAY(A28,2))+A28</f>
        <v>42251</v>
      </c>
      <c r="S28" s="104">
        <f>((5-WEEKDAY(A28,2))+A28)+7</f>
        <v>42258</v>
      </c>
      <c r="T28" s="144">
        <f>MONTH(A28)</f>
        <v>9</v>
      </c>
      <c r="U28" s="144">
        <f>YEAR(R28)</f>
        <v>2015</v>
      </c>
      <c r="V28" s="298"/>
      <c r="Z28"/>
      <c r="AA28" s="256">
        <v>42327</v>
      </c>
      <c r="AB28" t="s">
        <v>4057</v>
      </c>
      <c r="AC28" t="s">
        <v>4110</v>
      </c>
      <c r="AD28" s="523">
        <v>165</v>
      </c>
      <c r="AE28"/>
    </row>
    <row r="29" spans="1:31">
      <c r="A29" s="146">
        <v>42255</v>
      </c>
      <c r="B29" s="143" t="s">
        <v>3863</v>
      </c>
      <c r="C29" s="298" t="s">
        <v>4002</v>
      </c>
      <c r="D29" s="145">
        <v>6043</v>
      </c>
      <c r="E29" s="298" t="s">
        <v>4039</v>
      </c>
      <c r="F29" s="298" t="s">
        <v>4040</v>
      </c>
      <c r="G29" s="298" t="s">
        <v>4019</v>
      </c>
      <c r="H29" s="15"/>
      <c r="I29" s="298">
        <v>2</v>
      </c>
      <c r="J29" s="59">
        <v>1615</v>
      </c>
      <c r="K29" s="59" t="s">
        <v>3983</v>
      </c>
      <c r="L29" s="298" t="s">
        <v>3988</v>
      </c>
      <c r="M29" s="298" t="s">
        <v>3985</v>
      </c>
      <c r="N29" s="144" t="str">
        <f>IFERROR(INDEX(EquipmentTBL!$H:$H,MATCH(Table5[[#This Row],[Unit'#]],EquipmentTBL!$A:$A,0)),"NONE")</f>
        <v>2HSCUAPR88C657099</v>
      </c>
      <c r="O29" s="144" t="str">
        <f>IFERROR(INDEX(EquipmentTBL!$C:$C,MATCH(Table5[[#This Row],[Unit'#]],EquipmentTBL!$A:$A,0)),"NONE")</f>
        <v>International</v>
      </c>
      <c r="P29" s="144">
        <f>IFERROR(INDEX(EquipmentTBL!$B:$B,MATCH(Table5[[#This Row],[Unit'#]],EquipmentTBL!$A:$A,0)),"NONE")</f>
        <v>2008</v>
      </c>
      <c r="Q29" s="144" t="str">
        <f>IFERROR(INDEX(EquipmentTBL!$D:$D,MATCH(Table5[[#This Row],[Unit'#]],EquipmentTBL!$A:$A,0)),"NONE")</f>
        <v>Prostar Eagle</v>
      </c>
      <c r="R29" s="146">
        <f>(5-WEEKDAY(A29,2))+A29</f>
        <v>42258</v>
      </c>
      <c r="S29" s="104">
        <f>((5-WEEKDAY(A29,2))+A29)+7</f>
        <v>42265</v>
      </c>
      <c r="T29" s="144">
        <f>MONTH(A29)</f>
        <v>9</v>
      </c>
      <c r="U29" s="144">
        <f>YEAR(R29)</f>
        <v>2015</v>
      </c>
      <c r="V29" s="298"/>
      <c r="Z29"/>
      <c r="AA29" s="256">
        <v>42346</v>
      </c>
      <c r="AB29" t="s">
        <v>4073</v>
      </c>
      <c r="AC29" t="s">
        <v>4073</v>
      </c>
      <c r="AD29" s="523">
        <v>50</v>
      </c>
      <c r="AE29"/>
    </row>
    <row r="30" spans="1:31">
      <c r="A30" s="146">
        <v>42256</v>
      </c>
      <c r="B30" s="143" t="s">
        <v>3978</v>
      </c>
      <c r="C30" s="298" t="s">
        <v>3979</v>
      </c>
      <c r="D30" s="145"/>
      <c r="E30" s="298" t="s">
        <v>3980</v>
      </c>
      <c r="F30" s="298" t="s">
        <v>4041</v>
      </c>
      <c r="G30" s="298" t="s">
        <v>4042</v>
      </c>
      <c r="H30" s="15"/>
      <c r="I30" s="298" t="s">
        <v>123</v>
      </c>
      <c r="J30" s="59">
        <v>32</v>
      </c>
      <c r="K30" s="59" t="s">
        <v>3983</v>
      </c>
      <c r="L30" s="298" t="s">
        <v>3984</v>
      </c>
      <c r="M30" s="298" t="s">
        <v>3985</v>
      </c>
      <c r="N30" s="144" t="str">
        <f>IFERROR(INDEX(EquipmentTBL!$H:$H,MATCH(Table5[[#This Row],[Unit'#]],EquipmentTBL!$A:$A,0)),"NONE")</f>
        <v>NONE</v>
      </c>
      <c r="O30" s="144" t="str">
        <f>IFERROR(INDEX(EquipmentTBL!$C:$C,MATCH(Table5[[#This Row],[Unit'#]],EquipmentTBL!$A:$A,0)),"NONE")</f>
        <v>NONE</v>
      </c>
      <c r="P30" s="144" t="str">
        <f>IFERROR(INDEX(EquipmentTBL!$B:$B,MATCH(Table5[[#This Row],[Unit'#]],EquipmentTBL!$A:$A,0)),"NONE")</f>
        <v>NONE</v>
      </c>
      <c r="Q30" s="144" t="str">
        <f>IFERROR(INDEX(EquipmentTBL!$D:$D,MATCH(Table5[[#This Row],[Unit'#]],EquipmentTBL!$A:$A,0)),"NONE")</f>
        <v>NONE</v>
      </c>
      <c r="R30" s="146">
        <f>(5-WEEKDAY(A30,2))+A30</f>
        <v>42258</v>
      </c>
      <c r="S30" s="104">
        <f>((5-WEEKDAY(A30,2))+A30)+7</f>
        <v>42265</v>
      </c>
      <c r="T30" s="144">
        <f>MONTH(A30)</f>
        <v>9</v>
      </c>
      <c r="U30" s="144">
        <f>YEAR(R30)</f>
        <v>2015</v>
      </c>
      <c r="V30" s="298"/>
      <c r="Z30"/>
      <c r="AA30" s="256">
        <v>42349</v>
      </c>
      <c r="AB30" t="s">
        <v>4078</v>
      </c>
      <c r="AC30" t="s">
        <v>4077</v>
      </c>
      <c r="AD30" s="523">
        <v>14</v>
      </c>
      <c r="AE30"/>
    </row>
    <row r="31" spans="1:31">
      <c r="A31" s="146">
        <v>42260</v>
      </c>
      <c r="B31" s="143" t="s">
        <v>3863</v>
      </c>
      <c r="C31" s="298" t="s">
        <v>4002</v>
      </c>
      <c r="D31" s="145">
        <v>1825</v>
      </c>
      <c r="E31" s="298" t="s">
        <v>3980</v>
      </c>
      <c r="F31" s="298" t="s">
        <v>4043</v>
      </c>
      <c r="G31" s="298" t="s">
        <v>4011</v>
      </c>
      <c r="H31" s="15"/>
      <c r="I31" s="298" t="s">
        <v>123</v>
      </c>
      <c r="J31" s="59">
        <v>85</v>
      </c>
      <c r="K31" s="59" t="s">
        <v>3983</v>
      </c>
      <c r="L31" s="298" t="s">
        <v>3839</v>
      </c>
      <c r="M31" s="298" t="s">
        <v>3985</v>
      </c>
      <c r="N31" s="144" t="str">
        <f>IFERROR(INDEX(EquipmentTBL!$H:$H,MATCH(Table5[[#This Row],[Unit'#]],EquipmentTBL!$A:$A,0)),"NONE")</f>
        <v>2HSCUAPR88C657099</v>
      </c>
      <c r="O31" s="144" t="str">
        <f>IFERROR(INDEX(EquipmentTBL!$C:$C,MATCH(Table5[[#This Row],[Unit'#]],EquipmentTBL!$A:$A,0)),"NONE")</f>
        <v>International</v>
      </c>
      <c r="P31" s="144">
        <f>IFERROR(INDEX(EquipmentTBL!$B:$B,MATCH(Table5[[#This Row],[Unit'#]],EquipmentTBL!$A:$A,0)),"NONE")</f>
        <v>2008</v>
      </c>
      <c r="Q31" s="144" t="str">
        <f>IFERROR(INDEX(EquipmentTBL!$D:$D,MATCH(Table5[[#This Row],[Unit'#]],EquipmentTBL!$A:$A,0)),"NONE")</f>
        <v>Prostar Eagle</v>
      </c>
      <c r="R31" s="146">
        <f>(5-WEEKDAY(A31,2))+A31</f>
        <v>42258</v>
      </c>
      <c r="S31" s="104">
        <f>((5-WEEKDAY(A31,2))+A31)+7</f>
        <v>42265</v>
      </c>
      <c r="T31" s="144">
        <f>MONTH(A31)</f>
        <v>9</v>
      </c>
      <c r="U31" s="144">
        <f>YEAR(R31)</f>
        <v>2015</v>
      </c>
      <c r="V31" s="298"/>
      <c r="Z31"/>
      <c r="AA31" s="256">
        <v>42352</v>
      </c>
      <c r="AB31" t="s">
        <v>4050</v>
      </c>
      <c r="AC31" t="s">
        <v>4049</v>
      </c>
      <c r="AD31" s="523">
        <v>34.950000000000003</v>
      </c>
      <c r="AE31"/>
    </row>
    <row r="32" spans="1:31">
      <c r="A32" s="146">
        <v>42260</v>
      </c>
      <c r="B32" s="143" t="s">
        <v>3863</v>
      </c>
      <c r="C32" s="298" t="s">
        <v>3990</v>
      </c>
      <c r="D32" s="145">
        <v>2620077</v>
      </c>
      <c r="E32" s="298" t="s">
        <v>3980</v>
      </c>
      <c r="F32" s="298" t="s">
        <v>4044</v>
      </c>
      <c r="G32" s="298" t="s">
        <v>4045</v>
      </c>
      <c r="H32" s="15"/>
      <c r="I32" s="298" t="s">
        <v>123</v>
      </c>
      <c r="J32" s="59">
        <v>61.01</v>
      </c>
      <c r="K32" s="59" t="s">
        <v>3983</v>
      </c>
      <c r="L32" s="298" t="s">
        <v>3839</v>
      </c>
      <c r="M32" s="298" t="s">
        <v>3985</v>
      </c>
      <c r="N32" s="144" t="str">
        <f>IFERROR(INDEX(EquipmentTBL!$H:$H,MATCH(Table5[[#This Row],[Unit'#]],EquipmentTBL!$A:$A,0)),"NONE")</f>
        <v>2HSCUAPR88C657099</v>
      </c>
      <c r="O32" s="144" t="str">
        <f>IFERROR(INDEX(EquipmentTBL!$C:$C,MATCH(Table5[[#This Row],[Unit'#]],EquipmentTBL!$A:$A,0)),"NONE")</f>
        <v>International</v>
      </c>
      <c r="P32" s="144">
        <f>IFERROR(INDEX(EquipmentTBL!$B:$B,MATCH(Table5[[#This Row],[Unit'#]],EquipmentTBL!$A:$A,0)),"NONE")</f>
        <v>2008</v>
      </c>
      <c r="Q32" s="144" t="str">
        <f>IFERROR(INDEX(EquipmentTBL!$D:$D,MATCH(Table5[[#This Row],[Unit'#]],EquipmentTBL!$A:$A,0)),"NONE")</f>
        <v>Prostar Eagle</v>
      </c>
      <c r="R32" s="146">
        <f>(5-WEEKDAY(A32,2))+A32</f>
        <v>42258</v>
      </c>
      <c r="S32" s="104">
        <f>((5-WEEKDAY(A32,2))+A32)+7</f>
        <v>42265</v>
      </c>
      <c r="T32" s="144">
        <f>MONTH(A32)</f>
        <v>9</v>
      </c>
      <c r="U32" s="144">
        <f>YEAR(R32)</f>
        <v>2015</v>
      </c>
      <c r="V32" s="298"/>
      <c r="Z32"/>
      <c r="AA32" s="256">
        <v>42353</v>
      </c>
      <c r="AB32" t="s">
        <v>4042</v>
      </c>
      <c r="AC32" t="s">
        <v>4142</v>
      </c>
      <c r="AD32" s="523">
        <v>5</v>
      </c>
      <c r="AE32"/>
    </row>
    <row r="33" spans="1:31">
      <c r="A33" s="146">
        <v>42262</v>
      </c>
      <c r="B33" s="143" t="s">
        <v>3978</v>
      </c>
      <c r="C33" s="298" t="s">
        <v>3979</v>
      </c>
      <c r="D33" s="145"/>
      <c r="E33" s="298" t="s">
        <v>3980</v>
      </c>
      <c r="F33" s="298" t="s">
        <v>4046</v>
      </c>
      <c r="G33" s="298" t="s">
        <v>4042</v>
      </c>
      <c r="H33" s="15"/>
      <c r="I33" s="298" t="s">
        <v>123</v>
      </c>
      <c r="J33" s="59">
        <v>3</v>
      </c>
      <c r="K33" s="59" t="s">
        <v>3983</v>
      </c>
      <c r="L33" s="298" t="s">
        <v>3984</v>
      </c>
      <c r="M33" s="298" t="s">
        <v>3985</v>
      </c>
      <c r="N33" s="144" t="str">
        <f>IFERROR(INDEX(EquipmentTBL!$H:$H,MATCH(Table5[[#This Row],[Unit'#]],EquipmentTBL!$A:$A,0)),"NONE")</f>
        <v>NONE</v>
      </c>
      <c r="O33" s="144" t="str">
        <f>IFERROR(INDEX(EquipmentTBL!$C:$C,MATCH(Table5[[#This Row],[Unit'#]],EquipmentTBL!$A:$A,0)),"NONE")</f>
        <v>NONE</v>
      </c>
      <c r="P33" s="144" t="str">
        <f>IFERROR(INDEX(EquipmentTBL!$B:$B,MATCH(Table5[[#This Row],[Unit'#]],EquipmentTBL!$A:$A,0)),"NONE")</f>
        <v>NONE</v>
      </c>
      <c r="Q33" s="144" t="str">
        <f>IFERROR(INDEX(EquipmentTBL!$D:$D,MATCH(Table5[[#This Row],[Unit'#]],EquipmentTBL!$A:$A,0)),"NONE")</f>
        <v>NONE</v>
      </c>
      <c r="R33" s="146">
        <f>(5-WEEKDAY(A33,2))+A33</f>
        <v>42265</v>
      </c>
      <c r="S33" s="104">
        <f>((5-WEEKDAY(A33,2))+A33)+7</f>
        <v>42272</v>
      </c>
      <c r="T33" s="144">
        <f>MONTH(A33)</f>
        <v>9</v>
      </c>
      <c r="U33" s="144">
        <f>YEAR(R33)</f>
        <v>2015</v>
      </c>
      <c r="V33" s="298"/>
      <c r="Z33"/>
      <c r="AA33"/>
      <c r="AB33" t="s">
        <v>4141</v>
      </c>
      <c r="AC33" t="s">
        <v>4140</v>
      </c>
      <c r="AD33" s="523">
        <v>15.55</v>
      </c>
      <c r="AE33"/>
    </row>
    <row r="34" spans="1:31">
      <c r="A34" s="146">
        <v>42262</v>
      </c>
      <c r="B34" s="143" t="s">
        <v>4001</v>
      </c>
      <c r="C34" s="298" t="s">
        <v>4002</v>
      </c>
      <c r="D34" s="145">
        <v>3866</v>
      </c>
      <c r="E34" s="298" t="s">
        <v>4028</v>
      </c>
      <c r="F34" s="298" t="s">
        <v>4047</v>
      </c>
      <c r="G34" s="298" t="s">
        <v>4048</v>
      </c>
      <c r="H34" s="15"/>
      <c r="I34" s="298" t="s">
        <v>123</v>
      </c>
      <c r="J34" s="59">
        <v>60</v>
      </c>
      <c r="K34" s="59" t="s">
        <v>3983</v>
      </c>
      <c r="L34" s="298" t="s">
        <v>3984</v>
      </c>
      <c r="M34" s="298" t="s">
        <v>3985</v>
      </c>
      <c r="N34" s="144" t="str">
        <f>IFERROR(INDEX(EquipmentTBL!$H:$H,MATCH(Table5[[#This Row],[Unit'#]],EquipmentTBL!$A:$A,0)),"NONE")</f>
        <v>1JJV532V3BL370658</v>
      </c>
      <c r="O34" s="144" t="str">
        <f>IFERROR(INDEX(EquipmentTBL!$C:$C,MATCH(Table5[[#This Row],[Unit'#]],EquipmentTBL!$A:$A,0)),"NONE")</f>
        <v>Wabash</v>
      </c>
      <c r="P34" s="144">
        <f>IFERROR(INDEX(EquipmentTBL!$B:$B,MATCH(Table5[[#This Row],[Unit'#]],EquipmentTBL!$A:$A,0)),"NONE")</f>
        <v>2011</v>
      </c>
      <c r="Q34" s="144" t="str">
        <f>IFERROR(INDEX(EquipmentTBL!$D:$D,MATCH(Table5[[#This Row],[Unit'#]],EquipmentTBL!$A:$A,0)),"NONE")</f>
        <v>DryVan</v>
      </c>
      <c r="R34" s="146">
        <f>(5-WEEKDAY(A34,2))+A34</f>
        <v>42265</v>
      </c>
      <c r="S34" s="104">
        <f>((5-WEEKDAY(A34,2))+A34)+7</f>
        <v>42272</v>
      </c>
      <c r="T34" s="144">
        <f>MONTH(A34)</f>
        <v>9</v>
      </c>
      <c r="U34" s="144">
        <f>YEAR(R34)</f>
        <v>2015</v>
      </c>
      <c r="V34" s="298"/>
      <c r="Z34"/>
      <c r="AA34" s="256">
        <v>42369</v>
      </c>
      <c r="AB34" t="s">
        <v>4158</v>
      </c>
      <c r="AC34" t="s">
        <v>4060</v>
      </c>
      <c r="AD34" s="523">
        <v>12</v>
      </c>
      <c r="AE34"/>
    </row>
    <row r="35" spans="1:31">
      <c r="A35" s="146">
        <v>42263</v>
      </c>
      <c r="B35" s="143" t="s">
        <v>3978</v>
      </c>
      <c r="C35" s="298" t="s">
        <v>3979</v>
      </c>
      <c r="D35" s="145"/>
      <c r="E35" s="298" t="s">
        <v>3980</v>
      </c>
      <c r="F35" s="298" t="s">
        <v>4049</v>
      </c>
      <c r="G35" s="298" t="s">
        <v>4050</v>
      </c>
      <c r="H35" s="15"/>
      <c r="I35" s="298" t="s">
        <v>123</v>
      </c>
      <c r="J35" s="66">
        <v>34.950000000000003</v>
      </c>
      <c r="K35" s="59" t="s">
        <v>3983</v>
      </c>
      <c r="L35" s="298" t="s">
        <v>3984</v>
      </c>
      <c r="M35" s="298" t="s">
        <v>3985</v>
      </c>
      <c r="N35" s="144" t="str">
        <f>IFERROR(INDEX(EquipmentTBL!$H:$H,MATCH(Table5[[#This Row],[Unit'#]],EquipmentTBL!$A:$A,0)),"NONE")</f>
        <v>NONE</v>
      </c>
      <c r="O35" s="144" t="str">
        <f>IFERROR(INDEX(EquipmentTBL!$C:$C,MATCH(Table5[[#This Row],[Unit'#]],EquipmentTBL!$A:$A,0)),"NONE")</f>
        <v>NONE</v>
      </c>
      <c r="P35" s="144" t="str">
        <f>IFERROR(INDEX(EquipmentTBL!$B:$B,MATCH(Table5[[#This Row],[Unit'#]],EquipmentTBL!$A:$A,0)),"NONE")</f>
        <v>NONE</v>
      </c>
      <c r="Q35" s="144" t="str">
        <f>IFERROR(INDEX(EquipmentTBL!$D:$D,MATCH(Table5[[#This Row],[Unit'#]],EquipmentTBL!$A:$A,0)),"NONE")</f>
        <v>NONE</v>
      </c>
      <c r="R35" s="143">
        <f>(5-WEEKDAY(A35,2))+A35</f>
        <v>42265</v>
      </c>
      <c r="S35" s="172">
        <f>((5-WEEKDAY(A35,2))+A35)+7</f>
        <v>42272</v>
      </c>
      <c r="T35" s="144">
        <f>MONTH(A35)</f>
        <v>9</v>
      </c>
      <c r="U35" s="144">
        <f>YEAR(R35)</f>
        <v>2015</v>
      </c>
      <c r="V35" s="298"/>
      <c r="Z35"/>
      <c r="AA35" s="256">
        <v>42377</v>
      </c>
      <c r="AB35" t="s">
        <v>4073</v>
      </c>
      <c r="AC35" t="s">
        <v>4073</v>
      </c>
      <c r="AD35" s="523">
        <v>25</v>
      </c>
      <c r="AE35"/>
    </row>
    <row r="36" spans="1:31">
      <c r="A36" s="146">
        <v>42266</v>
      </c>
      <c r="B36" s="143" t="s">
        <v>3863</v>
      </c>
      <c r="C36" s="298" t="s">
        <v>3990</v>
      </c>
      <c r="D36" s="145"/>
      <c r="E36" s="298" t="s">
        <v>3980</v>
      </c>
      <c r="F36" s="298" t="s">
        <v>4051</v>
      </c>
      <c r="G36" s="298" t="s">
        <v>4052</v>
      </c>
      <c r="H36" s="15"/>
      <c r="I36" s="298" t="s">
        <v>123</v>
      </c>
      <c r="J36" s="59">
        <v>60</v>
      </c>
      <c r="K36" s="59" t="s">
        <v>3983</v>
      </c>
      <c r="L36" s="298" t="s">
        <v>3984</v>
      </c>
      <c r="M36" s="298" t="s">
        <v>3985</v>
      </c>
      <c r="N36" s="144" t="str">
        <f>IFERROR(INDEX(EquipmentTBL!$H:$H,MATCH(Table5[[#This Row],[Unit'#]],EquipmentTBL!$A:$A,0)),"NONE")</f>
        <v>2HSCUAPR88C657099</v>
      </c>
      <c r="O36" s="144" t="str">
        <f>IFERROR(INDEX(EquipmentTBL!$C:$C,MATCH(Table5[[#This Row],[Unit'#]],EquipmentTBL!$A:$A,0)),"NONE")</f>
        <v>International</v>
      </c>
      <c r="P36" s="144">
        <f>IFERROR(INDEX(EquipmentTBL!$B:$B,MATCH(Table5[[#This Row],[Unit'#]],EquipmentTBL!$A:$A,0)),"NONE")</f>
        <v>2008</v>
      </c>
      <c r="Q36" s="144" t="str">
        <f>IFERROR(INDEX(EquipmentTBL!$D:$D,MATCH(Table5[[#This Row],[Unit'#]],EquipmentTBL!$A:$A,0)),"NONE")</f>
        <v>Prostar Eagle</v>
      </c>
      <c r="R36" s="146">
        <f>(5-WEEKDAY(A36,2))+A36</f>
        <v>42265</v>
      </c>
      <c r="S36" s="104">
        <f>((5-WEEKDAY(A36,2))+A36)+7</f>
        <v>42272</v>
      </c>
      <c r="T36" s="144">
        <f>MONTH(A36)</f>
        <v>9</v>
      </c>
      <c r="U36" s="144">
        <f>YEAR(R36)</f>
        <v>2015</v>
      </c>
      <c r="V36" s="298"/>
      <c r="Z36"/>
      <c r="AA36" s="256">
        <v>42383</v>
      </c>
      <c r="AB36" t="s">
        <v>4050</v>
      </c>
      <c r="AC36" t="s">
        <v>4049</v>
      </c>
      <c r="AD36" s="523">
        <v>34.950000000000003</v>
      </c>
      <c r="AE36"/>
    </row>
    <row r="37" spans="1:31">
      <c r="A37" s="146">
        <v>42268</v>
      </c>
      <c r="B37" s="143" t="s">
        <v>3863</v>
      </c>
      <c r="C37" s="298" t="s">
        <v>3979</v>
      </c>
      <c r="D37" s="145"/>
      <c r="E37" s="298" t="s">
        <v>3980</v>
      </c>
      <c r="F37" s="298" t="s">
        <v>4053</v>
      </c>
      <c r="G37" s="298" t="s">
        <v>4054</v>
      </c>
      <c r="H37" s="15"/>
      <c r="I37" s="298" t="s">
        <v>123</v>
      </c>
      <c r="J37" s="59">
        <v>10</v>
      </c>
      <c r="K37" s="59" t="s">
        <v>3983</v>
      </c>
      <c r="L37" s="298" t="s">
        <v>3984</v>
      </c>
      <c r="M37" s="298" t="s">
        <v>3985</v>
      </c>
      <c r="N37" s="144" t="str">
        <f>IFERROR(INDEX(EquipmentTBL!$H:$H,MATCH(Table5[[#This Row],[Unit'#]],EquipmentTBL!$A:$A,0)),"NONE")</f>
        <v>2HSCUAPR88C657099</v>
      </c>
      <c r="O37" s="144" t="str">
        <f>IFERROR(INDEX(EquipmentTBL!$C:$C,MATCH(Table5[[#This Row],[Unit'#]],EquipmentTBL!$A:$A,0)),"NONE")</f>
        <v>International</v>
      </c>
      <c r="P37" s="144">
        <f>IFERROR(INDEX(EquipmentTBL!$B:$B,MATCH(Table5[[#This Row],[Unit'#]],EquipmentTBL!$A:$A,0)),"NONE")</f>
        <v>2008</v>
      </c>
      <c r="Q37" s="144" t="str">
        <f>IFERROR(INDEX(EquipmentTBL!$D:$D,MATCH(Table5[[#This Row],[Unit'#]],EquipmentTBL!$A:$A,0)),"NONE")</f>
        <v>Prostar Eagle</v>
      </c>
      <c r="R37" s="146">
        <f>(5-WEEKDAY(A37,2))+A37</f>
        <v>42272</v>
      </c>
      <c r="S37" s="104">
        <f>((5-WEEKDAY(A37,2))+A37)+7</f>
        <v>42279</v>
      </c>
      <c r="T37" s="144">
        <f>MONTH(A37)</f>
        <v>9</v>
      </c>
      <c r="U37" s="144">
        <f>YEAR(R37)</f>
        <v>2015</v>
      </c>
      <c r="V37" s="298"/>
      <c r="Z37"/>
      <c r="AA37" s="256">
        <v>42384</v>
      </c>
      <c r="AB37" t="s">
        <v>4167</v>
      </c>
      <c r="AC37" t="s">
        <v>4167</v>
      </c>
      <c r="AD37" s="523">
        <v>35</v>
      </c>
      <c r="AE37"/>
    </row>
    <row r="38" spans="1:31">
      <c r="A38" s="146">
        <v>42269</v>
      </c>
      <c r="B38" s="143" t="s">
        <v>3863</v>
      </c>
      <c r="C38" s="298" t="s">
        <v>4002</v>
      </c>
      <c r="D38" s="145">
        <v>6140</v>
      </c>
      <c r="E38" s="298" t="s">
        <v>3980</v>
      </c>
      <c r="F38" s="298" t="s">
        <v>4055</v>
      </c>
      <c r="G38" s="298" t="s">
        <v>4019</v>
      </c>
      <c r="H38" s="15"/>
      <c r="I38" s="298" t="s">
        <v>123</v>
      </c>
      <c r="J38" s="59">
        <v>80</v>
      </c>
      <c r="K38" s="59" t="s">
        <v>3983</v>
      </c>
      <c r="L38" s="298" t="s">
        <v>3984</v>
      </c>
      <c r="M38" s="298" t="s">
        <v>3985</v>
      </c>
      <c r="N38" s="144" t="str">
        <f>IFERROR(INDEX(EquipmentTBL!$H:$H,MATCH(Table5[[#This Row],[Unit'#]],EquipmentTBL!$A:$A,0)),"NONE")</f>
        <v>2HSCUAPR88C657099</v>
      </c>
      <c r="O38" s="144" t="str">
        <f>IFERROR(INDEX(EquipmentTBL!$C:$C,MATCH(Table5[[#This Row],[Unit'#]],EquipmentTBL!$A:$A,0)),"NONE")</f>
        <v>International</v>
      </c>
      <c r="P38" s="144">
        <f>IFERROR(INDEX(EquipmentTBL!$B:$B,MATCH(Table5[[#This Row],[Unit'#]],EquipmentTBL!$A:$A,0)),"NONE")</f>
        <v>2008</v>
      </c>
      <c r="Q38" s="144" t="str">
        <f>IFERROR(INDEX(EquipmentTBL!$D:$D,MATCH(Table5[[#This Row],[Unit'#]],EquipmentTBL!$A:$A,0)),"NONE")</f>
        <v>Prostar Eagle</v>
      </c>
      <c r="R38" s="146">
        <f>(5-WEEKDAY(A38,2))+A38</f>
        <v>42272</v>
      </c>
      <c r="S38" s="104">
        <f>((5-WEEKDAY(A38,2))+A38)+7</f>
        <v>42279</v>
      </c>
      <c r="T38" s="144">
        <f>MONTH(A38)</f>
        <v>9</v>
      </c>
      <c r="U38" s="144">
        <f>YEAR(R38)</f>
        <v>2015</v>
      </c>
      <c r="V38" s="298"/>
      <c r="Z38"/>
      <c r="AA38" s="256">
        <v>42385</v>
      </c>
      <c r="AB38" t="s">
        <v>4042</v>
      </c>
      <c r="AC38" t="s">
        <v>4168</v>
      </c>
      <c r="AD38" s="523">
        <v>9</v>
      </c>
      <c r="AE38"/>
    </row>
    <row r="39" spans="1:31">
      <c r="A39" s="146">
        <v>42275</v>
      </c>
      <c r="B39" s="143" t="s">
        <v>3978</v>
      </c>
      <c r="C39" s="298" t="s">
        <v>3979</v>
      </c>
      <c r="D39" s="145"/>
      <c r="E39" s="298" t="s">
        <v>3980</v>
      </c>
      <c r="F39" s="298" t="s">
        <v>4056</v>
      </c>
      <c r="G39" s="298" t="s">
        <v>4057</v>
      </c>
      <c r="H39" s="15"/>
      <c r="I39" s="298" t="s">
        <v>123</v>
      </c>
      <c r="J39" s="59">
        <v>55</v>
      </c>
      <c r="K39" s="59" t="s">
        <v>3983</v>
      </c>
      <c r="L39" s="298" t="s">
        <v>3984</v>
      </c>
      <c r="M39" s="298" t="s">
        <v>3985</v>
      </c>
      <c r="N39" s="144" t="str">
        <f>IFERROR(INDEX(EquipmentTBL!$H:$H,MATCH(Table5[[#This Row],[Unit'#]],EquipmentTBL!$A:$A,0)),"NONE")</f>
        <v>NONE</v>
      </c>
      <c r="O39" s="144" t="str">
        <f>IFERROR(INDEX(EquipmentTBL!$C:$C,MATCH(Table5[[#This Row],[Unit'#]],EquipmentTBL!$A:$A,0)),"NONE")</f>
        <v>NONE</v>
      </c>
      <c r="P39" s="144" t="str">
        <f>IFERROR(INDEX(EquipmentTBL!$B:$B,MATCH(Table5[[#This Row],[Unit'#]],EquipmentTBL!$A:$A,0)),"NONE")</f>
        <v>NONE</v>
      </c>
      <c r="Q39" s="144" t="str">
        <f>IFERROR(INDEX(EquipmentTBL!$D:$D,MATCH(Table5[[#This Row],[Unit'#]],EquipmentTBL!$A:$A,0)),"NONE")</f>
        <v>NONE</v>
      </c>
      <c r="R39" s="146">
        <f>(5-WEEKDAY(A39,2))+A39</f>
        <v>42279</v>
      </c>
      <c r="S39" s="104">
        <f>((5-WEEKDAY(A39,2))+A39)+7</f>
        <v>42286</v>
      </c>
      <c r="T39" s="144">
        <f>MONTH(A39)</f>
        <v>9</v>
      </c>
      <c r="U39" s="144">
        <f>YEAR(R39)</f>
        <v>2015</v>
      </c>
      <c r="V39" s="298"/>
      <c r="Z39"/>
      <c r="AA39" s="256">
        <v>42386</v>
      </c>
      <c r="AB39" t="s">
        <v>4170</v>
      </c>
      <c r="AC39" t="s">
        <v>4169</v>
      </c>
      <c r="AD39" s="523">
        <v>10.87</v>
      </c>
      <c r="AE39"/>
    </row>
    <row r="40" spans="1:31">
      <c r="A40" s="146">
        <v>42275</v>
      </c>
      <c r="B40" s="143" t="s">
        <v>4001</v>
      </c>
      <c r="C40" s="298" t="s">
        <v>4002</v>
      </c>
      <c r="D40" s="145">
        <v>6985</v>
      </c>
      <c r="E40" s="298" t="s">
        <v>3980</v>
      </c>
      <c r="F40" s="298" t="s">
        <v>4058</v>
      </c>
      <c r="G40" s="298" t="s">
        <v>4059</v>
      </c>
      <c r="H40" s="15"/>
      <c r="I40" s="298" t="s">
        <v>123</v>
      </c>
      <c r="J40" s="59">
        <v>30</v>
      </c>
      <c r="K40" s="59" t="s">
        <v>3983</v>
      </c>
      <c r="L40" s="298" t="s">
        <v>3839</v>
      </c>
      <c r="M40" s="298" t="s">
        <v>3985</v>
      </c>
      <c r="N40" s="144" t="str">
        <f>IFERROR(INDEX(EquipmentTBL!$H:$H,MATCH(Table5[[#This Row],[Unit'#]],EquipmentTBL!$A:$A,0)),"NONE")</f>
        <v>1JJV532V3BL370658</v>
      </c>
      <c r="O40" s="144" t="str">
        <f>IFERROR(INDEX(EquipmentTBL!$C:$C,MATCH(Table5[[#This Row],[Unit'#]],EquipmentTBL!$A:$A,0)),"NONE")</f>
        <v>Wabash</v>
      </c>
      <c r="P40" s="144">
        <f>IFERROR(INDEX(EquipmentTBL!$B:$B,MATCH(Table5[[#This Row],[Unit'#]],EquipmentTBL!$A:$A,0)),"NONE")</f>
        <v>2011</v>
      </c>
      <c r="Q40" s="144" t="str">
        <f>IFERROR(INDEX(EquipmentTBL!$D:$D,MATCH(Table5[[#This Row],[Unit'#]],EquipmentTBL!$A:$A,0)),"NONE")</f>
        <v>DryVan</v>
      </c>
      <c r="R40" s="146">
        <f>(5-WEEKDAY(A40,2))+A40</f>
        <v>42279</v>
      </c>
      <c r="S40" s="104">
        <f>((5-WEEKDAY(A40,2))+A40)+7</f>
        <v>42286</v>
      </c>
      <c r="T40" s="144">
        <f>MONTH(A40)</f>
        <v>9</v>
      </c>
      <c r="U40" s="144">
        <f>YEAR(R40)</f>
        <v>2015</v>
      </c>
      <c r="V40" s="298"/>
      <c r="Z40"/>
      <c r="AA40"/>
      <c r="AB40" t="s">
        <v>4171</v>
      </c>
      <c r="AC40" t="s">
        <v>4169</v>
      </c>
      <c r="AD40" s="523">
        <v>23.53</v>
      </c>
      <c r="AE40"/>
    </row>
    <row r="41" spans="1:31">
      <c r="A41" s="146">
        <v>42277</v>
      </c>
      <c r="B41" s="143" t="s">
        <v>3978</v>
      </c>
      <c r="C41" s="298" t="s">
        <v>3979</v>
      </c>
      <c r="D41" s="145">
        <v>6163050038</v>
      </c>
      <c r="E41" s="298" t="s">
        <v>3980</v>
      </c>
      <c r="F41" s="298" t="s">
        <v>4060</v>
      </c>
      <c r="G41" s="298" t="s">
        <v>4061</v>
      </c>
      <c r="H41" s="15"/>
      <c r="I41" s="298" t="s">
        <v>123</v>
      </c>
      <c r="J41" s="59">
        <v>12</v>
      </c>
      <c r="K41" s="59" t="s">
        <v>3983</v>
      </c>
      <c r="L41" s="298" t="s">
        <v>3984</v>
      </c>
      <c r="M41" s="298" t="s">
        <v>3985</v>
      </c>
      <c r="N41" s="144" t="str">
        <f>IFERROR(INDEX(EquipmentTBL!$H:$H,MATCH(Table5[[#This Row],[Unit'#]],EquipmentTBL!$A:$A,0)),"NONE")</f>
        <v>NONE</v>
      </c>
      <c r="O41" s="144" t="str">
        <f>IFERROR(INDEX(EquipmentTBL!$C:$C,MATCH(Table5[[#This Row],[Unit'#]],EquipmentTBL!$A:$A,0)),"NONE")</f>
        <v>NONE</v>
      </c>
      <c r="P41" s="144" t="str">
        <f>IFERROR(INDEX(EquipmentTBL!$B:$B,MATCH(Table5[[#This Row],[Unit'#]],EquipmentTBL!$A:$A,0)),"NONE")</f>
        <v>NONE</v>
      </c>
      <c r="Q41" s="144" t="str">
        <f>IFERROR(INDEX(EquipmentTBL!$D:$D,MATCH(Table5[[#This Row],[Unit'#]],EquipmentTBL!$A:$A,0)),"NONE")</f>
        <v>NONE</v>
      </c>
      <c r="R41" s="146">
        <f>(5-WEEKDAY(A41,2))+A41</f>
        <v>42279</v>
      </c>
      <c r="S41" s="104">
        <f>((5-WEEKDAY(A41,2))+A41)+7</f>
        <v>42286</v>
      </c>
      <c r="T41" s="144">
        <f>MONTH(A41)</f>
        <v>9</v>
      </c>
      <c r="U41" s="144">
        <f>YEAR(R41)</f>
        <v>2015</v>
      </c>
      <c r="V41" s="298"/>
      <c r="Z41"/>
      <c r="AA41" s="256">
        <v>42387</v>
      </c>
      <c r="AB41" t="s">
        <v>4057</v>
      </c>
      <c r="AC41" t="s">
        <v>4172</v>
      </c>
      <c r="AD41" s="523">
        <v>55</v>
      </c>
      <c r="AE41"/>
    </row>
    <row r="42" spans="1:31">
      <c r="A42" s="146">
        <v>42278</v>
      </c>
      <c r="B42" s="143" t="s">
        <v>3978</v>
      </c>
      <c r="C42" s="298" t="s">
        <v>3979</v>
      </c>
      <c r="D42" s="145">
        <v>6163050060</v>
      </c>
      <c r="E42" s="298" t="s">
        <v>3980</v>
      </c>
      <c r="F42" s="298" t="s">
        <v>4062</v>
      </c>
      <c r="G42" s="298" t="s">
        <v>4063</v>
      </c>
      <c r="H42" s="15"/>
      <c r="I42" s="298" t="s">
        <v>123</v>
      </c>
      <c r="J42" s="59">
        <v>6</v>
      </c>
      <c r="K42" s="59" t="s">
        <v>3983</v>
      </c>
      <c r="L42" s="298" t="s">
        <v>3984</v>
      </c>
      <c r="M42" s="298" t="s">
        <v>3985</v>
      </c>
      <c r="N42" s="144" t="str">
        <f>IFERROR(INDEX(EquipmentTBL!$H:$H,MATCH(Table5[[#This Row],[Unit'#]],EquipmentTBL!$A:$A,0)),"NONE")</f>
        <v>NONE</v>
      </c>
      <c r="O42" s="144" t="str">
        <f>IFERROR(INDEX(EquipmentTBL!$C:$C,MATCH(Table5[[#This Row],[Unit'#]],EquipmentTBL!$A:$A,0)),"NONE")</f>
        <v>NONE</v>
      </c>
      <c r="P42" s="144" t="str">
        <f>IFERROR(INDEX(EquipmentTBL!$B:$B,MATCH(Table5[[#This Row],[Unit'#]],EquipmentTBL!$A:$A,0)),"NONE")</f>
        <v>NONE</v>
      </c>
      <c r="Q42" s="144" t="str">
        <f>IFERROR(INDEX(EquipmentTBL!$D:$D,MATCH(Table5[[#This Row],[Unit'#]],EquipmentTBL!$A:$A,0)),"NONE")</f>
        <v>NONE</v>
      </c>
      <c r="R42" s="146">
        <f>(5-WEEKDAY(A42,2))+A42</f>
        <v>42279</v>
      </c>
      <c r="S42" s="104">
        <f>((5-WEEKDAY(A42,2))+A42)+7</f>
        <v>42286</v>
      </c>
      <c r="T42" s="144">
        <f>MONTH(A42)</f>
        <v>10</v>
      </c>
      <c r="U42" s="144">
        <f>YEAR(R42)</f>
        <v>2015</v>
      </c>
      <c r="V42" s="298"/>
      <c r="Z42"/>
      <c r="AA42" s="256">
        <v>42388</v>
      </c>
      <c r="AB42" t="s">
        <v>4057</v>
      </c>
      <c r="AC42" t="s">
        <v>4177</v>
      </c>
      <c r="AD42" s="523">
        <v>500</v>
      </c>
      <c r="AE42"/>
    </row>
    <row r="43" spans="1:31">
      <c r="A43" s="146">
        <v>42278</v>
      </c>
      <c r="B43" s="143" t="s">
        <v>3863</v>
      </c>
      <c r="C43" s="298" t="s">
        <v>3997</v>
      </c>
      <c r="D43" s="145" t="s">
        <v>4064</v>
      </c>
      <c r="E43" s="298" t="s">
        <v>3980</v>
      </c>
      <c r="F43" s="298" t="s">
        <v>4000</v>
      </c>
      <c r="G43" s="298" t="s">
        <v>3999</v>
      </c>
      <c r="H43" s="15"/>
      <c r="I43" s="298" t="s">
        <v>123</v>
      </c>
      <c r="J43" s="59">
        <v>125</v>
      </c>
      <c r="K43" s="59" t="s">
        <v>3983</v>
      </c>
      <c r="L43" s="298" t="s">
        <v>3984</v>
      </c>
      <c r="M43" s="298" t="s">
        <v>3985</v>
      </c>
      <c r="N43" s="144" t="str">
        <f>IFERROR(INDEX(EquipmentTBL!$H:$H,MATCH(Table5[[#This Row],[Unit'#]],EquipmentTBL!$A:$A,0)),"NONE")</f>
        <v>2HSCUAPR88C657099</v>
      </c>
      <c r="O43" s="144" t="str">
        <f>IFERROR(INDEX(EquipmentTBL!$C:$C,MATCH(Table5[[#This Row],[Unit'#]],EquipmentTBL!$A:$A,0)),"NONE")</f>
        <v>International</v>
      </c>
      <c r="P43" s="144">
        <f>IFERROR(INDEX(EquipmentTBL!$B:$B,MATCH(Table5[[#This Row],[Unit'#]],EquipmentTBL!$A:$A,0)),"NONE")</f>
        <v>2008</v>
      </c>
      <c r="Q43" s="144" t="str">
        <f>IFERROR(INDEX(EquipmentTBL!$D:$D,MATCH(Table5[[#This Row],[Unit'#]],EquipmentTBL!$A:$A,0)),"NONE")</f>
        <v>Prostar Eagle</v>
      </c>
      <c r="R43" s="146">
        <f>(5-WEEKDAY(A43,2))+A43</f>
        <v>42279</v>
      </c>
      <c r="S43" s="104">
        <f>((5-WEEKDAY(A43,2))+A43)+7</f>
        <v>42286</v>
      </c>
      <c r="T43" s="144">
        <f>MONTH(A43)</f>
        <v>10</v>
      </c>
      <c r="U43" s="144">
        <f>YEAR(R43)</f>
        <v>2015</v>
      </c>
      <c r="V43" s="298"/>
      <c r="Z43"/>
      <c r="AA43"/>
      <c r="AB43" t="s">
        <v>4042</v>
      </c>
      <c r="AC43" t="s">
        <v>4176</v>
      </c>
      <c r="AD43" s="523">
        <v>5.12</v>
      </c>
      <c r="AE43"/>
    </row>
    <row r="44" spans="1:31">
      <c r="A44" s="146">
        <v>42278</v>
      </c>
      <c r="B44" s="143" t="s">
        <v>3896</v>
      </c>
      <c r="C44" s="298" t="s">
        <v>3997</v>
      </c>
      <c r="D44" s="145" t="s">
        <v>4064</v>
      </c>
      <c r="E44" s="298" t="s">
        <v>3980</v>
      </c>
      <c r="F44" s="298" t="s">
        <v>4000</v>
      </c>
      <c r="G44" s="298" t="s">
        <v>3999</v>
      </c>
      <c r="H44" s="15"/>
      <c r="I44" s="298" t="s">
        <v>123</v>
      </c>
      <c r="J44" s="59">
        <v>125</v>
      </c>
      <c r="K44" s="59" t="s">
        <v>3983</v>
      </c>
      <c r="L44" s="298" t="s">
        <v>3984</v>
      </c>
      <c r="M44" s="298" t="s">
        <v>3985</v>
      </c>
      <c r="N44" s="144" t="str">
        <f>IFERROR(INDEX(EquipmentTBL!$H:$H,MATCH(Table5[[#This Row],[Unit'#]],EquipmentTBL!$A:$A,0)),"NONE")</f>
        <v>2HSCUAPR79CO93785</v>
      </c>
      <c r="O44" s="144" t="str">
        <f>IFERROR(INDEX(EquipmentTBL!$C:$C,MATCH(Table5[[#This Row],[Unit'#]],EquipmentTBL!$A:$A,0)),"NONE")</f>
        <v>International</v>
      </c>
      <c r="P44" s="144">
        <f>IFERROR(INDEX(EquipmentTBL!$B:$B,MATCH(Table5[[#This Row],[Unit'#]],EquipmentTBL!$A:$A,0)),"NONE")</f>
        <v>2009</v>
      </c>
      <c r="Q44" s="144" t="str">
        <f>IFERROR(INDEX(EquipmentTBL!$D:$D,MATCH(Table5[[#This Row],[Unit'#]],EquipmentTBL!$A:$A,0)),"NONE")</f>
        <v>Prostar Eagle</v>
      </c>
      <c r="R44" s="146">
        <f>(5-WEEKDAY(A44,2))+A44</f>
        <v>42279</v>
      </c>
      <c r="S44" s="104">
        <f>((5-WEEKDAY(A44,2))+A44)+7</f>
        <v>42286</v>
      </c>
      <c r="T44" s="144">
        <f>MONTH(A44)</f>
        <v>10</v>
      </c>
      <c r="U44" s="144">
        <f>YEAR(R44)</f>
        <v>2015</v>
      </c>
      <c r="V44" s="298"/>
      <c r="Z44"/>
      <c r="AA44" s="256">
        <v>42391</v>
      </c>
      <c r="AB44" t="s">
        <v>4179</v>
      </c>
      <c r="AC44" t="s">
        <v>4178</v>
      </c>
      <c r="AD44" s="523">
        <v>35.299999999999997</v>
      </c>
      <c r="AE44"/>
    </row>
    <row r="45" spans="1:31">
      <c r="A45" s="146">
        <v>42278</v>
      </c>
      <c r="B45" s="143" t="s">
        <v>3896</v>
      </c>
      <c r="C45" s="298" t="s">
        <v>3997</v>
      </c>
      <c r="D45" s="145" t="s">
        <v>4064</v>
      </c>
      <c r="E45" s="298" t="s">
        <v>3980</v>
      </c>
      <c r="F45" s="298" t="s">
        <v>4000</v>
      </c>
      <c r="G45" s="298" t="s">
        <v>3999</v>
      </c>
      <c r="H45" s="15"/>
      <c r="I45" s="298" t="s">
        <v>123</v>
      </c>
      <c r="J45" s="59">
        <v>125</v>
      </c>
      <c r="K45" s="59" t="s">
        <v>3983</v>
      </c>
      <c r="L45" s="298" t="s">
        <v>3984</v>
      </c>
      <c r="M45" s="298" t="s">
        <v>3985</v>
      </c>
      <c r="N45" s="144" t="str">
        <f>IFERROR(INDEX(EquipmentTBL!$H:$H,MATCH(Table5[[#This Row],[Unit'#]],EquipmentTBL!$A:$A,0)),"NONE")</f>
        <v>2HSCUAPR79CO93785</v>
      </c>
      <c r="O45" s="144" t="str">
        <f>IFERROR(INDEX(EquipmentTBL!$C:$C,MATCH(Table5[[#This Row],[Unit'#]],EquipmentTBL!$A:$A,0)),"NONE")</f>
        <v>International</v>
      </c>
      <c r="P45" s="144">
        <f>IFERROR(INDEX(EquipmentTBL!$B:$B,MATCH(Table5[[#This Row],[Unit'#]],EquipmentTBL!$A:$A,0)),"NONE")</f>
        <v>2009</v>
      </c>
      <c r="Q45" s="144" t="str">
        <f>IFERROR(INDEX(EquipmentTBL!$D:$D,MATCH(Table5[[#This Row],[Unit'#]],EquipmentTBL!$A:$A,0)),"NONE")</f>
        <v>Prostar Eagle</v>
      </c>
      <c r="R45" s="146">
        <f>(5-WEEKDAY(A45,2))+A45</f>
        <v>42279</v>
      </c>
      <c r="S45" s="104">
        <f>((5-WEEKDAY(A45,2))+A45)+7</f>
        <v>42286</v>
      </c>
      <c r="T45" s="144">
        <f>MONTH(A45)</f>
        <v>10</v>
      </c>
      <c r="U45" s="144">
        <f>YEAR(R45)</f>
        <v>2015</v>
      </c>
      <c r="V45" s="298"/>
      <c r="Z45"/>
      <c r="AA45" s="256">
        <v>42394</v>
      </c>
      <c r="AB45" t="s">
        <v>4183</v>
      </c>
      <c r="AC45" t="s">
        <v>4182</v>
      </c>
      <c r="AD45" s="523">
        <v>18</v>
      </c>
      <c r="AE45"/>
    </row>
    <row r="46" spans="1:31">
      <c r="A46" s="146">
        <v>42293</v>
      </c>
      <c r="B46" s="143" t="s">
        <v>3978</v>
      </c>
      <c r="C46" s="298" t="s">
        <v>3979</v>
      </c>
      <c r="D46" s="145"/>
      <c r="E46" s="298" t="s">
        <v>3980</v>
      </c>
      <c r="F46" s="298" t="s">
        <v>4049</v>
      </c>
      <c r="G46" s="298" t="s">
        <v>4050</v>
      </c>
      <c r="H46" s="15"/>
      <c r="I46" s="298" t="s">
        <v>123</v>
      </c>
      <c r="J46" s="66">
        <v>34.950000000000003</v>
      </c>
      <c r="K46" s="59" t="s">
        <v>3983</v>
      </c>
      <c r="L46" s="298" t="s">
        <v>3984</v>
      </c>
      <c r="M46" s="298" t="s">
        <v>3985</v>
      </c>
      <c r="N46" s="144" t="str">
        <f>IFERROR(INDEX(EquipmentTBL!$H:$H,MATCH(Table5[[#This Row],[Unit'#]],EquipmentTBL!$A:$A,0)),"NONE")</f>
        <v>NONE</v>
      </c>
      <c r="O46" s="144" t="str">
        <f>IFERROR(INDEX(EquipmentTBL!$C:$C,MATCH(Table5[[#This Row],[Unit'#]],EquipmentTBL!$A:$A,0)),"NONE")</f>
        <v>NONE</v>
      </c>
      <c r="P46" s="144" t="str">
        <f>IFERROR(INDEX(EquipmentTBL!$B:$B,MATCH(Table5[[#This Row],[Unit'#]],EquipmentTBL!$A:$A,0)),"NONE")</f>
        <v>NONE</v>
      </c>
      <c r="Q46" s="144" t="str">
        <f>IFERROR(INDEX(EquipmentTBL!$D:$D,MATCH(Table5[[#This Row],[Unit'#]],EquipmentTBL!$A:$A,0)),"NONE")</f>
        <v>NONE</v>
      </c>
      <c r="R46" s="143">
        <f>(5-WEEKDAY(A46,2))+A46</f>
        <v>42293</v>
      </c>
      <c r="S46" s="172">
        <f>((5-WEEKDAY(A46,2))+A46)+7</f>
        <v>42300</v>
      </c>
      <c r="T46" s="144">
        <f>MONTH(A46)</f>
        <v>10</v>
      </c>
      <c r="U46" s="144">
        <f>YEAR(R46)</f>
        <v>2015</v>
      </c>
      <c r="V46" s="298"/>
      <c r="Z46"/>
      <c r="AA46" s="256">
        <v>42401</v>
      </c>
      <c r="AB46" t="s">
        <v>4189</v>
      </c>
      <c r="AC46" t="s">
        <v>4188</v>
      </c>
      <c r="AD46" s="523">
        <v>57.69</v>
      </c>
      <c r="AE46"/>
    </row>
    <row r="47" spans="1:31">
      <c r="A47" s="146">
        <v>42303</v>
      </c>
      <c r="B47" s="143" t="s">
        <v>3896</v>
      </c>
      <c r="C47" s="298" t="s">
        <v>3990</v>
      </c>
      <c r="D47" s="145">
        <v>1812134</v>
      </c>
      <c r="E47" s="298" t="s">
        <v>3980</v>
      </c>
      <c r="F47" s="298" t="s">
        <v>4065</v>
      </c>
      <c r="G47" s="298" t="s">
        <v>4045</v>
      </c>
      <c r="H47" s="15"/>
      <c r="I47" s="298" t="s">
        <v>123</v>
      </c>
      <c r="J47" s="59">
        <v>23.75</v>
      </c>
      <c r="K47" s="59" t="s">
        <v>3983</v>
      </c>
      <c r="L47" s="298" t="s">
        <v>3984</v>
      </c>
      <c r="M47" s="149" t="s">
        <v>3985</v>
      </c>
      <c r="N47" s="144" t="str">
        <f>IFERROR(INDEX(EquipmentTBL!$H:$H,MATCH(Table5[[#This Row],[Unit'#]],EquipmentTBL!$A:$A,0)),"NONE")</f>
        <v>2HSCUAPR79CO93785</v>
      </c>
      <c r="O47" s="144" t="str">
        <f>IFERROR(INDEX(EquipmentTBL!$C:$C,MATCH(Table5[[#This Row],[Unit'#]],EquipmentTBL!$A:$A,0)),"NONE")</f>
        <v>International</v>
      </c>
      <c r="P47" s="144">
        <f>IFERROR(INDEX(EquipmentTBL!$B:$B,MATCH(Table5[[#This Row],[Unit'#]],EquipmentTBL!$A:$A,0)),"NONE")</f>
        <v>2009</v>
      </c>
      <c r="Q47" s="144" t="str">
        <f>IFERROR(INDEX(EquipmentTBL!$D:$D,MATCH(Table5[[#This Row],[Unit'#]],EquipmentTBL!$A:$A,0)),"NONE")</f>
        <v>Prostar Eagle</v>
      </c>
      <c r="R47" s="146">
        <f>(5-WEEKDAY(A47,2))+A47</f>
        <v>42307</v>
      </c>
      <c r="S47" s="104">
        <f>((5-WEEKDAY(A47,2))+A47)+7</f>
        <v>42314</v>
      </c>
      <c r="T47" s="144">
        <f>MONTH(A47)</f>
        <v>10</v>
      </c>
      <c r="U47" s="144">
        <f>YEAR(R47)</f>
        <v>2015</v>
      </c>
      <c r="V47" s="298"/>
      <c r="Z47"/>
      <c r="AA47" s="256">
        <v>42408</v>
      </c>
      <c r="AB47" t="s">
        <v>4073</v>
      </c>
      <c r="AC47" t="s">
        <v>4073</v>
      </c>
      <c r="AD47" s="523">
        <v>25</v>
      </c>
      <c r="AE47"/>
    </row>
    <row r="48" spans="1:31">
      <c r="A48" s="146">
        <v>42305</v>
      </c>
      <c r="B48" s="143" t="s">
        <v>3863</v>
      </c>
      <c r="C48" s="298" t="s">
        <v>3979</v>
      </c>
      <c r="D48" s="145">
        <v>92506988</v>
      </c>
      <c r="E48" s="298" t="s">
        <v>3980</v>
      </c>
      <c r="F48" s="298" t="s">
        <v>4023</v>
      </c>
      <c r="G48" s="298" t="s">
        <v>4066</v>
      </c>
      <c r="H48" s="15"/>
      <c r="I48" s="298">
        <v>1</v>
      </c>
      <c r="J48" s="59">
        <v>10.5</v>
      </c>
      <c r="K48" s="59" t="s">
        <v>3983</v>
      </c>
      <c r="L48" s="298" t="s">
        <v>3883</v>
      </c>
      <c r="M48" s="149" t="s">
        <v>3985</v>
      </c>
      <c r="N48" s="144" t="str">
        <f>IFERROR(INDEX(EquipmentTBL!$H:$H,MATCH(Table5[[#This Row],[Unit'#]],EquipmentTBL!$A:$A,0)),"NONE")</f>
        <v>2HSCUAPR88C657099</v>
      </c>
      <c r="O48" s="144" t="str">
        <f>IFERROR(INDEX(EquipmentTBL!$C:$C,MATCH(Table5[[#This Row],[Unit'#]],EquipmentTBL!$A:$A,0)),"NONE")</f>
        <v>International</v>
      </c>
      <c r="P48" s="144">
        <f>IFERROR(INDEX(EquipmentTBL!$B:$B,MATCH(Table5[[#This Row],[Unit'#]],EquipmentTBL!$A:$A,0)),"NONE")</f>
        <v>2008</v>
      </c>
      <c r="Q48" s="144" t="str">
        <f>IFERROR(INDEX(EquipmentTBL!$D:$D,MATCH(Table5[[#This Row],[Unit'#]],EquipmentTBL!$A:$A,0)),"NONE")</f>
        <v>Prostar Eagle</v>
      </c>
      <c r="R48" s="146">
        <f>(5-WEEKDAY(A48,2))+A48</f>
        <v>42307</v>
      </c>
      <c r="S48" s="104">
        <f>((5-WEEKDAY(A48,2))+A48)+7</f>
        <v>42314</v>
      </c>
      <c r="T48" s="144">
        <f>MONTH(A48)</f>
        <v>10</v>
      </c>
      <c r="U48" s="144">
        <f>YEAR(R48)</f>
        <v>2015</v>
      </c>
      <c r="V48" s="298"/>
      <c r="Z48"/>
      <c r="AA48" s="256">
        <v>42409</v>
      </c>
      <c r="AB48" t="s">
        <v>4196</v>
      </c>
      <c r="AC48" t="s">
        <v>4195</v>
      </c>
      <c r="AD48" s="523">
        <v>745.6</v>
      </c>
      <c r="AE48"/>
    </row>
    <row r="49" spans="1:31">
      <c r="A49" s="146">
        <v>42305</v>
      </c>
      <c r="B49" s="143" t="s">
        <v>4067</v>
      </c>
      <c r="C49" s="298" t="s">
        <v>3979</v>
      </c>
      <c r="D49" s="145">
        <v>1011</v>
      </c>
      <c r="E49" s="298" t="s">
        <v>3980</v>
      </c>
      <c r="F49" s="298" t="s">
        <v>4068</v>
      </c>
      <c r="G49" s="298" t="s">
        <v>4069</v>
      </c>
      <c r="H49" s="15"/>
      <c r="I49" s="298" t="s">
        <v>123</v>
      </c>
      <c r="J49" s="59">
        <v>297</v>
      </c>
      <c r="K49" s="59" t="s">
        <v>3983</v>
      </c>
      <c r="L49" s="298" t="s">
        <v>3984</v>
      </c>
      <c r="M49" s="298" t="s">
        <v>3985</v>
      </c>
      <c r="N49" s="144" t="str">
        <f>IFERROR(INDEX(EquipmentTBL!$H:$H,MATCH(Table5[[#This Row],[Unit'#]],EquipmentTBL!$A:$A,0)),"NONE")</f>
        <v>1UYVS25305P500707</v>
      </c>
      <c r="O49" s="144" t="str">
        <f>IFERROR(INDEX(EquipmentTBL!$C:$C,MATCH(Table5[[#This Row],[Unit'#]],EquipmentTBL!$A:$A,0)),"NONE")</f>
        <v>Utility</v>
      </c>
      <c r="P49" s="144">
        <f>IFERROR(INDEX(EquipmentTBL!$B:$B,MATCH(Table5[[#This Row],[Unit'#]],EquipmentTBL!$A:$A,0)),"NONE")</f>
        <v>2005</v>
      </c>
      <c r="Q49" s="144" t="str">
        <f>IFERROR(INDEX(EquipmentTBL!$D:$D,MATCH(Table5[[#This Row],[Unit'#]],EquipmentTBL!$A:$A,0)),"NONE")</f>
        <v>DryVan</v>
      </c>
      <c r="R49" s="146">
        <f>(5-WEEKDAY(A49,2))+A49</f>
        <v>42307</v>
      </c>
      <c r="S49" s="104">
        <f>((5-WEEKDAY(A49,2))+A49)+7</f>
        <v>42314</v>
      </c>
      <c r="T49" s="144">
        <f>MONTH(A49)</f>
        <v>10</v>
      </c>
      <c r="U49" s="144">
        <f>YEAR(R49)</f>
        <v>2015</v>
      </c>
      <c r="V49" s="298"/>
      <c r="Z49"/>
      <c r="AA49" s="256">
        <v>42410</v>
      </c>
      <c r="AB49" t="s">
        <v>4052</v>
      </c>
      <c r="AC49" t="s">
        <v>4197</v>
      </c>
      <c r="AD49" s="523">
        <v>15</v>
      </c>
      <c r="AE49"/>
    </row>
    <row r="50" spans="1:31">
      <c r="A50" s="146">
        <v>42307</v>
      </c>
      <c r="B50" s="143" t="s">
        <v>4067</v>
      </c>
      <c r="C50" s="298" t="s">
        <v>4002</v>
      </c>
      <c r="D50" s="145" t="s">
        <v>4070</v>
      </c>
      <c r="E50" s="298" t="s">
        <v>3980</v>
      </c>
      <c r="F50" s="298" t="s">
        <v>4071</v>
      </c>
      <c r="G50" s="298" t="s">
        <v>4072</v>
      </c>
      <c r="H50" s="15"/>
      <c r="I50" s="298" t="s">
        <v>123</v>
      </c>
      <c r="J50" s="59">
        <v>102.6</v>
      </c>
      <c r="K50" s="59" t="s">
        <v>3983</v>
      </c>
      <c r="L50" s="298" t="s">
        <v>133</v>
      </c>
      <c r="M50" s="298" t="s">
        <v>3985</v>
      </c>
      <c r="N50" s="144" t="str">
        <f>IFERROR(INDEX(EquipmentTBL!$H:$H,MATCH(Table5[[#This Row],[Unit'#]],EquipmentTBL!$A:$A,0)),"NONE")</f>
        <v>1UYVS25305P500707</v>
      </c>
      <c r="O50" s="144" t="str">
        <f>IFERROR(INDEX(EquipmentTBL!$C:$C,MATCH(Table5[[#This Row],[Unit'#]],EquipmentTBL!$A:$A,0)),"NONE")</f>
        <v>Utility</v>
      </c>
      <c r="P50" s="144">
        <f>IFERROR(INDEX(EquipmentTBL!$B:$B,MATCH(Table5[[#This Row],[Unit'#]],EquipmentTBL!$A:$A,0)),"NONE")</f>
        <v>2005</v>
      </c>
      <c r="Q50" s="144" t="str">
        <f>IFERROR(INDEX(EquipmentTBL!$D:$D,MATCH(Table5[[#This Row],[Unit'#]],EquipmentTBL!$A:$A,0)),"NONE")</f>
        <v>DryVan</v>
      </c>
      <c r="R50" s="146">
        <f>(5-WEEKDAY(A50,2))+A50</f>
        <v>42307</v>
      </c>
      <c r="S50" s="104">
        <f>((5-WEEKDAY(A50,2))+A50)+7</f>
        <v>42314</v>
      </c>
      <c r="T50" s="144">
        <f>MONTH(A50)</f>
        <v>10</v>
      </c>
      <c r="U50" s="144">
        <f>YEAR(R50)</f>
        <v>2015</v>
      </c>
      <c r="V50" s="298"/>
      <c r="Z50"/>
      <c r="AA50" s="256">
        <v>42414</v>
      </c>
      <c r="AB50" t="s">
        <v>4050</v>
      </c>
      <c r="AC50" t="s">
        <v>4200</v>
      </c>
      <c r="AD50" s="523">
        <v>34.950000000000003</v>
      </c>
      <c r="AE50"/>
    </row>
    <row r="51" spans="1:31">
      <c r="A51" s="146">
        <v>42309</v>
      </c>
      <c r="B51" s="143" t="s">
        <v>3978</v>
      </c>
      <c r="C51" s="298" t="s">
        <v>3979</v>
      </c>
      <c r="D51" s="145"/>
      <c r="E51" s="298" t="s">
        <v>3980</v>
      </c>
      <c r="F51" s="298" t="s">
        <v>4073</v>
      </c>
      <c r="G51" s="298" t="s">
        <v>4073</v>
      </c>
      <c r="H51" s="15"/>
      <c r="I51" s="298" t="s">
        <v>123</v>
      </c>
      <c r="J51" s="59">
        <v>100</v>
      </c>
      <c r="K51" s="59" t="s">
        <v>3983</v>
      </c>
      <c r="L51" s="298" t="s">
        <v>3988</v>
      </c>
      <c r="M51" s="298" t="s">
        <v>3989</v>
      </c>
      <c r="N51" s="144" t="str">
        <f>IFERROR(INDEX(EquipmentTBL!$H:$H,MATCH(Table5[[#This Row],[Unit'#]],EquipmentTBL!$A:$A,0)),"NONE")</f>
        <v>NONE</v>
      </c>
      <c r="O51" s="144" t="str">
        <f>IFERROR(INDEX(EquipmentTBL!$C:$C,MATCH(Table5[[#This Row],[Unit'#]],EquipmentTBL!$A:$A,0)),"NONE")</f>
        <v>NONE</v>
      </c>
      <c r="P51" s="144" t="str">
        <f>IFERROR(INDEX(EquipmentTBL!$B:$B,MATCH(Table5[[#This Row],[Unit'#]],EquipmentTBL!$A:$A,0)),"NONE")</f>
        <v>NONE</v>
      </c>
      <c r="Q51" s="144" t="str">
        <f>IFERROR(INDEX(EquipmentTBL!$D:$D,MATCH(Table5[[#This Row],[Unit'#]],EquipmentTBL!$A:$A,0)),"NONE")</f>
        <v>NONE</v>
      </c>
      <c r="R51" s="146">
        <f>(5-WEEKDAY(A51,2))+A51</f>
        <v>42307</v>
      </c>
      <c r="S51" s="172">
        <f>((5-WEEKDAY(A51,2))+A51)+7</f>
        <v>42314</v>
      </c>
      <c r="T51" s="15">
        <f>MONTH(A51)</f>
        <v>11</v>
      </c>
      <c r="U51" s="144">
        <f>YEAR(R51)</f>
        <v>2015</v>
      </c>
      <c r="V51" s="298"/>
      <c r="Z51"/>
      <c r="AA51" s="256">
        <v>42416</v>
      </c>
      <c r="AB51" t="s">
        <v>4057</v>
      </c>
      <c r="AC51" t="s">
        <v>4204</v>
      </c>
      <c r="AD51" s="523">
        <v>295</v>
      </c>
      <c r="AE51"/>
    </row>
    <row r="52" spans="1:31">
      <c r="A52" s="146">
        <v>42309</v>
      </c>
      <c r="B52" s="143" t="s">
        <v>3863</v>
      </c>
      <c r="C52" s="298" t="s">
        <v>3997</v>
      </c>
      <c r="D52" s="145" t="s">
        <v>4074</v>
      </c>
      <c r="E52" s="298" t="s">
        <v>3980</v>
      </c>
      <c r="F52" s="298" t="s">
        <v>4000</v>
      </c>
      <c r="G52" s="298" t="s">
        <v>3999</v>
      </c>
      <c r="H52" s="15"/>
      <c r="I52" s="298" t="s">
        <v>123</v>
      </c>
      <c r="J52" s="59">
        <v>125</v>
      </c>
      <c r="K52" s="59" t="s">
        <v>3983</v>
      </c>
      <c r="L52" s="298" t="s">
        <v>133</v>
      </c>
      <c r="M52" s="298" t="s">
        <v>3985</v>
      </c>
      <c r="N52" s="144" t="str">
        <f>IFERROR(INDEX(EquipmentTBL!$H:$H,MATCH(Table5[[#This Row],[Unit'#]],EquipmentTBL!$A:$A,0)),"NONE")</f>
        <v>2HSCUAPR88C657099</v>
      </c>
      <c r="O52" s="144" t="str">
        <f>IFERROR(INDEX(EquipmentTBL!$C:$C,MATCH(Table5[[#This Row],[Unit'#]],EquipmentTBL!$A:$A,0)),"NONE")</f>
        <v>International</v>
      </c>
      <c r="P52" s="144">
        <f>IFERROR(INDEX(EquipmentTBL!$B:$B,MATCH(Table5[[#This Row],[Unit'#]],EquipmentTBL!$A:$A,0)),"NONE")</f>
        <v>2008</v>
      </c>
      <c r="Q52" s="144" t="str">
        <f>IFERROR(INDEX(EquipmentTBL!$D:$D,MATCH(Table5[[#This Row],[Unit'#]],EquipmentTBL!$A:$A,0)),"NONE")</f>
        <v>Prostar Eagle</v>
      </c>
      <c r="R52" s="146">
        <f>(5-WEEKDAY(A52,2))+A52</f>
        <v>42307</v>
      </c>
      <c r="S52" s="104">
        <f>((5-WEEKDAY(A52,2))+A52)+7</f>
        <v>42314</v>
      </c>
      <c r="T52" s="144">
        <f>MONTH(A52)</f>
        <v>11</v>
      </c>
      <c r="U52" s="144">
        <f>YEAR(R52)</f>
        <v>2015</v>
      </c>
      <c r="V52" s="298"/>
      <c r="Z52"/>
      <c r="AA52"/>
      <c r="AB52" t="s">
        <v>4042</v>
      </c>
      <c r="AC52" t="s">
        <v>4203</v>
      </c>
      <c r="AD52" s="523">
        <v>11</v>
      </c>
      <c r="AE52"/>
    </row>
    <row r="53" spans="1:31">
      <c r="A53" s="146">
        <v>42309</v>
      </c>
      <c r="B53" s="143" t="s">
        <v>3896</v>
      </c>
      <c r="C53" s="298" t="s">
        <v>3997</v>
      </c>
      <c r="D53" s="145" t="s">
        <v>4074</v>
      </c>
      <c r="E53" s="298" t="s">
        <v>3980</v>
      </c>
      <c r="F53" s="298" t="s">
        <v>4000</v>
      </c>
      <c r="G53" s="298" t="s">
        <v>3999</v>
      </c>
      <c r="H53" s="15"/>
      <c r="I53" s="298" t="s">
        <v>123</v>
      </c>
      <c r="J53" s="59">
        <v>125</v>
      </c>
      <c r="K53" s="59" t="s">
        <v>3983</v>
      </c>
      <c r="L53" s="298" t="s">
        <v>133</v>
      </c>
      <c r="M53" s="298" t="s">
        <v>3985</v>
      </c>
      <c r="N53" s="144" t="str">
        <f>IFERROR(INDEX(EquipmentTBL!$H:$H,MATCH(Table5[[#This Row],[Unit'#]],EquipmentTBL!$A:$A,0)),"NONE")</f>
        <v>2HSCUAPR79CO93785</v>
      </c>
      <c r="O53" s="144" t="str">
        <f>IFERROR(INDEX(EquipmentTBL!$C:$C,MATCH(Table5[[#This Row],[Unit'#]],EquipmentTBL!$A:$A,0)),"NONE")</f>
        <v>International</v>
      </c>
      <c r="P53" s="144">
        <f>IFERROR(INDEX(EquipmentTBL!$B:$B,MATCH(Table5[[#This Row],[Unit'#]],EquipmentTBL!$A:$A,0)),"NONE")</f>
        <v>2009</v>
      </c>
      <c r="Q53" s="144" t="str">
        <f>IFERROR(INDEX(EquipmentTBL!$D:$D,MATCH(Table5[[#This Row],[Unit'#]],EquipmentTBL!$A:$A,0)),"NONE")</f>
        <v>Prostar Eagle</v>
      </c>
      <c r="R53" s="146">
        <f>(5-WEEKDAY(A53,2))+A53</f>
        <v>42307</v>
      </c>
      <c r="S53" s="104">
        <f>((5-WEEKDAY(A53,2))+A53)+7</f>
        <v>42314</v>
      </c>
      <c r="T53" s="144">
        <f>MONTH(A53)</f>
        <v>11</v>
      </c>
      <c r="U53" s="144">
        <f>YEAR(R53)</f>
        <v>2015</v>
      </c>
      <c r="V53" s="298"/>
      <c r="Z53"/>
      <c r="AA53" s="256">
        <v>42422</v>
      </c>
      <c r="AB53" t="s">
        <v>4057</v>
      </c>
      <c r="AC53" t="s">
        <v>4211</v>
      </c>
      <c r="AD53" s="523">
        <v>275</v>
      </c>
      <c r="AE53"/>
    </row>
    <row r="54" spans="1:31">
      <c r="A54" s="146">
        <v>42310</v>
      </c>
      <c r="B54" s="143" t="s">
        <v>3896</v>
      </c>
      <c r="C54" s="298" t="s">
        <v>3979</v>
      </c>
      <c r="D54" s="145" t="s">
        <v>4075</v>
      </c>
      <c r="E54" s="298" t="s">
        <v>3980</v>
      </c>
      <c r="F54" s="298" t="s">
        <v>4076</v>
      </c>
      <c r="G54" s="298" t="s">
        <v>3996</v>
      </c>
      <c r="H54" s="15"/>
      <c r="I54" s="298" t="s">
        <v>123</v>
      </c>
      <c r="J54" s="59">
        <v>1848.05</v>
      </c>
      <c r="K54" s="59" t="s">
        <v>3983</v>
      </c>
      <c r="L54" s="298" t="s">
        <v>3984</v>
      </c>
      <c r="M54" s="298" t="s">
        <v>3985</v>
      </c>
      <c r="N54" s="144" t="str">
        <f>IFERROR(INDEX(EquipmentTBL!$H:$H,MATCH(Table5[[#This Row],[Unit'#]],EquipmentTBL!$A:$A,0)),"NONE")</f>
        <v>2HSCUAPR79CO93785</v>
      </c>
      <c r="O54" s="144" t="str">
        <f>IFERROR(INDEX(EquipmentTBL!$C:$C,MATCH(Table5[[#This Row],[Unit'#]],EquipmentTBL!$A:$A,0)),"NONE")</f>
        <v>International</v>
      </c>
      <c r="P54" s="144">
        <f>IFERROR(INDEX(EquipmentTBL!$B:$B,MATCH(Table5[[#This Row],[Unit'#]],EquipmentTBL!$A:$A,0)),"NONE")</f>
        <v>2009</v>
      </c>
      <c r="Q54" s="144" t="str">
        <f>IFERROR(INDEX(EquipmentTBL!$D:$D,MATCH(Table5[[#This Row],[Unit'#]],EquipmentTBL!$A:$A,0)),"NONE")</f>
        <v>Prostar Eagle</v>
      </c>
      <c r="R54" s="146">
        <f>(5-WEEKDAY(A54,2))+A54</f>
        <v>42314</v>
      </c>
      <c r="S54" s="104">
        <f>((5-WEEKDAY(A54,2))+A54)+7</f>
        <v>42321</v>
      </c>
      <c r="T54" s="144">
        <f>MONTH(A54)</f>
        <v>11</v>
      </c>
      <c r="U54" s="144">
        <f>YEAR(R54)</f>
        <v>2015</v>
      </c>
      <c r="V54" s="298"/>
      <c r="Z54"/>
      <c r="AA54" s="256">
        <v>42423</v>
      </c>
      <c r="AB54" t="s">
        <v>4179</v>
      </c>
      <c r="AC54" t="s">
        <v>4178</v>
      </c>
      <c r="AD54" s="523">
        <v>35.299999999999997</v>
      </c>
      <c r="AE54"/>
    </row>
    <row r="55" spans="1:31">
      <c r="A55" s="146">
        <v>42311</v>
      </c>
      <c r="B55" s="143" t="s">
        <v>3978</v>
      </c>
      <c r="C55" s="298" t="s">
        <v>3979</v>
      </c>
      <c r="D55" s="145"/>
      <c r="E55" s="298" t="s">
        <v>3980</v>
      </c>
      <c r="F55" s="298" t="s">
        <v>4077</v>
      </c>
      <c r="G55" s="298" t="s">
        <v>4078</v>
      </c>
      <c r="H55" s="171"/>
      <c r="I55" s="298" t="s">
        <v>123</v>
      </c>
      <c r="J55" s="59">
        <v>5.68</v>
      </c>
      <c r="K55" s="59" t="s">
        <v>3983</v>
      </c>
      <c r="L55" s="298" t="s">
        <v>3984</v>
      </c>
      <c r="M55" s="298" t="s">
        <v>3985</v>
      </c>
      <c r="N55" s="144" t="str">
        <f>IFERROR(INDEX(EquipmentTBL!$H:$H,MATCH(Table5[[#This Row],[Unit'#]],EquipmentTBL!$A:$A,0)),"NONE")</f>
        <v>NONE</v>
      </c>
      <c r="O55" s="144" t="str">
        <f>IFERROR(INDEX(EquipmentTBL!$C:$C,MATCH(Table5[[#This Row],[Unit'#]],EquipmentTBL!$A:$A,0)),"NONE")</f>
        <v>NONE</v>
      </c>
      <c r="P55" s="144" t="str">
        <f>IFERROR(INDEX(EquipmentTBL!$B:$B,MATCH(Table5[[#This Row],[Unit'#]],EquipmentTBL!$A:$A,0)),"NONE")</f>
        <v>NONE</v>
      </c>
      <c r="Q55" s="144" t="str">
        <f>IFERROR(INDEX(EquipmentTBL!$D:$D,MATCH(Table5[[#This Row],[Unit'#]],EquipmentTBL!$A:$A,0)),"NONE")</f>
        <v>NONE</v>
      </c>
      <c r="R55" s="146">
        <f>(5-WEEKDAY(A55,2))+A55</f>
        <v>42314</v>
      </c>
      <c r="S55" s="104">
        <f>((5-WEEKDAY(A55,2))+A55)+7</f>
        <v>42321</v>
      </c>
      <c r="T55" s="144">
        <f>MONTH(A55)</f>
        <v>11</v>
      </c>
      <c r="U55" s="144">
        <f>YEAR(R55)</f>
        <v>2015</v>
      </c>
      <c r="V55" s="298"/>
      <c r="Z55"/>
      <c r="AA55" s="256">
        <v>42434</v>
      </c>
      <c r="AB55" t="s">
        <v>4223</v>
      </c>
      <c r="AC55" t="s">
        <v>4222</v>
      </c>
      <c r="AD55" s="523">
        <v>20</v>
      </c>
      <c r="AE55"/>
    </row>
    <row r="56" spans="1:31">
      <c r="A56" s="146">
        <v>42312</v>
      </c>
      <c r="B56" s="143" t="s">
        <v>3896</v>
      </c>
      <c r="C56" s="298" t="s">
        <v>4002</v>
      </c>
      <c r="D56" s="145">
        <v>1015</v>
      </c>
      <c r="E56" s="298" t="s">
        <v>4079</v>
      </c>
      <c r="F56" s="298" t="s">
        <v>4080</v>
      </c>
      <c r="G56" s="298" t="s">
        <v>4081</v>
      </c>
      <c r="H56" s="15"/>
      <c r="I56" s="298" t="s">
        <v>123</v>
      </c>
      <c r="J56" s="59">
        <v>2400</v>
      </c>
      <c r="K56" s="59" t="s">
        <v>3983</v>
      </c>
      <c r="L56" s="298" t="s">
        <v>3984</v>
      </c>
      <c r="M56" s="298" t="s">
        <v>3985</v>
      </c>
      <c r="N56" s="144" t="str">
        <f>IFERROR(INDEX(EquipmentTBL!$H:$H,MATCH(Table5[[#This Row],[Unit'#]],EquipmentTBL!$A:$A,0)),"NONE")</f>
        <v>2HSCUAPR79CO93785</v>
      </c>
      <c r="O56" s="144" t="str">
        <f>IFERROR(INDEX(EquipmentTBL!$C:$C,MATCH(Table5[[#This Row],[Unit'#]],EquipmentTBL!$A:$A,0)),"NONE")</f>
        <v>International</v>
      </c>
      <c r="P56" s="144">
        <f>IFERROR(INDEX(EquipmentTBL!$B:$B,MATCH(Table5[[#This Row],[Unit'#]],EquipmentTBL!$A:$A,0)),"NONE")</f>
        <v>2009</v>
      </c>
      <c r="Q56" s="144" t="str">
        <f>IFERROR(INDEX(EquipmentTBL!$D:$D,MATCH(Table5[[#This Row],[Unit'#]],EquipmentTBL!$A:$A,0)),"NONE")</f>
        <v>Prostar Eagle</v>
      </c>
      <c r="R56" s="146">
        <f>(5-WEEKDAY(A56,2))+A56</f>
        <v>42314</v>
      </c>
      <c r="S56" s="104">
        <f>((5-WEEKDAY(A56,2))+A56)+7</f>
        <v>42321</v>
      </c>
      <c r="T56" s="144">
        <f>MONTH(A56)</f>
        <v>11</v>
      </c>
      <c r="U56" s="144">
        <f>YEAR(R56)</f>
        <v>2015</v>
      </c>
      <c r="V56" s="298"/>
      <c r="Z56"/>
      <c r="AA56" s="256">
        <v>42437</v>
      </c>
      <c r="AB56" t="s">
        <v>4073</v>
      </c>
      <c r="AC56" t="s">
        <v>4073</v>
      </c>
      <c r="AD56" s="523">
        <v>25</v>
      </c>
      <c r="AE56"/>
    </row>
    <row r="57" spans="1:31">
      <c r="A57" s="146">
        <v>42315</v>
      </c>
      <c r="B57" s="143" t="s">
        <v>3978</v>
      </c>
      <c r="C57" s="298" t="s">
        <v>3990</v>
      </c>
      <c r="D57" s="145"/>
      <c r="E57" s="298" t="s">
        <v>3980</v>
      </c>
      <c r="F57" s="298" t="s">
        <v>4082</v>
      </c>
      <c r="G57" s="298" t="s">
        <v>4083</v>
      </c>
      <c r="H57" s="15"/>
      <c r="I57" s="298" t="s">
        <v>123</v>
      </c>
      <c r="J57" s="59">
        <v>8.67</v>
      </c>
      <c r="K57" s="59" t="s">
        <v>3983</v>
      </c>
      <c r="L57" s="298" t="s">
        <v>3839</v>
      </c>
      <c r="M57" s="298" t="s">
        <v>3985</v>
      </c>
      <c r="N57" s="144" t="str">
        <f>IFERROR(INDEX(EquipmentTBL!$H:$H,MATCH(Table5[[#This Row],[Unit'#]],EquipmentTBL!$A:$A,0)),"NONE")</f>
        <v>NONE</v>
      </c>
      <c r="O57" s="144" t="str">
        <f>IFERROR(INDEX(EquipmentTBL!$C:$C,MATCH(Table5[[#This Row],[Unit'#]],EquipmentTBL!$A:$A,0)),"NONE")</f>
        <v>NONE</v>
      </c>
      <c r="P57" s="144" t="str">
        <f>IFERROR(INDEX(EquipmentTBL!$B:$B,MATCH(Table5[[#This Row],[Unit'#]],EquipmentTBL!$A:$A,0)),"NONE")</f>
        <v>NONE</v>
      </c>
      <c r="Q57" s="144" t="str">
        <f>IFERROR(INDEX(EquipmentTBL!$D:$D,MATCH(Table5[[#This Row],[Unit'#]],EquipmentTBL!$A:$A,0)),"NONE")</f>
        <v>NONE</v>
      </c>
      <c r="R57" s="146">
        <f>(5-WEEKDAY(A57,2))+A57</f>
        <v>42314</v>
      </c>
      <c r="S57" s="104">
        <f>((5-WEEKDAY(A57,2))+A57)+7</f>
        <v>42321</v>
      </c>
      <c r="T57" s="144">
        <f>MONTH(A57)</f>
        <v>11</v>
      </c>
      <c r="U57" s="144">
        <f>YEAR(R57)</f>
        <v>2015</v>
      </c>
      <c r="V57" s="298"/>
      <c r="Z57"/>
      <c r="AA57" s="256">
        <v>42439</v>
      </c>
      <c r="AB57" t="s">
        <v>4087</v>
      </c>
      <c r="AC57" t="s">
        <v>4087</v>
      </c>
      <c r="AD57" s="523">
        <v>3</v>
      </c>
      <c r="AE57"/>
    </row>
    <row r="58" spans="1:31">
      <c r="A58" s="146">
        <v>42315</v>
      </c>
      <c r="B58" s="143" t="s">
        <v>3896</v>
      </c>
      <c r="C58" s="298" t="s">
        <v>3979</v>
      </c>
      <c r="D58" s="145"/>
      <c r="E58" s="298" t="s">
        <v>3980</v>
      </c>
      <c r="F58" s="298" t="s">
        <v>4084</v>
      </c>
      <c r="G58" s="298" t="s">
        <v>4026</v>
      </c>
      <c r="H58" s="171"/>
      <c r="I58" s="298" t="s">
        <v>123</v>
      </c>
      <c r="J58" s="59">
        <v>17.36</v>
      </c>
      <c r="K58" s="59" t="s">
        <v>3983</v>
      </c>
      <c r="L58" s="298" t="s">
        <v>3984</v>
      </c>
      <c r="M58" s="298" t="s">
        <v>3985</v>
      </c>
      <c r="N58" s="144" t="str">
        <f>IFERROR(INDEX(EquipmentTBL!$H:$H,MATCH(Table5[[#This Row],[Unit'#]],EquipmentTBL!$A:$A,0)),"NONE")</f>
        <v>2HSCUAPR79CO93785</v>
      </c>
      <c r="O58" s="144" t="str">
        <f>IFERROR(INDEX(EquipmentTBL!$C:$C,MATCH(Table5[[#This Row],[Unit'#]],EquipmentTBL!$A:$A,0)),"NONE")</f>
        <v>International</v>
      </c>
      <c r="P58" s="144">
        <f>IFERROR(INDEX(EquipmentTBL!$B:$B,MATCH(Table5[[#This Row],[Unit'#]],EquipmentTBL!$A:$A,0)),"NONE")</f>
        <v>2009</v>
      </c>
      <c r="Q58" s="144" t="str">
        <f>IFERROR(INDEX(EquipmentTBL!$D:$D,MATCH(Table5[[#This Row],[Unit'#]],EquipmentTBL!$A:$A,0)),"NONE")</f>
        <v>Prostar Eagle</v>
      </c>
      <c r="R58" s="146">
        <f>(5-WEEKDAY(A58,2))+A58</f>
        <v>42314</v>
      </c>
      <c r="S58" s="104">
        <f>((5-WEEKDAY(A58,2))+A58)+7</f>
        <v>42321</v>
      </c>
      <c r="T58" s="144">
        <f>MONTH(A58)</f>
        <v>11</v>
      </c>
      <c r="U58" s="144">
        <f>YEAR(R58)</f>
        <v>2015</v>
      </c>
      <c r="V58" s="298"/>
      <c r="Z58"/>
      <c r="AA58" s="256">
        <v>42443</v>
      </c>
      <c r="AB58" t="s">
        <v>4050</v>
      </c>
      <c r="AC58" t="s">
        <v>4200</v>
      </c>
      <c r="AD58" s="523">
        <v>34.950000000000003</v>
      </c>
      <c r="AE58"/>
    </row>
    <row r="59" spans="1:31">
      <c r="A59" s="146">
        <v>42315</v>
      </c>
      <c r="B59" s="143" t="s">
        <v>3896</v>
      </c>
      <c r="C59" s="298" t="s">
        <v>3979</v>
      </c>
      <c r="D59" s="145">
        <v>1042000314</v>
      </c>
      <c r="E59" s="298" t="s">
        <v>3980</v>
      </c>
      <c r="F59" s="298" t="s">
        <v>4084</v>
      </c>
      <c r="G59" s="298" t="s">
        <v>4026</v>
      </c>
      <c r="H59" s="15"/>
      <c r="I59" s="298" t="s">
        <v>123</v>
      </c>
      <c r="J59" s="59">
        <v>4.2</v>
      </c>
      <c r="K59" s="59" t="s">
        <v>3983</v>
      </c>
      <c r="L59" s="298" t="s">
        <v>4085</v>
      </c>
      <c r="M59" s="298" t="s">
        <v>3985</v>
      </c>
      <c r="N59" s="144" t="str">
        <f>IFERROR(INDEX(EquipmentTBL!$H:$H,MATCH(Table5[[#This Row],[Unit'#]],EquipmentTBL!$A:$A,0)),"NONE")</f>
        <v>2HSCUAPR79CO93785</v>
      </c>
      <c r="O59" s="144" t="str">
        <f>IFERROR(INDEX(EquipmentTBL!$C:$C,MATCH(Table5[[#This Row],[Unit'#]],EquipmentTBL!$A:$A,0)),"NONE")</f>
        <v>International</v>
      </c>
      <c r="P59" s="144">
        <f>IFERROR(INDEX(EquipmentTBL!$B:$B,MATCH(Table5[[#This Row],[Unit'#]],EquipmentTBL!$A:$A,0)),"NONE")</f>
        <v>2009</v>
      </c>
      <c r="Q59" s="144" t="str">
        <f>IFERROR(INDEX(EquipmentTBL!$D:$D,MATCH(Table5[[#This Row],[Unit'#]],EquipmentTBL!$A:$A,0)),"NONE")</f>
        <v>Prostar Eagle</v>
      </c>
      <c r="R59" s="146">
        <f>(5-WEEKDAY(A59,2))+A59</f>
        <v>42314</v>
      </c>
      <c r="S59" s="104">
        <f>((5-WEEKDAY(A59,2))+A59)+7</f>
        <v>42321</v>
      </c>
      <c r="T59" s="144">
        <f>MONTH(A59)</f>
        <v>11</v>
      </c>
      <c r="U59" s="144">
        <f>YEAR(R59)</f>
        <v>2015</v>
      </c>
      <c r="V59" s="298"/>
      <c r="Z59"/>
      <c r="AA59" s="256">
        <v>42444</v>
      </c>
      <c r="AB59" t="s">
        <v>4042</v>
      </c>
      <c r="AC59" t="s">
        <v>4228</v>
      </c>
      <c r="AD59" s="523">
        <v>8</v>
      </c>
      <c r="AE59"/>
    </row>
    <row r="60" spans="1:31">
      <c r="A60" s="146">
        <v>42315</v>
      </c>
      <c r="B60" s="143" t="s">
        <v>3896</v>
      </c>
      <c r="C60" s="298" t="s">
        <v>3979</v>
      </c>
      <c r="D60" s="145">
        <v>531100250569</v>
      </c>
      <c r="E60" s="298" t="s">
        <v>3980</v>
      </c>
      <c r="F60" s="298" t="s">
        <v>4084</v>
      </c>
      <c r="G60" s="298" t="s">
        <v>4026</v>
      </c>
      <c r="H60" s="15"/>
      <c r="I60" s="298" t="s">
        <v>123</v>
      </c>
      <c r="J60" s="59">
        <v>17.36</v>
      </c>
      <c r="K60" s="59" t="s">
        <v>3983</v>
      </c>
      <c r="L60" s="298" t="s">
        <v>133</v>
      </c>
      <c r="M60" s="298" t="s">
        <v>3985</v>
      </c>
      <c r="N60" s="144" t="str">
        <f>IFERROR(INDEX(EquipmentTBL!$H:$H,MATCH(Table5[[#This Row],[Unit'#]],EquipmentTBL!$A:$A,0)),"NONE")</f>
        <v>2HSCUAPR79CO93785</v>
      </c>
      <c r="O60" s="144" t="str">
        <f>IFERROR(INDEX(EquipmentTBL!$C:$C,MATCH(Table5[[#This Row],[Unit'#]],EquipmentTBL!$A:$A,0)),"NONE")</f>
        <v>International</v>
      </c>
      <c r="P60" s="144">
        <f>IFERROR(INDEX(EquipmentTBL!$B:$B,MATCH(Table5[[#This Row],[Unit'#]],EquipmentTBL!$A:$A,0)),"NONE")</f>
        <v>2009</v>
      </c>
      <c r="Q60" s="144" t="str">
        <f>IFERROR(INDEX(EquipmentTBL!$D:$D,MATCH(Table5[[#This Row],[Unit'#]],EquipmentTBL!$A:$A,0)),"NONE")</f>
        <v>Prostar Eagle</v>
      </c>
      <c r="R60" s="146">
        <f>(5-WEEKDAY(A60,2))+A60</f>
        <v>42314</v>
      </c>
      <c r="S60" s="104">
        <f>((5-WEEKDAY(A60,2))+A60)+7</f>
        <v>42321</v>
      </c>
      <c r="T60" s="144">
        <f>MONTH(A60)</f>
        <v>11</v>
      </c>
      <c r="U60" s="144">
        <f>YEAR(R60)</f>
        <v>2015</v>
      </c>
      <c r="V60" s="298"/>
      <c r="Z60"/>
      <c r="AA60"/>
      <c r="AB60"/>
      <c r="AC60" t="s">
        <v>4229</v>
      </c>
      <c r="AD60" s="523">
        <v>11</v>
      </c>
      <c r="AE60"/>
    </row>
    <row r="61" spans="1:31">
      <c r="A61" s="146">
        <v>42315</v>
      </c>
      <c r="B61" s="143" t="s">
        <v>3896</v>
      </c>
      <c r="C61" s="298" t="s">
        <v>3990</v>
      </c>
      <c r="D61" s="145">
        <v>3.7106079711072E+16</v>
      </c>
      <c r="E61" s="298" t="s">
        <v>3980</v>
      </c>
      <c r="F61" s="298" t="s">
        <v>4086</v>
      </c>
      <c r="G61" s="298" t="s">
        <v>4083</v>
      </c>
      <c r="H61" s="15"/>
      <c r="I61" s="298" t="s">
        <v>123</v>
      </c>
      <c r="J61" s="59">
        <v>8.3699999999999992</v>
      </c>
      <c r="K61" s="59" t="s">
        <v>3983</v>
      </c>
      <c r="L61" s="298" t="s">
        <v>133</v>
      </c>
      <c r="M61" s="298" t="s">
        <v>3985</v>
      </c>
      <c r="N61" s="144" t="str">
        <f>IFERROR(INDEX(EquipmentTBL!$H:$H,MATCH(Table5[[#This Row],[Unit'#]],EquipmentTBL!$A:$A,0)),"NONE")</f>
        <v>2HSCUAPR79CO93785</v>
      </c>
      <c r="O61" s="144" t="str">
        <f>IFERROR(INDEX(EquipmentTBL!$C:$C,MATCH(Table5[[#This Row],[Unit'#]],EquipmentTBL!$A:$A,0)),"NONE")</f>
        <v>International</v>
      </c>
      <c r="P61" s="144">
        <f>IFERROR(INDEX(EquipmentTBL!$B:$B,MATCH(Table5[[#This Row],[Unit'#]],EquipmentTBL!$A:$A,0)),"NONE")</f>
        <v>2009</v>
      </c>
      <c r="Q61" s="144" t="str">
        <f>IFERROR(INDEX(EquipmentTBL!$D:$D,MATCH(Table5[[#This Row],[Unit'#]],EquipmentTBL!$A:$A,0)),"NONE")</f>
        <v>Prostar Eagle</v>
      </c>
      <c r="R61" s="146">
        <f>(5-WEEKDAY(A61,2))+A61</f>
        <v>42314</v>
      </c>
      <c r="S61" s="104">
        <f>((5-WEEKDAY(A61,2))+A61)+7</f>
        <v>42321</v>
      </c>
      <c r="T61" s="144">
        <f>MONTH(A61)</f>
        <v>11</v>
      </c>
      <c r="U61" s="144">
        <f>YEAR(R61)</f>
        <v>2015</v>
      </c>
      <c r="V61" s="298"/>
      <c r="Z61"/>
      <c r="AA61" s="256">
        <v>42451</v>
      </c>
      <c r="AB61" t="s">
        <v>4179</v>
      </c>
      <c r="AC61" t="s">
        <v>4178</v>
      </c>
      <c r="AD61" s="523">
        <v>35.299999999999997</v>
      </c>
      <c r="AE61"/>
    </row>
    <row r="62" spans="1:31">
      <c r="A62" s="146">
        <v>42317</v>
      </c>
      <c r="B62" s="143" t="s">
        <v>3978</v>
      </c>
      <c r="C62" s="298" t="s">
        <v>3979</v>
      </c>
      <c r="D62" s="145">
        <v>1014</v>
      </c>
      <c r="E62" s="298" t="s">
        <v>3980</v>
      </c>
      <c r="F62" s="298" t="s">
        <v>4087</v>
      </c>
      <c r="G62" s="298" t="s">
        <v>4087</v>
      </c>
      <c r="H62" s="15"/>
      <c r="I62" s="298" t="s">
        <v>123</v>
      </c>
      <c r="J62" s="59">
        <v>47</v>
      </c>
      <c r="K62" s="59" t="s">
        <v>3983</v>
      </c>
      <c r="L62" s="298" t="s">
        <v>3984</v>
      </c>
      <c r="M62" s="298" t="s">
        <v>3985</v>
      </c>
      <c r="N62" s="144" t="str">
        <f>IFERROR(INDEX(EquipmentTBL!$H:$H,MATCH(Table5[[#This Row],[Unit'#]],EquipmentTBL!$A:$A,0)),"NONE")</f>
        <v>NONE</v>
      </c>
      <c r="O62" s="144" t="str">
        <f>IFERROR(INDEX(EquipmentTBL!$C:$C,MATCH(Table5[[#This Row],[Unit'#]],EquipmentTBL!$A:$A,0)),"NONE")</f>
        <v>NONE</v>
      </c>
      <c r="P62" s="144" t="str">
        <f>IFERROR(INDEX(EquipmentTBL!$B:$B,MATCH(Table5[[#This Row],[Unit'#]],EquipmentTBL!$A:$A,0)),"NONE")</f>
        <v>NONE</v>
      </c>
      <c r="Q62" s="144" t="str">
        <f>IFERROR(INDEX(EquipmentTBL!$D:$D,MATCH(Table5[[#This Row],[Unit'#]],EquipmentTBL!$A:$A,0)),"NONE")</f>
        <v>NONE</v>
      </c>
      <c r="R62" s="146">
        <f>(5-WEEKDAY(A62,2))+A62</f>
        <v>42321</v>
      </c>
      <c r="S62" s="104">
        <f>((5-WEEKDAY(A62,2))+A62)+7</f>
        <v>42328</v>
      </c>
      <c r="T62" s="144">
        <f>MONTH(A62)</f>
        <v>11</v>
      </c>
      <c r="U62" s="144">
        <f>YEAR(R62)</f>
        <v>2015</v>
      </c>
      <c r="V62" s="298"/>
      <c r="Z62"/>
      <c r="AA62" s="256">
        <v>42466</v>
      </c>
      <c r="AB62" t="s">
        <v>4090</v>
      </c>
      <c r="AC62" t="s">
        <v>4243</v>
      </c>
      <c r="AD62" s="523">
        <v>302.7</v>
      </c>
      <c r="AE62"/>
    </row>
    <row r="63" spans="1:31">
      <c r="A63" s="146">
        <v>42320</v>
      </c>
      <c r="B63" s="143" t="s">
        <v>3978</v>
      </c>
      <c r="C63" s="298" t="s">
        <v>3979</v>
      </c>
      <c r="D63" s="145" t="s">
        <v>4088</v>
      </c>
      <c r="E63" s="298" t="s">
        <v>3980</v>
      </c>
      <c r="F63" s="298" t="s">
        <v>4089</v>
      </c>
      <c r="G63" s="571" t="s">
        <v>4090</v>
      </c>
      <c r="H63" s="15"/>
      <c r="I63" s="298" t="s">
        <v>123</v>
      </c>
      <c r="J63" s="59">
        <v>32</v>
      </c>
      <c r="K63" s="59" t="s">
        <v>3983</v>
      </c>
      <c r="L63" s="298" t="s">
        <v>133</v>
      </c>
      <c r="M63" s="298" t="s">
        <v>3985</v>
      </c>
      <c r="N63" s="144" t="str">
        <f>IFERROR(INDEX(EquipmentTBL!$H:$H,MATCH(Table5[[#This Row],[Unit'#]],EquipmentTBL!$A:$A,0)),"NONE")</f>
        <v>NONE</v>
      </c>
      <c r="O63" s="144" t="str">
        <f>IFERROR(INDEX(EquipmentTBL!$C:$C,MATCH(Table5[[#This Row],[Unit'#]],EquipmentTBL!$A:$A,0)),"NONE")</f>
        <v>NONE</v>
      </c>
      <c r="P63" s="144" t="str">
        <f>IFERROR(INDEX(EquipmentTBL!$B:$B,MATCH(Table5[[#This Row],[Unit'#]],EquipmentTBL!$A:$A,0)),"NONE")</f>
        <v>NONE</v>
      </c>
      <c r="Q63" s="144" t="str">
        <f>IFERROR(INDEX(EquipmentTBL!$D:$D,MATCH(Table5[[#This Row],[Unit'#]],EquipmentTBL!$A:$A,0)),"NONE")</f>
        <v>NONE</v>
      </c>
      <c r="R63" s="146">
        <f>(5-WEEKDAY(A63,2))+A63</f>
        <v>42321</v>
      </c>
      <c r="S63" s="104">
        <f>((5-WEEKDAY(A63,2))+A63)+7</f>
        <v>42328</v>
      </c>
      <c r="T63" s="144">
        <f>MONTH(A63)</f>
        <v>11</v>
      </c>
      <c r="U63" s="144">
        <f>YEAR(R63)</f>
        <v>2015</v>
      </c>
      <c r="V63" s="298"/>
      <c r="Z63"/>
      <c r="AA63" s="256">
        <v>42470</v>
      </c>
      <c r="AB63" t="s">
        <v>4087</v>
      </c>
      <c r="AC63" t="s">
        <v>4087</v>
      </c>
      <c r="AD63" s="523">
        <v>3</v>
      </c>
      <c r="AE63"/>
    </row>
    <row r="64" spans="1:31">
      <c r="A64" s="146">
        <v>42321</v>
      </c>
      <c r="B64" s="143" t="s">
        <v>3896</v>
      </c>
      <c r="C64" s="298" t="s">
        <v>4002</v>
      </c>
      <c r="D64" s="145" t="s">
        <v>4091</v>
      </c>
      <c r="E64" s="298" t="s">
        <v>3980</v>
      </c>
      <c r="F64" s="298" t="s">
        <v>4092</v>
      </c>
      <c r="G64" s="298" t="s">
        <v>4093</v>
      </c>
      <c r="H64" s="15"/>
      <c r="I64" s="298" t="s">
        <v>123</v>
      </c>
      <c r="J64" s="59">
        <v>65.400000000000006</v>
      </c>
      <c r="K64" s="59" t="s">
        <v>3983</v>
      </c>
      <c r="L64" s="298" t="s">
        <v>133</v>
      </c>
      <c r="M64" s="298" t="s">
        <v>3985</v>
      </c>
      <c r="N64" s="144" t="str">
        <f>IFERROR(INDEX(EquipmentTBL!$H:$H,MATCH(Table5[[#This Row],[Unit'#]],EquipmentTBL!$A:$A,0)),"NONE")</f>
        <v>2HSCUAPR79CO93785</v>
      </c>
      <c r="O64" s="144" t="str">
        <f>IFERROR(INDEX(EquipmentTBL!$C:$C,MATCH(Table5[[#This Row],[Unit'#]],EquipmentTBL!$A:$A,0)),"NONE")</f>
        <v>International</v>
      </c>
      <c r="P64" s="144">
        <f>IFERROR(INDEX(EquipmentTBL!$B:$B,MATCH(Table5[[#This Row],[Unit'#]],EquipmentTBL!$A:$A,0)),"NONE")</f>
        <v>2009</v>
      </c>
      <c r="Q64" s="144" t="str">
        <f>IFERROR(INDEX(EquipmentTBL!$D:$D,MATCH(Table5[[#This Row],[Unit'#]],EquipmentTBL!$A:$A,0)),"NONE")</f>
        <v>Prostar Eagle</v>
      </c>
      <c r="R64" s="146">
        <f>(5-WEEKDAY(A64,2))+A64</f>
        <v>42321</v>
      </c>
      <c r="S64" s="104">
        <f>((5-WEEKDAY(A64,2))+A64)+7</f>
        <v>42328</v>
      </c>
      <c r="T64" s="144">
        <f>MONTH(A64)</f>
        <v>11</v>
      </c>
      <c r="U64" s="144">
        <f>YEAR(R64)</f>
        <v>2015</v>
      </c>
      <c r="V64" s="298"/>
      <c r="Z64"/>
      <c r="AA64" s="256">
        <v>42471</v>
      </c>
      <c r="AB64" t="s">
        <v>4073</v>
      </c>
      <c r="AC64" t="s">
        <v>4073</v>
      </c>
      <c r="AD64" s="523">
        <v>115</v>
      </c>
      <c r="AE64"/>
    </row>
    <row r="65" spans="1:31">
      <c r="A65" s="146">
        <v>42321</v>
      </c>
      <c r="B65" s="143" t="s">
        <v>3896</v>
      </c>
      <c r="C65" s="298" t="s">
        <v>4002</v>
      </c>
      <c r="D65" s="145" t="s">
        <v>4094</v>
      </c>
      <c r="E65" s="298" t="s">
        <v>4028</v>
      </c>
      <c r="F65" s="298" t="s">
        <v>4095</v>
      </c>
      <c r="G65" s="298" t="s">
        <v>4096</v>
      </c>
      <c r="H65" s="15"/>
      <c r="I65" s="298">
        <v>1</v>
      </c>
      <c r="J65" s="59">
        <v>192.57</v>
      </c>
      <c r="K65" s="59" t="s">
        <v>3983</v>
      </c>
      <c r="L65" s="298" t="s">
        <v>133</v>
      </c>
      <c r="M65" s="298" t="s">
        <v>3985</v>
      </c>
      <c r="N65" s="144" t="str">
        <f>IFERROR(INDEX(EquipmentTBL!$H:$H,MATCH(Table5[[#This Row],[Unit'#]],EquipmentTBL!$A:$A,0)),"NONE")</f>
        <v>2HSCUAPR79CO93785</v>
      </c>
      <c r="O65" s="144" t="str">
        <f>IFERROR(INDEX(EquipmentTBL!$C:$C,MATCH(Table5[[#This Row],[Unit'#]],EquipmentTBL!$A:$A,0)),"NONE")</f>
        <v>International</v>
      </c>
      <c r="P65" s="144">
        <f>IFERROR(INDEX(EquipmentTBL!$B:$B,MATCH(Table5[[#This Row],[Unit'#]],EquipmentTBL!$A:$A,0)),"NONE")</f>
        <v>2009</v>
      </c>
      <c r="Q65" s="144" t="str">
        <f>IFERROR(INDEX(EquipmentTBL!$D:$D,MATCH(Table5[[#This Row],[Unit'#]],EquipmentTBL!$A:$A,0)),"NONE")</f>
        <v>Prostar Eagle</v>
      </c>
      <c r="R65" s="146">
        <f>(5-WEEKDAY(A65,2))+A65</f>
        <v>42321</v>
      </c>
      <c r="S65" s="104">
        <f>((5-WEEKDAY(A65,2))+A65)+7</f>
        <v>42328</v>
      </c>
      <c r="T65" s="144">
        <f>MONTH(A65)</f>
        <v>11</v>
      </c>
      <c r="U65" s="144">
        <f>YEAR(R65)</f>
        <v>2015</v>
      </c>
      <c r="V65" s="298"/>
      <c r="Z65"/>
      <c r="AA65" s="256">
        <v>42474</v>
      </c>
      <c r="AB65" t="s">
        <v>4050</v>
      </c>
      <c r="AC65" t="s">
        <v>4200</v>
      </c>
      <c r="AD65" s="523">
        <v>34.950000000000003</v>
      </c>
      <c r="AE65"/>
    </row>
    <row r="66" spans="1:31">
      <c r="A66" s="146">
        <v>42321</v>
      </c>
      <c r="B66" s="143" t="s">
        <v>3896</v>
      </c>
      <c r="C66" s="298" t="s">
        <v>4002</v>
      </c>
      <c r="D66" s="145" t="s">
        <v>4097</v>
      </c>
      <c r="E66" s="298" t="s">
        <v>4028</v>
      </c>
      <c r="F66" s="298" t="s">
        <v>4098</v>
      </c>
      <c r="G66" s="298" t="s">
        <v>3999</v>
      </c>
      <c r="H66" s="15"/>
      <c r="I66" s="298" t="s">
        <v>123</v>
      </c>
      <c r="J66" s="59">
        <v>234</v>
      </c>
      <c r="K66" s="59" t="s">
        <v>3983</v>
      </c>
      <c r="L66" s="298" t="s">
        <v>133</v>
      </c>
      <c r="M66" s="298" t="s">
        <v>3985</v>
      </c>
      <c r="N66" s="144" t="str">
        <f>IFERROR(INDEX(EquipmentTBL!$H:$H,MATCH(Table5[[#This Row],[Unit'#]],EquipmentTBL!$A:$A,0)),"NONE")</f>
        <v>2HSCUAPR79CO93785</v>
      </c>
      <c r="O66" s="144" t="str">
        <f>IFERROR(INDEX(EquipmentTBL!$C:$C,MATCH(Table5[[#This Row],[Unit'#]],EquipmentTBL!$A:$A,0)),"NONE")</f>
        <v>International</v>
      </c>
      <c r="P66" s="144">
        <f>IFERROR(INDEX(EquipmentTBL!$B:$B,MATCH(Table5[[#This Row],[Unit'#]],EquipmentTBL!$A:$A,0)),"NONE")</f>
        <v>2009</v>
      </c>
      <c r="Q66" s="144" t="str">
        <f>IFERROR(INDEX(EquipmentTBL!$D:$D,MATCH(Table5[[#This Row],[Unit'#]],EquipmentTBL!$A:$A,0)),"NONE")</f>
        <v>Prostar Eagle</v>
      </c>
      <c r="R66" s="146">
        <f>(5-WEEKDAY(A66,2))+A66</f>
        <v>42321</v>
      </c>
      <c r="S66" s="104">
        <f>((5-WEEKDAY(A66,2))+A66)+7</f>
        <v>42328</v>
      </c>
      <c r="T66" s="144">
        <f>MONTH(A66)</f>
        <v>11</v>
      </c>
      <c r="U66" s="144">
        <f>YEAR(R66)</f>
        <v>2015</v>
      </c>
      <c r="V66" s="298"/>
      <c r="Z66"/>
      <c r="AA66" s="256">
        <v>42475</v>
      </c>
      <c r="AB66" t="s">
        <v>4042</v>
      </c>
      <c r="AC66" t="s">
        <v>4254</v>
      </c>
      <c r="AD66" s="523">
        <v>5</v>
      </c>
      <c r="AE66"/>
    </row>
    <row r="67" spans="1:31">
      <c r="A67" s="146">
        <v>42322</v>
      </c>
      <c r="B67" s="143" t="s">
        <v>3978</v>
      </c>
      <c r="C67" s="298" t="s">
        <v>3979</v>
      </c>
      <c r="D67" s="145">
        <v>1766155</v>
      </c>
      <c r="E67" s="298" t="s">
        <v>3980</v>
      </c>
      <c r="F67" s="298" t="s">
        <v>4049</v>
      </c>
      <c r="G67" s="298" t="s">
        <v>4050</v>
      </c>
      <c r="H67" s="15"/>
      <c r="I67" s="298" t="s">
        <v>123</v>
      </c>
      <c r="J67" s="66">
        <v>34.950000000000003</v>
      </c>
      <c r="K67" s="59" t="s">
        <v>3983</v>
      </c>
      <c r="L67" s="298" t="s">
        <v>3984</v>
      </c>
      <c r="M67" s="298" t="s">
        <v>3985</v>
      </c>
      <c r="N67" s="144" t="str">
        <f>IFERROR(INDEX(EquipmentTBL!$H:$H,MATCH(Table5[[#This Row],[Unit'#]],EquipmentTBL!$A:$A,0)),"NONE")</f>
        <v>NONE</v>
      </c>
      <c r="O67" s="144" t="str">
        <f>IFERROR(INDEX(EquipmentTBL!$C:$C,MATCH(Table5[[#This Row],[Unit'#]],EquipmentTBL!$A:$A,0)),"NONE")</f>
        <v>NONE</v>
      </c>
      <c r="P67" s="144" t="str">
        <f>IFERROR(INDEX(EquipmentTBL!$B:$B,MATCH(Table5[[#This Row],[Unit'#]],EquipmentTBL!$A:$A,0)),"NONE")</f>
        <v>NONE</v>
      </c>
      <c r="Q67" s="144" t="str">
        <f>IFERROR(INDEX(EquipmentTBL!$D:$D,MATCH(Table5[[#This Row],[Unit'#]],EquipmentTBL!$A:$A,0)),"NONE")</f>
        <v>NONE</v>
      </c>
      <c r="R67" s="143">
        <f>(5-WEEKDAY(A67,2))+A67</f>
        <v>42321</v>
      </c>
      <c r="S67" s="172">
        <f>((5-WEEKDAY(A67,2))+A67)+7</f>
        <v>42328</v>
      </c>
      <c r="T67" s="144">
        <f>MONTH(A67)</f>
        <v>11</v>
      </c>
      <c r="U67" s="144">
        <f>YEAR(R67)</f>
        <v>2015</v>
      </c>
      <c r="V67" s="298"/>
      <c r="Z67"/>
      <c r="AA67"/>
      <c r="AB67" t="s">
        <v>4050</v>
      </c>
      <c r="AC67" t="s">
        <v>4200</v>
      </c>
      <c r="AD67" s="523">
        <v>34.950000000000003</v>
      </c>
      <c r="AE67"/>
    </row>
    <row r="68" spans="1:31">
      <c r="A68" s="146">
        <v>42322</v>
      </c>
      <c r="B68" s="143" t="s">
        <v>3896</v>
      </c>
      <c r="C68" s="298" t="s">
        <v>3990</v>
      </c>
      <c r="D68" s="145">
        <v>4748</v>
      </c>
      <c r="E68" s="298" t="s">
        <v>3980</v>
      </c>
      <c r="F68" s="298" t="s">
        <v>4010</v>
      </c>
      <c r="G68" s="298" t="s">
        <v>4048</v>
      </c>
      <c r="H68" s="15"/>
      <c r="I68" s="298" t="s">
        <v>123</v>
      </c>
      <c r="J68" s="59">
        <v>30</v>
      </c>
      <c r="K68" s="59" t="s">
        <v>3983</v>
      </c>
      <c r="L68" s="298" t="s">
        <v>133</v>
      </c>
      <c r="M68" s="298" t="s">
        <v>3985</v>
      </c>
      <c r="N68" s="144" t="str">
        <f>IFERROR(INDEX(EquipmentTBL!$H:$H,MATCH(Table5[[#This Row],[Unit'#]],EquipmentTBL!$A:$A,0)),"NONE")</f>
        <v>2HSCUAPR79CO93785</v>
      </c>
      <c r="O68" s="144" t="str">
        <f>IFERROR(INDEX(EquipmentTBL!$C:$C,MATCH(Table5[[#This Row],[Unit'#]],EquipmentTBL!$A:$A,0)),"NONE")</f>
        <v>International</v>
      </c>
      <c r="P68" s="144">
        <f>IFERROR(INDEX(EquipmentTBL!$B:$B,MATCH(Table5[[#This Row],[Unit'#]],EquipmentTBL!$A:$A,0)),"NONE")</f>
        <v>2009</v>
      </c>
      <c r="Q68" s="144" t="str">
        <f>IFERROR(INDEX(EquipmentTBL!$D:$D,MATCH(Table5[[#This Row],[Unit'#]],EquipmentTBL!$A:$A,0)),"NONE")</f>
        <v>Prostar Eagle</v>
      </c>
      <c r="R68" s="146">
        <f>(5-WEEKDAY(A68,2))+A68</f>
        <v>42321</v>
      </c>
      <c r="S68" s="104">
        <f>((5-WEEKDAY(A68,2))+A68)+7</f>
        <v>42328</v>
      </c>
      <c r="T68" s="144">
        <f>MONTH(A68)</f>
        <v>11</v>
      </c>
      <c r="U68" s="144">
        <f>YEAR(R68)</f>
        <v>2015</v>
      </c>
      <c r="V68" s="298"/>
      <c r="Z68"/>
      <c r="AA68" s="256">
        <v>42482</v>
      </c>
      <c r="AB68" t="s">
        <v>4179</v>
      </c>
      <c r="AC68" t="s">
        <v>4178</v>
      </c>
      <c r="AD68" s="523">
        <v>35.299999999999997</v>
      </c>
      <c r="AE68"/>
    </row>
    <row r="69" spans="1:31">
      <c r="A69" s="146">
        <v>42322</v>
      </c>
      <c r="B69" s="143" t="s">
        <v>3896</v>
      </c>
      <c r="C69" s="298" t="s">
        <v>4002</v>
      </c>
      <c r="D69" s="145">
        <v>8288131</v>
      </c>
      <c r="E69" s="298" t="s">
        <v>4028</v>
      </c>
      <c r="F69" s="298" t="s">
        <v>4099</v>
      </c>
      <c r="G69" s="298" t="s">
        <v>4100</v>
      </c>
      <c r="H69" s="15"/>
      <c r="I69" s="298" t="s">
        <v>123</v>
      </c>
      <c r="J69" s="59">
        <v>26.68</v>
      </c>
      <c r="K69" s="59" t="s">
        <v>3983</v>
      </c>
      <c r="L69" s="298" t="s">
        <v>133</v>
      </c>
      <c r="M69" s="298" t="s">
        <v>3985</v>
      </c>
      <c r="N69" s="144" t="str">
        <f>IFERROR(INDEX(EquipmentTBL!$H:$H,MATCH(Table5[[#This Row],[Unit'#]],EquipmentTBL!$A:$A,0)),"NONE")</f>
        <v>2HSCUAPR79CO93785</v>
      </c>
      <c r="O69" s="144" t="str">
        <f>IFERROR(INDEX(EquipmentTBL!$C:$C,MATCH(Table5[[#This Row],[Unit'#]],EquipmentTBL!$A:$A,0)),"NONE")</f>
        <v>International</v>
      </c>
      <c r="P69" s="144">
        <f>IFERROR(INDEX(EquipmentTBL!$B:$B,MATCH(Table5[[#This Row],[Unit'#]],EquipmentTBL!$A:$A,0)),"NONE")</f>
        <v>2009</v>
      </c>
      <c r="Q69" s="144" t="str">
        <f>IFERROR(INDEX(EquipmentTBL!$D:$D,MATCH(Table5[[#This Row],[Unit'#]],EquipmentTBL!$A:$A,0)),"NONE")</f>
        <v>Prostar Eagle</v>
      </c>
      <c r="R69" s="146">
        <f>(5-WEEKDAY(A69,2))+A69</f>
        <v>42321</v>
      </c>
      <c r="S69" s="104">
        <f>((5-WEEKDAY(A69,2))+A69)+7</f>
        <v>42328</v>
      </c>
      <c r="T69" s="144">
        <f>MONTH(A69)</f>
        <v>11</v>
      </c>
      <c r="U69" s="144">
        <f>YEAR(R69)</f>
        <v>2015</v>
      </c>
      <c r="V69" s="298"/>
      <c r="Z69"/>
      <c r="AA69" s="256">
        <v>42489</v>
      </c>
      <c r="AB69" t="s">
        <v>4196</v>
      </c>
      <c r="AC69" t="s">
        <v>4268</v>
      </c>
      <c r="AD69" s="523">
        <v>161</v>
      </c>
      <c r="AE69"/>
    </row>
    <row r="70" spans="1:31">
      <c r="A70" s="146">
        <v>42323</v>
      </c>
      <c r="B70" s="143" t="s">
        <v>3896</v>
      </c>
      <c r="C70" s="298" t="s">
        <v>4002</v>
      </c>
      <c r="D70" s="145">
        <v>10200000102178</v>
      </c>
      <c r="E70" s="298" t="s">
        <v>3980</v>
      </c>
      <c r="F70" s="298" t="s">
        <v>4101</v>
      </c>
      <c r="G70" s="298" t="s">
        <v>4102</v>
      </c>
      <c r="H70" s="15"/>
      <c r="I70" s="298" t="s">
        <v>123</v>
      </c>
      <c r="J70" s="59">
        <v>22.68</v>
      </c>
      <c r="K70" s="59" t="s">
        <v>3983</v>
      </c>
      <c r="L70" s="298" t="s">
        <v>133</v>
      </c>
      <c r="M70" s="298" t="s">
        <v>3985</v>
      </c>
      <c r="N70" s="144" t="str">
        <f>IFERROR(INDEX(EquipmentTBL!$H:$H,MATCH(Table5[[#This Row],[Unit'#]],EquipmentTBL!$A:$A,0)),"NONE")</f>
        <v>2HSCUAPR79CO93785</v>
      </c>
      <c r="O70" s="144" t="str">
        <f>IFERROR(INDEX(EquipmentTBL!$C:$C,MATCH(Table5[[#This Row],[Unit'#]],EquipmentTBL!$A:$A,0)),"NONE")</f>
        <v>International</v>
      </c>
      <c r="P70" s="144">
        <f>IFERROR(INDEX(EquipmentTBL!$B:$B,MATCH(Table5[[#This Row],[Unit'#]],EquipmentTBL!$A:$A,0)),"NONE")</f>
        <v>2009</v>
      </c>
      <c r="Q70" s="144" t="str">
        <f>IFERROR(INDEX(EquipmentTBL!$D:$D,MATCH(Table5[[#This Row],[Unit'#]],EquipmentTBL!$A:$A,0)),"NONE")</f>
        <v>Prostar Eagle</v>
      </c>
      <c r="R70" s="146">
        <f>(5-WEEKDAY(A70,2))+A70</f>
        <v>42321</v>
      </c>
      <c r="S70" s="104">
        <f>((5-WEEKDAY(A70,2))+A70)+7</f>
        <v>42328</v>
      </c>
      <c r="T70" s="144">
        <f>MONTH(A70)</f>
        <v>11</v>
      </c>
      <c r="U70" s="144">
        <f>YEAR(R70)</f>
        <v>2015</v>
      </c>
      <c r="V70" s="298"/>
      <c r="Z70"/>
      <c r="AA70" s="256">
        <v>42492</v>
      </c>
      <c r="AB70" t="s">
        <v>4274</v>
      </c>
      <c r="AC70" t="s">
        <v>4273</v>
      </c>
      <c r="AD70" s="523">
        <v>206</v>
      </c>
      <c r="AE70"/>
    </row>
    <row r="71" spans="1:31">
      <c r="A71" s="146">
        <v>42324</v>
      </c>
      <c r="B71" s="143" t="s">
        <v>3978</v>
      </c>
      <c r="C71" s="298" t="s">
        <v>3979</v>
      </c>
      <c r="D71" s="145"/>
      <c r="E71" s="298" t="s">
        <v>3980</v>
      </c>
      <c r="F71" s="298" t="s">
        <v>4103</v>
      </c>
      <c r="G71" s="298" t="s">
        <v>4042</v>
      </c>
      <c r="H71" s="15"/>
      <c r="I71" s="298" t="s">
        <v>123</v>
      </c>
      <c r="J71" s="59">
        <v>3</v>
      </c>
      <c r="K71" s="59" t="s">
        <v>3983</v>
      </c>
      <c r="L71" s="298" t="s">
        <v>3984</v>
      </c>
      <c r="M71" s="298" t="s">
        <v>3985</v>
      </c>
      <c r="N71" s="144" t="str">
        <f>IFERROR(INDEX(EquipmentTBL!$H:$H,MATCH(Table5[[#This Row],[Unit'#]],EquipmentTBL!$A:$A,0)),"NONE")</f>
        <v>NONE</v>
      </c>
      <c r="O71" s="144" t="str">
        <f>IFERROR(INDEX(EquipmentTBL!$C:$C,MATCH(Table5[[#This Row],[Unit'#]],EquipmentTBL!$A:$A,0)),"NONE")</f>
        <v>NONE</v>
      </c>
      <c r="P71" s="144" t="str">
        <f>IFERROR(INDEX(EquipmentTBL!$B:$B,MATCH(Table5[[#This Row],[Unit'#]],EquipmentTBL!$A:$A,0)),"NONE")</f>
        <v>NONE</v>
      </c>
      <c r="Q71" s="144" t="str">
        <f>IFERROR(INDEX(EquipmentTBL!$D:$D,MATCH(Table5[[#This Row],[Unit'#]],EquipmentTBL!$A:$A,0)),"NONE")</f>
        <v>NONE</v>
      </c>
      <c r="R71" s="146">
        <f>(5-WEEKDAY(A71,2))+A71</f>
        <v>42328</v>
      </c>
      <c r="S71" s="104">
        <f>((5-WEEKDAY(A71,2))+A71)+7</f>
        <v>42335</v>
      </c>
      <c r="T71" s="144">
        <f>MONTH(A71)</f>
        <v>11</v>
      </c>
      <c r="U71" s="144">
        <f>YEAR(R71)</f>
        <v>2015</v>
      </c>
      <c r="V71" s="298"/>
      <c r="Z71"/>
      <c r="AA71" s="256">
        <v>42494</v>
      </c>
      <c r="AB71" t="s">
        <v>4090</v>
      </c>
      <c r="AC71" t="s">
        <v>4278</v>
      </c>
      <c r="AD71" s="523">
        <v>35</v>
      </c>
      <c r="AE71"/>
    </row>
    <row r="72" spans="1:31">
      <c r="A72" s="146">
        <v>42324</v>
      </c>
      <c r="B72" s="143" t="s">
        <v>3978</v>
      </c>
      <c r="C72" s="298" t="s">
        <v>3990</v>
      </c>
      <c r="D72" s="145"/>
      <c r="E72" s="298" t="s">
        <v>3980</v>
      </c>
      <c r="F72" s="298" t="s">
        <v>4035</v>
      </c>
      <c r="G72" s="298" t="s">
        <v>4083</v>
      </c>
      <c r="H72" s="15"/>
      <c r="I72" s="298" t="s">
        <v>123</v>
      </c>
      <c r="J72" s="59">
        <v>2.97</v>
      </c>
      <c r="K72" s="59" t="s">
        <v>3983</v>
      </c>
      <c r="L72" s="298" t="s">
        <v>3984</v>
      </c>
      <c r="M72" s="298" t="s">
        <v>3985</v>
      </c>
      <c r="N72" s="144" t="str">
        <f>IFERROR(INDEX(EquipmentTBL!$H:$H,MATCH(Table5[[#This Row],[Unit'#]],EquipmentTBL!$A:$A,0)),"NONE")</f>
        <v>NONE</v>
      </c>
      <c r="O72" s="144" t="str">
        <f>IFERROR(INDEX(EquipmentTBL!$C:$C,MATCH(Table5[[#This Row],[Unit'#]],EquipmentTBL!$A:$A,0)),"NONE")</f>
        <v>NONE</v>
      </c>
      <c r="P72" s="144" t="str">
        <f>IFERROR(INDEX(EquipmentTBL!$B:$B,MATCH(Table5[[#This Row],[Unit'#]],EquipmentTBL!$A:$A,0)),"NONE")</f>
        <v>NONE</v>
      </c>
      <c r="Q72" s="144" t="str">
        <f>IFERROR(INDEX(EquipmentTBL!$D:$D,MATCH(Table5[[#This Row],[Unit'#]],EquipmentTBL!$A:$A,0)),"NONE")</f>
        <v>NONE</v>
      </c>
      <c r="R72" s="146">
        <f>(5-WEEKDAY(A72,2))+A72</f>
        <v>42328</v>
      </c>
      <c r="S72" s="104">
        <f>((5-WEEKDAY(A72,2))+A72)+7</f>
        <v>42335</v>
      </c>
      <c r="T72" s="144">
        <f>MONTH(A72)</f>
        <v>11</v>
      </c>
      <c r="U72" s="144">
        <f>YEAR(R72)</f>
        <v>2015</v>
      </c>
      <c r="V72" s="298"/>
      <c r="Z72"/>
      <c r="AA72" s="256">
        <v>42501</v>
      </c>
      <c r="AB72" t="s">
        <v>4087</v>
      </c>
      <c r="AC72" t="s">
        <v>4087</v>
      </c>
      <c r="AD72" s="523">
        <v>3</v>
      </c>
      <c r="AE72"/>
    </row>
    <row r="73" spans="1:31">
      <c r="A73" s="146">
        <v>42324</v>
      </c>
      <c r="B73" s="143" t="s">
        <v>3978</v>
      </c>
      <c r="C73" s="298" t="s">
        <v>3979</v>
      </c>
      <c r="D73" s="145">
        <v>200896</v>
      </c>
      <c r="E73" s="298" t="s">
        <v>3980</v>
      </c>
      <c r="F73" s="298" t="s">
        <v>141</v>
      </c>
      <c r="G73" s="298" t="s">
        <v>4104</v>
      </c>
      <c r="H73" s="15"/>
      <c r="I73" s="298" t="s">
        <v>123</v>
      </c>
      <c r="J73" s="59">
        <v>4.47</v>
      </c>
      <c r="K73" s="59" t="s">
        <v>3983</v>
      </c>
      <c r="L73" s="298" t="s">
        <v>3984</v>
      </c>
      <c r="M73" s="298" t="s">
        <v>3985</v>
      </c>
      <c r="N73" s="144" t="str">
        <f>IFERROR(INDEX(EquipmentTBL!$H:$H,MATCH(Table5[[#This Row],[Unit'#]],EquipmentTBL!$A:$A,0)),"NONE")</f>
        <v>NONE</v>
      </c>
      <c r="O73" s="144" t="str">
        <f>IFERROR(INDEX(EquipmentTBL!$C:$C,MATCH(Table5[[#This Row],[Unit'#]],EquipmentTBL!$A:$A,0)),"NONE")</f>
        <v>NONE</v>
      </c>
      <c r="P73" s="144" t="str">
        <f>IFERROR(INDEX(EquipmentTBL!$B:$B,MATCH(Table5[[#This Row],[Unit'#]],EquipmentTBL!$A:$A,0)),"NONE")</f>
        <v>NONE</v>
      </c>
      <c r="Q73" s="144" t="str">
        <f>IFERROR(INDEX(EquipmentTBL!$D:$D,MATCH(Table5[[#This Row],[Unit'#]],EquipmentTBL!$A:$A,0)),"NONE")</f>
        <v>NONE</v>
      </c>
      <c r="R73" s="146">
        <f>(5-WEEKDAY(A73,2))+A73</f>
        <v>42328</v>
      </c>
      <c r="S73" s="104">
        <f>((5-WEEKDAY(A73,2))+A73)+7</f>
        <v>42335</v>
      </c>
      <c r="T73" s="144">
        <f>MONTH(A73)</f>
        <v>11</v>
      </c>
      <c r="U73" s="144">
        <f>YEAR(R73)</f>
        <v>2015</v>
      </c>
      <c r="V73" s="298"/>
      <c r="Z73"/>
      <c r="AA73" s="256">
        <v>42502</v>
      </c>
      <c r="AB73" t="s">
        <v>4073</v>
      </c>
      <c r="AC73" t="s">
        <v>4073</v>
      </c>
      <c r="AD73" s="523">
        <v>115</v>
      </c>
      <c r="AE73"/>
    </row>
    <row r="74" spans="1:31">
      <c r="A74" s="146">
        <v>42324</v>
      </c>
      <c r="B74" s="143" t="s">
        <v>3978</v>
      </c>
      <c r="C74" s="298" t="s">
        <v>3979</v>
      </c>
      <c r="D74" s="145"/>
      <c r="E74" s="298" t="s">
        <v>3980</v>
      </c>
      <c r="F74" s="298" t="s">
        <v>4105</v>
      </c>
      <c r="G74" s="298" t="s">
        <v>4042</v>
      </c>
      <c r="H74" s="15"/>
      <c r="I74" s="298" t="s">
        <v>123</v>
      </c>
      <c r="J74" s="59">
        <v>3</v>
      </c>
      <c r="K74" s="59" t="s">
        <v>3983</v>
      </c>
      <c r="L74" s="298" t="s">
        <v>3984</v>
      </c>
      <c r="M74" s="298" t="s">
        <v>3985</v>
      </c>
      <c r="N74" s="144" t="str">
        <f>IFERROR(INDEX(EquipmentTBL!$H:$H,MATCH(Table5[[#This Row],[Unit'#]],EquipmentTBL!$A:$A,0)),"NONE")</f>
        <v>NONE</v>
      </c>
      <c r="O74" s="144" t="str">
        <f>IFERROR(INDEX(EquipmentTBL!$C:$C,MATCH(Table5[[#This Row],[Unit'#]],EquipmentTBL!$A:$A,0)),"NONE")</f>
        <v>NONE</v>
      </c>
      <c r="P74" s="144" t="str">
        <f>IFERROR(INDEX(EquipmentTBL!$B:$B,MATCH(Table5[[#This Row],[Unit'#]],EquipmentTBL!$A:$A,0)),"NONE")</f>
        <v>NONE</v>
      </c>
      <c r="Q74" s="144" t="str">
        <f>IFERROR(INDEX(EquipmentTBL!$D:$D,MATCH(Table5[[#This Row],[Unit'#]],EquipmentTBL!$A:$A,0)),"NONE")</f>
        <v>NONE</v>
      </c>
      <c r="R74" s="146">
        <f>(5-WEEKDAY(A74,2))+A74</f>
        <v>42328</v>
      </c>
      <c r="S74" s="104">
        <f>((5-WEEKDAY(A74,2))+A74)+7</f>
        <v>42335</v>
      </c>
      <c r="T74" s="144">
        <f>MONTH(A74)</f>
        <v>11</v>
      </c>
      <c r="U74" s="144">
        <f>YEAR(R74)</f>
        <v>2015</v>
      </c>
      <c r="V74" s="298"/>
      <c r="Z74"/>
      <c r="AA74" s="256">
        <v>42504</v>
      </c>
      <c r="AB74" t="s">
        <v>4050</v>
      </c>
      <c r="AC74" t="s">
        <v>4200</v>
      </c>
      <c r="AD74" s="523">
        <v>34.950000000000003</v>
      </c>
      <c r="AE74"/>
    </row>
    <row r="75" spans="1:31">
      <c r="A75" s="146">
        <v>42324</v>
      </c>
      <c r="B75" s="143" t="s">
        <v>3896</v>
      </c>
      <c r="C75" s="298" t="s">
        <v>3990</v>
      </c>
      <c r="D75" s="145"/>
      <c r="E75" s="298" t="s">
        <v>3980</v>
      </c>
      <c r="F75" s="298" t="s">
        <v>4106</v>
      </c>
      <c r="G75" s="298" t="s">
        <v>471</v>
      </c>
      <c r="H75" s="15"/>
      <c r="I75" s="298" t="s">
        <v>123</v>
      </c>
      <c r="J75" s="59">
        <v>34.99</v>
      </c>
      <c r="K75" s="59" t="s">
        <v>3983</v>
      </c>
      <c r="L75" s="298" t="s">
        <v>3984</v>
      </c>
      <c r="M75" s="298" t="s">
        <v>3985</v>
      </c>
      <c r="N75" s="144" t="str">
        <f>IFERROR(INDEX(EquipmentTBL!$H:$H,MATCH(Table5[[#This Row],[Unit'#]],EquipmentTBL!$A:$A,0)),"NONE")</f>
        <v>2HSCUAPR79CO93785</v>
      </c>
      <c r="O75" s="144" t="str">
        <f>IFERROR(INDEX(EquipmentTBL!$C:$C,MATCH(Table5[[#This Row],[Unit'#]],EquipmentTBL!$A:$A,0)),"NONE")</f>
        <v>International</v>
      </c>
      <c r="P75" s="144">
        <f>IFERROR(INDEX(EquipmentTBL!$B:$B,MATCH(Table5[[#This Row],[Unit'#]],EquipmentTBL!$A:$A,0)),"NONE")</f>
        <v>2009</v>
      </c>
      <c r="Q75" s="144" t="str">
        <f>IFERROR(INDEX(EquipmentTBL!$D:$D,MATCH(Table5[[#This Row],[Unit'#]],EquipmentTBL!$A:$A,0)),"NONE")</f>
        <v>Prostar Eagle</v>
      </c>
      <c r="R75" s="146">
        <f>(5-WEEKDAY(A75,2))+A75</f>
        <v>42328</v>
      </c>
      <c r="S75" s="104">
        <f>((5-WEEKDAY(A75,2))+A75)+7</f>
        <v>42335</v>
      </c>
      <c r="T75" s="144">
        <f>MONTH(A75)</f>
        <v>11</v>
      </c>
      <c r="U75" s="144">
        <f>YEAR(R75)</f>
        <v>2015</v>
      </c>
      <c r="V75" s="298"/>
      <c r="Z75"/>
      <c r="AA75" s="256">
        <v>42505</v>
      </c>
      <c r="AB75" t="s">
        <v>4050</v>
      </c>
      <c r="AC75" t="s">
        <v>4200</v>
      </c>
      <c r="AD75" s="523">
        <v>34.950000000000003</v>
      </c>
      <c r="AE75"/>
    </row>
    <row r="76" spans="1:31">
      <c r="A76" s="146">
        <v>42325</v>
      </c>
      <c r="B76" s="143" t="s">
        <v>3978</v>
      </c>
      <c r="C76" s="298" t="s">
        <v>3990</v>
      </c>
      <c r="D76" s="145"/>
      <c r="E76" s="298" t="s">
        <v>3980</v>
      </c>
      <c r="F76" s="298" t="s">
        <v>4107</v>
      </c>
      <c r="G76" s="298" t="s">
        <v>4107</v>
      </c>
      <c r="H76" s="15"/>
      <c r="I76" s="298" t="s">
        <v>123</v>
      </c>
      <c r="J76" s="59">
        <v>4.99</v>
      </c>
      <c r="K76" s="59" t="s">
        <v>3983</v>
      </c>
      <c r="L76" s="298" t="s">
        <v>3984</v>
      </c>
      <c r="M76" s="298" t="s">
        <v>3985</v>
      </c>
      <c r="N76" s="144" t="str">
        <f>IFERROR(INDEX(EquipmentTBL!$H:$H,MATCH(Table5[[#This Row],[Unit'#]],EquipmentTBL!$A:$A,0)),"NONE")</f>
        <v>NONE</v>
      </c>
      <c r="O76" s="144" t="str">
        <f>IFERROR(INDEX(EquipmentTBL!$C:$C,MATCH(Table5[[#This Row],[Unit'#]],EquipmentTBL!$A:$A,0)),"NONE")</f>
        <v>NONE</v>
      </c>
      <c r="P76" s="144" t="str">
        <f>IFERROR(INDEX(EquipmentTBL!$B:$B,MATCH(Table5[[#This Row],[Unit'#]],EquipmentTBL!$A:$A,0)),"NONE")</f>
        <v>NONE</v>
      </c>
      <c r="Q76" s="144" t="str">
        <f>IFERROR(INDEX(EquipmentTBL!$D:$D,MATCH(Table5[[#This Row],[Unit'#]],EquipmentTBL!$A:$A,0)),"NONE")</f>
        <v>NONE</v>
      </c>
      <c r="R76" s="146">
        <f>(5-WEEKDAY(A76,2))+A76</f>
        <v>42328</v>
      </c>
      <c r="S76" s="104">
        <f>((5-WEEKDAY(A76,2))+A76)+7</f>
        <v>42335</v>
      </c>
      <c r="T76" s="144">
        <f>MONTH(A76)</f>
        <v>11</v>
      </c>
      <c r="U76" s="144">
        <f>YEAR(R76)</f>
        <v>2015</v>
      </c>
      <c r="V76" s="298"/>
      <c r="Z76"/>
      <c r="AA76" s="256">
        <v>42512</v>
      </c>
      <c r="AB76" t="s">
        <v>4179</v>
      </c>
      <c r="AC76" t="s">
        <v>4178</v>
      </c>
      <c r="AD76" s="523">
        <v>35.299999999999997</v>
      </c>
      <c r="AE76"/>
    </row>
    <row r="77" spans="1:31">
      <c r="A77" s="146">
        <v>42325</v>
      </c>
      <c r="B77" s="143" t="s">
        <v>3896</v>
      </c>
      <c r="C77" s="298" t="s">
        <v>3990</v>
      </c>
      <c r="D77" s="145"/>
      <c r="E77" s="298" t="s">
        <v>3980</v>
      </c>
      <c r="F77" s="298" t="s">
        <v>4051</v>
      </c>
      <c r="G77" s="298" t="s">
        <v>4052</v>
      </c>
      <c r="H77" s="15"/>
      <c r="I77" s="298" t="s">
        <v>123</v>
      </c>
      <c r="J77" s="59">
        <v>60</v>
      </c>
      <c r="K77" s="59" t="s">
        <v>3983</v>
      </c>
      <c r="L77" s="298" t="s">
        <v>3984</v>
      </c>
      <c r="M77" s="298" t="s">
        <v>3985</v>
      </c>
      <c r="N77" s="144" t="str">
        <f>IFERROR(INDEX(EquipmentTBL!$H:$H,MATCH(Table5[[#This Row],[Unit'#]],EquipmentTBL!$A:$A,0)),"NONE")</f>
        <v>2HSCUAPR79CO93785</v>
      </c>
      <c r="O77" s="144" t="str">
        <f>IFERROR(INDEX(EquipmentTBL!$C:$C,MATCH(Table5[[#This Row],[Unit'#]],EquipmentTBL!$A:$A,0)),"NONE")</f>
        <v>International</v>
      </c>
      <c r="P77" s="144">
        <f>IFERROR(INDEX(EquipmentTBL!$B:$B,MATCH(Table5[[#This Row],[Unit'#]],EquipmentTBL!$A:$A,0)),"NONE")</f>
        <v>2009</v>
      </c>
      <c r="Q77" s="144" t="str">
        <f>IFERROR(INDEX(EquipmentTBL!$D:$D,MATCH(Table5[[#This Row],[Unit'#]],EquipmentTBL!$A:$A,0)),"NONE")</f>
        <v>Prostar Eagle</v>
      </c>
      <c r="R77" s="146">
        <f>(5-WEEKDAY(A77,2))+A77</f>
        <v>42328</v>
      </c>
      <c r="S77" s="104">
        <f>((5-WEEKDAY(A77,2))+A77)+7</f>
        <v>42335</v>
      </c>
      <c r="T77" s="144">
        <f>MONTH(A77)</f>
        <v>11</v>
      </c>
      <c r="U77" s="144">
        <f>YEAR(R77)</f>
        <v>2015</v>
      </c>
      <c r="V77" s="298"/>
      <c r="Z77"/>
      <c r="AA77" s="256">
        <v>42534</v>
      </c>
      <c r="AB77" t="s">
        <v>4186</v>
      </c>
      <c r="AC77" t="s">
        <v>4684</v>
      </c>
      <c r="AD77" s="523">
        <v>2500</v>
      </c>
      <c r="AE77"/>
    </row>
    <row r="78" spans="1:31">
      <c r="A78" s="146">
        <v>42325</v>
      </c>
      <c r="B78" s="143" t="s">
        <v>3896</v>
      </c>
      <c r="C78" s="298" t="s">
        <v>3990</v>
      </c>
      <c r="D78" s="145"/>
      <c r="E78" s="298" t="s">
        <v>3980</v>
      </c>
      <c r="F78" s="298" t="s">
        <v>4108</v>
      </c>
      <c r="G78" s="298" t="s">
        <v>4109</v>
      </c>
      <c r="H78" s="15"/>
      <c r="I78" s="298" t="s">
        <v>123</v>
      </c>
      <c r="J78" s="59">
        <v>4.97</v>
      </c>
      <c r="K78" s="59" t="s">
        <v>3983</v>
      </c>
      <c r="L78" s="298" t="s">
        <v>3984</v>
      </c>
      <c r="M78" s="298" t="s">
        <v>3985</v>
      </c>
      <c r="N78" s="144" t="str">
        <f>IFERROR(INDEX(EquipmentTBL!$H:$H,MATCH(Table5[[#This Row],[Unit'#]],EquipmentTBL!$A:$A,0)),"NONE")</f>
        <v>2HSCUAPR79CO93785</v>
      </c>
      <c r="O78" s="144" t="str">
        <f>IFERROR(INDEX(EquipmentTBL!$C:$C,MATCH(Table5[[#This Row],[Unit'#]],EquipmentTBL!$A:$A,0)),"NONE")</f>
        <v>International</v>
      </c>
      <c r="P78" s="144">
        <f>IFERROR(INDEX(EquipmentTBL!$B:$B,MATCH(Table5[[#This Row],[Unit'#]],EquipmentTBL!$A:$A,0)),"NONE")</f>
        <v>2009</v>
      </c>
      <c r="Q78" s="144" t="str">
        <f>IFERROR(INDEX(EquipmentTBL!$D:$D,MATCH(Table5[[#This Row],[Unit'#]],EquipmentTBL!$A:$A,0)),"NONE")</f>
        <v>Prostar Eagle</v>
      </c>
      <c r="R78" s="146">
        <f>(5-WEEKDAY(A78,2))+A78</f>
        <v>42328</v>
      </c>
      <c r="S78" s="104">
        <f>((5-WEEKDAY(A78,2))+A78)+7</f>
        <v>42335</v>
      </c>
      <c r="T78" s="144">
        <f>MONTH(A78)</f>
        <v>11</v>
      </c>
      <c r="U78" s="144">
        <f>YEAR(R78)</f>
        <v>2015</v>
      </c>
      <c r="V78" s="298"/>
      <c r="Z78"/>
      <c r="AA78" s="256">
        <v>42535</v>
      </c>
      <c r="AB78" t="s">
        <v>4050</v>
      </c>
      <c r="AC78" t="s">
        <v>4200</v>
      </c>
      <c r="AD78" s="523">
        <v>34.950000000000003</v>
      </c>
      <c r="AE78"/>
    </row>
    <row r="79" spans="1:31">
      <c r="A79" s="146">
        <v>42326</v>
      </c>
      <c r="B79" s="143" t="s">
        <v>3863</v>
      </c>
      <c r="C79" s="298" t="s">
        <v>3979</v>
      </c>
      <c r="D79" s="145"/>
      <c r="E79" s="298" t="s">
        <v>3980</v>
      </c>
      <c r="F79" s="298" t="s">
        <v>4053</v>
      </c>
      <c r="G79" s="298" t="s">
        <v>4054</v>
      </c>
      <c r="H79" s="15"/>
      <c r="I79" s="298" t="s">
        <v>123</v>
      </c>
      <c r="J79" s="59">
        <v>10</v>
      </c>
      <c r="K79" s="59" t="s">
        <v>3983</v>
      </c>
      <c r="L79" s="298" t="s">
        <v>3984</v>
      </c>
      <c r="M79" s="298" t="s">
        <v>3985</v>
      </c>
      <c r="N79" s="144" t="str">
        <f>IFERROR(INDEX(EquipmentTBL!$H:$H,MATCH(Table5[[#This Row],[Unit'#]],EquipmentTBL!$A:$A,0)),"NONE")</f>
        <v>2HSCUAPR88C657099</v>
      </c>
      <c r="O79" s="144" t="str">
        <f>IFERROR(INDEX(EquipmentTBL!$C:$C,MATCH(Table5[[#This Row],[Unit'#]],EquipmentTBL!$A:$A,0)),"NONE")</f>
        <v>International</v>
      </c>
      <c r="P79" s="144">
        <f>IFERROR(INDEX(EquipmentTBL!$B:$B,MATCH(Table5[[#This Row],[Unit'#]],EquipmentTBL!$A:$A,0)),"NONE")</f>
        <v>2008</v>
      </c>
      <c r="Q79" s="144" t="str">
        <f>IFERROR(INDEX(EquipmentTBL!$D:$D,MATCH(Table5[[#This Row],[Unit'#]],EquipmentTBL!$A:$A,0)),"NONE")</f>
        <v>Prostar Eagle</v>
      </c>
      <c r="R79" s="146">
        <f>(5-WEEKDAY(A79,2))+A79</f>
        <v>42328</v>
      </c>
      <c r="S79" s="104">
        <f>((5-WEEKDAY(A79,2))+A79)+7</f>
        <v>42335</v>
      </c>
      <c r="T79" s="144">
        <f>MONTH(A79)</f>
        <v>11</v>
      </c>
      <c r="U79" s="144">
        <f>YEAR(R79)</f>
        <v>2015</v>
      </c>
      <c r="V79" s="298"/>
      <c r="Z79"/>
      <c r="AA79"/>
      <c r="AB79" t="s">
        <v>4073</v>
      </c>
      <c r="AC79" t="s">
        <v>4073</v>
      </c>
      <c r="AD79" s="523">
        <v>128</v>
      </c>
      <c r="AE79"/>
    </row>
    <row r="80" spans="1:31">
      <c r="A80" s="146">
        <v>42327</v>
      </c>
      <c r="B80" s="143" t="s">
        <v>3978</v>
      </c>
      <c r="C80" s="298" t="s">
        <v>3979</v>
      </c>
      <c r="D80" s="145"/>
      <c r="E80" s="298" t="s">
        <v>3980</v>
      </c>
      <c r="F80" s="298" t="s">
        <v>4110</v>
      </c>
      <c r="G80" s="298" t="s">
        <v>4057</v>
      </c>
      <c r="H80" s="15"/>
      <c r="I80" s="298" t="s">
        <v>123</v>
      </c>
      <c r="J80" s="59">
        <v>55</v>
      </c>
      <c r="K80" s="59" t="s">
        <v>3983</v>
      </c>
      <c r="L80" s="298" t="s">
        <v>133</v>
      </c>
      <c r="M80" s="298" t="s">
        <v>3985</v>
      </c>
      <c r="N80" s="144" t="str">
        <f>IFERROR(INDEX(EquipmentTBL!$H:$H,MATCH(Table5[[#This Row],[Unit'#]],EquipmentTBL!$A:$A,0)),"NONE")</f>
        <v>NONE</v>
      </c>
      <c r="O80" s="144" t="str">
        <f>IFERROR(INDEX(EquipmentTBL!$C:$C,MATCH(Table5[[#This Row],[Unit'#]],EquipmentTBL!$A:$A,0)),"NONE")</f>
        <v>NONE</v>
      </c>
      <c r="P80" s="144" t="str">
        <f>IFERROR(INDEX(EquipmentTBL!$B:$B,MATCH(Table5[[#This Row],[Unit'#]],EquipmentTBL!$A:$A,0)),"NONE")</f>
        <v>NONE</v>
      </c>
      <c r="Q80" s="144" t="str">
        <f>IFERROR(INDEX(EquipmentTBL!$D:$D,MATCH(Table5[[#This Row],[Unit'#]],EquipmentTBL!$A:$A,0)),"NONE")</f>
        <v>NONE</v>
      </c>
      <c r="R80" s="146">
        <f>(5-WEEKDAY(A80,2))+A80</f>
        <v>42328</v>
      </c>
      <c r="S80" s="104">
        <f>((5-WEEKDAY(A80,2))+A80)+7</f>
        <v>42335</v>
      </c>
      <c r="T80" s="144">
        <f>MONTH(A80)</f>
        <v>11</v>
      </c>
      <c r="U80" s="144">
        <f>YEAR(R80)</f>
        <v>2015</v>
      </c>
      <c r="V80" s="298"/>
      <c r="Z80"/>
      <c r="AA80" s="256">
        <v>42542</v>
      </c>
      <c r="AB80" t="s">
        <v>4674</v>
      </c>
      <c r="AC80" t="s">
        <v>4673</v>
      </c>
      <c r="AD80" s="523">
        <v>35</v>
      </c>
      <c r="AE80"/>
    </row>
    <row r="81" spans="1:31">
      <c r="A81" s="146">
        <v>42327</v>
      </c>
      <c r="B81" s="143" t="s">
        <v>3978</v>
      </c>
      <c r="C81" s="298" t="s">
        <v>3979</v>
      </c>
      <c r="D81" s="145"/>
      <c r="E81" s="298" t="s">
        <v>3980</v>
      </c>
      <c r="F81" s="298" t="s">
        <v>4110</v>
      </c>
      <c r="G81" s="298" t="s">
        <v>4057</v>
      </c>
      <c r="H81" s="15"/>
      <c r="I81" s="298" t="s">
        <v>123</v>
      </c>
      <c r="J81" s="59">
        <v>55</v>
      </c>
      <c r="K81" s="59" t="s">
        <v>3983</v>
      </c>
      <c r="L81" s="298" t="s">
        <v>133</v>
      </c>
      <c r="M81" s="298" t="s">
        <v>3985</v>
      </c>
      <c r="N81" s="144" t="str">
        <f>IFERROR(INDEX(EquipmentTBL!$H:$H,MATCH(Table5[[#This Row],[Unit'#]],EquipmentTBL!$A:$A,0)),"NONE")</f>
        <v>NONE</v>
      </c>
      <c r="O81" s="144" t="str">
        <f>IFERROR(INDEX(EquipmentTBL!$C:$C,MATCH(Table5[[#This Row],[Unit'#]],EquipmentTBL!$A:$A,0)),"NONE")</f>
        <v>NONE</v>
      </c>
      <c r="P81" s="144" t="str">
        <f>IFERROR(INDEX(EquipmentTBL!$B:$B,MATCH(Table5[[#This Row],[Unit'#]],EquipmentTBL!$A:$A,0)),"NONE")</f>
        <v>NONE</v>
      </c>
      <c r="Q81" s="144" t="str">
        <f>IFERROR(INDEX(EquipmentTBL!$D:$D,MATCH(Table5[[#This Row],[Unit'#]],EquipmentTBL!$A:$A,0)),"NONE")</f>
        <v>NONE</v>
      </c>
      <c r="R81" s="146">
        <f>(5-WEEKDAY(A81,2))+A81</f>
        <v>42328</v>
      </c>
      <c r="S81" s="104">
        <f>((5-WEEKDAY(A81,2))+A81)+7</f>
        <v>42335</v>
      </c>
      <c r="T81" s="144">
        <f>MONTH(A81)</f>
        <v>11</v>
      </c>
      <c r="U81" s="144">
        <f>YEAR(R81)</f>
        <v>2015</v>
      </c>
      <c r="V81" s="298"/>
      <c r="Z81"/>
      <c r="AA81" s="256">
        <v>42543</v>
      </c>
      <c r="AB81" t="s">
        <v>4179</v>
      </c>
      <c r="AC81" t="s">
        <v>4178</v>
      </c>
      <c r="AD81" s="523">
        <v>35.299999999999997</v>
      </c>
      <c r="AE81"/>
    </row>
    <row r="82" spans="1:31">
      <c r="A82" s="146">
        <v>42327</v>
      </c>
      <c r="B82" s="143" t="s">
        <v>3978</v>
      </c>
      <c r="C82" s="298" t="s">
        <v>3979</v>
      </c>
      <c r="D82" s="145"/>
      <c r="E82" s="298" t="s">
        <v>3980</v>
      </c>
      <c r="F82" s="298" t="s">
        <v>4110</v>
      </c>
      <c r="G82" s="298" t="s">
        <v>4057</v>
      </c>
      <c r="H82" s="15"/>
      <c r="I82" s="298" t="s">
        <v>123</v>
      </c>
      <c r="J82" s="59">
        <v>55</v>
      </c>
      <c r="K82" s="59" t="s">
        <v>3983</v>
      </c>
      <c r="L82" s="298" t="s">
        <v>3984</v>
      </c>
      <c r="M82" s="298" t="s">
        <v>3985</v>
      </c>
      <c r="N82" s="144" t="str">
        <f>IFERROR(INDEX(EquipmentTBL!$H:$H,MATCH(Table5[[#This Row],[Unit'#]],EquipmentTBL!$A:$A,0)),"NONE")</f>
        <v>NONE</v>
      </c>
      <c r="O82" s="144" t="str">
        <f>IFERROR(INDEX(EquipmentTBL!$C:$C,MATCH(Table5[[#This Row],[Unit'#]],EquipmentTBL!$A:$A,0)),"NONE")</f>
        <v>NONE</v>
      </c>
      <c r="P82" s="144" t="str">
        <f>IFERROR(INDEX(EquipmentTBL!$B:$B,MATCH(Table5[[#This Row],[Unit'#]],EquipmentTBL!$A:$A,0)),"NONE")</f>
        <v>NONE</v>
      </c>
      <c r="Q82" s="144" t="str">
        <f>IFERROR(INDEX(EquipmentTBL!$D:$D,MATCH(Table5[[#This Row],[Unit'#]],EquipmentTBL!$A:$A,0)),"NONE")</f>
        <v>NONE</v>
      </c>
      <c r="R82" s="146">
        <f>(5-WEEKDAY(A82,2))+A82</f>
        <v>42328</v>
      </c>
      <c r="S82" s="104">
        <f>((5-WEEKDAY(A82,2))+A82)+7</f>
        <v>42335</v>
      </c>
      <c r="T82" s="144">
        <f>MONTH(A82)</f>
        <v>11</v>
      </c>
      <c r="U82" s="144">
        <f>YEAR(R82)</f>
        <v>2015</v>
      </c>
      <c r="V82" s="298"/>
      <c r="Z82"/>
      <c r="AA82" s="256">
        <v>42551</v>
      </c>
      <c r="AB82" t="s">
        <v>4179</v>
      </c>
      <c r="AC82" t="s">
        <v>4178</v>
      </c>
      <c r="AD82" s="523">
        <v>115.9</v>
      </c>
      <c r="AE82"/>
    </row>
    <row r="83" spans="1:31">
      <c r="A83" s="146">
        <v>42327</v>
      </c>
      <c r="B83" s="143" t="s">
        <v>3863</v>
      </c>
      <c r="C83" s="298" t="s">
        <v>3979</v>
      </c>
      <c r="D83" s="145">
        <v>92646672</v>
      </c>
      <c r="E83" s="298" t="s">
        <v>3980</v>
      </c>
      <c r="F83" s="298" t="s">
        <v>4023</v>
      </c>
      <c r="G83" s="298" t="s">
        <v>4111</v>
      </c>
      <c r="H83" s="15"/>
      <c r="I83" s="298">
        <v>1</v>
      </c>
      <c r="J83" s="59">
        <v>12.5</v>
      </c>
      <c r="K83" s="59" t="s">
        <v>3983</v>
      </c>
      <c r="L83" s="298" t="s">
        <v>3883</v>
      </c>
      <c r="M83" s="298" t="s">
        <v>3985</v>
      </c>
      <c r="N83" s="144" t="str">
        <f>IFERROR(INDEX(EquipmentTBL!$H:$H,MATCH(Table5[[#This Row],[Unit'#]],EquipmentTBL!$A:$A,0)),"NONE")</f>
        <v>2HSCUAPR88C657099</v>
      </c>
      <c r="O83" s="144" t="str">
        <f>IFERROR(INDEX(EquipmentTBL!$C:$C,MATCH(Table5[[#This Row],[Unit'#]],EquipmentTBL!$A:$A,0)),"NONE")</f>
        <v>International</v>
      </c>
      <c r="P83" s="144">
        <f>IFERROR(INDEX(EquipmentTBL!$B:$B,MATCH(Table5[[#This Row],[Unit'#]],EquipmentTBL!$A:$A,0)),"NONE")</f>
        <v>2008</v>
      </c>
      <c r="Q83" s="144" t="str">
        <f>IFERROR(INDEX(EquipmentTBL!$D:$D,MATCH(Table5[[#This Row],[Unit'#]],EquipmentTBL!$A:$A,0)),"NONE")</f>
        <v>Prostar Eagle</v>
      </c>
      <c r="R83" s="146">
        <f>(5-WEEKDAY(A83,2))+A83</f>
        <v>42328</v>
      </c>
      <c r="S83" s="104">
        <f>((5-WEEKDAY(A83,2))+A83)+7</f>
        <v>42335</v>
      </c>
      <c r="T83" s="144">
        <f>MONTH(A83)</f>
        <v>11</v>
      </c>
      <c r="U83" s="144">
        <f>YEAR(R83)</f>
        <v>2015</v>
      </c>
      <c r="V83" s="298"/>
      <c r="Z83"/>
      <c r="AA83" s="256">
        <v>42565</v>
      </c>
      <c r="AB83" t="s">
        <v>4052</v>
      </c>
      <c r="AC83" t="s">
        <v>4197</v>
      </c>
      <c r="AD83" s="523">
        <v>15</v>
      </c>
      <c r="AE83"/>
    </row>
    <row r="84" spans="1:31">
      <c r="A84" s="146">
        <v>42327</v>
      </c>
      <c r="B84" s="143" t="s">
        <v>3896</v>
      </c>
      <c r="C84" s="298" t="s">
        <v>3979</v>
      </c>
      <c r="D84" s="145"/>
      <c r="E84" s="298" t="s">
        <v>3980</v>
      </c>
      <c r="F84" s="298" t="s">
        <v>4112</v>
      </c>
      <c r="G84" s="298" t="s">
        <v>4069</v>
      </c>
      <c r="H84" s="15"/>
      <c r="I84" s="298" t="s">
        <v>123</v>
      </c>
      <c r="J84" s="59">
        <v>200</v>
      </c>
      <c r="K84" s="59" t="s">
        <v>3983</v>
      </c>
      <c r="L84" s="298" t="s">
        <v>3984</v>
      </c>
      <c r="M84" s="298" t="s">
        <v>3985</v>
      </c>
      <c r="N84" s="144" t="str">
        <f>IFERROR(INDEX(EquipmentTBL!$H:$H,MATCH(Table5[[#This Row],[Unit'#]],EquipmentTBL!$A:$A,0)),"NONE")</f>
        <v>2HSCUAPR79CO93785</v>
      </c>
      <c r="O84" s="144" t="str">
        <f>IFERROR(INDEX(EquipmentTBL!$C:$C,MATCH(Table5[[#This Row],[Unit'#]],EquipmentTBL!$A:$A,0)),"NONE")</f>
        <v>International</v>
      </c>
      <c r="P84" s="144">
        <f>IFERROR(INDEX(EquipmentTBL!$B:$B,MATCH(Table5[[#This Row],[Unit'#]],EquipmentTBL!$A:$A,0)),"NONE")</f>
        <v>2009</v>
      </c>
      <c r="Q84" s="144" t="str">
        <f>IFERROR(INDEX(EquipmentTBL!$D:$D,MATCH(Table5[[#This Row],[Unit'#]],EquipmentTBL!$A:$A,0)),"NONE")</f>
        <v>Prostar Eagle</v>
      </c>
      <c r="R84" s="146">
        <f>(5-WEEKDAY(A84,2))+A84</f>
        <v>42328</v>
      </c>
      <c r="S84" s="104">
        <f>((5-WEEKDAY(A84,2))+A84)+7</f>
        <v>42335</v>
      </c>
      <c r="T84" s="144">
        <f>MONTH(A84)</f>
        <v>11</v>
      </c>
      <c r="U84" s="144">
        <f>YEAR(R84)</f>
        <v>2015</v>
      </c>
      <c r="V84" s="298"/>
      <c r="Z84"/>
      <c r="AA84"/>
      <c r="AB84" t="s">
        <v>4050</v>
      </c>
      <c r="AC84" t="s">
        <v>4200</v>
      </c>
      <c r="AD84" s="523">
        <v>34.950000000000003</v>
      </c>
      <c r="AE84"/>
    </row>
    <row r="85" spans="1:31">
      <c r="A85" s="146">
        <v>42327</v>
      </c>
      <c r="B85" s="143" t="s">
        <v>4113</v>
      </c>
      <c r="C85" s="298" t="s">
        <v>3979</v>
      </c>
      <c r="D85" s="145"/>
      <c r="E85" s="298" t="s">
        <v>3980</v>
      </c>
      <c r="F85" s="298" t="s">
        <v>4114</v>
      </c>
      <c r="G85" s="298" t="s">
        <v>4069</v>
      </c>
      <c r="H85" s="15"/>
      <c r="I85" s="298" t="s">
        <v>123</v>
      </c>
      <c r="J85" s="59">
        <v>0</v>
      </c>
      <c r="K85" s="59" t="s">
        <v>3983</v>
      </c>
      <c r="L85" s="298" t="s">
        <v>3984</v>
      </c>
      <c r="M85" s="298" t="s">
        <v>3985</v>
      </c>
      <c r="N85" s="150" t="str">
        <f>IFERROR(INDEX(EquipmentTBL!$H:$H,MATCH(Table5[[#This Row],[Unit'#]],EquipmentTBL!$A:$A,0)),"NONE")</f>
        <v>NONE</v>
      </c>
      <c r="O85" s="150" t="str">
        <f>IFERROR(INDEX(EquipmentTBL!$C:$C,MATCH(Table5[[#This Row],[Unit'#]],EquipmentTBL!$A:$A,0)),"NONE")</f>
        <v>NONE</v>
      </c>
      <c r="P85" s="150" t="str">
        <f>IFERROR(INDEX(EquipmentTBL!$B:$B,MATCH(Table5[[#This Row],[Unit'#]],EquipmentTBL!$A:$A,0)),"NONE")</f>
        <v>NONE</v>
      </c>
      <c r="Q85" s="150" t="str">
        <f>IFERROR(INDEX(EquipmentTBL!$D:$D,MATCH(Table5[[#This Row],[Unit'#]],EquipmentTBL!$A:$A,0)),"NONE")</f>
        <v>NONE</v>
      </c>
      <c r="R85" s="146">
        <f>(5-WEEKDAY(A85,2))+A85</f>
        <v>42328</v>
      </c>
      <c r="S85" s="172">
        <f>((5-WEEKDAY(A85,2))+A85)+7</f>
        <v>42335</v>
      </c>
      <c r="T85" s="144">
        <f>MONTH(A85)</f>
        <v>11</v>
      </c>
      <c r="U85" s="144">
        <f>YEAR(R85)</f>
        <v>2015</v>
      </c>
      <c r="V85" s="298"/>
      <c r="Z85"/>
      <c r="AA85" s="256">
        <v>42574</v>
      </c>
      <c r="AB85" t="s">
        <v>4196</v>
      </c>
      <c r="AC85" t="s">
        <v>4717</v>
      </c>
      <c r="AD85" s="523">
        <v>150</v>
      </c>
      <c r="AE85"/>
    </row>
    <row r="86" spans="1:31">
      <c r="A86" s="146">
        <v>42327</v>
      </c>
      <c r="B86" s="143" t="s">
        <v>3896</v>
      </c>
      <c r="C86" s="298" t="s">
        <v>4002</v>
      </c>
      <c r="D86" s="145">
        <v>1042000314</v>
      </c>
      <c r="E86" s="298" t="s">
        <v>4006</v>
      </c>
      <c r="F86" s="298" t="s">
        <v>4115</v>
      </c>
      <c r="G86" s="298" t="s">
        <v>4026</v>
      </c>
      <c r="H86" s="15"/>
      <c r="I86" s="298" t="s">
        <v>123</v>
      </c>
      <c r="J86" s="59">
        <v>69.87</v>
      </c>
      <c r="K86" s="59" t="s">
        <v>3983</v>
      </c>
      <c r="L86" s="298" t="s">
        <v>133</v>
      </c>
      <c r="M86" s="298" t="s">
        <v>3985</v>
      </c>
      <c r="N86" s="144" t="str">
        <f>IFERROR(INDEX(EquipmentTBL!$H:$H,MATCH(Table5[[#This Row],[Unit'#]],EquipmentTBL!$A:$A,0)),"NONE")</f>
        <v>2HSCUAPR79CO93785</v>
      </c>
      <c r="O86" s="144" t="str">
        <f>IFERROR(INDEX(EquipmentTBL!$C:$C,MATCH(Table5[[#This Row],[Unit'#]],EquipmentTBL!$A:$A,0)),"NONE")</f>
        <v>International</v>
      </c>
      <c r="P86" s="144">
        <f>IFERROR(INDEX(EquipmentTBL!$B:$B,MATCH(Table5[[#This Row],[Unit'#]],EquipmentTBL!$A:$A,0)),"NONE")</f>
        <v>2009</v>
      </c>
      <c r="Q86" s="144" t="str">
        <f>IFERROR(INDEX(EquipmentTBL!$D:$D,MATCH(Table5[[#This Row],[Unit'#]],EquipmentTBL!$A:$A,0)),"NONE")</f>
        <v>Prostar Eagle</v>
      </c>
      <c r="R86" s="146">
        <f>(5-WEEKDAY(A86,2))+A86</f>
        <v>42328</v>
      </c>
      <c r="S86" s="104">
        <f>((5-WEEKDAY(A86,2))+A86)+7</f>
        <v>42335</v>
      </c>
      <c r="T86" s="144">
        <f>MONTH(A86)</f>
        <v>11</v>
      </c>
      <c r="U86" s="144">
        <f>YEAR(R86)</f>
        <v>2015</v>
      </c>
      <c r="V86" s="298"/>
      <c r="Z86" t="s">
        <v>4371</v>
      </c>
      <c r="AA86" s="256">
        <v>42516</v>
      </c>
      <c r="AB86" t="s">
        <v>3943</v>
      </c>
      <c r="AC86" t="s">
        <v>4023</v>
      </c>
      <c r="AD86" s="523">
        <v>10.5</v>
      </c>
      <c r="AE86"/>
    </row>
    <row r="87" spans="1:31">
      <c r="A87" s="146">
        <v>42328</v>
      </c>
      <c r="B87" s="143" t="s">
        <v>3863</v>
      </c>
      <c r="C87" s="298" t="s">
        <v>3990</v>
      </c>
      <c r="D87" s="145" t="s">
        <v>4116</v>
      </c>
      <c r="E87" s="298" t="s">
        <v>3980</v>
      </c>
      <c r="F87" s="298" t="s">
        <v>4117</v>
      </c>
      <c r="G87" s="298" t="s">
        <v>4118</v>
      </c>
      <c r="H87" s="15"/>
      <c r="I87" s="298">
        <v>1</v>
      </c>
      <c r="J87" s="59">
        <v>415.88</v>
      </c>
      <c r="K87" s="59" t="s">
        <v>3983</v>
      </c>
      <c r="L87" s="298" t="s">
        <v>133</v>
      </c>
      <c r="M87" s="298" t="s">
        <v>3985</v>
      </c>
      <c r="N87" s="144" t="str">
        <f>IFERROR(INDEX(EquipmentTBL!$H:$H,MATCH(Table5[[#This Row],[Unit'#]],EquipmentTBL!$A:$A,0)),"NONE")</f>
        <v>2HSCUAPR88C657099</v>
      </c>
      <c r="O87" s="144" t="str">
        <f>IFERROR(INDEX(EquipmentTBL!$C:$C,MATCH(Table5[[#This Row],[Unit'#]],EquipmentTBL!$A:$A,0)),"NONE")</f>
        <v>International</v>
      </c>
      <c r="P87" s="144">
        <f>IFERROR(INDEX(EquipmentTBL!$B:$B,MATCH(Table5[[#This Row],[Unit'#]],EquipmentTBL!$A:$A,0)),"NONE")</f>
        <v>2008</v>
      </c>
      <c r="Q87" s="144" t="str">
        <f>IFERROR(INDEX(EquipmentTBL!$D:$D,MATCH(Table5[[#This Row],[Unit'#]],EquipmentTBL!$A:$A,0)),"NONE")</f>
        <v>Prostar Eagle</v>
      </c>
      <c r="R87" s="146">
        <f>(5-WEEKDAY(A87,2))+A87</f>
        <v>42328</v>
      </c>
      <c r="S87" s="104">
        <f>((5-WEEKDAY(A87,2))+A87)+7</f>
        <v>42335</v>
      </c>
      <c r="T87" s="144">
        <f>MONTH(A87)</f>
        <v>11</v>
      </c>
      <c r="U87" s="144">
        <f>YEAR(R87)</f>
        <v>2015</v>
      </c>
      <c r="V87" s="298"/>
      <c r="Z87" t="s">
        <v>3863</v>
      </c>
      <c r="AA87" s="256">
        <v>42234</v>
      </c>
      <c r="AB87" t="s">
        <v>4021</v>
      </c>
      <c r="AC87" t="s">
        <v>4020</v>
      </c>
      <c r="AD87" s="523">
        <v>504</v>
      </c>
      <c r="AE87"/>
    </row>
    <row r="88" spans="1:31">
      <c r="A88" s="146">
        <v>42328</v>
      </c>
      <c r="B88" s="143" t="s">
        <v>3896</v>
      </c>
      <c r="C88" s="298" t="s">
        <v>3990</v>
      </c>
      <c r="D88" s="145">
        <v>16665</v>
      </c>
      <c r="E88" s="298" t="s">
        <v>3980</v>
      </c>
      <c r="F88" s="298" t="s">
        <v>4119</v>
      </c>
      <c r="G88" s="298" t="s">
        <v>4066</v>
      </c>
      <c r="H88" s="15"/>
      <c r="I88" s="298">
        <v>1</v>
      </c>
      <c r="J88" s="59">
        <v>435</v>
      </c>
      <c r="K88" s="59" t="s">
        <v>3983</v>
      </c>
      <c r="L88" s="298" t="s">
        <v>3839</v>
      </c>
      <c r="M88" s="298" t="s">
        <v>3985</v>
      </c>
      <c r="N88" s="144" t="str">
        <f>IFERROR(INDEX(EquipmentTBL!$H:$H,MATCH(Table5[[#This Row],[Unit'#]],EquipmentTBL!$A:$A,0)),"NONE")</f>
        <v>2HSCUAPR79CO93785</v>
      </c>
      <c r="O88" s="144" t="str">
        <f>IFERROR(INDEX(EquipmentTBL!$C:$C,MATCH(Table5[[#This Row],[Unit'#]],EquipmentTBL!$A:$A,0)),"NONE")</f>
        <v>International</v>
      </c>
      <c r="P88" s="144">
        <f>IFERROR(INDEX(EquipmentTBL!$B:$B,MATCH(Table5[[#This Row],[Unit'#]],EquipmentTBL!$A:$A,0)),"NONE")</f>
        <v>2009</v>
      </c>
      <c r="Q88" s="144" t="str">
        <f>IFERROR(INDEX(EquipmentTBL!$D:$D,MATCH(Table5[[#This Row],[Unit'#]],EquipmentTBL!$A:$A,0)),"NONE")</f>
        <v>Prostar Eagle</v>
      </c>
      <c r="R88" s="146">
        <f>(5-WEEKDAY(A88,2))+A88</f>
        <v>42328</v>
      </c>
      <c r="S88" s="104">
        <f>((5-WEEKDAY(A88,2))+A88)+7</f>
        <v>42335</v>
      </c>
      <c r="T88" s="144">
        <f>MONTH(A88)</f>
        <v>11</v>
      </c>
      <c r="U88" s="144">
        <f>YEAR(R88)</f>
        <v>2015</v>
      </c>
      <c r="V88" s="298"/>
      <c r="Z88"/>
      <c r="AA88" s="256">
        <v>42249</v>
      </c>
      <c r="AB88" t="s">
        <v>4037</v>
      </c>
      <c r="AC88" t="s">
        <v>382</v>
      </c>
      <c r="AD88" s="523">
        <v>60</v>
      </c>
      <c r="AE88"/>
    </row>
    <row r="89" spans="1:31">
      <c r="A89" s="146">
        <v>42328</v>
      </c>
      <c r="B89" s="143" t="s">
        <v>3896</v>
      </c>
      <c r="C89" s="298" t="s">
        <v>4002</v>
      </c>
      <c r="D89" s="145" t="s">
        <v>4120</v>
      </c>
      <c r="E89" s="298" t="s">
        <v>4079</v>
      </c>
      <c r="F89" s="298" t="s">
        <v>4121</v>
      </c>
      <c r="G89" s="298" t="s">
        <v>4096</v>
      </c>
      <c r="H89" s="15"/>
      <c r="I89" s="298">
        <v>1</v>
      </c>
      <c r="J89" s="59">
        <v>253.86</v>
      </c>
      <c r="K89" s="59" t="s">
        <v>3983</v>
      </c>
      <c r="L89" s="298" t="s">
        <v>133</v>
      </c>
      <c r="M89" s="298" t="s">
        <v>3985</v>
      </c>
      <c r="N89" s="144" t="str">
        <f>IFERROR(INDEX(EquipmentTBL!$H:$H,MATCH(Table5[[#This Row],[Unit'#]],EquipmentTBL!$A:$A,0)),"NONE")</f>
        <v>2HSCUAPR79CO93785</v>
      </c>
      <c r="O89" s="144" t="str">
        <f>IFERROR(INDEX(EquipmentTBL!$C:$C,MATCH(Table5[[#This Row],[Unit'#]],EquipmentTBL!$A:$A,0)),"NONE")</f>
        <v>International</v>
      </c>
      <c r="P89" s="144">
        <f>IFERROR(INDEX(EquipmentTBL!$B:$B,MATCH(Table5[[#This Row],[Unit'#]],EquipmentTBL!$A:$A,0)),"NONE")</f>
        <v>2009</v>
      </c>
      <c r="Q89" s="144" t="str">
        <f>IFERROR(INDEX(EquipmentTBL!$D:$D,MATCH(Table5[[#This Row],[Unit'#]],EquipmentTBL!$A:$A,0)),"NONE")</f>
        <v>Prostar Eagle</v>
      </c>
      <c r="R89" s="146">
        <f>(5-WEEKDAY(A89,2))+A89</f>
        <v>42328</v>
      </c>
      <c r="S89" s="104">
        <f>((5-WEEKDAY(A89,2))+A89)+7</f>
        <v>42335</v>
      </c>
      <c r="T89" s="144">
        <f>MONTH(A89)</f>
        <v>11</v>
      </c>
      <c r="U89" s="144">
        <f>YEAR(R89)</f>
        <v>2015</v>
      </c>
      <c r="V89" s="298"/>
      <c r="Z89"/>
      <c r="AA89" s="256">
        <v>42268</v>
      </c>
      <c r="AB89" t="s">
        <v>4054</v>
      </c>
      <c r="AC89" t="s">
        <v>4053</v>
      </c>
      <c r="AD89" s="523">
        <v>10</v>
      </c>
      <c r="AE89"/>
    </row>
    <row r="90" spans="1:31">
      <c r="A90" s="146">
        <v>42328</v>
      </c>
      <c r="B90" s="146" t="s">
        <v>3896</v>
      </c>
      <c r="C90" s="65" t="s">
        <v>4002</v>
      </c>
      <c r="D90" s="145" t="s">
        <v>4712</v>
      </c>
      <c r="E90" s="298" t="s">
        <v>4028</v>
      </c>
      <c r="F90" s="298" t="s">
        <v>4713</v>
      </c>
      <c r="G90" s="298" t="s">
        <v>4096</v>
      </c>
      <c r="H90" s="15"/>
      <c r="I90" s="65">
        <v>1</v>
      </c>
      <c r="J90" s="54">
        <v>69.319999999999993</v>
      </c>
      <c r="K90" s="54" t="s">
        <v>3983</v>
      </c>
      <c r="L90" s="59" t="s">
        <v>3984</v>
      </c>
      <c r="M90" s="145" t="s">
        <v>3985</v>
      </c>
      <c r="N90" s="86" t="str">
        <f>IFERROR(INDEX(EquipmentTBL!$H:$H,MATCH(Table5[[#This Row],[Unit'#]],EquipmentTBL!$A:$A,0)),"NONE")</f>
        <v>2HSCUAPR79CO93785</v>
      </c>
      <c r="O90" s="86" t="str">
        <f>IFERROR(INDEX(EquipmentTBL!$C:$C,MATCH(Table5[[#This Row],[Unit'#]],EquipmentTBL!$A:$A,0)),"NONE")</f>
        <v>International</v>
      </c>
      <c r="P90" s="86">
        <f>IFERROR(INDEX(EquipmentTBL!$B:$B,MATCH(Table5[[#This Row],[Unit'#]],EquipmentTBL!$A:$A,0)),"NONE")</f>
        <v>2009</v>
      </c>
      <c r="Q90" s="86" t="str">
        <f>IFERROR(INDEX(EquipmentTBL!$D:$D,MATCH(Table5[[#This Row],[Unit'#]],EquipmentTBL!$A:$A,0)),"NONE")</f>
        <v>Prostar Eagle</v>
      </c>
      <c r="R90" s="26">
        <f>(5-WEEKDAY(A90,2))+A90</f>
        <v>42328</v>
      </c>
      <c r="S90" s="172">
        <f>((5-WEEKDAY(A90,2))+A90)+7</f>
        <v>42335</v>
      </c>
      <c r="T90" s="150">
        <f>MONTH(A90)</f>
        <v>11</v>
      </c>
      <c r="U90" s="150">
        <f>YEAR(R90)</f>
        <v>2015</v>
      </c>
      <c r="V90" s="298"/>
      <c r="Z90"/>
      <c r="AA90" s="256">
        <v>42326</v>
      </c>
      <c r="AB90" t="s">
        <v>4054</v>
      </c>
      <c r="AC90" t="s">
        <v>4053</v>
      </c>
      <c r="AD90" s="523">
        <v>10</v>
      </c>
      <c r="AE90"/>
    </row>
    <row r="91" spans="1:31">
      <c r="A91" s="146">
        <v>42335</v>
      </c>
      <c r="B91" s="143" t="s">
        <v>3896</v>
      </c>
      <c r="C91" s="298" t="s">
        <v>4002</v>
      </c>
      <c r="D91" s="145"/>
      <c r="E91" s="298" t="s">
        <v>3980</v>
      </c>
      <c r="F91" s="298" t="s">
        <v>4108</v>
      </c>
      <c r="G91" s="298" t="s">
        <v>4083</v>
      </c>
      <c r="H91" s="15"/>
      <c r="I91" s="298" t="s">
        <v>123</v>
      </c>
      <c r="J91" s="59">
        <v>0.74</v>
      </c>
      <c r="K91" s="59" t="s">
        <v>3983</v>
      </c>
      <c r="L91" s="298" t="s">
        <v>3984</v>
      </c>
      <c r="M91" s="298" t="s">
        <v>3985</v>
      </c>
      <c r="N91" s="144" t="str">
        <f>IFERROR(INDEX(EquipmentTBL!$H:$H,MATCH(Table5[[#This Row],[Unit'#]],EquipmentTBL!$A:$A,0)),"NONE")</f>
        <v>2HSCUAPR79CO93785</v>
      </c>
      <c r="O91" s="144" t="str">
        <f>IFERROR(INDEX(EquipmentTBL!$C:$C,MATCH(Table5[[#This Row],[Unit'#]],EquipmentTBL!$A:$A,0)),"NONE")</f>
        <v>International</v>
      </c>
      <c r="P91" s="144">
        <f>IFERROR(INDEX(EquipmentTBL!$B:$B,MATCH(Table5[[#This Row],[Unit'#]],EquipmentTBL!$A:$A,0)),"NONE")</f>
        <v>2009</v>
      </c>
      <c r="Q91" s="144" t="str">
        <f>IFERROR(INDEX(EquipmentTBL!$D:$D,MATCH(Table5[[#This Row],[Unit'#]],EquipmentTBL!$A:$A,0)),"NONE")</f>
        <v>Prostar Eagle</v>
      </c>
      <c r="R91" s="146">
        <f>(5-WEEKDAY(A91,2))+A91</f>
        <v>42335</v>
      </c>
      <c r="S91" s="104">
        <f>((5-WEEKDAY(A91,2))+A91)+7</f>
        <v>42342</v>
      </c>
      <c r="T91" s="144">
        <f>MONTH(A91)</f>
        <v>11</v>
      </c>
      <c r="U91" s="144">
        <f>YEAR(R91)</f>
        <v>2015</v>
      </c>
      <c r="V91" s="298"/>
      <c r="Z91"/>
      <c r="AA91" s="256">
        <v>42395</v>
      </c>
      <c r="AB91" t="s">
        <v>4054</v>
      </c>
      <c r="AC91" t="s">
        <v>4053</v>
      </c>
      <c r="AD91" s="523">
        <v>10</v>
      </c>
      <c r="AE91"/>
    </row>
    <row r="92" spans="1:31">
      <c r="A92" s="146">
        <v>42338</v>
      </c>
      <c r="B92" s="143" t="s">
        <v>4030</v>
      </c>
      <c r="C92" s="298" t="s">
        <v>4002</v>
      </c>
      <c r="D92" s="145">
        <v>6584</v>
      </c>
      <c r="E92" s="298" t="s">
        <v>4039</v>
      </c>
      <c r="F92" s="298" t="s">
        <v>4122</v>
      </c>
      <c r="G92" s="298" t="s">
        <v>4019</v>
      </c>
      <c r="H92" s="15"/>
      <c r="I92" s="298">
        <v>2</v>
      </c>
      <c r="J92" s="59">
        <v>510</v>
      </c>
      <c r="K92" s="59" t="s">
        <v>3983</v>
      </c>
      <c r="L92" s="298" t="s">
        <v>3984</v>
      </c>
      <c r="M92" s="298" t="s">
        <v>3985</v>
      </c>
      <c r="N92" s="144" t="str">
        <f>IFERROR(INDEX(EquipmentTBL!$H:$H,MATCH(Table5[[#This Row],[Unit'#]],EquipmentTBL!$A:$A,0)),"NONE")</f>
        <v>1GRAA0625XB130354</v>
      </c>
      <c r="O92" s="144" t="str">
        <f>IFERROR(INDEX(EquipmentTBL!$C:$C,MATCH(Table5[[#This Row],[Unit'#]],EquipmentTBL!$A:$A,0)),"NONE")</f>
        <v>Grate Dane</v>
      </c>
      <c r="P92" s="144">
        <f>IFERROR(INDEX(EquipmentTBL!$B:$B,MATCH(Table5[[#This Row],[Unit'#]],EquipmentTBL!$A:$A,0)),"NONE")</f>
        <v>1999</v>
      </c>
      <c r="Q92" s="144" t="str">
        <f>IFERROR(INDEX(EquipmentTBL!$D:$D,MATCH(Table5[[#This Row],[Unit'#]],EquipmentTBL!$A:$A,0)),"NONE")</f>
        <v>DryVan</v>
      </c>
      <c r="R92" s="146">
        <f>(5-WEEKDAY(A92,2))+A92</f>
        <v>42342</v>
      </c>
      <c r="S92" s="104">
        <f>((5-WEEKDAY(A92,2))+A92)+7</f>
        <v>42349</v>
      </c>
      <c r="T92" s="144">
        <f>MONTH(A92)</f>
        <v>11</v>
      </c>
      <c r="U92" s="144">
        <f>YEAR(R92)</f>
        <v>2015</v>
      </c>
      <c r="V92" s="298"/>
      <c r="Z92"/>
      <c r="AA92" s="256">
        <v>42461</v>
      </c>
      <c r="AB92" t="s">
        <v>4048</v>
      </c>
      <c r="AC92" t="s">
        <v>4237</v>
      </c>
      <c r="AD92" s="523">
        <v>60</v>
      </c>
      <c r="AE92"/>
    </row>
    <row r="93" spans="1:31">
      <c r="A93" s="146">
        <v>42338</v>
      </c>
      <c r="B93" s="143" t="s">
        <v>3896</v>
      </c>
      <c r="C93" s="298" t="s">
        <v>4002</v>
      </c>
      <c r="D93" s="145">
        <v>774869</v>
      </c>
      <c r="E93" s="298" t="s">
        <v>3980</v>
      </c>
      <c r="F93" s="298" t="s">
        <v>4123</v>
      </c>
      <c r="G93" s="298" t="s">
        <v>4124</v>
      </c>
      <c r="H93" s="15"/>
      <c r="I93" s="298" t="s">
        <v>123</v>
      </c>
      <c r="J93" s="59">
        <v>4.33</v>
      </c>
      <c r="K93" s="59" t="s">
        <v>3983</v>
      </c>
      <c r="L93" s="298" t="s">
        <v>3984</v>
      </c>
      <c r="M93" s="298" t="s">
        <v>3985</v>
      </c>
      <c r="N93" s="144" t="str">
        <f>IFERROR(INDEX(EquipmentTBL!$H:$H,MATCH(Table5[[#This Row],[Unit'#]],EquipmentTBL!$A:$A,0)),"NONE")</f>
        <v>2HSCUAPR79CO93785</v>
      </c>
      <c r="O93" s="144" t="str">
        <f>IFERROR(INDEX(EquipmentTBL!$C:$C,MATCH(Table5[[#This Row],[Unit'#]],EquipmentTBL!$A:$A,0)),"NONE")</f>
        <v>International</v>
      </c>
      <c r="P93" s="144">
        <f>IFERROR(INDEX(EquipmentTBL!$B:$B,MATCH(Table5[[#This Row],[Unit'#]],EquipmentTBL!$A:$A,0)),"NONE")</f>
        <v>2009</v>
      </c>
      <c r="Q93" s="144" t="str">
        <f>IFERROR(INDEX(EquipmentTBL!$D:$D,MATCH(Table5[[#This Row],[Unit'#]],EquipmentTBL!$A:$A,0)),"NONE")</f>
        <v>Prostar Eagle</v>
      </c>
      <c r="R93" s="146">
        <f>(5-WEEKDAY(A93,2))+A93</f>
        <v>42342</v>
      </c>
      <c r="S93" s="104">
        <f>((5-WEEKDAY(A93,2))+A93)+7</f>
        <v>42349</v>
      </c>
      <c r="T93" s="144">
        <f>MONTH(A93)</f>
        <v>11</v>
      </c>
      <c r="U93" s="144">
        <f>YEAR(R93)</f>
        <v>2015</v>
      </c>
      <c r="V93" s="298"/>
      <c r="Z93" t="s">
        <v>4022</v>
      </c>
      <c r="AA93" s="256">
        <v>42234</v>
      </c>
      <c r="AB93" t="s">
        <v>4024</v>
      </c>
      <c r="AC93" t="s">
        <v>4023</v>
      </c>
      <c r="AD93" s="523">
        <v>10.5</v>
      </c>
      <c r="AE93"/>
    </row>
    <row r="94" spans="1:31">
      <c r="A94" s="146">
        <v>42338</v>
      </c>
      <c r="B94" s="143" t="s">
        <v>3863</v>
      </c>
      <c r="C94" s="298" t="s">
        <v>3990</v>
      </c>
      <c r="D94" s="145">
        <v>1242</v>
      </c>
      <c r="E94" s="298" t="s">
        <v>3980</v>
      </c>
      <c r="F94" s="298" t="s">
        <v>4125</v>
      </c>
      <c r="G94" s="298" t="s">
        <v>4126</v>
      </c>
      <c r="H94" s="15"/>
      <c r="I94" s="298" t="s">
        <v>123</v>
      </c>
      <c r="J94" s="59">
        <v>127.5</v>
      </c>
      <c r="K94" s="59" t="s">
        <v>3983</v>
      </c>
      <c r="L94" s="298" t="s">
        <v>3984</v>
      </c>
      <c r="M94" s="298" t="s">
        <v>3985</v>
      </c>
      <c r="N94" s="144" t="str">
        <f>IFERROR(INDEX(EquipmentTBL!$H:$H,MATCH(Table5[[#This Row],[Unit'#]],EquipmentTBL!$A:$A,0)),"NONE")</f>
        <v>2HSCUAPR88C657099</v>
      </c>
      <c r="O94" s="144" t="str">
        <f>IFERROR(INDEX(EquipmentTBL!$C:$C,MATCH(Table5[[#This Row],[Unit'#]],EquipmentTBL!$A:$A,0)),"NONE")</f>
        <v>International</v>
      </c>
      <c r="P94" s="144">
        <f>IFERROR(INDEX(EquipmentTBL!$B:$B,MATCH(Table5[[#This Row],[Unit'#]],EquipmentTBL!$A:$A,0)),"NONE")</f>
        <v>2008</v>
      </c>
      <c r="Q94" s="144" t="str">
        <f>IFERROR(INDEX(EquipmentTBL!$D:$D,MATCH(Table5[[#This Row],[Unit'#]],EquipmentTBL!$A:$A,0)),"NONE")</f>
        <v>Prostar Eagle</v>
      </c>
      <c r="R94" s="146">
        <f>(5-WEEKDAY(A94,2))+A94</f>
        <v>42342</v>
      </c>
      <c r="S94" s="104">
        <f>((5-WEEKDAY(A94,2))+A94)+7</f>
        <v>42349</v>
      </c>
      <c r="T94" s="144">
        <f>MONTH(A94)</f>
        <v>11</v>
      </c>
      <c r="U94" s="144">
        <f>YEAR(R94)</f>
        <v>2015</v>
      </c>
      <c r="V94" s="298"/>
      <c r="Z94"/>
      <c r="AA94" s="256">
        <v>42249</v>
      </c>
      <c r="AB94" t="s">
        <v>4038</v>
      </c>
      <c r="AC94" t="s">
        <v>4023</v>
      </c>
      <c r="AD94" s="523">
        <v>9.5</v>
      </c>
      <c r="AE94"/>
    </row>
    <row r="95" spans="1:31">
      <c r="A95" s="146">
        <v>42339</v>
      </c>
      <c r="B95" s="143" t="s">
        <v>3863</v>
      </c>
      <c r="C95" s="298" t="s">
        <v>3997</v>
      </c>
      <c r="D95" s="145"/>
      <c r="E95" s="298" t="s">
        <v>3980</v>
      </c>
      <c r="F95" s="298" t="s">
        <v>4000</v>
      </c>
      <c r="G95" s="298" t="s">
        <v>3999</v>
      </c>
      <c r="H95" s="15"/>
      <c r="I95" s="298" t="s">
        <v>123</v>
      </c>
      <c r="J95" s="59">
        <v>125</v>
      </c>
      <c r="K95" s="59" t="s">
        <v>3983</v>
      </c>
      <c r="L95" s="298" t="s">
        <v>3984</v>
      </c>
      <c r="M95" s="298" t="s">
        <v>3985</v>
      </c>
      <c r="N95" s="144" t="str">
        <f>IFERROR(INDEX(EquipmentTBL!$H:$H,MATCH(Table5[[#This Row],[Unit'#]],EquipmentTBL!$A:$A,0)),"NONE")</f>
        <v>2HSCUAPR88C657099</v>
      </c>
      <c r="O95" s="144" t="str">
        <f>IFERROR(INDEX(EquipmentTBL!$C:$C,MATCH(Table5[[#This Row],[Unit'#]],EquipmentTBL!$A:$A,0)),"NONE")</f>
        <v>International</v>
      </c>
      <c r="P95" s="144">
        <f>IFERROR(INDEX(EquipmentTBL!$B:$B,MATCH(Table5[[#This Row],[Unit'#]],EquipmentTBL!$A:$A,0)),"NONE")</f>
        <v>2008</v>
      </c>
      <c r="Q95" s="144" t="str">
        <f>IFERROR(INDEX(EquipmentTBL!$D:$D,MATCH(Table5[[#This Row],[Unit'#]],EquipmentTBL!$A:$A,0)),"NONE")</f>
        <v>Prostar Eagle</v>
      </c>
      <c r="R95" s="146">
        <f>(5-WEEKDAY(A95,2))+A95</f>
        <v>42342</v>
      </c>
      <c r="S95" s="104">
        <f>((5-WEEKDAY(A95,2))+A95)+7</f>
        <v>42349</v>
      </c>
      <c r="T95" s="144">
        <f>MONTH(A95)</f>
        <v>12</v>
      </c>
      <c r="U95" s="144">
        <f>YEAR(R95)</f>
        <v>2015</v>
      </c>
      <c r="V95" s="298"/>
      <c r="Z95"/>
      <c r="AA95" s="256">
        <v>42305</v>
      </c>
      <c r="AB95" t="s">
        <v>4066</v>
      </c>
      <c r="AC95" t="s">
        <v>4023</v>
      </c>
      <c r="AD95" s="523">
        <v>10.5</v>
      </c>
      <c r="AE95"/>
    </row>
    <row r="96" spans="1:31">
      <c r="A96" s="146">
        <v>42339</v>
      </c>
      <c r="B96" s="143" t="s">
        <v>3896</v>
      </c>
      <c r="C96" s="298" t="s">
        <v>3997</v>
      </c>
      <c r="D96" s="145"/>
      <c r="E96" s="298" t="s">
        <v>3980</v>
      </c>
      <c r="F96" s="298" t="s">
        <v>4000</v>
      </c>
      <c r="G96" s="298" t="s">
        <v>3999</v>
      </c>
      <c r="H96" s="15"/>
      <c r="I96" s="298" t="s">
        <v>123</v>
      </c>
      <c r="J96" s="59">
        <v>125</v>
      </c>
      <c r="K96" s="59" t="s">
        <v>3983</v>
      </c>
      <c r="L96" s="298" t="s">
        <v>3984</v>
      </c>
      <c r="M96" s="298" t="s">
        <v>3985</v>
      </c>
      <c r="N96" s="144" t="str">
        <f>IFERROR(INDEX(EquipmentTBL!$H:$H,MATCH(Table5[[#This Row],[Unit'#]],EquipmentTBL!$A:$A,0)),"NONE")</f>
        <v>2HSCUAPR79CO93785</v>
      </c>
      <c r="O96" s="144" t="str">
        <f>IFERROR(INDEX(EquipmentTBL!$C:$C,MATCH(Table5[[#This Row],[Unit'#]],EquipmentTBL!$A:$A,0)),"NONE")</f>
        <v>International</v>
      </c>
      <c r="P96" s="144">
        <f>IFERROR(INDEX(EquipmentTBL!$B:$B,MATCH(Table5[[#This Row],[Unit'#]],EquipmentTBL!$A:$A,0)),"NONE")</f>
        <v>2009</v>
      </c>
      <c r="Q96" s="144" t="str">
        <f>IFERROR(INDEX(EquipmentTBL!$D:$D,MATCH(Table5[[#This Row],[Unit'#]],EquipmentTBL!$A:$A,0)),"NONE")</f>
        <v>Prostar Eagle</v>
      </c>
      <c r="R96" s="146">
        <f>(5-WEEKDAY(A96,2))+A96</f>
        <v>42342</v>
      </c>
      <c r="S96" s="104">
        <f>((5-WEEKDAY(A96,2))+A96)+7</f>
        <v>42349</v>
      </c>
      <c r="T96" s="144">
        <f>MONTH(A96)</f>
        <v>12</v>
      </c>
      <c r="U96" s="144">
        <f>YEAR(R96)</f>
        <v>2015</v>
      </c>
      <c r="V96" s="298"/>
      <c r="Z96"/>
      <c r="AA96" s="256">
        <v>42327</v>
      </c>
      <c r="AB96" t="s">
        <v>4111</v>
      </c>
      <c r="AC96" t="s">
        <v>4023</v>
      </c>
      <c r="AD96" s="523">
        <v>12.5</v>
      </c>
      <c r="AE96"/>
    </row>
    <row r="97" spans="1:31">
      <c r="A97" s="146">
        <v>42341</v>
      </c>
      <c r="B97" s="143" t="s">
        <v>3978</v>
      </c>
      <c r="C97" s="298" t="s">
        <v>3990</v>
      </c>
      <c r="D97" s="145"/>
      <c r="E97" s="298" t="s">
        <v>3980</v>
      </c>
      <c r="F97" s="298" t="s">
        <v>4127</v>
      </c>
      <c r="G97" s="298" t="s">
        <v>4026</v>
      </c>
      <c r="H97" s="15"/>
      <c r="I97" s="298" t="s">
        <v>123</v>
      </c>
      <c r="J97" s="59">
        <v>10.82</v>
      </c>
      <c r="K97" s="59" t="s">
        <v>3983</v>
      </c>
      <c r="L97" s="298" t="s">
        <v>3984</v>
      </c>
      <c r="M97" s="298" t="s">
        <v>3985</v>
      </c>
      <c r="N97" s="144" t="str">
        <f>IFERROR(INDEX(EquipmentTBL!$H:$H,MATCH(Table5[[#This Row],[Unit'#]],EquipmentTBL!$A:$A,0)),"NONE")</f>
        <v>NONE</v>
      </c>
      <c r="O97" s="144" t="str">
        <f>IFERROR(INDEX(EquipmentTBL!$C:$C,MATCH(Table5[[#This Row],[Unit'#]],EquipmentTBL!$A:$A,0)),"NONE")</f>
        <v>NONE</v>
      </c>
      <c r="P97" s="144" t="str">
        <f>IFERROR(INDEX(EquipmentTBL!$B:$B,MATCH(Table5[[#This Row],[Unit'#]],EquipmentTBL!$A:$A,0)),"NONE")</f>
        <v>NONE</v>
      </c>
      <c r="Q97" s="144" t="str">
        <f>IFERROR(INDEX(EquipmentTBL!$D:$D,MATCH(Table5[[#This Row],[Unit'#]],EquipmentTBL!$A:$A,0)),"NONE")</f>
        <v>NONE</v>
      </c>
      <c r="R97" s="146">
        <f>(5-WEEKDAY(A97,2))+A97</f>
        <v>42342</v>
      </c>
      <c r="S97" s="104">
        <f>((5-WEEKDAY(A97,2))+A97)+7</f>
        <v>42349</v>
      </c>
      <c r="T97" s="144">
        <f>MONTH(A97)</f>
        <v>12</v>
      </c>
      <c r="U97" s="144">
        <f>YEAR(R97)</f>
        <v>2015</v>
      </c>
      <c r="V97" s="298"/>
      <c r="Z97"/>
      <c r="AA97" s="256">
        <v>42503</v>
      </c>
      <c r="AB97" t="s">
        <v>3943</v>
      </c>
      <c r="AC97" t="s">
        <v>4023</v>
      </c>
      <c r="AD97" s="523">
        <v>21</v>
      </c>
      <c r="AE97"/>
    </row>
    <row r="98" spans="1:31">
      <c r="A98" s="146">
        <v>42345</v>
      </c>
      <c r="B98" s="143" t="s">
        <v>3896</v>
      </c>
      <c r="C98" s="298" t="s">
        <v>4002</v>
      </c>
      <c r="D98" s="145" t="s">
        <v>4128</v>
      </c>
      <c r="E98" s="298" t="s">
        <v>3980</v>
      </c>
      <c r="F98" s="298" t="s">
        <v>4129</v>
      </c>
      <c r="G98" s="298" t="s">
        <v>4083</v>
      </c>
      <c r="H98" s="15"/>
      <c r="I98" s="298" t="s">
        <v>123</v>
      </c>
      <c r="J98" s="59">
        <v>1.37</v>
      </c>
      <c r="K98" s="59" t="s">
        <v>3983</v>
      </c>
      <c r="L98" s="298" t="s">
        <v>3984</v>
      </c>
      <c r="M98" s="298" t="s">
        <v>3985</v>
      </c>
      <c r="N98" s="144" t="str">
        <f>IFERROR(INDEX(EquipmentTBL!$H:$H,MATCH(Table5[[#This Row],[Unit'#]],EquipmentTBL!$A:$A,0)),"NONE")</f>
        <v>2HSCUAPR79CO93785</v>
      </c>
      <c r="O98" s="144" t="str">
        <f>IFERROR(INDEX(EquipmentTBL!$C:$C,MATCH(Table5[[#This Row],[Unit'#]],EquipmentTBL!$A:$A,0)),"NONE")</f>
        <v>International</v>
      </c>
      <c r="P98" s="144">
        <f>IFERROR(INDEX(EquipmentTBL!$B:$B,MATCH(Table5[[#This Row],[Unit'#]],EquipmentTBL!$A:$A,0)),"NONE")</f>
        <v>2009</v>
      </c>
      <c r="Q98" s="144" t="str">
        <f>IFERROR(INDEX(EquipmentTBL!$D:$D,MATCH(Table5[[#This Row],[Unit'#]],EquipmentTBL!$A:$A,0)),"NONE")</f>
        <v>Prostar Eagle</v>
      </c>
      <c r="R98" s="146">
        <f>(5-WEEKDAY(A98,2))+A98</f>
        <v>42349</v>
      </c>
      <c r="S98" s="104">
        <f>((5-WEEKDAY(A98,2))+A98)+7</f>
        <v>42356</v>
      </c>
      <c r="T98" s="144">
        <f>MONTH(A98)</f>
        <v>12</v>
      </c>
      <c r="U98" s="144">
        <f>YEAR(R98)</f>
        <v>2015</v>
      </c>
      <c r="V98" s="298"/>
      <c r="Z98"/>
      <c r="AA98" s="256">
        <v>42544</v>
      </c>
      <c r="AB98" t="s">
        <v>3935</v>
      </c>
      <c r="AC98" t="s">
        <v>4023</v>
      </c>
      <c r="AD98" s="523">
        <v>21</v>
      </c>
      <c r="AE98"/>
    </row>
    <row r="99" spans="1:31">
      <c r="A99" s="146">
        <v>42345</v>
      </c>
      <c r="B99" s="143" t="s">
        <v>3863</v>
      </c>
      <c r="C99" s="298" t="s">
        <v>4002</v>
      </c>
      <c r="D99" s="145">
        <v>156892</v>
      </c>
      <c r="E99" s="298" t="s">
        <v>4006</v>
      </c>
      <c r="F99" s="298" t="s">
        <v>4130</v>
      </c>
      <c r="G99" s="298" t="s">
        <v>4008</v>
      </c>
      <c r="H99" s="15"/>
      <c r="I99" s="298" t="s">
        <v>123</v>
      </c>
      <c r="J99" s="59">
        <v>366.73</v>
      </c>
      <c r="K99" s="59" t="s">
        <v>3983</v>
      </c>
      <c r="L99" s="298" t="s">
        <v>133</v>
      </c>
      <c r="M99" s="298" t="s">
        <v>3985</v>
      </c>
      <c r="N99" s="144" t="str">
        <f>IFERROR(INDEX(EquipmentTBL!$H:$H,MATCH(Table5[[#This Row],[Unit'#]],EquipmentTBL!$A:$A,0)),"NONE")</f>
        <v>2HSCUAPR88C657099</v>
      </c>
      <c r="O99" s="144" t="str">
        <f>IFERROR(INDEX(EquipmentTBL!$C:$C,MATCH(Table5[[#This Row],[Unit'#]],EquipmentTBL!$A:$A,0)),"NONE")</f>
        <v>International</v>
      </c>
      <c r="P99" s="144">
        <f>IFERROR(INDEX(EquipmentTBL!$B:$B,MATCH(Table5[[#This Row],[Unit'#]],EquipmentTBL!$A:$A,0)),"NONE")</f>
        <v>2008</v>
      </c>
      <c r="Q99" s="144" t="str">
        <f>IFERROR(INDEX(EquipmentTBL!$D:$D,MATCH(Table5[[#This Row],[Unit'#]],EquipmentTBL!$A:$A,0)),"NONE")</f>
        <v>Prostar Eagle</v>
      </c>
      <c r="R99" s="146">
        <f>(5-WEEKDAY(A99,2))+A99</f>
        <v>42349</v>
      </c>
      <c r="S99" s="104">
        <f>((5-WEEKDAY(A99,2))+A99)+7</f>
        <v>42356</v>
      </c>
      <c r="T99" s="144">
        <f>MONTH(A99)</f>
        <v>12</v>
      </c>
      <c r="U99" s="144">
        <f>YEAR(R99)</f>
        <v>2015</v>
      </c>
      <c r="V99" s="298"/>
      <c r="Z99"/>
      <c r="AA99" s="256">
        <v>42545</v>
      </c>
      <c r="AB99" t="s">
        <v>4297</v>
      </c>
      <c r="AC99" t="s">
        <v>4023</v>
      </c>
      <c r="AD99" s="523">
        <v>10</v>
      </c>
      <c r="AE99"/>
    </row>
    <row r="100" spans="1:31">
      <c r="A100" s="146">
        <v>42345</v>
      </c>
      <c r="B100" s="143" t="s">
        <v>3863</v>
      </c>
      <c r="C100" s="298" t="s">
        <v>4002</v>
      </c>
      <c r="D100" s="145">
        <v>179106</v>
      </c>
      <c r="E100" s="298" t="s">
        <v>4028</v>
      </c>
      <c r="F100" s="298" t="s">
        <v>4131</v>
      </c>
      <c r="G100" s="298" t="s">
        <v>4132</v>
      </c>
      <c r="H100" s="15"/>
      <c r="I100" s="298" t="s">
        <v>123</v>
      </c>
      <c r="J100" s="59">
        <v>150</v>
      </c>
      <c r="K100" s="59" t="s">
        <v>3983</v>
      </c>
      <c r="L100" s="298" t="s">
        <v>3984</v>
      </c>
      <c r="M100" s="298" t="s">
        <v>3985</v>
      </c>
      <c r="N100" s="144" t="str">
        <f>IFERROR(INDEX(EquipmentTBL!$H:$H,MATCH(Table5[[#This Row],[Unit'#]],EquipmentTBL!$A:$A,0)),"NONE")</f>
        <v>2HSCUAPR88C657099</v>
      </c>
      <c r="O100" s="144" t="str">
        <f>IFERROR(INDEX(EquipmentTBL!$C:$C,MATCH(Table5[[#This Row],[Unit'#]],EquipmentTBL!$A:$A,0)),"NONE")</f>
        <v>International</v>
      </c>
      <c r="P100" s="144">
        <f>IFERROR(INDEX(EquipmentTBL!$B:$B,MATCH(Table5[[#This Row],[Unit'#]],EquipmentTBL!$A:$A,0)),"NONE")</f>
        <v>2008</v>
      </c>
      <c r="Q100" s="144" t="str">
        <f>IFERROR(INDEX(EquipmentTBL!$D:$D,MATCH(Table5[[#This Row],[Unit'#]],EquipmentTBL!$A:$A,0)),"NONE")</f>
        <v>Prostar Eagle</v>
      </c>
      <c r="R100" s="146">
        <f>(5-WEEKDAY(A100,2))+A100</f>
        <v>42349</v>
      </c>
      <c r="S100" s="104">
        <f>((5-WEEKDAY(A100,2))+A100)+7</f>
        <v>42356</v>
      </c>
      <c r="T100" s="144">
        <f>MONTH(A100)</f>
        <v>12</v>
      </c>
      <c r="U100" s="144">
        <f>YEAR(R100)</f>
        <v>2015</v>
      </c>
      <c r="V100" s="298"/>
      <c r="Z100"/>
      <c r="AA100" s="256">
        <v>42552</v>
      </c>
      <c r="AB100" t="s">
        <v>4223</v>
      </c>
      <c r="AC100" t="s">
        <v>4023</v>
      </c>
      <c r="AD100" s="523">
        <v>10.5</v>
      </c>
      <c r="AE100"/>
    </row>
    <row r="101" spans="1:31">
      <c r="A101" s="146">
        <v>42346</v>
      </c>
      <c r="B101" s="143" t="s">
        <v>3978</v>
      </c>
      <c r="C101" s="298" t="s">
        <v>3979</v>
      </c>
      <c r="D101" s="145"/>
      <c r="E101" s="298" t="s">
        <v>3980</v>
      </c>
      <c r="F101" s="298" t="s">
        <v>4073</v>
      </c>
      <c r="G101" s="298" t="s">
        <v>4073</v>
      </c>
      <c r="H101" s="15"/>
      <c r="I101" s="298" t="s">
        <v>123</v>
      </c>
      <c r="J101" s="59">
        <v>50</v>
      </c>
      <c r="K101" s="59" t="s">
        <v>3983</v>
      </c>
      <c r="L101" s="298" t="s">
        <v>3988</v>
      </c>
      <c r="M101" s="298" t="s">
        <v>3989</v>
      </c>
      <c r="N101" s="144" t="str">
        <f>IFERROR(INDEX(EquipmentTBL!$H:$H,MATCH(Table5[[#This Row],[Unit'#]],EquipmentTBL!$A:$A,0)),"NONE")</f>
        <v>NONE</v>
      </c>
      <c r="O101" s="144" t="str">
        <f>IFERROR(INDEX(EquipmentTBL!$C:$C,MATCH(Table5[[#This Row],[Unit'#]],EquipmentTBL!$A:$A,0)),"NONE")</f>
        <v>NONE</v>
      </c>
      <c r="P101" s="144" t="str">
        <f>IFERROR(INDEX(EquipmentTBL!$B:$B,MATCH(Table5[[#This Row],[Unit'#]],EquipmentTBL!$A:$A,0)),"NONE")</f>
        <v>NONE</v>
      </c>
      <c r="Q101" s="144" t="str">
        <f>IFERROR(INDEX(EquipmentTBL!$D:$D,MATCH(Table5[[#This Row],[Unit'#]],EquipmentTBL!$A:$A,0)),"NONE")</f>
        <v>NONE</v>
      </c>
      <c r="R101" s="146">
        <f>(5-WEEKDAY(A101,2))+A101</f>
        <v>42349</v>
      </c>
      <c r="S101" s="104">
        <f>((5-WEEKDAY(A101,2))+A101)+7</f>
        <v>42356</v>
      </c>
      <c r="T101" s="15">
        <f>MONTH(A101)</f>
        <v>12</v>
      </c>
      <c r="U101" s="144">
        <f>YEAR(R101)</f>
        <v>2015</v>
      </c>
      <c r="V101" s="298"/>
      <c r="Z101"/>
      <c r="AA101" s="256">
        <v>42556</v>
      </c>
      <c r="AB101" t="s">
        <v>4297</v>
      </c>
      <c r="AC101" t="s">
        <v>4023</v>
      </c>
      <c r="AD101" s="523">
        <v>10</v>
      </c>
      <c r="AE101"/>
    </row>
    <row r="102" spans="1:31">
      <c r="A102" s="146">
        <v>42347</v>
      </c>
      <c r="B102" s="143" t="s">
        <v>3896</v>
      </c>
      <c r="C102" s="298" t="s">
        <v>4002</v>
      </c>
      <c r="D102" s="145"/>
      <c r="E102" s="298" t="s">
        <v>3980</v>
      </c>
      <c r="F102" s="298" t="s">
        <v>4133</v>
      </c>
      <c r="G102" s="298" t="s">
        <v>4134</v>
      </c>
      <c r="H102" s="15"/>
      <c r="I102" s="298" t="s">
        <v>123</v>
      </c>
      <c r="J102" s="59">
        <v>24.53</v>
      </c>
      <c r="K102" s="59" t="s">
        <v>3983</v>
      </c>
      <c r="L102" s="298" t="s">
        <v>3984</v>
      </c>
      <c r="M102" s="298" t="s">
        <v>3985</v>
      </c>
      <c r="N102" s="144" t="str">
        <f>IFERROR(INDEX(EquipmentTBL!$H:$H,MATCH(Table5[[#This Row],[Unit'#]],EquipmentTBL!$A:$A,0)),"NONE")</f>
        <v>2HSCUAPR79CO93785</v>
      </c>
      <c r="O102" s="144" t="str">
        <f>IFERROR(INDEX(EquipmentTBL!$C:$C,MATCH(Table5[[#This Row],[Unit'#]],EquipmentTBL!$A:$A,0)),"NONE")</f>
        <v>International</v>
      </c>
      <c r="P102" s="144">
        <f>IFERROR(INDEX(EquipmentTBL!$B:$B,MATCH(Table5[[#This Row],[Unit'#]],EquipmentTBL!$A:$A,0)),"NONE")</f>
        <v>2009</v>
      </c>
      <c r="Q102" s="144" t="str">
        <f>IFERROR(INDEX(EquipmentTBL!$D:$D,MATCH(Table5[[#This Row],[Unit'#]],EquipmentTBL!$A:$A,0)),"NONE")</f>
        <v>Prostar Eagle</v>
      </c>
      <c r="R102" s="146">
        <f>(5-WEEKDAY(A102,2))+A102</f>
        <v>42349</v>
      </c>
      <c r="S102" s="104">
        <f>((5-WEEKDAY(A102,2))+A102)+7</f>
        <v>42356</v>
      </c>
      <c r="T102" s="144">
        <f>MONTH(A102)</f>
        <v>12</v>
      </c>
      <c r="U102" s="144">
        <f>YEAR(R102)</f>
        <v>2015</v>
      </c>
      <c r="V102" s="298"/>
      <c r="Z102" t="s">
        <v>3896</v>
      </c>
      <c r="AA102" s="256">
        <v>42310</v>
      </c>
      <c r="AB102" t="s">
        <v>3996</v>
      </c>
      <c r="AC102" t="s">
        <v>4076</v>
      </c>
      <c r="AD102" s="523">
        <v>1848.05</v>
      </c>
      <c r="AE102"/>
    </row>
    <row r="103" spans="1:31">
      <c r="A103" s="146">
        <v>42348</v>
      </c>
      <c r="B103" s="143" t="s">
        <v>3896</v>
      </c>
      <c r="C103" s="298" t="s">
        <v>4002</v>
      </c>
      <c r="D103" s="145">
        <v>2166</v>
      </c>
      <c r="E103" s="298" t="s">
        <v>4006</v>
      </c>
      <c r="F103" s="298" t="s">
        <v>4135</v>
      </c>
      <c r="G103" s="298" t="s">
        <v>4136</v>
      </c>
      <c r="H103" s="15"/>
      <c r="I103" s="298" t="s">
        <v>123</v>
      </c>
      <c r="J103" s="59">
        <v>170</v>
      </c>
      <c r="K103" s="59" t="s">
        <v>3983</v>
      </c>
      <c r="L103" s="298" t="s">
        <v>3897</v>
      </c>
      <c r="M103" s="298" t="s">
        <v>3985</v>
      </c>
      <c r="N103" s="144" t="str">
        <f>IFERROR(INDEX(EquipmentTBL!$H:$H,MATCH(Table5[[#This Row],[Unit'#]],EquipmentTBL!$A:$A,0)),"NONE")</f>
        <v>2HSCUAPR79CO93785</v>
      </c>
      <c r="O103" s="144" t="str">
        <f>IFERROR(INDEX(EquipmentTBL!$C:$C,MATCH(Table5[[#This Row],[Unit'#]],EquipmentTBL!$A:$A,0)),"NONE")</f>
        <v>International</v>
      </c>
      <c r="P103" s="144">
        <f>IFERROR(INDEX(EquipmentTBL!$B:$B,MATCH(Table5[[#This Row],[Unit'#]],EquipmentTBL!$A:$A,0)),"NONE")</f>
        <v>2009</v>
      </c>
      <c r="Q103" s="144" t="str">
        <f>IFERROR(INDEX(EquipmentTBL!$D:$D,MATCH(Table5[[#This Row],[Unit'#]],EquipmentTBL!$A:$A,0)),"NONE")</f>
        <v>Prostar Eagle</v>
      </c>
      <c r="R103" s="146">
        <f>(5-WEEKDAY(A103,2))+A103</f>
        <v>42349</v>
      </c>
      <c r="S103" s="104">
        <f>((5-WEEKDAY(A103,2))+A103)+7</f>
        <v>42356</v>
      </c>
      <c r="T103" s="144">
        <f>MONTH(A103)</f>
        <v>12</v>
      </c>
      <c r="U103" s="144">
        <f>YEAR(R103)</f>
        <v>2015</v>
      </c>
      <c r="V103" s="298"/>
      <c r="Z103"/>
      <c r="AA103" s="256">
        <v>42315</v>
      </c>
      <c r="AB103" t="s">
        <v>4026</v>
      </c>
      <c r="AC103" t="s">
        <v>4084</v>
      </c>
      <c r="AD103" s="523">
        <v>38.92</v>
      </c>
      <c r="AE103"/>
    </row>
    <row r="104" spans="1:31">
      <c r="A104" s="146">
        <v>42349</v>
      </c>
      <c r="B104" s="143" t="s">
        <v>3978</v>
      </c>
      <c r="C104" s="298" t="s">
        <v>3979</v>
      </c>
      <c r="D104" s="145">
        <v>59558773</v>
      </c>
      <c r="E104" s="298" t="s">
        <v>3980</v>
      </c>
      <c r="F104" s="298" t="s">
        <v>4077</v>
      </c>
      <c r="G104" s="298" t="s">
        <v>4078</v>
      </c>
      <c r="H104" s="15"/>
      <c r="I104" s="298" t="s">
        <v>123</v>
      </c>
      <c r="J104" s="59">
        <v>14</v>
      </c>
      <c r="K104" s="59" t="s">
        <v>3983</v>
      </c>
      <c r="L104" s="298" t="s">
        <v>3984</v>
      </c>
      <c r="M104" s="298" t="s">
        <v>3985</v>
      </c>
      <c r="N104" s="144" t="str">
        <f>IFERROR(INDEX(EquipmentTBL!$H:$H,MATCH(Table5[[#This Row],[Unit'#]],EquipmentTBL!$A:$A,0)),"NONE")</f>
        <v>NONE</v>
      </c>
      <c r="O104" s="144" t="str">
        <f>IFERROR(INDEX(EquipmentTBL!$C:$C,MATCH(Table5[[#This Row],[Unit'#]],EquipmentTBL!$A:$A,0)),"NONE")</f>
        <v>NONE</v>
      </c>
      <c r="P104" s="144" t="str">
        <f>IFERROR(INDEX(EquipmentTBL!$B:$B,MATCH(Table5[[#This Row],[Unit'#]],EquipmentTBL!$A:$A,0)),"NONE")</f>
        <v>NONE</v>
      </c>
      <c r="Q104" s="144" t="str">
        <f>IFERROR(INDEX(EquipmentTBL!$D:$D,MATCH(Table5[[#This Row],[Unit'#]],EquipmentTBL!$A:$A,0)),"NONE")</f>
        <v>NONE</v>
      </c>
      <c r="R104" s="146">
        <f>(5-WEEKDAY(A104,2))+A104</f>
        <v>42349</v>
      </c>
      <c r="S104" s="104">
        <f>((5-WEEKDAY(A104,2))+A104)+7</f>
        <v>42356</v>
      </c>
      <c r="T104" s="144">
        <f>MONTH(A104)</f>
        <v>12</v>
      </c>
      <c r="U104" s="144">
        <f>YEAR(R104)</f>
        <v>2015</v>
      </c>
      <c r="V104" s="298"/>
      <c r="Z104"/>
      <c r="AA104" s="256">
        <v>42327</v>
      </c>
      <c r="AB104" t="s">
        <v>4069</v>
      </c>
      <c r="AC104" t="s">
        <v>4112</v>
      </c>
      <c r="AD104" s="523">
        <v>200</v>
      </c>
      <c r="AE104"/>
    </row>
    <row r="105" spans="1:31">
      <c r="A105" s="146">
        <v>42350</v>
      </c>
      <c r="B105" s="143" t="s">
        <v>3863</v>
      </c>
      <c r="C105" s="298" t="s">
        <v>4002</v>
      </c>
      <c r="D105" s="145" t="s">
        <v>4137</v>
      </c>
      <c r="E105" s="298" t="s">
        <v>4028</v>
      </c>
      <c r="F105" s="298" t="s">
        <v>4138</v>
      </c>
      <c r="G105" s="298" t="s">
        <v>4096</v>
      </c>
      <c r="H105" s="15"/>
      <c r="I105" s="298">
        <v>1</v>
      </c>
      <c r="J105" s="59">
        <v>55.14</v>
      </c>
      <c r="K105" s="59" t="s">
        <v>3983</v>
      </c>
      <c r="L105" s="298" t="s">
        <v>3984</v>
      </c>
      <c r="M105" s="298" t="s">
        <v>3985</v>
      </c>
      <c r="N105" s="144" t="str">
        <f>IFERROR(INDEX(EquipmentTBL!$H:$H,MATCH(Table5[[#This Row],[Unit'#]],EquipmentTBL!$A:$A,0)),"NONE")</f>
        <v>2HSCUAPR88C657099</v>
      </c>
      <c r="O105" s="144" t="str">
        <f>IFERROR(INDEX(EquipmentTBL!$C:$C,MATCH(Table5[[#This Row],[Unit'#]],EquipmentTBL!$A:$A,0)),"NONE")</f>
        <v>International</v>
      </c>
      <c r="P105" s="144">
        <f>IFERROR(INDEX(EquipmentTBL!$B:$B,MATCH(Table5[[#This Row],[Unit'#]],EquipmentTBL!$A:$A,0)),"NONE")</f>
        <v>2008</v>
      </c>
      <c r="Q105" s="144" t="str">
        <f>IFERROR(INDEX(EquipmentTBL!$D:$D,MATCH(Table5[[#This Row],[Unit'#]],EquipmentTBL!$A:$A,0)),"NONE")</f>
        <v>Prostar Eagle</v>
      </c>
      <c r="R105" s="146">
        <f>(5-WEEKDAY(A105,2))+A105</f>
        <v>42349</v>
      </c>
      <c r="S105" s="104">
        <f>((5-WEEKDAY(A105,2))+A105)+7</f>
        <v>42356</v>
      </c>
      <c r="T105" s="144">
        <f>MONTH(A105)</f>
        <v>12</v>
      </c>
      <c r="U105" s="144">
        <f>YEAR(R105)</f>
        <v>2015</v>
      </c>
      <c r="V105" s="298"/>
      <c r="Z105"/>
      <c r="AA105" s="256">
        <v>42534</v>
      </c>
      <c r="AB105" t="s">
        <v>3943</v>
      </c>
      <c r="AC105" t="s">
        <v>4023</v>
      </c>
      <c r="AD105" s="523">
        <v>12.5</v>
      </c>
      <c r="AE105"/>
    </row>
    <row r="106" spans="1:31">
      <c r="A106" s="146">
        <v>42352</v>
      </c>
      <c r="B106" s="143" t="s">
        <v>3978</v>
      </c>
      <c r="C106" s="298" t="s">
        <v>3979</v>
      </c>
      <c r="D106" s="145">
        <v>1806391</v>
      </c>
      <c r="E106" s="298" t="s">
        <v>3980</v>
      </c>
      <c r="F106" s="298" t="s">
        <v>4049</v>
      </c>
      <c r="G106" s="298" t="s">
        <v>4050</v>
      </c>
      <c r="H106" s="15"/>
      <c r="I106" s="298" t="s">
        <v>123</v>
      </c>
      <c r="J106" s="66">
        <v>34.950000000000003</v>
      </c>
      <c r="K106" s="59" t="s">
        <v>3983</v>
      </c>
      <c r="L106" s="298" t="s">
        <v>3984</v>
      </c>
      <c r="M106" s="298" t="s">
        <v>3985</v>
      </c>
      <c r="N106" s="144" t="str">
        <f>IFERROR(INDEX(EquipmentTBL!$H:$H,MATCH(Table5[[#This Row],[Unit'#]],EquipmentTBL!$A:$A,0)),"NONE")</f>
        <v>NONE</v>
      </c>
      <c r="O106" s="144" t="str">
        <f>IFERROR(INDEX(EquipmentTBL!$C:$C,MATCH(Table5[[#This Row],[Unit'#]],EquipmentTBL!$A:$A,0)),"NONE")</f>
        <v>NONE</v>
      </c>
      <c r="P106" s="144" t="str">
        <f>IFERROR(INDEX(EquipmentTBL!$B:$B,MATCH(Table5[[#This Row],[Unit'#]],EquipmentTBL!$A:$A,0)),"NONE")</f>
        <v>NONE</v>
      </c>
      <c r="Q106" s="144" t="str">
        <f>IFERROR(INDEX(EquipmentTBL!$D:$D,MATCH(Table5[[#This Row],[Unit'#]],EquipmentTBL!$A:$A,0)),"NONE")</f>
        <v>NONE</v>
      </c>
      <c r="R106" s="143">
        <f>(5-WEEKDAY(A106,2))+A106</f>
        <v>42356</v>
      </c>
      <c r="S106" s="172">
        <f>((5-WEEKDAY(A106,2))+A106)+7</f>
        <v>42363</v>
      </c>
      <c r="T106" s="144">
        <f>MONTH(A106)</f>
        <v>12</v>
      </c>
      <c r="U106" s="144">
        <f>YEAR(R106)</f>
        <v>2015</v>
      </c>
      <c r="V106" s="298"/>
      <c r="Z106" t="s">
        <v>4306</v>
      </c>
      <c r="AA106" s="256">
        <v>42552</v>
      </c>
      <c r="AB106" t="s">
        <v>3943</v>
      </c>
      <c r="AC106" t="s">
        <v>4023</v>
      </c>
      <c r="AD106" s="523">
        <v>12.5</v>
      </c>
      <c r="AE106"/>
    </row>
    <row r="107" spans="1:31">
      <c r="A107" s="146">
        <v>42352</v>
      </c>
      <c r="B107" s="143" t="s">
        <v>3863</v>
      </c>
      <c r="C107" s="298" t="s">
        <v>4002</v>
      </c>
      <c r="D107" s="145">
        <v>8307948</v>
      </c>
      <c r="E107" s="298" t="s">
        <v>4006</v>
      </c>
      <c r="F107" s="298" t="s">
        <v>4139</v>
      </c>
      <c r="G107" s="298" t="s">
        <v>4100</v>
      </c>
      <c r="H107" s="15"/>
      <c r="I107" s="298" t="s">
        <v>123</v>
      </c>
      <c r="J107" s="59">
        <v>11.75</v>
      </c>
      <c r="K107" s="59" t="s">
        <v>3983</v>
      </c>
      <c r="L107" s="298" t="s">
        <v>3984</v>
      </c>
      <c r="M107" s="298" t="s">
        <v>3985</v>
      </c>
      <c r="N107" s="144" t="str">
        <f>IFERROR(INDEX(EquipmentTBL!$H:$H,MATCH(Table5[[#This Row],[Unit'#]],EquipmentTBL!$A:$A,0)),"NONE")</f>
        <v>2HSCUAPR88C657099</v>
      </c>
      <c r="O107" s="144" t="str">
        <f>IFERROR(INDEX(EquipmentTBL!$C:$C,MATCH(Table5[[#This Row],[Unit'#]],EquipmentTBL!$A:$A,0)),"NONE")</f>
        <v>International</v>
      </c>
      <c r="P107" s="144">
        <f>IFERROR(INDEX(EquipmentTBL!$B:$B,MATCH(Table5[[#This Row],[Unit'#]],EquipmentTBL!$A:$A,0)),"NONE")</f>
        <v>2008</v>
      </c>
      <c r="Q107" s="144" t="str">
        <f>IFERROR(INDEX(EquipmentTBL!$D:$D,MATCH(Table5[[#This Row],[Unit'#]],EquipmentTBL!$A:$A,0)),"NONE")</f>
        <v>Prostar Eagle</v>
      </c>
      <c r="R107" s="143">
        <f>(5-WEEKDAY(A107,2))+A107</f>
        <v>42356</v>
      </c>
      <c r="S107" s="172">
        <f>((5-WEEKDAY(A107,2))+A107)+7</f>
        <v>42363</v>
      </c>
      <c r="T107" s="144">
        <f>MONTH(A107)</f>
        <v>12</v>
      </c>
      <c r="U107" s="144">
        <f>YEAR(R107)</f>
        <v>2015</v>
      </c>
      <c r="V107" s="298"/>
      <c r="Z107" t="s">
        <v>4173</v>
      </c>
      <c r="AA107" s="256">
        <v>42387</v>
      </c>
      <c r="AB107" t="s">
        <v>4174</v>
      </c>
      <c r="AC107" t="s">
        <v>4023</v>
      </c>
      <c r="AD107" s="523">
        <v>10.5</v>
      </c>
      <c r="AE107"/>
    </row>
    <row r="108" spans="1:31">
      <c r="A108" s="146">
        <v>42352</v>
      </c>
      <c r="B108" s="143" t="s">
        <v>3896</v>
      </c>
      <c r="C108" s="298" t="s">
        <v>4002</v>
      </c>
      <c r="D108" s="145">
        <v>8307948</v>
      </c>
      <c r="E108" s="298" t="s">
        <v>4006</v>
      </c>
      <c r="F108" s="298" t="s">
        <v>4139</v>
      </c>
      <c r="G108" s="298" t="s">
        <v>4100</v>
      </c>
      <c r="H108" s="15"/>
      <c r="I108" s="298" t="s">
        <v>123</v>
      </c>
      <c r="J108" s="59">
        <v>11.75</v>
      </c>
      <c r="K108" s="59" t="s">
        <v>3983</v>
      </c>
      <c r="L108" s="298" t="s">
        <v>3984</v>
      </c>
      <c r="M108" s="298" t="s">
        <v>3985</v>
      </c>
      <c r="N108" s="144" t="str">
        <f>IFERROR(INDEX(EquipmentTBL!$H:$H,MATCH(Table5[[#This Row],[Unit'#]],EquipmentTBL!$A:$A,0)),"NONE")</f>
        <v>2HSCUAPR79CO93785</v>
      </c>
      <c r="O108" s="144" t="str">
        <f>IFERROR(INDEX(EquipmentTBL!$C:$C,MATCH(Table5[[#This Row],[Unit'#]],EquipmentTBL!$A:$A,0)),"NONE")</f>
        <v>International</v>
      </c>
      <c r="P108" s="144">
        <f>IFERROR(INDEX(EquipmentTBL!$B:$B,MATCH(Table5[[#This Row],[Unit'#]],EquipmentTBL!$A:$A,0)),"NONE")</f>
        <v>2009</v>
      </c>
      <c r="Q108" s="144" t="str">
        <f>IFERROR(INDEX(EquipmentTBL!$D:$D,MATCH(Table5[[#This Row],[Unit'#]],EquipmentTBL!$A:$A,0)),"NONE")</f>
        <v>Prostar Eagle</v>
      </c>
      <c r="R108" s="146">
        <f>(5-WEEKDAY(A108,2))+A108</f>
        <v>42356</v>
      </c>
      <c r="S108" s="104">
        <f>((5-WEEKDAY(A108,2))+A108)+7</f>
        <v>42363</v>
      </c>
      <c r="T108" s="144">
        <f>MONTH(A108)</f>
        <v>12</v>
      </c>
      <c r="U108" s="144">
        <f>YEAR(R108)</f>
        <v>2015</v>
      </c>
      <c r="V108" s="298"/>
      <c r="Z108"/>
      <c r="AA108"/>
      <c r="AB108" t="s">
        <v>4175</v>
      </c>
      <c r="AC108" t="s">
        <v>4023</v>
      </c>
      <c r="AD108" s="523">
        <v>10.5</v>
      </c>
      <c r="AE108"/>
    </row>
    <row r="109" spans="1:31">
      <c r="A109" s="146">
        <v>42353</v>
      </c>
      <c r="B109" s="143" t="s">
        <v>3978</v>
      </c>
      <c r="C109" s="298" t="s">
        <v>3979</v>
      </c>
      <c r="D109" s="145">
        <v>18400848</v>
      </c>
      <c r="E109" s="298" t="s">
        <v>3980</v>
      </c>
      <c r="F109" s="298" t="s">
        <v>4140</v>
      </c>
      <c r="G109" s="298" t="s">
        <v>4141</v>
      </c>
      <c r="H109" s="15"/>
      <c r="I109" s="298" t="s">
        <v>123</v>
      </c>
      <c r="J109" s="59">
        <v>15.55</v>
      </c>
      <c r="K109" s="59" t="s">
        <v>3983</v>
      </c>
      <c r="L109" s="298" t="s">
        <v>3984</v>
      </c>
      <c r="M109" s="298" t="s">
        <v>3985</v>
      </c>
      <c r="N109" s="144" t="str">
        <f>IFERROR(INDEX(EquipmentTBL!$H:$H,MATCH(Table5[[#This Row],[Unit'#]],EquipmentTBL!$A:$A,0)),"NONE")</f>
        <v>NONE</v>
      </c>
      <c r="O109" s="144" t="str">
        <f>IFERROR(INDEX(EquipmentTBL!$C:$C,MATCH(Table5[[#This Row],[Unit'#]],EquipmentTBL!$A:$A,0)),"NONE")</f>
        <v>NONE</v>
      </c>
      <c r="P109" s="144" t="str">
        <f>IFERROR(INDEX(EquipmentTBL!$B:$B,MATCH(Table5[[#This Row],[Unit'#]],EquipmentTBL!$A:$A,0)),"NONE")</f>
        <v>NONE</v>
      </c>
      <c r="Q109" s="144" t="str">
        <f>IFERROR(INDEX(EquipmentTBL!$D:$D,MATCH(Table5[[#This Row],[Unit'#]],EquipmentTBL!$A:$A,0)),"NONE")</f>
        <v>NONE</v>
      </c>
      <c r="R109" s="146">
        <f>(5-WEEKDAY(A109,2))+A109</f>
        <v>42356</v>
      </c>
      <c r="S109" s="104">
        <f>((5-WEEKDAY(A109,2))+A109)+7</f>
        <v>42363</v>
      </c>
      <c r="T109" s="144">
        <f>MONTH(A109)</f>
        <v>12</v>
      </c>
      <c r="U109" s="144">
        <f>YEAR(R109)</f>
        <v>2015</v>
      </c>
      <c r="V109" s="298"/>
      <c r="Z109"/>
      <c r="AA109" s="256">
        <v>42419</v>
      </c>
      <c r="AB109" t="s">
        <v>4209</v>
      </c>
      <c r="AC109" t="s">
        <v>4023</v>
      </c>
      <c r="AD109" s="523">
        <v>12.5</v>
      </c>
      <c r="AE109"/>
    </row>
    <row r="110" spans="1:31">
      <c r="A110" s="146">
        <v>42353</v>
      </c>
      <c r="B110" s="143" t="s">
        <v>3978</v>
      </c>
      <c r="C110" s="298" t="s">
        <v>3979</v>
      </c>
      <c r="D110" s="145"/>
      <c r="E110" s="298" t="s">
        <v>3980</v>
      </c>
      <c r="F110" s="298" t="s">
        <v>4142</v>
      </c>
      <c r="G110" s="298" t="s">
        <v>4042</v>
      </c>
      <c r="H110" s="15"/>
      <c r="I110" s="298" t="s">
        <v>123</v>
      </c>
      <c r="J110" s="59">
        <v>5</v>
      </c>
      <c r="K110" s="59" t="s">
        <v>3983</v>
      </c>
      <c r="L110" s="298" t="s">
        <v>3984</v>
      </c>
      <c r="M110" s="298" t="s">
        <v>3985</v>
      </c>
      <c r="N110" s="144" t="str">
        <f>IFERROR(INDEX(EquipmentTBL!$H:$H,MATCH(Table5[[#This Row],[Unit'#]],EquipmentTBL!$A:$A,0)),"NONE")</f>
        <v>NONE</v>
      </c>
      <c r="O110" s="144" t="str">
        <f>IFERROR(INDEX(EquipmentTBL!$C:$C,MATCH(Table5[[#This Row],[Unit'#]],EquipmentTBL!$A:$A,0)),"NONE")</f>
        <v>NONE</v>
      </c>
      <c r="P110" s="144" t="str">
        <f>IFERROR(INDEX(EquipmentTBL!$B:$B,MATCH(Table5[[#This Row],[Unit'#]],EquipmentTBL!$A:$A,0)),"NONE")</f>
        <v>NONE</v>
      </c>
      <c r="Q110" s="144" t="str">
        <f>IFERROR(INDEX(EquipmentTBL!$D:$D,MATCH(Table5[[#This Row],[Unit'#]],EquipmentTBL!$A:$A,0)),"NONE")</f>
        <v>NONE</v>
      </c>
      <c r="R110" s="146">
        <f>(5-WEEKDAY(A110,2))+A110</f>
        <v>42356</v>
      </c>
      <c r="S110" s="104">
        <f>((5-WEEKDAY(A110,2))+A110)+7</f>
        <v>42363</v>
      </c>
      <c r="T110" s="144">
        <f>MONTH(A110)</f>
        <v>12</v>
      </c>
      <c r="U110" s="144">
        <f>YEAR(R110)</f>
        <v>2015</v>
      </c>
      <c r="V110" s="298"/>
      <c r="Z110"/>
      <c r="AA110" s="256">
        <v>42422</v>
      </c>
      <c r="AB110" t="s">
        <v>4212</v>
      </c>
      <c r="AC110" t="s">
        <v>4023</v>
      </c>
      <c r="AD110" s="523">
        <v>10.5</v>
      </c>
      <c r="AE110"/>
    </row>
    <row r="111" spans="1:31">
      <c r="A111" s="146">
        <v>42356</v>
      </c>
      <c r="B111" s="143" t="s">
        <v>3863</v>
      </c>
      <c r="C111" s="298" t="s">
        <v>4002</v>
      </c>
      <c r="D111" s="145">
        <v>6374</v>
      </c>
      <c r="E111" s="298" t="s">
        <v>3980</v>
      </c>
      <c r="F111" s="298" t="s">
        <v>4143</v>
      </c>
      <c r="G111" s="298" t="s">
        <v>4144</v>
      </c>
      <c r="H111" s="15"/>
      <c r="I111" s="298" t="s">
        <v>123</v>
      </c>
      <c r="J111" s="59">
        <v>65</v>
      </c>
      <c r="K111" s="59" t="s">
        <v>3983</v>
      </c>
      <c r="L111" s="298" t="s">
        <v>3883</v>
      </c>
      <c r="M111" s="298" t="s">
        <v>3985</v>
      </c>
      <c r="N111" s="144" t="str">
        <f>IFERROR(INDEX(EquipmentTBL!$H:$H,MATCH(Table5[[#This Row],[Unit'#]],EquipmentTBL!$A:$A,0)),"NONE")</f>
        <v>2HSCUAPR88C657099</v>
      </c>
      <c r="O111" s="144" t="str">
        <f>IFERROR(INDEX(EquipmentTBL!$C:$C,MATCH(Table5[[#This Row],[Unit'#]],EquipmentTBL!$A:$A,0)),"NONE")</f>
        <v>International</v>
      </c>
      <c r="P111" s="144">
        <f>IFERROR(INDEX(EquipmentTBL!$B:$B,MATCH(Table5[[#This Row],[Unit'#]],EquipmentTBL!$A:$A,0)),"NONE")</f>
        <v>2008</v>
      </c>
      <c r="Q111" s="144" t="str">
        <f>IFERROR(INDEX(EquipmentTBL!$D:$D,MATCH(Table5[[#This Row],[Unit'#]],EquipmentTBL!$A:$A,0)),"NONE")</f>
        <v>Prostar Eagle</v>
      </c>
      <c r="R111" s="146">
        <f>(5-WEEKDAY(A111,2))+A111</f>
        <v>42356</v>
      </c>
      <c r="S111" s="104">
        <f>((5-WEEKDAY(A111,2))+A111)+7</f>
        <v>42363</v>
      </c>
      <c r="T111" s="144">
        <f>MONTH(A111)</f>
        <v>12</v>
      </c>
      <c r="U111" s="144">
        <f>YEAR(R111)</f>
        <v>2015</v>
      </c>
      <c r="V111" s="298"/>
      <c r="Z111"/>
      <c r="AA111" s="256">
        <v>42493</v>
      </c>
      <c r="AB111" t="s">
        <v>4277</v>
      </c>
      <c r="AC111" t="s">
        <v>4023</v>
      </c>
      <c r="AD111" s="523">
        <v>12.5</v>
      </c>
      <c r="AE111"/>
    </row>
    <row r="112" spans="1:31">
      <c r="A112" s="570">
        <v>42357</v>
      </c>
      <c r="B112" s="143" t="s">
        <v>3863</v>
      </c>
      <c r="C112" s="298" t="s">
        <v>4002</v>
      </c>
      <c r="D112" s="572" t="s">
        <v>4145</v>
      </c>
      <c r="E112" s="571" t="s">
        <v>4006</v>
      </c>
      <c r="F112" s="571" t="s">
        <v>4146</v>
      </c>
      <c r="G112" s="571" t="s">
        <v>4096</v>
      </c>
      <c r="H112" s="15"/>
      <c r="I112" s="298">
        <v>1</v>
      </c>
      <c r="J112" s="573">
        <v>18.64</v>
      </c>
      <c r="K112" s="59" t="s">
        <v>3983</v>
      </c>
      <c r="L112" s="571" t="s">
        <v>3984</v>
      </c>
      <c r="M112" s="571" t="s">
        <v>3985</v>
      </c>
      <c r="N112" s="574" t="str">
        <f>IFERROR(INDEX(EquipmentTBL!$H:$H,MATCH(Table5[[#This Row],[Unit'#]],EquipmentTBL!$A:$A,0)),"NONE")</f>
        <v>2HSCUAPR88C657099</v>
      </c>
      <c r="O112" s="574" t="str">
        <f>IFERROR(INDEX(EquipmentTBL!$C:$C,MATCH(Table5[[#This Row],[Unit'#]],EquipmentTBL!$A:$A,0)),"NONE")</f>
        <v>International</v>
      </c>
      <c r="P112" s="574">
        <f>IFERROR(INDEX(EquipmentTBL!$B:$B,MATCH(Table5[[#This Row],[Unit'#]],EquipmentTBL!$A:$A,0)),"NONE")</f>
        <v>2008</v>
      </c>
      <c r="Q112" s="574" t="str">
        <f>IFERROR(INDEX(EquipmentTBL!$D:$D,MATCH(Table5[[#This Row],[Unit'#]],EquipmentTBL!$A:$A,0)),"NONE")</f>
        <v>Prostar Eagle</v>
      </c>
      <c r="R112" s="575">
        <f>(5-WEEKDAY(A112,2))+A112</f>
        <v>42356</v>
      </c>
      <c r="S112" s="556">
        <f>((5-WEEKDAY(A112,2))+A112)+7</f>
        <v>42363</v>
      </c>
      <c r="T112" s="574">
        <f>MONTH(A112)</f>
        <v>12</v>
      </c>
      <c r="U112" s="574">
        <f>YEAR(R112)</f>
        <v>2015</v>
      </c>
      <c r="V112" s="298"/>
      <c r="Z112" t="s">
        <v>3956</v>
      </c>
      <c r="AA112" s="256">
        <v>42549</v>
      </c>
      <c r="AB112" t="s">
        <v>4301</v>
      </c>
      <c r="AC112" t="s">
        <v>4300</v>
      </c>
      <c r="AD112" s="523">
        <v>584.35</v>
      </c>
      <c r="AE112"/>
    </row>
    <row r="113" spans="1:31">
      <c r="A113" s="570">
        <v>42357</v>
      </c>
      <c r="B113" s="143" t="s">
        <v>3896</v>
      </c>
      <c r="C113" s="298" t="s">
        <v>4002</v>
      </c>
      <c r="D113" s="572" t="s">
        <v>4145</v>
      </c>
      <c r="E113" s="571" t="s">
        <v>4006</v>
      </c>
      <c r="F113" s="571" t="s">
        <v>4146</v>
      </c>
      <c r="G113" s="571" t="s">
        <v>4096</v>
      </c>
      <c r="H113" s="15"/>
      <c r="I113" s="298">
        <v>1</v>
      </c>
      <c r="J113" s="573">
        <v>18.64</v>
      </c>
      <c r="K113" s="59" t="s">
        <v>3983</v>
      </c>
      <c r="L113" s="571" t="s">
        <v>3984</v>
      </c>
      <c r="M113" s="571" t="s">
        <v>3985</v>
      </c>
      <c r="N113" s="574" t="str">
        <f>IFERROR(INDEX(EquipmentTBL!$H:$H,MATCH(Table5[[#This Row],[Unit'#]],EquipmentTBL!$A:$A,0)),"NONE")</f>
        <v>2HSCUAPR79CO93785</v>
      </c>
      <c r="O113" s="574" t="str">
        <f>IFERROR(INDEX(EquipmentTBL!$C:$C,MATCH(Table5[[#This Row],[Unit'#]],EquipmentTBL!$A:$A,0)),"NONE")</f>
        <v>International</v>
      </c>
      <c r="P113" s="574">
        <f>IFERROR(INDEX(EquipmentTBL!$B:$B,MATCH(Table5[[#This Row],[Unit'#]],EquipmentTBL!$A:$A,0)),"NONE")</f>
        <v>2009</v>
      </c>
      <c r="Q113" s="574" t="str">
        <f>IFERROR(INDEX(EquipmentTBL!$D:$D,MATCH(Table5[[#This Row],[Unit'#]],EquipmentTBL!$A:$A,0)),"NONE")</f>
        <v>Prostar Eagle</v>
      </c>
      <c r="R113" s="575">
        <f>(5-WEEKDAY(A113,2))+A113</f>
        <v>42356</v>
      </c>
      <c r="S113" s="556">
        <f>((5-WEEKDAY(A113,2))+A113)+7</f>
        <v>42363</v>
      </c>
      <c r="T113" s="574">
        <f>MONTH(A113)</f>
        <v>12</v>
      </c>
      <c r="U113" s="574">
        <f>YEAR(R113)</f>
        <v>2015</v>
      </c>
      <c r="V113" s="298"/>
      <c r="Z113" t="s">
        <v>4313</v>
      </c>
      <c r="AA113" s="256">
        <v>42567</v>
      </c>
      <c r="AB113" t="s">
        <v>4314</v>
      </c>
      <c r="AC113" t="s">
        <v>4023</v>
      </c>
      <c r="AD113" s="523">
        <v>10</v>
      </c>
      <c r="AE113"/>
    </row>
    <row r="114" spans="1:31">
      <c r="A114" s="146">
        <v>42357</v>
      </c>
      <c r="B114" s="143" t="s">
        <v>4001</v>
      </c>
      <c r="C114" s="298" t="s">
        <v>4002</v>
      </c>
      <c r="D114" s="145">
        <v>1298</v>
      </c>
      <c r="E114" s="298" t="s">
        <v>4013</v>
      </c>
      <c r="F114" s="298" t="s">
        <v>4147</v>
      </c>
      <c r="G114" s="298" t="s">
        <v>4126</v>
      </c>
      <c r="H114" s="15"/>
      <c r="I114" s="298" t="s">
        <v>123</v>
      </c>
      <c r="J114" s="59">
        <v>434.01</v>
      </c>
      <c r="K114" s="59" t="s">
        <v>3983</v>
      </c>
      <c r="L114" s="298" t="s">
        <v>3984</v>
      </c>
      <c r="M114" s="298" t="s">
        <v>3985</v>
      </c>
      <c r="N114" s="144" t="str">
        <f>IFERROR(INDEX(EquipmentTBL!$H:$H,MATCH(Table5[[#This Row],[Unit'#]],EquipmentTBL!$A:$A,0)),"NONE")</f>
        <v>1JJV532V3BL370658</v>
      </c>
      <c r="O114" s="144" t="str">
        <f>IFERROR(INDEX(EquipmentTBL!$C:$C,MATCH(Table5[[#This Row],[Unit'#]],EquipmentTBL!$A:$A,0)),"NONE")</f>
        <v>Wabash</v>
      </c>
      <c r="P114" s="144">
        <f>IFERROR(INDEX(EquipmentTBL!$B:$B,MATCH(Table5[[#This Row],[Unit'#]],EquipmentTBL!$A:$A,0)),"NONE")</f>
        <v>2011</v>
      </c>
      <c r="Q114" s="144" t="str">
        <f>IFERROR(INDEX(EquipmentTBL!$D:$D,MATCH(Table5[[#This Row],[Unit'#]],EquipmentTBL!$A:$A,0)),"NONE")</f>
        <v>DryVan</v>
      </c>
      <c r="R114" s="146">
        <f>(5-WEEKDAY(A114,2))+A114</f>
        <v>42356</v>
      </c>
      <c r="S114" s="104">
        <f>((5-WEEKDAY(A114,2))+A114)+7</f>
        <v>42363</v>
      </c>
      <c r="T114" s="144">
        <f>MONTH(A114)</f>
        <v>12</v>
      </c>
      <c r="U114" s="144">
        <f>YEAR(R114)</f>
        <v>2015</v>
      </c>
      <c r="V114" s="298"/>
      <c r="Z114" t="s">
        <v>3960</v>
      </c>
      <c r="AA114" s="256">
        <v>42549</v>
      </c>
      <c r="AB114" t="s">
        <v>4301</v>
      </c>
      <c r="AC114" t="s">
        <v>4300</v>
      </c>
      <c r="AD114" s="523">
        <v>584.35</v>
      </c>
      <c r="AE114"/>
    </row>
    <row r="115" spans="1:31">
      <c r="A115" s="146">
        <v>42358</v>
      </c>
      <c r="B115" s="143" t="s">
        <v>3896</v>
      </c>
      <c r="C115" s="298" t="s">
        <v>4002</v>
      </c>
      <c r="D115" s="145"/>
      <c r="E115" s="298" t="s">
        <v>4028</v>
      </c>
      <c r="F115" s="298" t="s">
        <v>4148</v>
      </c>
      <c r="G115" s="298" t="s">
        <v>3839</v>
      </c>
      <c r="H115" s="15"/>
      <c r="I115" s="298" t="s">
        <v>123</v>
      </c>
      <c r="J115" s="59">
        <v>100</v>
      </c>
      <c r="K115" s="59" t="s">
        <v>3983</v>
      </c>
      <c r="L115" s="298" t="s">
        <v>3984</v>
      </c>
      <c r="M115" s="298" t="s">
        <v>3985</v>
      </c>
      <c r="N115" s="144" t="str">
        <f>IFERROR(INDEX(EquipmentTBL!$H:$H,MATCH(Table5[[#This Row],[Unit'#]],EquipmentTBL!$A:$A,0)),"NONE")</f>
        <v>2HSCUAPR79CO93785</v>
      </c>
      <c r="O115" s="144" t="str">
        <f>IFERROR(INDEX(EquipmentTBL!$C:$C,MATCH(Table5[[#This Row],[Unit'#]],EquipmentTBL!$A:$A,0)),"NONE")</f>
        <v>International</v>
      </c>
      <c r="P115" s="144">
        <f>IFERROR(INDEX(EquipmentTBL!$B:$B,MATCH(Table5[[#This Row],[Unit'#]],EquipmentTBL!$A:$A,0)),"NONE")</f>
        <v>2009</v>
      </c>
      <c r="Q115" s="144" t="str">
        <f>IFERROR(INDEX(EquipmentTBL!$D:$D,MATCH(Table5[[#This Row],[Unit'#]],EquipmentTBL!$A:$A,0)),"NONE")</f>
        <v>Prostar Eagle</v>
      </c>
      <c r="R115" s="143">
        <f>(5-WEEKDAY(A115,2))+A115</f>
        <v>42356</v>
      </c>
      <c r="S115" s="172">
        <f>((5-WEEKDAY(A115,2))+A115)+7</f>
        <v>42363</v>
      </c>
      <c r="T115" s="144">
        <f>MONTH(A115)</f>
        <v>12</v>
      </c>
      <c r="U115" s="144">
        <f>YEAR(R115)</f>
        <v>2015</v>
      </c>
      <c r="V115" s="298"/>
      <c r="Z115" t="s">
        <v>4067</v>
      </c>
      <c r="AA115" s="256">
        <v>42305</v>
      </c>
      <c r="AB115" t="s">
        <v>4069</v>
      </c>
      <c r="AC115" t="s">
        <v>4068</v>
      </c>
      <c r="AD115" s="523">
        <v>297</v>
      </c>
      <c r="AE115"/>
    </row>
    <row r="116" spans="1:31">
      <c r="A116" s="146">
        <v>42358</v>
      </c>
      <c r="B116" s="143" t="s">
        <v>3978</v>
      </c>
      <c r="C116" s="298" t="s">
        <v>3990</v>
      </c>
      <c r="D116" s="145">
        <v>36589</v>
      </c>
      <c r="E116" s="298" t="s">
        <v>3980</v>
      </c>
      <c r="F116" s="298" t="s">
        <v>4149</v>
      </c>
      <c r="G116" s="298" t="s">
        <v>4109</v>
      </c>
      <c r="H116" s="171"/>
      <c r="I116" s="298" t="s">
        <v>123</v>
      </c>
      <c r="J116" s="59">
        <v>6</v>
      </c>
      <c r="K116" s="59" t="s">
        <v>3983</v>
      </c>
      <c r="L116" s="298" t="s">
        <v>3839</v>
      </c>
      <c r="M116" s="298" t="s">
        <v>3985</v>
      </c>
      <c r="N116" s="144" t="str">
        <f>IFERROR(INDEX(EquipmentTBL!$H:$H,MATCH(Table5[[#This Row],[Unit'#]],EquipmentTBL!$A:$A,0)),"NONE")</f>
        <v>NONE</v>
      </c>
      <c r="O116" s="144" t="str">
        <f>IFERROR(INDEX(EquipmentTBL!$C:$C,MATCH(Table5[[#This Row],[Unit'#]],EquipmentTBL!$A:$A,0)),"NONE")</f>
        <v>NONE</v>
      </c>
      <c r="P116" s="144" t="str">
        <f>IFERROR(INDEX(EquipmentTBL!$B:$B,MATCH(Table5[[#This Row],[Unit'#]],EquipmentTBL!$A:$A,0)),"NONE")</f>
        <v>NONE</v>
      </c>
      <c r="Q116" s="144" t="str">
        <f>IFERROR(INDEX(EquipmentTBL!$D:$D,MATCH(Table5[[#This Row],[Unit'#]],EquipmentTBL!$A:$A,0)),"NONE")</f>
        <v>NONE</v>
      </c>
      <c r="R116" s="146">
        <f>(5-WEEKDAY(A116,2))+A116</f>
        <v>42356</v>
      </c>
      <c r="S116" s="104">
        <f>((5-WEEKDAY(A116,2))+A116)+7</f>
        <v>42363</v>
      </c>
      <c r="T116" s="144">
        <f>MONTH(A116)</f>
        <v>12</v>
      </c>
      <c r="U116" s="144">
        <f>YEAR(R116)</f>
        <v>2015</v>
      </c>
      <c r="V116" s="298"/>
      <c r="Z116" t="s">
        <v>3959</v>
      </c>
      <c r="AA116"/>
      <c r="AB116"/>
      <c r="AC116"/>
      <c r="AD116" s="523">
        <v>18921.739999999998</v>
      </c>
      <c r="AE116"/>
    </row>
    <row r="117" spans="1:31">
      <c r="A117" s="146">
        <v>42359</v>
      </c>
      <c r="B117" s="143" t="s">
        <v>4001</v>
      </c>
      <c r="C117" s="298" t="s">
        <v>4002</v>
      </c>
      <c r="D117" s="145">
        <v>1300</v>
      </c>
      <c r="E117" s="298" t="s">
        <v>4028</v>
      </c>
      <c r="F117" s="298" t="s">
        <v>4150</v>
      </c>
      <c r="G117" s="298" t="s">
        <v>4126</v>
      </c>
      <c r="H117" s="171"/>
      <c r="I117" s="298" t="s">
        <v>123</v>
      </c>
      <c r="J117" s="59">
        <v>165</v>
      </c>
      <c r="K117" s="59" t="s">
        <v>3983</v>
      </c>
      <c r="L117" s="298" t="s">
        <v>3984</v>
      </c>
      <c r="M117" s="298" t="s">
        <v>3985</v>
      </c>
      <c r="N117" s="144" t="str">
        <f>IFERROR(INDEX(EquipmentTBL!$H:$H,MATCH(Table5[[#This Row],[Unit'#]],EquipmentTBL!$A:$A,0)),"NONE")</f>
        <v>1JJV532V3BL370658</v>
      </c>
      <c r="O117" s="144" t="str">
        <f>IFERROR(INDEX(EquipmentTBL!$C:$C,MATCH(Table5[[#This Row],[Unit'#]],EquipmentTBL!$A:$A,0)),"NONE")</f>
        <v>Wabash</v>
      </c>
      <c r="P117" s="144">
        <f>IFERROR(INDEX(EquipmentTBL!$B:$B,MATCH(Table5[[#This Row],[Unit'#]],EquipmentTBL!$A:$A,0)),"NONE")</f>
        <v>2011</v>
      </c>
      <c r="Q117" s="144" t="str">
        <f>IFERROR(INDEX(EquipmentTBL!$D:$D,MATCH(Table5[[#This Row],[Unit'#]],EquipmentTBL!$A:$A,0)),"NONE")</f>
        <v>DryVan</v>
      </c>
      <c r="R117" s="146">
        <f>(5-WEEKDAY(A117,2))+A117</f>
        <v>42363</v>
      </c>
      <c r="S117" s="104">
        <f>((5-WEEKDAY(A117,2))+A117)+7</f>
        <v>42370</v>
      </c>
      <c r="T117" s="144">
        <f>MONTH(A117)</f>
        <v>12</v>
      </c>
      <c r="U117" s="144">
        <f>YEAR(R117)</f>
        <v>2015</v>
      </c>
      <c r="V117" s="298"/>
      <c r="Z117"/>
      <c r="AA117"/>
      <c r="AB117"/>
      <c r="AC117"/>
      <c r="AD117"/>
      <c r="AE117"/>
    </row>
    <row r="118" spans="1:31">
      <c r="A118" s="146">
        <v>42360</v>
      </c>
      <c r="B118" s="143" t="s">
        <v>3896</v>
      </c>
      <c r="C118" s="298" t="s">
        <v>4002</v>
      </c>
      <c r="D118" s="145">
        <v>793603</v>
      </c>
      <c r="E118" s="298" t="s">
        <v>3980</v>
      </c>
      <c r="F118" s="298" t="s">
        <v>4151</v>
      </c>
      <c r="G118" s="298" t="s">
        <v>4152</v>
      </c>
      <c r="H118" s="15"/>
      <c r="I118" s="298" t="s">
        <v>123</v>
      </c>
      <c r="J118" s="59">
        <v>9.75</v>
      </c>
      <c r="K118" s="59" t="s">
        <v>3983</v>
      </c>
      <c r="L118" s="298" t="s">
        <v>3984</v>
      </c>
      <c r="M118" s="298" t="s">
        <v>3985</v>
      </c>
      <c r="N118" s="144" t="str">
        <f>IFERROR(INDEX(EquipmentTBL!$H:$H,MATCH(Table5[[#This Row],[Unit'#]],EquipmentTBL!$A:$A,0)),"NONE")</f>
        <v>2HSCUAPR79CO93785</v>
      </c>
      <c r="O118" s="144" t="str">
        <f>IFERROR(INDEX(EquipmentTBL!$C:$C,MATCH(Table5[[#This Row],[Unit'#]],EquipmentTBL!$A:$A,0)),"NONE")</f>
        <v>International</v>
      </c>
      <c r="P118" s="144">
        <f>IFERROR(INDEX(EquipmentTBL!$B:$B,MATCH(Table5[[#This Row],[Unit'#]],EquipmentTBL!$A:$A,0)),"NONE")</f>
        <v>2009</v>
      </c>
      <c r="Q118" s="144" t="str">
        <f>IFERROR(INDEX(EquipmentTBL!$D:$D,MATCH(Table5[[#This Row],[Unit'#]],EquipmentTBL!$A:$A,0)),"NONE")</f>
        <v>Prostar Eagle</v>
      </c>
      <c r="R118" s="146">
        <f>(5-WEEKDAY(A118,2))+A118</f>
        <v>42363</v>
      </c>
      <c r="S118" s="104">
        <f>((5-WEEKDAY(A118,2))+A118)+7</f>
        <v>42370</v>
      </c>
      <c r="T118" s="144">
        <f>MONTH(A118)</f>
        <v>12</v>
      </c>
      <c r="U118" s="144">
        <f>YEAR(R118)</f>
        <v>2015</v>
      </c>
      <c r="V118" s="298"/>
      <c r="Z118"/>
      <c r="AA118"/>
      <c r="AB118"/>
      <c r="AC118"/>
      <c r="AD118"/>
      <c r="AE118"/>
    </row>
    <row r="119" spans="1:31">
      <c r="A119" s="146">
        <v>42360</v>
      </c>
      <c r="B119" s="143" t="s">
        <v>3896</v>
      </c>
      <c r="C119" s="298" t="s">
        <v>4002</v>
      </c>
      <c r="D119" s="145">
        <v>424057</v>
      </c>
      <c r="E119" s="298" t="s">
        <v>3980</v>
      </c>
      <c r="F119" s="298" t="s">
        <v>4153</v>
      </c>
      <c r="G119" s="298" t="s">
        <v>4154</v>
      </c>
      <c r="H119" s="15"/>
      <c r="I119" s="298" t="s">
        <v>123</v>
      </c>
      <c r="J119" s="59">
        <v>24.93</v>
      </c>
      <c r="K119" s="59" t="s">
        <v>3983</v>
      </c>
      <c r="L119" s="298" t="s">
        <v>3984</v>
      </c>
      <c r="M119" s="298" t="s">
        <v>3985</v>
      </c>
      <c r="N119" s="144" t="str">
        <f>IFERROR(INDEX(EquipmentTBL!$H:$H,MATCH(Table5[[#This Row],[Unit'#]],EquipmentTBL!$A:$A,0)),"NONE")</f>
        <v>2HSCUAPR79CO93785</v>
      </c>
      <c r="O119" s="144" t="str">
        <f>IFERROR(INDEX(EquipmentTBL!$C:$C,MATCH(Table5[[#This Row],[Unit'#]],EquipmentTBL!$A:$A,0)),"NONE")</f>
        <v>International</v>
      </c>
      <c r="P119" s="144">
        <f>IFERROR(INDEX(EquipmentTBL!$B:$B,MATCH(Table5[[#This Row],[Unit'#]],EquipmentTBL!$A:$A,0)),"NONE")</f>
        <v>2009</v>
      </c>
      <c r="Q119" s="144" t="str">
        <f>IFERROR(INDEX(EquipmentTBL!$D:$D,MATCH(Table5[[#This Row],[Unit'#]],EquipmentTBL!$A:$A,0)),"NONE")</f>
        <v>Prostar Eagle</v>
      </c>
      <c r="R119" s="146">
        <f>(5-WEEKDAY(A119,2))+A119</f>
        <v>42363</v>
      </c>
      <c r="S119" s="104">
        <f>((5-WEEKDAY(A119,2))+A119)+7</f>
        <v>42370</v>
      </c>
      <c r="T119" s="144">
        <f>MONTH(A119)</f>
        <v>12</v>
      </c>
      <c r="U119" s="144">
        <f>YEAR(R119)</f>
        <v>2015</v>
      </c>
      <c r="V119" s="298"/>
      <c r="Z119"/>
      <c r="AA119"/>
      <c r="AB119"/>
      <c r="AC119"/>
      <c r="AD119"/>
      <c r="AE119"/>
    </row>
    <row r="120" spans="1:31">
      <c r="A120" s="570">
        <v>42361</v>
      </c>
      <c r="B120" s="143" t="s">
        <v>3863</v>
      </c>
      <c r="C120" s="298" t="s">
        <v>4002</v>
      </c>
      <c r="D120" s="572" t="s">
        <v>4155</v>
      </c>
      <c r="E120" s="571" t="s">
        <v>4028</v>
      </c>
      <c r="F120" s="571" t="s">
        <v>4156</v>
      </c>
      <c r="G120" s="571" t="s">
        <v>4096</v>
      </c>
      <c r="H120" s="15"/>
      <c r="I120" s="298">
        <v>1</v>
      </c>
      <c r="J120" s="573">
        <v>20.64</v>
      </c>
      <c r="K120" s="59" t="s">
        <v>3983</v>
      </c>
      <c r="L120" s="571" t="s">
        <v>3984</v>
      </c>
      <c r="M120" s="571" t="s">
        <v>3985</v>
      </c>
      <c r="N120" s="574" t="str">
        <f>IFERROR(INDEX(EquipmentTBL!$H:$H,MATCH(Table5[[#This Row],[Unit'#]],EquipmentTBL!$A:$A,0)),"NONE")</f>
        <v>2HSCUAPR88C657099</v>
      </c>
      <c r="O120" s="574" t="str">
        <f>IFERROR(INDEX(EquipmentTBL!$C:$C,MATCH(Table5[[#This Row],[Unit'#]],EquipmentTBL!$A:$A,0)),"NONE")</f>
        <v>International</v>
      </c>
      <c r="P120" s="574">
        <f>IFERROR(INDEX(EquipmentTBL!$B:$B,MATCH(Table5[[#This Row],[Unit'#]],EquipmentTBL!$A:$A,0)),"NONE")</f>
        <v>2008</v>
      </c>
      <c r="Q120" s="574" t="str">
        <f>IFERROR(INDEX(EquipmentTBL!$D:$D,MATCH(Table5[[#This Row],[Unit'#]],EquipmentTBL!$A:$A,0)),"NONE")</f>
        <v>Prostar Eagle</v>
      </c>
      <c r="R120" s="575">
        <f>(5-WEEKDAY(A120,2))+A120</f>
        <v>42363</v>
      </c>
      <c r="S120" s="556">
        <f>((5-WEEKDAY(A120,2))+A120)+7</f>
        <v>42370</v>
      </c>
      <c r="T120" s="574">
        <f>MONTH(A120)</f>
        <v>12</v>
      </c>
      <c r="U120" s="574">
        <f>YEAR(R120)</f>
        <v>2015</v>
      </c>
      <c r="V120" s="298"/>
      <c r="Z120"/>
      <c r="AA120"/>
      <c r="AB120"/>
      <c r="AC120"/>
      <c r="AD120"/>
      <c r="AE120"/>
    </row>
    <row r="121" spans="1:31">
      <c r="A121" s="146">
        <v>42366</v>
      </c>
      <c r="B121" s="143" t="s">
        <v>3896</v>
      </c>
      <c r="C121" s="298" t="s">
        <v>4002</v>
      </c>
      <c r="D121" s="145">
        <v>424564</v>
      </c>
      <c r="E121" s="298" t="s">
        <v>3980</v>
      </c>
      <c r="F121" s="298" t="s">
        <v>4157</v>
      </c>
      <c r="G121" s="298" t="s">
        <v>4154</v>
      </c>
      <c r="H121" s="15"/>
      <c r="I121" s="298" t="s">
        <v>123</v>
      </c>
      <c r="J121" s="59">
        <v>21.69</v>
      </c>
      <c r="K121" s="59" t="s">
        <v>3983</v>
      </c>
      <c r="L121" s="298" t="s">
        <v>3984</v>
      </c>
      <c r="M121" s="298" t="s">
        <v>3985</v>
      </c>
      <c r="N121" s="144" t="str">
        <f>IFERROR(INDEX(EquipmentTBL!$H:$H,MATCH(Table5[[#This Row],[Unit'#]],EquipmentTBL!$A:$A,0)),"NONE")</f>
        <v>2HSCUAPR79CO93785</v>
      </c>
      <c r="O121" s="144" t="str">
        <f>IFERROR(INDEX(EquipmentTBL!$C:$C,MATCH(Table5[[#This Row],[Unit'#]],EquipmentTBL!$A:$A,0)),"NONE")</f>
        <v>International</v>
      </c>
      <c r="P121" s="144">
        <f>IFERROR(INDEX(EquipmentTBL!$B:$B,MATCH(Table5[[#This Row],[Unit'#]],EquipmentTBL!$A:$A,0)),"NONE")</f>
        <v>2009</v>
      </c>
      <c r="Q121" s="144" t="str">
        <f>IFERROR(INDEX(EquipmentTBL!$D:$D,MATCH(Table5[[#This Row],[Unit'#]],EquipmentTBL!$A:$A,0)),"NONE")</f>
        <v>Prostar Eagle</v>
      </c>
      <c r="R121" s="146">
        <f>(5-WEEKDAY(A121,2))+A121</f>
        <v>42370</v>
      </c>
      <c r="S121" s="104">
        <f>((5-WEEKDAY(A121,2))+A121)+7</f>
        <v>42377</v>
      </c>
      <c r="T121" s="144">
        <f>MONTH(A121)</f>
        <v>12</v>
      </c>
      <c r="U121" s="144">
        <f>YEAR(R121)</f>
        <v>2016</v>
      </c>
      <c r="V121" s="298"/>
      <c r="Z121"/>
      <c r="AA121"/>
      <c r="AB121"/>
      <c r="AC121"/>
      <c r="AD121"/>
      <c r="AE121"/>
    </row>
    <row r="122" spans="1:31">
      <c r="A122" s="146">
        <v>42369</v>
      </c>
      <c r="B122" s="143" t="s">
        <v>3978</v>
      </c>
      <c r="C122" s="298" t="s">
        <v>3979</v>
      </c>
      <c r="D122" s="145">
        <v>6163050104</v>
      </c>
      <c r="E122" s="298" t="s">
        <v>3980</v>
      </c>
      <c r="F122" s="298" t="s">
        <v>4060</v>
      </c>
      <c r="G122" s="298" t="s">
        <v>4158</v>
      </c>
      <c r="H122" s="15"/>
      <c r="I122" s="298" t="s">
        <v>123</v>
      </c>
      <c r="J122" s="59">
        <v>12</v>
      </c>
      <c r="K122" s="59" t="s">
        <v>3983</v>
      </c>
      <c r="L122" s="298" t="s">
        <v>3984</v>
      </c>
      <c r="M122" s="298" t="s">
        <v>3985</v>
      </c>
      <c r="N122" s="144" t="str">
        <f>IFERROR(INDEX(EquipmentTBL!$H:$H,MATCH(Table5[[#This Row],[Unit'#]],EquipmentTBL!$A:$A,0)),"NONE")</f>
        <v>NONE</v>
      </c>
      <c r="O122" s="144" t="str">
        <f>IFERROR(INDEX(EquipmentTBL!$C:$C,MATCH(Table5[[#This Row],[Unit'#]],EquipmentTBL!$A:$A,0)),"NONE")</f>
        <v>NONE</v>
      </c>
      <c r="P122" s="144" t="str">
        <f>IFERROR(INDEX(EquipmentTBL!$B:$B,MATCH(Table5[[#This Row],[Unit'#]],EquipmentTBL!$A:$A,0)),"NONE")</f>
        <v>NONE</v>
      </c>
      <c r="Q122" s="144" t="str">
        <f>IFERROR(INDEX(EquipmentTBL!$D:$D,MATCH(Table5[[#This Row],[Unit'#]],EquipmentTBL!$A:$A,0)),"NONE")</f>
        <v>NONE</v>
      </c>
      <c r="R122" s="146">
        <f>(5-WEEKDAY(A122,2))+A122</f>
        <v>42370</v>
      </c>
      <c r="S122" s="104">
        <f>((5-WEEKDAY(A122,2))+A122)+7</f>
        <v>42377</v>
      </c>
      <c r="T122" s="144">
        <f>MONTH(A122)</f>
        <v>12</v>
      </c>
      <c r="U122" s="144">
        <f>YEAR(R122)</f>
        <v>2016</v>
      </c>
      <c r="V122" s="298"/>
      <c r="Z122"/>
      <c r="AA122"/>
      <c r="AB122"/>
      <c r="AC122"/>
      <c r="AD122"/>
      <c r="AE122"/>
    </row>
    <row r="123" spans="1:31">
      <c r="A123" s="146">
        <v>42369</v>
      </c>
      <c r="B123" s="143" t="s">
        <v>3978</v>
      </c>
      <c r="C123" s="298" t="s">
        <v>4159</v>
      </c>
      <c r="D123" s="145"/>
      <c r="E123" s="298" t="s">
        <v>3980</v>
      </c>
      <c r="F123" s="298" t="s">
        <v>4160</v>
      </c>
      <c r="G123" s="298" t="s">
        <v>3883</v>
      </c>
      <c r="H123" s="171"/>
      <c r="I123" s="298" t="s">
        <v>123</v>
      </c>
      <c r="J123" s="59">
        <v>250</v>
      </c>
      <c r="K123" s="59" t="s">
        <v>3983</v>
      </c>
      <c r="L123" s="298" t="s">
        <v>3984</v>
      </c>
      <c r="M123" s="298" t="s">
        <v>3985</v>
      </c>
      <c r="N123" s="144" t="str">
        <f>IFERROR(INDEX(EquipmentTBL!$H:$H,MATCH(Table5[[#This Row],[Unit'#]],EquipmentTBL!$A:$A,0)),"NONE")</f>
        <v>NONE</v>
      </c>
      <c r="O123" s="144" t="str">
        <f>IFERROR(INDEX(EquipmentTBL!$C:$C,MATCH(Table5[[#This Row],[Unit'#]],EquipmentTBL!$A:$A,0)),"NONE")</f>
        <v>NONE</v>
      </c>
      <c r="P123" s="144" t="str">
        <f>IFERROR(INDEX(EquipmentTBL!$B:$B,MATCH(Table5[[#This Row],[Unit'#]],EquipmentTBL!$A:$A,0)),"NONE")</f>
        <v>NONE</v>
      </c>
      <c r="Q123" s="144" t="str">
        <f>IFERROR(INDEX(EquipmentTBL!$D:$D,MATCH(Table5[[#This Row],[Unit'#]],EquipmentTBL!$A:$A,0)),"NONE")</f>
        <v>NONE</v>
      </c>
      <c r="R123" s="146">
        <f>(5-WEEKDAY(A123,2))+A123</f>
        <v>42370</v>
      </c>
      <c r="S123" s="104">
        <f>((5-WEEKDAY(A123,2))+A123)+7</f>
        <v>42377</v>
      </c>
      <c r="T123" s="144">
        <f>MONTH(A123)</f>
        <v>12</v>
      </c>
      <c r="U123" s="144">
        <f>YEAR(R123)</f>
        <v>2016</v>
      </c>
      <c r="V123" s="298"/>
      <c r="Z123"/>
      <c r="AA123"/>
      <c r="AB123"/>
      <c r="AC123"/>
      <c r="AD123"/>
      <c r="AE123"/>
    </row>
    <row r="124" spans="1:31">
      <c r="A124" s="146">
        <v>42370</v>
      </c>
      <c r="B124" s="143" t="s">
        <v>3896</v>
      </c>
      <c r="C124" s="298" t="s">
        <v>3997</v>
      </c>
      <c r="D124" s="145" t="s">
        <v>4161</v>
      </c>
      <c r="E124" s="298" t="s">
        <v>3980</v>
      </c>
      <c r="F124" s="298" t="s">
        <v>4000</v>
      </c>
      <c r="G124" s="298" t="s">
        <v>3999</v>
      </c>
      <c r="H124" s="171"/>
      <c r="I124" s="298" t="s">
        <v>123</v>
      </c>
      <c r="J124" s="59">
        <v>125</v>
      </c>
      <c r="K124" s="59" t="s">
        <v>3983</v>
      </c>
      <c r="L124" s="298" t="s">
        <v>3984</v>
      </c>
      <c r="M124" s="298" t="s">
        <v>3985</v>
      </c>
      <c r="N124" s="144" t="str">
        <f>IFERROR(INDEX(EquipmentTBL!$H:$H,MATCH(Table5[[#This Row],[Unit'#]],EquipmentTBL!$A:$A,0)),"NONE")</f>
        <v>2HSCUAPR79CO93785</v>
      </c>
      <c r="O124" s="144" t="str">
        <f>IFERROR(INDEX(EquipmentTBL!$C:$C,MATCH(Table5[[#This Row],[Unit'#]],EquipmentTBL!$A:$A,0)),"NONE")</f>
        <v>International</v>
      </c>
      <c r="P124" s="144">
        <f>IFERROR(INDEX(EquipmentTBL!$B:$B,MATCH(Table5[[#This Row],[Unit'#]],EquipmentTBL!$A:$A,0)),"NONE")</f>
        <v>2009</v>
      </c>
      <c r="Q124" s="144" t="str">
        <f>IFERROR(INDEX(EquipmentTBL!$D:$D,MATCH(Table5[[#This Row],[Unit'#]],EquipmentTBL!$A:$A,0)),"NONE")</f>
        <v>Prostar Eagle</v>
      </c>
      <c r="R124" s="146">
        <f>(5-WEEKDAY(A124,2))+A124</f>
        <v>42370</v>
      </c>
      <c r="S124" s="104">
        <f>((5-WEEKDAY(A124,2))+A124)+7</f>
        <v>42377</v>
      </c>
      <c r="T124" s="144">
        <f>MONTH(A124)</f>
        <v>1</v>
      </c>
      <c r="U124" s="144">
        <f>YEAR(R124)</f>
        <v>2016</v>
      </c>
      <c r="V124" s="298"/>
      <c r="Z124"/>
      <c r="AA124"/>
      <c r="AB124"/>
      <c r="AC124"/>
      <c r="AD124"/>
      <c r="AE124"/>
    </row>
    <row r="125" spans="1:31">
      <c r="A125" s="146">
        <v>42377</v>
      </c>
      <c r="B125" s="143" t="s">
        <v>3978</v>
      </c>
      <c r="C125" s="298" t="s">
        <v>3979</v>
      </c>
      <c r="D125" s="145"/>
      <c r="E125" s="298" t="s">
        <v>3980</v>
      </c>
      <c r="F125" s="298" t="s">
        <v>4073</v>
      </c>
      <c r="G125" s="298" t="s">
        <v>4073</v>
      </c>
      <c r="H125" s="171"/>
      <c r="I125" s="298" t="s">
        <v>123</v>
      </c>
      <c r="J125" s="59">
        <v>25</v>
      </c>
      <c r="K125" s="59" t="s">
        <v>3983</v>
      </c>
      <c r="L125" s="298" t="s">
        <v>3984</v>
      </c>
      <c r="M125" s="298" t="s">
        <v>3989</v>
      </c>
      <c r="N125" s="144" t="str">
        <f>IFERROR(INDEX(EquipmentTBL!$H:$H,MATCH(Table5[[#This Row],[Unit'#]],EquipmentTBL!$A:$A,0)),"NONE")</f>
        <v>NONE</v>
      </c>
      <c r="O125" s="144" t="str">
        <f>IFERROR(INDEX(EquipmentTBL!$C:$C,MATCH(Table5[[#This Row],[Unit'#]],EquipmentTBL!$A:$A,0)),"NONE")</f>
        <v>NONE</v>
      </c>
      <c r="P125" s="144" t="str">
        <f>IFERROR(INDEX(EquipmentTBL!$B:$B,MATCH(Table5[[#This Row],[Unit'#]],EquipmentTBL!$A:$A,0)),"NONE")</f>
        <v>NONE</v>
      </c>
      <c r="Q125" s="144" t="str">
        <f>IFERROR(INDEX(EquipmentTBL!$D:$D,MATCH(Table5[[#This Row],[Unit'#]],EquipmentTBL!$A:$A,0)),"NONE")</f>
        <v>NONE</v>
      </c>
      <c r="R125" s="104">
        <f>(5-WEEKDAY(A125,2))+A125</f>
        <v>42377</v>
      </c>
      <c r="S125" s="104">
        <f>((5-WEEKDAY(A125,2))+A125)+7</f>
        <v>42384</v>
      </c>
      <c r="T125" s="15">
        <f>MONTH(A125)</f>
        <v>1</v>
      </c>
      <c r="U125" s="144">
        <f>YEAR(R125)</f>
        <v>2016</v>
      </c>
      <c r="V125" s="298"/>
      <c r="Z125"/>
      <c r="AA125"/>
      <c r="AB125"/>
      <c r="AC125"/>
      <c r="AD125"/>
      <c r="AE125"/>
    </row>
    <row r="126" spans="1:31">
      <c r="A126" s="146">
        <v>42379</v>
      </c>
      <c r="B126" s="143" t="s">
        <v>3863</v>
      </c>
      <c r="C126" s="298" t="s">
        <v>4002</v>
      </c>
      <c r="D126" s="145"/>
      <c r="E126" s="298" t="s">
        <v>3980</v>
      </c>
      <c r="F126" s="298" t="s">
        <v>4162</v>
      </c>
      <c r="G126" s="298" t="s">
        <v>4026</v>
      </c>
      <c r="H126" s="171"/>
      <c r="I126" s="298" t="s">
        <v>123</v>
      </c>
      <c r="J126" s="59">
        <v>12.18</v>
      </c>
      <c r="K126" s="59" t="s">
        <v>3983</v>
      </c>
      <c r="L126" s="298" t="s">
        <v>3984</v>
      </c>
      <c r="M126" s="298" t="s">
        <v>3985</v>
      </c>
      <c r="N126" s="144" t="str">
        <f>IFERROR(INDEX(EquipmentTBL!$H:$H,MATCH(Table5[[#This Row],[Unit'#]],EquipmentTBL!$A:$A,0)),"NONE")</f>
        <v>2HSCUAPR88C657099</v>
      </c>
      <c r="O126" s="144" t="str">
        <f>IFERROR(INDEX(EquipmentTBL!$C:$C,MATCH(Table5[[#This Row],[Unit'#]],EquipmentTBL!$A:$A,0)),"NONE")</f>
        <v>International</v>
      </c>
      <c r="P126" s="144">
        <f>IFERROR(INDEX(EquipmentTBL!$B:$B,MATCH(Table5[[#This Row],[Unit'#]],EquipmentTBL!$A:$A,0)),"NONE")</f>
        <v>2008</v>
      </c>
      <c r="Q126" s="144" t="str">
        <f>IFERROR(INDEX(EquipmentTBL!$D:$D,MATCH(Table5[[#This Row],[Unit'#]],EquipmentTBL!$A:$A,0)),"NONE")</f>
        <v>Prostar Eagle</v>
      </c>
      <c r="R126" s="146">
        <f>(5-WEEKDAY(A126,2))+A126</f>
        <v>42377</v>
      </c>
      <c r="S126" s="104">
        <f>((5-WEEKDAY(A126,2))+A126)+7</f>
        <v>42384</v>
      </c>
      <c r="T126" s="144">
        <f>MONTH(A126)</f>
        <v>1</v>
      </c>
      <c r="U126" s="144">
        <f>YEAR(R126)</f>
        <v>2016</v>
      </c>
      <c r="V126" s="298"/>
      <c r="Z126"/>
      <c r="AA126"/>
      <c r="AB126"/>
      <c r="AC126"/>
      <c r="AD126"/>
      <c r="AE126"/>
    </row>
    <row r="127" spans="1:31">
      <c r="A127" s="146">
        <v>42379</v>
      </c>
      <c r="B127" s="143" t="s">
        <v>3896</v>
      </c>
      <c r="C127" s="298" t="s">
        <v>4002</v>
      </c>
      <c r="D127" s="145"/>
      <c r="E127" s="298" t="s">
        <v>3980</v>
      </c>
      <c r="F127" s="298" t="s">
        <v>4162</v>
      </c>
      <c r="G127" s="298" t="s">
        <v>4026</v>
      </c>
      <c r="H127" s="15"/>
      <c r="I127" s="298" t="s">
        <v>123</v>
      </c>
      <c r="J127" s="59">
        <v>12.18</v>
      </c>
      <c r="K127" s="59" t="s">
        <v>3983</v>
      </c>
      <c r="L127" s="298" t="s">
        <v>3984</v>
      </c>
      <c r="M127" s="298" t="s">
        <v>3985</v>
      </c>
      <c r="N127" s="144" t="str">
        <f>IFERROR(INDEX(EquipmentTBL!$H:$H,MATCH(Table5[[#This Row],[Unit'#]],EquipmentTBL!$A:$A,0)),"NONE")</f>
        <v>2HSCUAPR79CO93785</v>
      </c>
      <c r="O127" s="144" t="str">
        <f>IFERROR(INDEX(EquipmentTBL!$C:$C,MATCH(Table5[[#This Row],[Unit'#]],EquipmentTBL!$A:$A,0)),"NONE")</f>
        <v>International</v>
      </c>
      <c r="P127" s="144">
        <f>IFERROR(INDEX(EquipmentTBL!$B:$B,MATCH(Table5[[#This Row],[Unit'#]],EquipmentTBL!$A:$A,0)),"NONE")</f>
        <v>2009</v>
      </c>
      <c r="Q127" s="144" t="str">
        <f>IFERROR(INDEX(EquipmentTBL!$D:$D,MATCH(Table5[[#This Row],[Unit'#]],EquipmentTBL!$A:$A,0)),"NONE")</f>
        <v>Prostar Eagle</v>
      </c>
      <c r="R127" s="104">
        <f>(5-WEEKDAY(A127,2))+A127</f>
        <v>42377</v>
      </c>
      <c r="S127" s="172">
        <f>((5-WEEKDAY(A127,2))+A127)+7</f>
        <v>42384</v>
      </c>
      <c r="T127" s="144">
        <f>MONTH(A127)</f>
        <v>1</v>
      </c>
      <c r="U127" s="144">
        <f>YEAR(R127)</f>
        <v>2016</v>
      </c>
      <c r="V127" s="298"/>
      <c r="Z127"/>
      <c r="AA127"/>
      <c r="AB127"/>
      <c r="AC127"/>
      <c r="AD127"/>
      <c r="AE127"/>
    </row>
    <row r="128" spans="1:31">
      <c r="A128" s="146">
        <v>42380</v>
      </c>
      <c r="B128" s="143" t="s">
        <v>3896</v>
      </c>
      <c r="C128" s="298" t="s">
        <v>3990</v>
      </c>
      <c r="D128" s="145">
        <v>13110</v>
      </c>
      <c r="E128" s="298" t="s">
        <v>3980</v>
      </c>
      <c r="F128" s="298" t="s">
        <v>4010</v>
      </c>
      <c r="G128" s="298" t="s">
        <v>4163</v>
      </c>
      <c r="H128" s="15"/>
      <c r="I128" s="298" t="s">
        <v>123</v>
      </c>
      <c r="J128" s="59">
        <v>70</v>
      </c>
      <c r="K128" s="59" t="s">
        <v>3983</v>
      </c>
      <c r="L128" s="298" t="s">
        <v>3897</v>
      </c>
      <c r="M128" s="298" t="s">
        <v>3985</v>
      </c>
      <c r="N128" s="144" t="str">
        <f>IFERROR(INDEX(EquipmentTBL!$H:$H,MATCH(Table5[[#This Row],[Unit'#]],EquipmentTBL!$A:$A,0)),"NONE")</f>
        <v>2HSCUAPR79CO93785</v>
      </c>
      <c r="O128" s="144" t="str">
        <f>IFERROR(INDEX(EquipmentTBL!$C:$C,MATCH(Table5[[#This Row],[Unit'#]],EquipmentTBL!$A:$A,0)),"NONE")</f>
        <v>International</v>
      </c>
      <c r="P128" s="144">
        <f>IFERROR(INDEX(EquipmentTBL!$B:$B,MATCH(Table5[[#This Row],[Unit'#]],EquipmentTBL!$A:$A,0)),"NONE")</f>
        <v>2009</v>
      </c>
      <c r="Q128" s="144" t="str">
        <f>IFERROR(INDEX(EquipmentTBL!$D:$D,MATCH(Table5[[#This Row],[Unit'#]],EquipmentTBL!$A:$A,0)),"NONE")</f>
        <v>Prostar Eagle</v>
      </c>
      <c r="R128" s="143">
        <f>(5-WEEKDAY(A128,2))+A128</f>
        <v>42384</v>
      </c>
      <c r="S128" s="172">
        <f>((5-WEEKDAY(A128,2))+A128)+7</f>
        <v>42391</v>
      </c>
      <c r="T128" s="144">
        <f>MONTH(A128)</f>
        <v>1</v>
      </c>
      <c r="U128" s="144">
        <f>YEAR(R128)</f>
        <v>2016</v>
      </c>
      <c r="V128" s="298"/>
      <c r="Z128"/>
      <c r="AA128"/>
      <c r="AB128"/>
      <c r="AC128"/>
      <c r="AD128"/>
      <c r="AE128"/>
    </row>
    <row r="129" spans="1:31">
      <c r="A129" s="146">
        <v>42382</v>
      </c>
      <c r="B129" s="143" t="s">
        <v>3896</v>
      </c>
      <c r="C129" s="298" t="s">
        <v>4002</v>
      </c>
      <c r="D129" s="145" t="s">
        <v>4164</v>
      </c>
      <c r="E129" s="298" t="s">
        <v>4028</v>
      </c>
      <c r="F129" s="298" t="s">
        <v>4165</v>
      </c>
      <c r="G129" s="298" t="s">
        <v>4166</v>
      </c>
      <c r="H129" s="171"/>
      <c r="I129" s="298" t="s">
        <v>123</v>
      </c>
      <c r="J129" s="59">
        <v>40</v>
      </c>
      <c r="K129" s="59" t="s">
        <v>3983</v>
      </c>
      <c r="L129" s="298" t="s">
        <v>3984</v>
      </c>
      <c r="M129" s="298" t="s">
        <v>3985</v>
      </c>
      <c r="N129" s="144" t="str">
        <f>IFERROR(INDEX(EquipmentTBL!$H:$H,MATCH(Table5[[#This Row],[Unit'#]],EquipmentTBL!$A:$A,0)),"NONE")</f>
        <v>2HSCUAPR79CO93785</v>
      </c>
      <c r="O129" s="144" t="str">
        <f>IFERROR(INDEX(EquipmentTBL!$C:$C,MATCH(Table5[[#This Row],[Unit'#]],EquipmentTBL!$A:$A,0)),"NONE")</f>
        <v>International</v>
      </c>
      <c r="P129" s="144">
        <f>IFERROR(INDEX(EquipmentTBL!$B:$B,MATCH(Table5[[#This Row],[Unit'#]],EquipmentTBL!$A:$A,0)),"NONE")</f>
        <v>2009</v>
      </c>
      <c r="Q129" s="144" t="str">
        <f>IFERROR(INDEX(EquipmentTBL!$D:$D,MATCH(Table5[[#This Row],[Unit'#]],EquipmentTBL!$A:$A,0)),"NONE")</f>
        <v>Prostar Eagle</v>
      </c>
      <c r="R129" s="143">
        <f>(5-WEEKDAY(A129,2))+A129</f>
        <v>42384</v>
      </c>
      <c r="S129" s="172">
        <f>((5-WEEKDAY(A129,2))+A129)+7</f>
        <v>42391</v>
      </c>
      <c r="T129" s="144">
        <f>MONTH(A129)</f>
        <v>1</v>
      </c>
      <c r="U129" s="144">
        <f>YEAR(R129)</f>
        <v>2016</v>
      </c>
      <c r="V129" s="298"/>
      <c r="Z129"/>
      <c r="AA129"/>
      <c r="AB129"/>
      <c r="AC129"/>
      <c r="AD129"/>
      <c r="AE129"/>
    </row>
    <row r="130" spans="1:31">
      <c r="A130" s="146">
        <v>42383</v>
      </c>
      <c r="B130" s="143" t="s">
        <v>3978</v>
      </c>
      <c r="C130" s="298" t="s">
        <v>3979</v>
      </c>
      <c r="D130" s="145">
        <v>1847427</v>
      </c>
      <c r="E130" s="298" t="s">
        <v>3980</v>
      </c>
      <c r="F130" s="298" t="s">
        <v>4049</v>
      </c>
      <c r="G130" s="298" t="s">
        <v>4050</v>
      </c>
      <c r="H130" s="15"/>
      <c r="I130" s="298" t="s">
        <v>123</v>
      </c>
      <c r="J130" s="66">
        <v>34.950000000000003</v>
      </c>
      <c r="K130" s="59" t="s">
        <v>3983</v>
      </c>
      <c r="L130" s="298" t="s">
        <v>3984</v>
      </c>
      <c r="M130" s="298" t="s">
        <v>3985</v>
      </c>
      <c r="N130" s="144" t="str">
        <f>IFERROR(INDEX(EquipmentTBL!$H:$H,MATCH(Table5[[#This Row],[Unit'#]],EquipmentTBL!$A:$A,0)),"NONE")</f>
        <v>NONE</v>
      </c>
      <c r="O130" s="144" t="str">
        <f>IFERROR(INDEX(EquipmentTBL!$C:$C,MATCH(Table5[[#This Row],[Unit'#]],EquipmentTBL!$A:$A,0)),"NONE")</f>
        <v>NONE</v>
      </c>
      <c r="P130" s="144" t="str">
        <f>IFERROR(INDEX(EquipmentTBL!$B:$B,MATCH(Table5[[#This Row],[Unit'#]],EquipmentTBL!$A:$A,0)),"NONE")</f>
        <v>NONE</v>
      </c>
      <c r="Q130" s="144" t="str">
        <f>IFERROR(INDEX(EquipmentTBL!$D:$D,MATCH(Table5[[#This Row],[Unit'#]],EquipmentTBL!$A:$A,0)),"NONE")</f>
        <v>NONE</v>
      </c>
      <c r="R130" s="143">
        <f>(5-WEEKDAY(A130,2))+A130</f>
        <v>42384</v>
      </c>
      <c r="S130" s="172">
        <f>((5-WEEKDAY(A130,2))+A130)+7</f>
        <v>42391</v>
      </c>
      <c r="T130" s="144">
        <f>MONTH(A130)</f>
        <v>1</v>
      </c>
      <c r="U130" s="144">
        <f>YEAR(R130)</f>
        <v>2016</v>
      </c>
      <c r="V130" s="298"/>
      <c r="Z130"/>
      <c r="AA130"/>
      <c r="AB130"/>
      <c r="AC130"/>
      <c r="AD130"/>
      <c r="AE130"/>
    </row>
    <row r="131" spans="1:31">
      <c r="A131" s="274">
        <v>42384</v>
      </c>
      <c r="B131" s="143" t="s">
        <v>3978</v>
      </c>
      <c r="C131" s="298" t="s">
        <v>3979</v>
      </c>
      <c r="D131" s="145"/>
      <c r="E131" s="298" t="s">
        <v>3980</v>
      </c>
      <c r="F131" s="298" t="s">
        <v>4167</v>
      </c>
      <c r="G131" s="298" t="s">
        <v>4167</v>
      </c>
      <c r="H131" s="15"/>
      <c r="I131" s="298" t="s">
        <v>123</v>
      </c>
      <c r="J131" s="59">
        <v>35</v>
      </c>
      <c r="K131" s="59" t="s">
        <v>3983</v>
      </c>
      <c r="L131" s="298" t="s">
        <v>3984</v>
      </c>
      <c r="M131" s="298" t="s">
        <v>3985</v>
      </c>
      <c r="N131" s="150" t="str">
        <f>IFERROR(INDEX(EquipmentTBL!$H:$H,MATCH(Table5[[#This Row],[Unit'#]],EquipmentTBL!$A:$A,0)),"NONE")</f>
        <v>NONE</v>
      </c>
      <c r="O131" s="150" t="str">
        <f>IFERROR(INDEX(EquipmentTBL!$C:$C,MATCH(Table5[[#This Row],[Unit'#]],EquipmentTBL!$A:$A,0)),"NONE")</f>
        <v>NONE</v>
      </c>
      <c r="P131" s="150" t="str">
        <f>IFERROR(INDEX(EquipmentTBL!$B:$B,MATCH(Table5[[#This Row],[Unit'#]],EquipmentTBL!$A:$A,0)),"NONE")</f>
        <v>NONE</v>
      </c>
      <c r="Q131" s="150" t="str">
        <f>IFERROR(INDEX(EquipmentTBL!$D:$D,MATCH(Table5[[#This Row],[Unit'#]],EquipmentTBL!$A:$A,0)),"NONE")</f>
        <v>NONE</v>
      </c>
      <c r="R131" s="143">
        <f>(5-WEEKDAY(A131,2))+A131</f>
        <v>42384</v>
      </c>
      <c r="S131" s="172">
        <f>((5-WEEKDAY(A131,2))+A131)+7</f>
        <v>42391</v>
      </c>
      <c r="T131" s="150">
        <f>MONTH(A131)</f>
        <v>1</v>
      </c>
      <c r="U131" s="150">
        <f>YEAR(R131)</f>
        <v>2016</v>
      </c>
      <c r="V131" s="298"/>
      <c r="Z131"/>
      <c r="AA131"/>
      <c r="AB131"/>
      <c r="AC131"/>
      <c r="AD131"/>
      <c r="AE131"/>
    </row>
    <row r="132" spans="1:31">
      <c r="A132" s="146">
        <v>42385</v>
      </c>
      <c r="B132" s="143" t="s">
        <v>3978</v>
      </c>
      <c r="C132" s="298" t="s">
        <v>3979</v>
      </c>
      <c r="D132" s="145"/>
      <c r="E132" s="298" t="s">
        <v>3980</v>
      </c>
      <c r="F132" s="298" t="s">
        <v>4168</v>
      </c>
      <c r="G132" s="298" t="s">
        <v>4042</v>
      </c>
      <c r="H132" s="171"/>
      <c r="I132" s="298" t="s">
        <v>123</v>
      </c>
      <c r="J132" s="59">
        <v>9</v>
      </c>
      <c r="K132" s="59" t="s">
        <v>3983</v>
      </c>
      <c r="L132" s="298" t="s">
        <v>3984</v>
      </c>
      <c r="M132" s="298" t="s">
        <v>3985</v>
      </c>
      <c r="N132" s="144" t="str">
        <f>IFERROR(INDEX(EquipmentTBL!$H:$H,MATCH(Table5[[#This Row],[Unit'#]],EquipmentTBL!$A:$A,0)),"NONE")</f>
        <v>NONE</v>
      </c>
      <c r="O132" s="144" t="str">
        <f>IFERROR(INDEX(EquipmentTBL!$C:$C,MATCH(Table5[[#This Row],[Unit'#]],EquipmentTBL!$A:$A,0)),"NONE")</f>
        <v>NONE</v>
      </c>
      <c r="P132" s="144" t="str">
        <f>IFERROR(INDEX(EquipmentTBL!$B:$B,MATCH(Table5[[#This Row],[Unit'#]],EquipmentTBL!$A:$A,0)),"NONE")</f>
        <v>NONE</v>
      </c>
      <c r="Q132" s="144" t="str">
        <f>IFERROR(INDEX(EquipmentTBL!$D:$D,MATCH(Table5[[#This Row],[Unit'#]],EquipmentTBL!$A:$A,0)),"NONE")</f>
        <v>NONE</v>
      </c>
      <c r="R132" s="146">
        <f>(5-WEEKDAY(A132,2))+A132</f>
        <v>42384</v>
      </c>
      <c r="S132" s="104">
        <f>((5-WEEKDAY(A132,2))+A132)+7</f>
        <v>42391</v>
      </c>
      <c r="T132" s="144">
        <f>MONTH(A132)</f>
        <v>1</v>
      </c>
      <c r="U132" s="144">
        <f>YEAR(R132)</f>
        <v>2016</v>
      </c>
      <c r="V132" s="298"/>
      <c r="Z132"/>
      <c r="AA132"/>
      <c r="AB132"/>
      <c r="AC132"/>
      <c r="AD132"/>
      <c r="AE132"/>
    </row>
    <row r="133" spans="1:31">
      <c r="A133" s="146">
        <v>42386</v>
      </c>
      <c r="B133" s="143" t="s">
        <v>3978</v>
      </c>
      <c r="C133" s="298" t="s">
        <v>3979</v>
      </c>
      <c r="D133" s="145">
        <v>18816540</v>
      </c>
      <c r="E133" s="298" t="s">
        <v>3980</v>
      </c>
      <c r="F133" s="298" t="s">
        <v>4169</v>
      </c>
      <c r="G133" s="298" t="s">
        <v>4170</v>
      </c>
      <c r="H133" s="15"/>
      <c r="I133" s="298" t="s">
        <v>123</v>
      </c>
      <c r="J133" s="147">
        <v>10.87</v>
      </c>
      <c r="K133" s="59" t="s">
        <v>3983</v>
      </c>
      <c r="L133" s="298" t="s">
        <v>3984</v>
      </c>
      <c r="M133" s="298" t="s">
        <v>3985</v>
      </c>
      <c r="N133" s="144" t="str">
        <f>IFERROR(INDEX(EquipmentTBL!$H:$H,MATCH(Table5[[#This Row],[Unit'#]],EquipmentTBL!$A:$A,0)),"NONE")</f>
        <v>NONE</v>
      </c>
      <c r="O133" s="144" t="str">
        <f>IFERROR(INDEX(EquipmentTBL!$C:$C,MATCH(Table5[[#This Row],[Unit'#]],EquipmentTBL!$A:$A,0)),"NONE")</f>
        <v>NONE</v>
      </c>
      <c r="P133" s="144" t="str">
        <f>IFERROR(INDEX(EquipmentTBL!$B:$B,MATCH(Table5[[#This Row],[Unit'#]],EquipmentTBL!$A:$A,0)),"NONE")</f>
        <v>NONE</v>
      </c>
      <c r="Q133" s="144" t="str">
        <f>IFERROR(INDEX(EquipmentTBL!$D:$D,MATCH(Table5[[#This Row],[Unit'#]],EquipmentTBL!$A:$A,0)),"NONE")</f>
        <v>NONE</v>
      </c>
      <c r="R133" s="143">
        <f>(5-WEEKDAY(A133,2))+A133</f>
        <v>42384</v>
      </c>
      <c r="S133" s="172">
        <f>((5-WEEKDAY(A133,2))+A133)+7</f>
        <v>42391</v>
      </c>
      <c r="T133" s="144">
        <f>MONTH(A133)</f>
        <v>1</v>
      </c>
      <c r="U133" s="144">
        <f>YEAR(R133)</f>
        <v>2016</v>
      </c>
      <c r="V133" s="298"/>
      <c r="Z133"/>
      <c r="AA133"/>
      <c r="AB133"/>
      <c r="AC133"/>
      <c r="AD133"/>
      <c r="AE133"/>
    </row>
    <row r="134" spans="1:31">
      <c r="A134" s="146">
        <v>42386</v>
      </c>
      <c r="B134" s="143" t="s">
        <v>3978</v>
      </c>
      <c r="C134" s="298" t="s">
        <v>3979</v>
      </c>
      <c r="D134" s="145">
        <v>18816581</v>
      </c>
      <c r="E134" s="298" t="s">
        <v>3980</v>
      </c>
      <c r="F134" s="298" t="s">
        <v>4169</v>
      </c>
      <c r="G134" s="298" t="s">
        <v>4171</v>
      </c>
      <c r="H134" s="15"/>
      <c r="I134" s="298" t="s">
        <v>123</v>
      </c>
      <c r="J134" s="59">
        <v>23.53</v>
      </c>
      <c r="K134" s="59" t="s">
        <v>3983</v>
      </c>
      <c r="L134" s="298" t="s">
        <v>3984</v>
      </c>
      <c r="M134" s="298" t="s">
        <v>3985</v>
      </c>
      <c r="N134" s="144" t="str">
        <f>IFERROR(INDEX(EquipmentTBL!$H:$H,MATCH(Table5[[#This Row],[Unit'#]],EquipmentTBL!$A:$A,0)),"NONE")</f>
        <v>NONE</v>
      </c>
      <c r="O134" s="144" t="str">
        <f>IFERROR(INDEX(EquipmentTBL!$C:$C,MATCH(Table5[[#This Row],[Unit'#]],EquipmentTBL!$A:$A,0)),"NONE")</f>
        <v>NONE</v>
      </c>
      <c r="P134" s="144" t="str">
        <f>IFERROR(INDEX(EquipmentTBL!$B:$B,MATCH(Table5[[#This Row],[Unit'#]],EquipmentTBL!$A:$A,0)),"NONE")</f>
        <v>NONE</v>
      </c>
      <c r="Q134" s="144" t="str">
        <f>IFERROR(INDEX(EquipmentTBL!$D:$D,MATCH(Table5[[#This Row],[Unit'#]],EquipmentTBL!$A:$A,0)),"NONE")</f>
        <v>NONE</v>
      </c>
      <c r="R134" s="143">
        <f>(5-WEEKDAY(A134,2))+A134</f>
        <v>42384</v>
      </c>
      <c r="S134" s="172">
        <f>((5-WEEKDAY(A134,2))+A134)+7</f>
        <v>42391</v>
      </c>
      <c r="T134" s="144">
        <f>MONTH(A134)</f>
        <v>1</v>
      </c>
      <c r="U134" s="144">
        <f>YEAR(R134)</f>
        <v>2016</v>
      </c>
      <c r="V134" s="298"/>
      <c r="Z134"/>
      <c r="AA134"/>
      <c r="AB134"/>
      <c r="AC134"/>
      <c r="AD134"/>
      <c r="AE134"/>
    </row>
    <row r="135" spans="1:31">
      <c r="A135" s="146">
        <v>42387</v>
      </c>
      <c r="B135" s="143" t="s">
        <v>3978</v>
      </c>
      <c r="C135" s="298" t="s">
        <v>3979</v>
      </c>
      <c r="D135" s="145"/>
      <c r="E135" s="298" t="s">
        <v>3980</v>
      </c>
      <c r="F135" s="298" t="s">
        <v>4172</v>
      </c>
      <c r="G135" s="298" t="s">
        <v>4057</v>
      </c>
      <c r="H135" s="171"/>
      <c r="I135" s="298" t="s">
        <v>123</v>
      </c>
      <c r="J135" s="59">
        <v>55</v>
      </c>
      <c r="K135" s="59" t="s">
        <v>3983</v>
      </c>
      <c r="L135" s="298" t="s">
        <v>3984</v>
      </c>
      <c r="M135" s="298" t="s">
        <v>3985</v>
      </c>
      <c r="N135" s="150" t="str">
        <f>IFERROR(INDEX(EquipmentTBL!$H:$H,MATCH(Table5[[#This Row],[Unit'#]],EquipmentTBL!$A:$A,0)),"NONE")</f>
        <v>NONE</v>
      </c>
      <c r="O135" s="150" t="str">
        <f>IFERROR(INDEX(EquipmentTBL!$C:$C,MATCH(Table5[[#This Row],[Unit'#]],EquipmentTBL!$A:$A,0)),"NONE")</f>
        <v>NONE</v>
      </c>
      <c r="P135" s="150" t="str">
        <f>IFERROR(INDEX(EquipmentTBL!$B:$B,MATCH(Table5[[#This Row],[Unit'#]],EquipmentTBL!$A:$A,0)),"NONE")</f>
        <v>NONE</v>
      </c>
      <c r="Q135" s="150" t="str">
        <f>IFERROR(INDEX(EquipmentTBL!$D:$D,MATCH(Table5[[#This Row],[Unit'#]],EquipmentTBL!$A:$A,0)),"NONE")</f>
        <v>NONE</v>
      </c>
      <c r="R135" s="143">
        <f>(5-WEEKDAY(A135,2))+A135</f>
        <v>42391</v>
      </c>
      <c r="S135" s="172">
        <f>((5-WEEKDAY(A135,2))+A135)+7</f>
        <v>42398</v>
      </c>
      <c r="T135" s="150">
        <f>MONTH(A135)</f>
        <v>1</v>
      </c>
      <c r="U135" s="150">
        <f>YEAR(R135)</f>
        <v>2016</v>
      </c>
      <c r="V135" s="298"/>
      <c r="Z135"/>
      <c r="AA135"/>
      <c r="AB135"/>
      <c r="AC135"/>
      <c r="AD135"/>
      <c r="AE135"/>
    </row>
    <row r="136" spans="1:31">
      <c r="A136" s="146">
        <v>42387</v>
      </c>
      <c r="B136" s="143" t="s">
        <v>3896</v>
      </c>
      <c r="C136" s="298" t="s">
        <v>3979</v>
      </c>
      <c r="D136" s="145">
        <v>92891184</v>
      </c>
      <c r="E136" s="298" t="s">
        <v>3980</v>
      </c>
      <c r="F136" s="298" t="s">
        <v>4023</v>
      </c>
      <c r="G136" s="298" t="s">
        <v>4174</v>
      </c>
      <c r="H136" s="171"/>
      <c r="I136" s="298">
        <v>1</v>
      </c>
      <c r="J136" s="59">
        <v>10.5</v>
      </c>
      <c r="K136" s="59" t="s">
        <v>3983</v>
      </c>
      <c r="L136" s="298" t="s">
        <v>3897</v>
      </c>
      <c r="M136" s="298" t="s">
        <v>3985</v>
      </c>
      <c r="N136" s="144" t="str">
        <f>IFERROR(INDEX(EquipmentTBL!$H:$H,MATCH(Table5[[#This Row],[Unit'#]],EquipmentTBL!$A:$A,0)),"NONE")</f>
        <v>2HSCUAPR79CO93785</v>
      </c>
      <c r="O136" s="144" t="str">
        <f>IFERROR(INDEX(EquipmentTBL!$C:$C,MATCH(Table5[[#This Row],[Unit'#]],EquipmentTBL!$A:$A,0)),"NONE")</f>
        <v>International</v>
      </c>
      <c r="P136" s="144">
        <f>IFERROR(INDEX(EquipmentTBL!$B:$B,MATCH(Table5[[#This Row],[Unit'#]],EquipmentTBL!$A:$A,0)),"NONE")</f>
        <v>2009</v>
      </c>
      <c r="Q136" s="144" t="str">
        <f>IFERROR(INDEX(EquipmentTBL!$D:$D,MATCH(Table5[[#This Row],[Unit'#]],EquipmentTBL!$A:$A,0)),"NONE")</f>
        <v>Prostar Eagle</v>
      </c>
      <c r="R136" s="143">
        <f>(5-WEEKDAY(A136,2))+A136</f>
        <v>42391</v>
      </c>
      <c r="S136" s="172">
        <f>((5-WEEKDAY(A136,2))+A136)+7</f>
        <v>42398</v>
      </c>
      <c r="T136" s="144">
        <f>MONTH(A136)</f>
        <v>1</v>
      </c>
      <c r="U136" s="144">
        <f>YEAR(R136)</f>
        <v>2016</v>
      </c>
      <c r="V136" s="298"/>
      <c r="Z136"/>
      <c r="AA136"/>
      <c r="AB136"/>
      <c r="AC136"/>
      <c r="AD136"/>
      <c r="AE136"/>
    </row>
    <row r="137" spans="1:31">
      <c r="A137" s="146">
        <v>42387</v>
      </c>
      <c r="B137" s="143" t="s">
        <v>3896</v>
      </c>
      <c r="C137" s="298" t="s">
        <v>3979</v>
      </c>
      <c r="D137" s="145">
        <v>521401</v>
      </c>
      <c r="E137" s="298" t="s">
        <v>3980</v>
      </c>
      <c r="F137" s="298" t="s">
        <v>4023</v>
      </c>
      <c r="G137" s="298" t="s">
        <v>4175</v>
      </c>
      <c r="H137" s="171"/>
      <c r="I137" s="298">
        <v>1</v>
      </c>
      <c r="J137" s="59">
        <v>10.5</v>
      </c>
      <c r="K137" s="59" t="s">
        <v>3983</v>
      </c>
      <c r="L137" s="298" t="s">
        <v>3897</v>
      </c>
      <c r="M137" s="298" t="s">
        <v>3985</v>
      </c>
      <c r="N137" s="144" t="str">
        <f>IFERROR(INDEX(EquipmentTBL!$H:$H,MATCH(Table5[[#This Row],[Unit'#]],EquipmentTBL!$A:$A,0)),"NONE")</f>
        <v>2HSCUAPR79CO93785</v>
      </c>
      <c r="O137" s="144" t="str">
        <f>IFERROR(INDEX(EquipmentTBL!$C:$C,MATCH(Table5[[#This Row],[Unit'#]],EquipmentTBL!$A:$A,0)),"NONE")</f>
        <v>International</v>
      </c>
      <c r="P137" s="144">
        <f>IFERROR(INDEX(EquipmentTBL!$B:$B,MATCH(Table5[[#This Row],[Unit'#]],EquipmentTBL!$A:$A,0)),"NONE")</f>
        <v>2009</v>
      </c>
      <c r="Q137" s="144" t="str">
        <f>IFERROR(INDEX(EquipmentTBL!$D:$D,MATCH(Table5[[#This Row],[Unit'#]],EquipmentTBL!$A:$A,0)),"NONE")</f>
        <v>Prostar Eagle</v>
      </c>
      <c r="R137" s="143">
        <f>(5-WEEKDAY(A137,2))+A137</f>
        <v>42391</v>
      </c>
      <c r="S137" s="172">
        <f>((5-WEEKDAY(A137,2))+A137)+7</f>
        <v>42398</v>
      </c>
      <c r="T137" s="144">
        <f>MONTH(A137)</f>
        <v>1</v>
      </c>
      <c r="U137" s="144">
        <f>YEAR(R137)</f>
        <v>2016</v>
      </c>
      <c r="V137" s="298"/>
      <c r="Z137"/>
      <c r="AA137"/>
      <c r="AB137"/>
      <c r="AC137"/>
      <c r="AD137"/>
      <c r="AE137"/>
    </row>
    <row r="138" spans="1:31">
      <c r="A138" s="146">
        <v>42388</v>
      </c>
      <c r="B138" s="143" t="s">
        <v>3978</v>
      </c>
      <c r="C138" s="298" t="s">
        <v>3979</v>
      </c>
      <c r="D138" s="145"/>
      <c r="E138" s="298" t="s">
        <v>3980</v>
      </c>
      <c r="F138" s="298" t="s">
        <v>4176</v>
      </c>
      <c r="G138" s="298" t="s">
        <v>4042</v>
      </c>
      <c r="H138" s="171"/>
      <c r="I138" s="298" t="s">
        <v>123</v>
      </c>
      <c r="J138" s="59">
        <v>5.12</v>
      </c>
      <c r="K138" s="59" t="s">
        <v>3983</v>
      </c>
      <c r="L138" s="298" t="s">
        <v>3984</v>
      </c>
      <c r="M138" s="298" t="s">
        <v>3985</v>
      </c>
      <c r="N138" s="150" t="str">
        <f>IFERROR(INDEX(EquipmentTBL!$H:$H,MATCH(Table5[[#This Row],[Unit'#]],EquipmentTBL!$A:$A,0)),"NONE")</f>
        <v>NONE</v>
      </c>
      <c r="O138" s="150" t="str">
        <f>IFERROR(INDEX(EquipmentTBL!$C:$C,MATCH(Table5[[#This Row],[Unit'#]],EquipmentTBL!$A:$A,0)),"NONE")</f>
        <v>NONE</v>
      </c>
      <c r="P138" s="150" t="str">
        <f>IFERROR(INDEX(EquipmentTBL!$B:$B,MATCH(Table5[[#This Row],[Unit'#]],EquipmentTBL!$A:$A,0)),"NONE")</f>
        <v>NONE</v>
      </c>
      <c r="Q138" s="150" t="str">
        <f>IFERROR(INDEX(EquipmentTBL!$D:$D,MATCH(Table5[[#This Row],[Unit'#]],EquipmentTBL!$A:$A,0)),"NONE")</f>
        <v>NONE</v>
      </c>
      <c r="R138" s="143">
        <f>(5-WEEKDAY(A138,2))+A138</f>
        <v>42391</v>
      </c>
      <c r="S138" s="172">
        <f>((5-WEEKDAY(A138,2))+A138)+7</f>
        <v>42398</v>
      </c>
      <c r="T138" s="150">
        <f>MONTH(A138)</f>
        <v>1</v>
      </c>
      <c r="U138" s="150">
        <f>YEAR(R138)</f>
        <v>2016</v>
      </c>
      <c r="V138" s="298"/>
      <c r="Z138"/>
      <c r="AA138"/>
      <c r="AB138"/>
      <c r="AC138"/>
      <c r="AD138"/>
      <c r="AE138"/>
    </row>
    <row r="139" spans="1:31">
      <c r="A139" s="146">
        <v>42388</v>
      </c>
      <c r="B139" s="143" t="s">
        <v>3978</v>
      </c>
      <c r="C139" s="298" t="s">
        <v>3979</v>
      </c>
      <c r="D139" s="145"/>
      <c r="E139" s="298" t="s">
        <v>3980</v>
      </c>
      <c r="F139" s="298" t="s">
        <v>4177</v>
      </c>
      <c r="G139" s="298" t="s">
        <v>4057</v>
      </c>
      <c r="H139" s="171"/>
      <c r="I139" s="298" t="s">
        <v>123</v>
      </c>
      <c r="J139" s="59">
        <v>500</v>
      </c>
      <c r="K139" s="59" t="s">
        <v>3983</v>
      </c>
      <c r="L139" s="298" t="s">
        <v>3984</v>
      </c>
      <c r="M139" s="298" t="s">
        <v>3985</v>
      </c>
      <c r="N139" s="150" t="str">
        <f>IFERROR(INDEX(EquipmentTBL!$H:$H,MATCH(Table5[[#This Row],[Unit'#]],EquipmentTBL!$A:$A,0)),"NONE")</f>
        <v>NONE</v>
      </c>
      <c r="O139" s="150" t="str">
        <f>IFERROR(INDEX(EquipmentTBL!$C:$C,MATCH(Table5[[#This Row],[Unit'#]],EquipmentTBL!$A:$A,0)),"NONE")</f>
        <v>NONE</v>
      </c>
      <c r="P139" s="150" t="str">
        <f>IFERROR(INDEX(EquipmentTBL!$B:$B,MATCH(Table5[[#This Row],[Unit'#]],EquipmentTBL!$A:$A,0)),"NONE")</f>
        <v>NONE</v>
      </c>
      <c r="Q139" s="150" t="str">
        <f>IFERROR(INDEX(EquipmentTBL!$D:$D,MATCH(Table5[[#This Row],[Unit'#]],EquipmentTBL!$A:$A,0)),"NONE")</f>
        <v>NONE</v>
      </c>
      <c r="R139" s="143">
        <f>(5-WEEKDAY(A139,2))+A139</f>
        <v>42391</v>
      </c>
      <c r="S139" s="172">
        <f>((5-WEEKDAY(A139,2))+A139)+7</f>
        <v>42398</v>
      </c>
      <c r="T139" s="150">
        <f>MONTH(A139)</f>
        <v>1</v>
      </c>
      <c r="U139" s="150">
        <f>YEAR(R139)</f>
        <v>2016</v>
      </c>
      <c r="V139" s="298"/>
      <c r="Z139"/>
      <c r="AA139"/>
      <c r="AB139"/>
      <c r="AC139"/>
      <c r="AD139"/>
      <c r="AE139"/>
    </row>
    <row r="140" spans="1:31">
      <c r="A140" s="146">
        <v>42391</v>
      </c>
      <c r="B140" s="143" t="s">
        <v>3978</v>
      </c>
      <c r="C140" s="298" t="s">
        <v>3979</v>
      </c>
      <c r="D140" s="145"/>
      <c r="E140" s="298" t="s">
        <v>3980</v>
      </c>
      <c r="F140" s="298" t="s">
        <v>4178</v>
      </c>
      <c r="G140" s="298" t="s">
        <v>4179</v>
      </c>
      <c r="H140" s="15"/>
      <c r="I140" s="298" t="s">
        <v>123</v>
      </c>
      <c r="J140" s="59">
        <v>35.299999999999997</v>
      </c>
      <c r="K140" s="59" t="s">
        <v>3983</v>
      </c>
      <c r="L140" s="298" t="s">
        <v>3984</v>
      </c>
      <c r="M140" s="298" t="s">
        <v>3989</v>
      </c>
      <c r="N140" s="144" t="str">
        <f>IFERROR(INDEX(EquipmentTBL!$H:$H,MATCH(Table5[[#This Row],[Unit'#]],EquipmentTBL!$A:$A,0)),"NONE")</f>
        <v>NONE</v>
      </c>
      <c r="O140" s="144" t="str">
        <f>IFERROR(INDEX(EquipmentTBL!$C:$C,MATCH(Table5[[#This Row],[Unit'#]],EquipmentTBL!$A:$A,0)),"NONE")</f>
        <v>NONE</v>
      </c>
      <c r="P140" s="144" t="str">
        <f>IFERROR(INDEX(EquipmentTBL!$B:$B,MATCH(Table5[[#This Row],[Unit'#]],EquipmentTBL!$A:$A,0)),"NONE")</f>
        <v>NONE</v>
      </c>
      <c r="Q140" s="144" t="str">
        <f>IFERROR(INDEX(EquipmentTBL!$D:$D,MATCH(Table5[[#This Row],[Unit'#]],EquipmentTBL!$A:$A,0)),"NONE")</f>
        <v>NONE</v>
      </c>
      <c r="R140" s="146">
        <f>(5-WEEKDAY(A140,2))+A140</f>
        <v>42391</v>
      </c>
      <c r="S140" s="104">
        <f>((5-WEEKDAY(A140,2))+A140)+7</f>
        <v>42398</v>
      </c>
      <c r="T140" s="144">
        <f>MONTH(A140)</f>
        <v>1</v>
      </c>
      <c r="U140" s="144">
        <f>YEAR(R140)</f>
        <v>2016</v>
      </c>
      <c r="V140" s="298"/>
      <c r="Z140"/>
      <c r="AA140"/>
      <c r="AB140"/>
      <c r="AC140"/>
      <c r="AD140"/>
      <c r="AE140"/>
    </row>
    <row r="141" spans="1:31">
      <c r="A141" s="146">
        <v>42391</v>
      </c>
      <c r="B141" s="143" t="s">
        <v>3978</v>
      </c>
      <c r="C141" s="298" t="s">
        <v>4159</v>
      </c>
      <c r="D141" s="145">
        <v>70070774</v>
      </c>
      <c r="E141" s="298" t="s">
        <v>3980</v>
      </c>
      <c r="F141" s="298" t="s">
        <v>4180</v>
      </c>
      <c r="G141" s="298" t="s">
        <v>4181</v>
      </c>
      <c r="H141" s="171"/>
      <c r="I141" s="298" t="s">
        <v>123</v>
      </c>
      <c r="J141" s="59">
        <v>150</v>
      </c>
      <c r="K141" s="59" t="s">
        <v>3983</v>
      </c>
      <c r="L141" s="298" t="s">
        <v>3984</v>
      </c>
      <c r="M141" s="298" t="s">
        <v>3985</v>
      </c>
      <c r="N141" s="144" t="str">
        <f>IFERROR(INDEX(EquipmentTBL!$H:$H,MATCH(Table5[[#This Row],[Unit'#]],EquipmentTBL!$A:$A,0)),"NONE")</f>
        <v>NONE</v>
      </c>
      <c r="O141" s="144" t="str">
        <f>IFERROR(INDEX(EquipmentTBL!$C:$C,MATCH(Table5[[#This Row],[Unit'#]],EquipmentTBL!$A:$A,0)),"NONE")</f>
        <v>NONE</v>
      </c>
      <c r="P141" s="144" t="str">
        <f>IFERROR(INDEX(EquipmentTBL!$B:$B,MATCH(Table5[[#This Row],[Unit'#]],EquipmentTBL!$A:$A,0)),"NONE")</f>
        <v>NONE</v>
      </c>
      <c r="Q141" s="144" t="str">
        <f>IFERROR(INDEX(EquipmentTBL!$D:$D,MATCH(Table5[[#This Row],[Unit'#]],EquipmentTBL!$A:$A,0)),"NONE")</f>
        <v>NONE</v>
      </c>
      <c r="R141" s="143">
        <f>(5-WEEKDAY(A141,2))+A141</f>
        <v>42391</v>
      </c>
      <c r="S141" s="172">
        <f>((5-WEEKDAY(A141,2))+A141)+7</f>
        <v>42398</v>
      </c>
      <c r="T141" s="144">
        <f>MONTH(A141)</f>
        <v>1</v>
      </c>
      <c r="U141" s="144">
        <f>YEAR(R141)</f>
        <v>2016</v>
      </c>
      <c r="V141" s="298"/>
      <c r="Z141"/>
      <c r="AA141"/>
      <c r="AB141"/>
      <c r="AC141"/>
      <c r="AD141"/>
      <c r="AE141"/>
    </row>
    <row r="142" spans="1:31">
      <c r="A142" s="146">
        <v>42394</v>
      </c>
      <c r="B142" s="143" t="s">
        <v>3978</v>
      </c>
      <c r="C142" s="298" t="s">
        <v>3979</v>
      </c>
      <c r="D142" s="145"/>
      <c r="E142" s="298" t="s">
        <v>3980</v>
      </c>
      <c r="F142" s="298" t="s">
        <v>4182</v>
      </c>
      <c r="G142" s="298" t="s">
        <v>4183</v>
      </c>
      <c r="H142" s="171"/>
      <c r="I142" s="298" t="s">
        <v>123</v>
      </c>
      <c r="J142" s="59">
        <v>18</v>
      </c>
      <c r="K142" s="59" t="s">
        <v>3983</v>
      </c>
      <c r="L142" s="298" t="s">
        <v>3984</v>
      </c>
      <c r="M142" s="298" t="s">
        <v>3985</v>
      </c>
      <c r="N142" s="150" t="str">
        <f>IFERROR(INDEX(EquipmentTBL!$H:$H,MATCH(Table5[[#This Row],[Unit'#]],EquipmentTBL!$A:$A,0)),"NONE")</f>
        <v>NONE</v>
      </c>
      <c r="O142" s="150" t="str">
        <f>IFERROR(INDEX(EquipmentTBL!$C:$C,MATCH(Table5[[#This Row],[Unit'#]],EquipmentTBL!$A:$A,0)),"NONE")</f>
        <v>NONE</v>
      </c>
      <c r="P142" s="150" t="str">
        <f>IFERROR(INDEX(EquipmentTBL!$B:$B,MATCH(Table5[[#This Row],[Unit'#]],EquipmentTBL!$A:$A,0)),"NONE")</f>
        <v>NONE</v>
      </c>
      <c r="Q142" s="150" t="str">
        <f>IFERROR(INDEX(EquipmentTBL!$D:$D,MATCH(Table5[[#This Row],[Unit'#]],EquipmentTBL!$A:$A,0)),"NONE")</f>
        <v>NONE</v>
      </c>
      <c r="R142" s="143">
        <f>(5-WEEKDAY(A142,2))+A142</f>
        <v>42398</v>
      </c>
      <c r="S142" s="172">
        <f>((5-WEEKDAY(A142,2))+A142)+7</f>
        <v>42405</v>
      </c>
      <c r="T142" s="150">
        <f>MONTH(A142)</f>
        <v>1</v>
      </c>
      <c r="U142" s="150">
        <f>YEAR(R142)</f>
        <v>2016</v>
      </c>
      <c r="V142" s="298"/>
      <c r="Z142"/>
      <c r="AA142"/>
      <c r="AB142"/>
      <c r="AC142"/>
      <c r="AD142"/>
      <c r="AE142"/>
    </row>
    <row r="143" spans="1:31">
      <c r="A143" s="146">
        <v>42394</v>
      </c>
      <c r="B143" s="143" t="s">
        <v>3863</v>
      </c>
      <c r="C143" s="298" t="s">
        <v>4002</v>
      </c>
      <c r="D143" s="145" t="s">
        <v>4184</v>
      </c>
      <c r="E143" s="298" t="s">
        <v>4028</v>
      </c>
      <c r="F143" s="298" t="s">
        <v>4185</v>
      </c>
      <c r="G143" s="298" t="s">
        <v>4186</v>
      </c>
      <c r="H143" s="171"/>
      <c r="I143" s="298" t="s">
        <v>123</v>
      </c>
      <c r="J143" s="59">
        <v>190</v>
      </c>
      <c r="K143" s="59" t="s">
        <v>3983</v>
      </c>
      <c r="L143" s="298" t="s">
        <v>3839</v>
      </c>
      <c r="M143" s="298" t="s">
        <v>3985</v>
      </c>
      <c r="N143" s="144" t="str">
        <f>IFERROR(INDEX(EquipmentTBL!$H:$H,MATCH(Table5[[#This Row],[Unit'#]],EquipmentTBL!$A:$A,0)),"NONE")</f>
        <v>2HSCUAPR88C657099</v>
      </c>
      <c r="O143" s="144" t="str">
        <f>IFERROR(INDEX(EquipmentTBL!$C:$C,MATCH(Table5[[#This Row],[Unit'#]],EquipmentTBL!$A:$A,0)),"NONE")</f>
        <v>International</v>
      </c>
      <c r="P143" s="144">
        <f>IFERROR(INDEX(EquipmentTBL!$B:$B,MATCH(Table5[[#This Row],[Unit'#]],EquipmentTBL!$A:$A,0)),"NONE")</f>
        <v>2008</v>
      </c>
      <c r="Q143" s="144" t="str">
        <f>IFERROR(INDEX(EquipmentTBL!$D:$D,MATCH(Table5[[#This Row],[Unit'#]],EquipmentTBL!$A:$A,0)),"NONE")</f>
        <v>Prostar Eagle</v>
      </c>
      <c r="R143" s="143">
        <f>(5-WEEKDAY(A143,2))+A143</f>
        <v>42398</v>
      </c>
      <c r="S143" s="172">
        <f>((5-WEEKDAY(A143,2))+A143)+7</f>
        <v>42405</v>
      </c>
      <c r="T143" s="144">
        <f>MONTH(A143)</f>
        <v>1</v>
      </c>
      <c r="U143" s="144">
        <f>YEAR(R143)</f>
        <v>2016</v>
      </c>
      <c r="V143" s="298"/>
      <c r="Z143"/>
      <c r="AA143"/>
      <c r="AB143"/>
      <c r="AC143"/>
      <c r="AD143"/>
      <c r="AE143"/>
    </row>
    <row r="144" spans="1:31">
      <c r="A144" s="146">
        <v>42395</v>
      </c>
      <c r="B144" s="143" t="s">
        <v>3863</v>
      </c>
      <c r="C144" s="298" t="s">
        <v>3979</v>
      </c>
      <c r="D144" s="145"/>
      <c r="E144" s="298" t="s">
        <v>3980</v>
      </c>
      <c r="F144" s="298" t="s">
        <v>4053</v>
      </c>
      <c r="G144" s="298" t="s">
        <v>4054</v>
      </c>
      <c r="H144" s="171"/>
      <c r="I144" s="298" t="s">
        <v>123</v>
      </c>
      <c r="J144" s="59">
        <v>10</v>
      </c>
      <c r="K144" s="59" t="s">
        <v>3983</v>
      </c>
      <c r="L144" s="298" t="s">
        <v>3984</v>
      </c>
      <c r="M144" s="298" t="s">
        <v>3985</v>
      </c>
      <c r="N144" s="304" t="str">
        <f>IFERROR(INDEX(EquipmentTBL!$H:$H,MATCH(Table5[[#This Row],[Unit'#]],EquipmentTBL!$A:$A,0)),"NONE")</f>
        <v>2HSCUAPR88C657099</v>
      </c>
      <c r="O144" s="304" t="str">
        <f>IFERROR(INDEX(EquipmentTBL!$C:$C,MATCH(Table5[[#This Row],[Unit'#]],EquipmentTBL!$A:$A,0)),"NONE")</f>
        <v>International</v>
      </c>
      <c r="P144" s="304">
        <f>IFERROR(INDEX(EquipmentTBL!$B:$B,MATCH(Table5[[#This Row],[Unit'#]],EquipmentTBL!$A:$A,0)),"NONE")</f>
        <v>2008</v>
      </c>
      <c r="Q144" s="304" t="str">
        <f>IFERROR(INDEX(EquipmentTBL!$D:$D,MATCH(Table5[[#This Row],[Unit'#]],EquipmentTBL!$A:$A,0)),"NONE")</f>
        <v>Prostar Eagle</v>
      </c>
      <c r="R144" s="319">
        <f>(5-WEEKDAY(A144,2))+A144</f>
        <v>42398</v>
      </c>
      <c r="S144" s="309">
        <f>((5-WEEKDAY(A144,2))+A144)+7</f>
        <v>42405</v>
      </c>
      <c r="T144" s="304">
        <f>MONTH(A144)</f>
        <v>1</v>
      </c>
      <c r="U144" s="304">
        <f>YEAR(R144)</f>
        <v>2016</v>
      </c>
      <c r="V144" s="298"/>
      <c r="Z144"/>
      <c r="AA144"/>
      <c r="AB144"/>
      <c r="AC144"/>
      <c r="AD144"/>
      <c r="AE144"/>
    </row>
    <row r="145" spans="1:31">
      <c r="A145" s="146">
        <v>42401</v>
      </c>
      <c r="B145" s="143" t="s">
        <v>3978</v>
      </c>
      <c r="C145" s="298" t="s">
        <v>3979</v>
      </c>
      <c r="D145" s="145" t="s">
        <v>4187</v>
      </c>
      <c r="E145" s="298" t="s">
        <v>3980</v>
      </c>
      <c r="F145" s="298" t="s">
        <v>4188</v>
      </c>
      <c r="G145" s="298" t="s">
        <v>4189</v>
      </c>
      <c r="H145" s="171"/>
      <c r="I145" s="298" t="s">
        <v>123</v>
      </c>
      <c r="J145" s="59">
        <v>57.69</v>
      </c>
      <c r="K145" s="59" t="s">
        <v>3983</v>
      </c>
      <c r="L145" s="298" t="s">
        <v>3984</v>
      </c>
      <c r="M145" s="298" t="s">
        <v>3985</v>
      </c>
      <c r="N145" s="150" t="str">
        <f>IFERROR(INDEX(EquipmentTBL!$H:$H,MATCH(Table5[[#This Row],[Unit'#]],EquipmentTBL!$A:$A,0)),"NONE")</f>
        <v>NONE</v>
      </c>
      <c r="O145" s="150" t="str">
        <f>IFERROR(INDEX(EquipmentTBL!$C:$C,MATCH(Table5[[#This Row],[Unit'#]],EquipmentTBL!$A:$A,0)),"NONE")</f>
        <v>NONE</v>
      </c>
      <c r="P145" s="150" t="str">
        <f>IFERROR(INDEX(EquipmentTBL!$B:$B,MATCH(Table5[[#This Row],[Unit'#]],EquipmentTBL!$A:$A,0)),"NONE")</f>
        <v>NONE</v>
      </c>
      <c r="Q145" s="150" t="str">
        <f>IFERROR(INDEX(EquipmentTBL!$D:$D,MATCH(Table5[[#This Row],[Unit'#]],EquipmentTBL!$A:$A,0)),"NONE")</f>
        <v>NONE</v>
      </c>
      <c r="R145" s="143">
        <f>(5-WEEKDAY(A145,2))+A145</f>
        <v>42405</v>
      </c>
      <c r="S145" s="172">
        <f>((5-WEEKDAY(A145,2))+A145)+7</f>
        <v>42412</v>
      </c>
      <c r="T145" s="150">
        <f>MONTH(A145)</f>
        <v>2</v>
      </c>
      <c r="U145" s="150">
        <f>YEAR(R145)</f>
        <v>2016</v>
      </c>
      <c r="V145" s="298"/>
      <c r="Z145"/>
      <c r="AA145"/>
      <c r="AB145"/>
      <c r="AC145"/>
      <c r="AD145"/>
      <c r="AE145"/>
    </row>
    <row r="146" spans="1:31">
      <c r="A146" s="146">
        <v>42401</v>
      </c>
      <c r="B146" s="143" t="s">
        <v>3863</v>
      </c>
      <c r="C146" s="298" t="s">
        <v>3997</v>
      </c>
      <c r="D146" s="145" t="s">
        <v>4190</v>
      </c>
      <c r="E146" s="298" t="s">
        <v>3980</v>
      </c>
      <c r="F146" s="298" t="s">
        <v>4000</v>
      </c>
      <c r="G146" s="298" t="s">
        <v>3999</v>
      </c>
      <c r="H146" s="171"/>
      <c r="I146" s="298" t="s">
        <v>123</v>
      </c>
      <c r="J146" s="59">
        <v>125</v>
      </c>
      <c r="K146" s="59" t="s">
        <v>3983</v>
      </c>
      <c r="L146" s="298" t="s">
        <v>3984</v>
      </c>
      <c r="M146" s="298" t="s">
        <v>3985</v>
      </c>
      <c r="N146" s="144" t="str">
        <f>IFERROR(INDEX(EquipmentTBL!$H:$H,MATCH(Table5[[#This Row],[Unit'#]],EquipmentTBL!$A:$A,0)),"NONE")</f>
        <v>2HSCUAPR88C657099</v>
      </c>
      <c r="O146" s="144" t="str">
        <f>IFERROR(INDEX(EquipmentTBL!$C:$C,MATCH(Table5[[#This Row],[Unit'#]],EquipmentTBL!$A:$A,0)),"NONE")</f>
        <v>International</v>
      </c>
      <c r="P146" s="144">
        <f>IFERROR(INDEX(EquipmentTBL!$B:$B,MATCH(Table5[[#This Row],[Unit'#]],EquipmentTBL!$A:$A,0)),"NONE")</f>
        <v>2008</v>
      </c>
      <c r="Q146" s="144" t="str">
        <f>IFERROR(INDEX(EquipmentTBL!$D:$D,MATCH(Table5[[#This Row],[Unit'#]],EquipmentTBL!$A:$A,0)),"NONE")</f>
        <v>Prostar Eagle</v>
      </c>
      <c r="R146" s="146">
        <f>(5-WEEKDAY(A146,2))+A146</f>
        <v>42405</v>
      </c>
      <c r="S146" s="172">
        <f>((5-WEEKDAY(A146,2))+A146)+7</f>
        <v>42412</v>
      </c>
      <c r="T146" s="144">
        <f>MONTH(A146)</f>
        <v>2</v>
      </c>
      <c r="U146" s="144">
        <f>YEAR(R146)</f>
        <v>2016</v>
      </c>
      <c r="V146" s="298"/>
      <c r="Z146"/>
      <c r="AA146"/>
      <c r="AB146"/>
      <c r="AC146"/>
      <c r="AD146"/>
      <c r="AE146"/>
    </row>
    <row r="147" spans="1:31">
      <c r="A147" s="146">
        <v>42401</v>
      </c>
      <c r="B147" s="143" t="s">
        <v>3896</v>
      </c>
      <c r="C147" s="298" t="s">
        <v>3997</v>
      </c>
      <c r="D147" s="145"/>
      <c r="E147" s="298" t="s">
        <v>3980</v>
      </c>
      <c r="F147" s="298" t="s">
        <v>4000</v>
      </c>
      <c r="G147" s="298" t="s">
        <v>3999</v>
      </c>
      <c r="H147" s="171"/>
      <c r="I147" s="298" t="s">
        <v>123</v>
      </c>
      <c r="J147" s="59">
        <v>125</v>
      </c>
      <c r="K147" s="59" t="s">
        <v>3983</v>
      </c>
      <c r="L147" s="298" t="s">
        <v>3984</v>
      </c>
      <c r="M147" s="298" t="s">
        <v>3985</v>
      </c>
      <c r="N147" s="150" t="str">
        <f>IFERROR(INDEX(EquipmentTBL!$H:$H,MATCH(Table5[[#This Row],[Unit'#]],EquipmentTBL!$A:$A,0)),"NONE")</f>
        <v>2HSCUAPR79CO93785</v>
      </c>
      <c r="O147" s="150" t="str">
        <f>IFERROR(INDEX(EquipmentTBL!$C:$C,MATCH(Table5[[#This Row],[Unit'#]],EquipmentTBL!$A:$A,0)),"NONE")</f>
        <v>International</v>
      </c>
      <c r="P147" s="150">
        <f>IFERROR(INDEX(EquipmentTBL!$B:$B,MATCH(Table5[[#This Row],[Unit'#]],EquipmentTBL!$A:$A,0)),"NONE")</f>
        <v>2009</v>
      </c>
      <c r="Q147" s="150" t="str">
        <f>IFERROR(INDEX(EquipmentTBL!$D:$D,MATCH(Table5[[#This Row],[Unit'#]],EquipmentTBL!$A:$A,0)),"NONE")</f>
        <v>Prostar Eagle</v>
      </c>
      <c r="R147" s="143">
        <f>(5-WEEKDAY(A147,2))+A147</f>
        <v>42405</v>
      </c>
      <c r="S147" s="172">
        <f>((5-WEEKDAY(A147,2))+A147)+7</f>
        <v>42412</v>
      </c>
      <c r="T147" s="150">
        <f>MONTH(A147)</f>
        <v>2</v>
      </c>
      <c r="U147" s="150">
        <f>YEAR(R147)</f>
        <v>2016</v>
      </c>
      <c r="V147" s="298"/>
      <c r="Z147"/>
      <c r="AA147"/>
      <c r="AB147"/>
      <c r="AC147"/>
      <c r="AD147"/>
      <c r="AE147"/>
    </row>
    <row r="148" spans="1:31">
      <c r="A148" s="146">
        <v>42401</v>
      </c>
      <c r="B148" s="143" t="s">
        <v>3896</v>
      </c>
      <c r="C148" s="298" t="s">
        <v>4002</v>
      </c>
      <c r="D148" s="145" t="s">
        <v>4191</v>
      </c>
      <c r="E148" s="298" t="s">
        <v>4028</v>
      </c>
      <c r="F148" s="298" t="s">
        <v>4192</v>
      </c>
      <c r="G148" s="298" t="s">
        <v>3999</v>
      </c>
      <c r="H148" s="171"/>
      <c r="I148" s="298" t="s">
        <v>123</v>
      </c>
      <c r="J148" s="59">
        <v>62.5</v>
      </c>
      <c r="K148" s="59" t="s">
        <v>3983</v>
      </c>
      <c r="L148" s="298" t="s">
        <v>3897</v>
      </c>
      <c r="M148" s="298" t="s">
        <v>3985</v>
      </c>
      <c r="N148" s="144" t="str">
        <f>IFERROR(INDEX(EquipmentTBL!$H:$H,MATCH(Table5[[#This Row],[Unit'#]],EquipmentTBL!$A:$A,0)),"NONE")</f>
        <v>2HSCUAPR79CO93785</v>
      </c>
      <c r="O148" s="144" t="str">
        <f>IFERROR(INDEX(EquipmentTBL!$C:$C,MATCH(Table5[[#This Row],[Unit'#]],EquipmentTBL!$A:$A,0)),"NONE")</f>
        <v>International</v>
      </c>
      <c r="P148" s="144">
        <f>IFERROR(INDEX(EquipmentTBL!$B:$B,MATCH(Table5[[#This Row],[Unit'#]],EquipmentTBL!$A:$A,0)),"NONE")</f>
        <v>2009</v>
      </c>
      <c r="Q148" s="144" t="str">
        <f>IFERROR(INDEX(EquipmentTBL!$D:$D,MATCH(Table5[[#This Row],[Unit'#]],EquipmentTBL!$A:$A,0)),"NONE")</f>
        <v>Prostar Eagle</v>
      </c>
      <c r="R148" s="146">
        <f>(5-WEEKDAY(A148,2))+A148</f>
        <v>42405</v>
      </c>
      <c r="S148" s="104">
        <f>((5-WEEKDAY(A148,2))+A148)+7</f>
        <v>42412</v>
      </c>
      <c r="T148" s="144">
        <f>MONTH(A148)</f>
        <v>2</v>
      </c>
      <c r="U148" s="144">
        <f>YEAR(R148)</f>
        <v>2016</v>
      </c>
      <c r="V148" s="298"/>
      <c r="Z148"/>
      <c r="AA148"/>
      <c r="AB148"/>
      <c r="AC148"/>
      <c r="AD148"/>
      <c r="AE148"/>
    </row>
    <row r="149" spans="1:31">
      <c r="A149" s="146">
        <v>42404</v>
      </c>
      <c r="B149" s="143" t="s">
        <v>3896</v>
      </c>
      <c r="C149" s="298" t="s">
        <v>4002</v>
      </c>
      <c r="D149" s="145">
        <v>6941</v>
      </c>
      <c r="E149" s="298" t="s">
        <v>4013</v>
      </c>
      <c r="F149" s="298" t="s">
        <v>4193</v>
      </c>
      <c r="G149" s="298" t="s">
        <v>4019</v>
      </c>
      <c r="H149" s="171"/>
      <c r="I149" s="298" t="s">
        <v>123</v>
      </c>
      <c r="J149" s="59">
        <v>1292.5</v>
      </c>
      <c r="K149" s="59" t="s">
        <v>3983</v>
      </c>
      <c r="L149" s="298" t="s">
        <v>3984</v>
      </c>
      <c r="M149" s="298" t="s">
        <v>3985</v>
      </c>
      <c r="N149" s="144" t="str">
        <f>IFERROR(INDEX(EquipmentTBL!$H:$H,MATCH(Table5[[#This Row],[Unit'#]],EquipmentTBL!$A:$A,0)),"NONE")</f>
        <v>2HSCUAPR79CO93785</v>
      </c>
      <c r="O149" s="144" t="str">
        <f>IFERROR(INDEX(EquipmentTBL!$C:$C,MATCH(Table5[[#This Row],[Unit'#]],EquipmentTBL!$A:$A,0)),"NONE")</f>
        <v>International</v>
      </c>
      <c r="P149" s="144">
        <f>IFERROR(INDEX(EquipmentTBL!$B:$B,MATCH(Table5[[#This Row],[Unit'#]],EquipmentTBL!$A:$A,0)),"NONE")</f>
        <v>2009</v>
      </c>
      <c r="Q149" s="144" t="str">
        <f>IFERROR(INDEX(EquipmentTBL!$D:$D,MATCH(Table5[[#This Row],[Unit'#]],EquipmentTBL!$A:$A,0)),"NONE")</f>
        <v>Prostar Eagle</v>
      </c>
      <c r="R149" s="146">
        <f>(5-WEEKDAY(A149,2))+A149</f>
        <v>42405</v>
      </c>
      <c r="S149" s="104">
        <f>((5-WEEKDAY(A149,2))+A149)+7</f>
        <v>42412</v>
      </c>
      <c r="T149" s="144">
        <f>MONTH(A149)</f>
        <v>2</v>
      </c>
      <c r="U149" s="144">
        <f>YEAR(R149)</f>
        <v>2016</v>
      </c>
      <c r="V149" s="298"/>
      <c r="Z149"/>
      <c r="AA149"/>
      <c r="AB149"/>
      <c r="AC149"/>
      <c r="AD149"/>
      <c r="AE149"/>
    </row>
    <row r="150" spans="1:31">
      <c r="A150" s="146">
        <v>42404</v>
      </c>
      <c r="B150" s="143" t="s">
        <v>3896</v>
      </c>
      <c r="C150" s="298" t="s">
        <v>4002</v>
      </c>
      <c r="D150" s="145">
        <v>75059296</v>
      </c>
      <c r="E150" s="298" t="s">
        <v>4028</v>
      </c>
      <c r="F150" s="298" t="s">
        <v>4194</v>
      </c>
      <c r="G150" s="298" t="s">
        <v>4017</v>
      </c>
      <c r="H150" s="171"/>
      <c r="I150" s="298" t="s">
        <v>123</v>
      </c>
      <c r="J150" s="59">
        <v>298.97000000000003</v>
      </c>
      <c r="K150" s="59" t="s">
        <v>3983</v>
      </c>
      <c r="L150" s="298" t="s">
        <v>3839</v>
      </c>
      <c r="M150" s="298" t="s">
        <v>3985</v>
      </c>
      <c r="N150" s="144" t="str">
        <f>IFERROR(INDEX(EquipmentTBL!$H:$H,MATCH(Table5[[#This Row],[Unit'#]],EquipmentTBL!$A:$A,0)),"NONE")</f>
        <v>2HSCUAPR79CO93785</v>
      </c>
      <c r="O150" s="144" t="str">
        <f>IFERROR(INDEX(EquipmentTBL!$C:$C,MATCH(Table5[[#This Row],[Unit'#]],EquipmentTBL!$A:$A,0)),"NONE")</f>
        <v>International</v>
      </c>
      <c r="P150" s="144">
        <f>IFERROR(INDEX(EquipmentTBL!$B:$B,MATCH(Table5[[#This Row],[Unit'#]],EquipmentTBL!$A:$A,0)),"NONE")</f>
        <v>2009</v>
      </c>
      <c r="Q150" s="144" t="str">
        <f>IFERROR(INDEX(EquipmentTBL!$D:$D,MATCH(Table5[[#This Row],[Unit'#]],EquipmentTBL!$A:$A,0)),"NONE")</f>
        <v>Prostar Eagle</v>
      </c>
      <c r="R150" s="146">
        <f>(5-WEEKDAY(A150,2))+A150</f>
        <v>42405</v>
      </c>
      <c r="S150" s="104">
        <f>((5-WEEKDAY(A150,2))+A150)+7</f>
        <v>42412</v>
      </c>
      <c r="T150" s="144">
        <f>MONTH(A150)</f>
        <v>2</v>
      </c>
      <c r="U150" s="144">
        <f>YEAR(R150)</f>
        <v>2016</v>
      </c>
      <c r="V150" s="298"/>
      <c r="Z150"/>
      <c r="AA150"/>
      <c r="AB150"/>
      <c r="AC150"/>
      <c r="AD150"/>
      <c r="AE150"/>
    </row>
    <row r="151" spans="1:31">
      <c r="A151" s="146">
        <v>42408</v>
      </c>
      <c r="B151" s="143" t="s">
        <v>3978</v>
      </c>
      <c r="C151" s="298" t="s">
        <v>3979</v>
      </c>
      <c r="D151" s="145"/>
      <c r="E151" s="298" t="s">
        <v>3980</v>
      </c>
      <c r="F151" s="298" t="s">
        <v>4073</v>
      </c>
      <c r="G151" s="298" t="s">
        <v>4073</v>
      </c>
      <c r="H151" s="171"/>
      <c r="I151" s="298" t="s">
        <v>123</v>
      </c>
      <c r="J151" s="59">
        <v>25</v>
      </c>
      <c r="K151" s="59" t="s">
        <v>3983</v>
      </c>
      <c r="L151" s="298" t="s">
        <v>3984</v>
      </c>
      <c r="M151" s="298" t="s">
        <v>3989</v>
      </c>
      <c r="N151" s="150" t="str">
        <f>IFERROR(INDEX(EquipmentTBL!$H:$H,MATCH(Table5[[#This Row],[Unit'#]],EquipmentTBL!$A:$A,0)),"NONE")</f>
        <v>NONE</v>
      </c>
      <c r="O151" s="150" t="str">
        <f>IFERROR(INDEX(EquipmentTBL!$C:$C,MATCH(Table5[[#This Row],[Unit'#]],EquipmentTBL!$A:$A,0)),"NONE")</f>
        <v>NONE</v>
      </c>
      <c r="P151" s="150" t="str">
        <f>IFERROR(INDEX(EquipmentTBL!$B:$B,MATCH(Table5[[#This Row],[Unit'#]],EquipmentTBL!$A:$A,0)),"NONE")</f>
        <v>NONE</v>
      </c>
      <c r="Q151" s="150" t="str">
        <f>IFERROR(INDEX(EquipmentTBL!$D:$D,MATCH(Table5[[#This Row],[Unit'#]],EquipmentTBL!$A:$A,0)),"NONE")</f>
        <v>NONE</v>
      </c>
      <c r="R151" s="143">
        <f>(5-WEEKDAY(A151,2))+A151</f>
        <v>42412</v>
      </c>
      <c r="S151" s="172">
        <f>((5-WEEKDAY(A151,2))+A151)+7</f>
        <v>42419</v>
      </c>
      <c r="T151" s="171">
        <f>MONTH(A151)</f>
        <v>2</v>
      </c>
      <c r="U151" s="150">
        <f>YEAR(R151)</f>
        <v>2016</v>
      </c>
      <c r="V151" s="298"/>
      <c r="Z151"/>
      <c r="AA151"/>
      <c r="AB151"/>
      <c r="AC151"/>
      <c r="AD151"/>
      <c r="AE151"/>
    </row>
    <row r="152" spans="1:31">
      <c r="A152" s="146">
        <v>42409</v>
      </c>
      <c r="B152" s="143" t="s">
        <v>3978</v>
      </c>
      <c r="C152" s="298" t="s">
        <v>3979</v>
      </c>
      <c r="D152" s="145"/>
      <c r="E152" s="298" t="s">
        <v>3980</v>
      </c>
      <c r="F152" s="298" t="s">
        <v>4195</v>
      </c>
      <c r="G152" s="298" t="s">
        <v>4196</v>
      </c>
      <c r="H152" s="171"/>
      <c r="I152" s="298" t="s">
        <v>123</v>
      </c>
      <c r="J152" s="59">
        <v>745.6</v>
      </c>
      <c r="K152" s="59" t="s">
        <v>3983</v>
      </c>
      <c r="L152" s="298" t="s">
        <v>3984</v>
      </c>
      <c r="M152" s="298" t="s">
        <v>3985</v>
      </c>
      <c r="N152" s="150" t="str">
        <f>IFERROR(INDEX(EquipmentTBL!$H:$H,MATCH(Table5[[#This Row],[Unit'#]],EquipmentTBL!$A:$A,0)),"NONE")</f>
        <v>NONE</v>
      </c>
      <c r="O152" s="150" t="str">
        <f>IFERROR(INDEX(EquipmentTBL!$C:$C,MATCH(Table5[[#This Row],[Unit'#]],EquipmentTBL!$A:$A,0)),"NONE")</f>
        <v>NONE</v>
      </c>
      <c r="P152" s="150" t="str">
        <f>IFERROR(INDEX(EquipmentTBL!$B:$B,MATCH(Table5[[#This Row],[Unit'#]],EquipmentTBL!$A:$A,0)),"NONE")</f>
        <v>NONE</v>
      </c>
      <c r="Q152" s="150" t="str">
        <f>IFERROR(INDEX(EquipmentTBL!$D:$D,MATCH(Table5[[#This Row],[Unit'#]],EquipmentTBL!$A:$A,0)),"NONE")</f>
        <v>NONE</v>
      </c>
      <c r="R152" s="143">
        <f>(5-WEEKDAY(A152,2))+A152</f>
        <v>42412</v>
      </c>
      <c r="S152" s="172">
        <f>((5-WEEKDAY(A152,2))+A152)+7</f>
        <v>42419</v>
      </c>
      <c r="T152" s="150">
        <f>MONTH(A152)</f>
        <v>2</v>
      </c>
      <c r="U152" s="150">
        <f>YEAR(R152)</f>
        <v>2016</v>
      </c>
      <c r="V152" s="298"/>
      <c r="Z152"/>
      <c r="AA152"/>
      <c r="AB152"/>
      <c r="AC152"/>
      <c r="AD152"/>
      <c r="AE152"/>
    </row>
    <row r="153" spans="1:31">
      <c r="A153" s="146">
        <v>42410</v>
      </c>
      <c r="B153" s="143" t="s">
        <v>3978</v>
      </c>
      <c r="C153" s="298" t="s">
        <v>3979</v>
      </c>
      <c r="D153" s="145"/>
      <c r="E153" s="298" t="s">
        <v>3980</v>
      </c>
      <c r="F153" s="298" t="s">
        <v>4197</v>
      </c>
      <c r="G153" s="298" t="s">
        <v>4052</v>
      </c>
      <c r="H153" s="171"/>
      <c r="I153" s="298" t="s">
        <v>123</v>
      </c>
      <c r="J153" s="59">
        <v>15</v>
      </c>
      <c r="K153" s="59" t="s">
        <v>3983</v>
      </c>
      <c r="L153" s="298" t="s">
        <v>3984</v>
      </c>
      <c r="M153" s="298" t="s">
        <v>3985</v>
      </c>
      <c r="N153" s="150" t="str">
        <f>IFERROR(INDEX(EquipmentTBL!$H:$H,MATCH(Table5[[#This Row],[Unit'#]],EquipmentTBL!$A:$A,0)),"NONE")</f>
        <v>NONE</v>
      </c>
      <c r="O153" s="150" t="str">
        <f>IFERROR(INDEX(EquipmentTBL!$C:$C,MATCH(Table5[[#This Row],[Unit'#]],EquipmentTBL!$A:$A,0)),"NONE")</f>
        <v>NONE</v>
      </c>
      <c r="P153" s="150" t="str">
        <f>IFERROR(INDEX(EquipmentTBL!$B:$B,MATCH(Table5[[#This Row],[Unit'#]],EquipmentTBL!$A:$A,0)),"NONE")</f>
        <v>NONE</v>
      </c>
      <c r="Q153" s="150" t="str">
        <f>IFERROR(INDEX(EquipmentTBL!$D:$D,MATCH(Table5[[#This Row],[Unit'#]],EquipmentTBL!$A:$A,0)),"NONE")</f>
        <v>NONE</v>
      </c>
      <c r="R153" s="143">
        <f>(5-WEEKDAY(A153,2))+A153</f>
        <v>42412</v>
      </c>
      <c r="S153" s="172">
        <f>((5-WEEKDAY(A153,2))+A153)+7</f>
        <v>42419</v>
      </c>
      <c r="T153" s="150">
        <f>MONTH(A153)</f>
        <v>2</v>
      </c>
      <c r="U153" s="150">
        <f>YEAR(R153)</f>
        <v>2016</v>
      </c>
      <c r="V153" s="298"/>
      <c r="Z153"/>
      <c r="AA153"/>
      <c r="AB153"/>
      <c r="AC153"/>
      <c r="AD153"/>
      <c r="AE153"/>
    </row>
    <row r="154" spans="1:31">
      <c r="A154" s="146">
        <v>42413</v>
      </c>
      <c r="B154" s="143" t="s">
        <v>3863</v>
      </c>
      <c r="C154" s="298" t="s">
        <v>4002</v>
      </c>
      <c r="D154" s="145"/>
      <c r="E154" s="298" t="s">
        <v>4028</v>
      </c>
      <c r="F154" s="298" t="s">
        <v>4198</v>
      </c>
      <c r="G154" s="298" t="s">
        <v>3833</v>
      </c>
      <c r="H154" s="171"/>
      <c r="I154" s="298" t="s">
        <v>123</v>
      </c>
      <c r="J154" s="59">
        <v>280</v>
      </c>
      <c r="K154" s="59" t="s">
        <v>3983</v>
      </c>
      <c r="L154" s="298" t="s">
        <v>3984</v>
      </c>
      <c r="M154" s="298" t="s">
        <v>3985</v>
      </c>
      <c r="N154" s="150" t="str">
        <f>IFERROR(INDEX(EquipmentTBL!$H:$H,MATCH(Table5[[#This Row],[Unit'#]],EquipmentTBL!$A:$A,0)),"NONE")</f>
        <v>2HSCUAPR88C657099</v>
      </c>
      <c r="O154" s="150" t="str">
        <f>IFERROR(INDEX(EquipmentTBL!$C:$C,MATCH(Table5[[#This Row],[Unit'#]],EquipmentTBL!$A:$A,0)),"NONE")</f>
        <v>International</v>
      </c>
      <c r="P154" s="150">
        <f>IFERROR(INDEX(EquipmentTBL!$B:$B,MATCH(Table5[[#This Row],[Unit'#]],EquipmentTBL!$A:$A,0)),"NONE")</f>
        <v>2008</v>
      </c>
      <c r="Q154" s="150" t="str">
        <f>IFERROR(INDEX(EquipmentTBL!$D:$D,MATCH(Table5[[#This Row],[Unit'#]],EquipmentTBL!$A:$A,0)),"NONE")</f>
        <v>Prostar Eagle</v>
      </c>
      <c r="R154" s="143">
        <f>(5-WEEKDAY(A154,2))+A154</f>
        <v>42412</v>
      </c>
      <c r="S154" s="172">
        <f>((5-WEEKDAY(A154,2))+A154)+7</f>
        <v>42419</v>
      </c>
      <c r="T154" s="150">
        <f>MONTH(A154)</f>
        <v>2</v>
      </c>
      <c r="U154" s="150">
        <f>YEAR(R154)</f>
        <v>2016</v>
      </c>
      <c r="V154" s="298"/>
      <c r="Z154"/>
      <c r="AA154"/>
      <c r="AB154"/>
      <c r="AC154"/>
      <c r="AD154"/>
      <c r="AE154"/>
    </row>
    <row r="155" spans="1:31">
      <c r="A155" s="146">
        <v>42413</v>
      </c>
      <c r="B155" s="143" t="s">
        <v>3863</v>
      </c>
      <c r="C155" s="298" t="s">
        <v>4002</v>
      </c>
      <c r="D155" s="145">
        <v>8352633</v>
      </c>
      <c r="E155" s="298" t="s">
        <v>4028</v>
      </c>
      <c r="F155" s="298" t="s">
        <v>4199</v>
      </c>
      <c r="G155" s="298" t="s">
        <v>4100</v>
      </c>
      <c r="H155" s="15"/>
      <c r="I155" s="298" t="s">
        <v>123</v>
      </c>
      <c r="J155" s="59">
        <v>308.19</v>
      </c>
      <c r="K155" s="59" t="s">
        <v>3983</v>
      </c>
      <c r="L155" s="298" t="s">
        <v>3984</v>
      </c>
      <c r="M155" s="298" t="s">
        <v>3985</v>
      </c>
      <c r="N155" s="150" t="str">
        <f>IFERROR(INDEX(EquipmentTBL!$H:$H,MATCH(Table5[[#This Row],[Unit'#]],EquipmentTBL!$A:$A,0)),"NONE")</f>
        <v>2HSCUAPR88C657099</v>
      </c>
      <c r="O155" s="150" t="str">
        <f>IFERROR(INDEX(EquipmentTBL!$C:$C,MATCH(Table5[[#This Row],[Unit'#]],EquipmentTBL!$A:$A,0)),"NONE")</f>
        <v>International</v>
      </c>
      <c r="P155" s="150">
        <f>IFERROR(INDEX(EquipmentTBL!$B:$B,MATCH(Table5[[#This Row],[Unit'#]],EquipmentTBL!$A:$A,0)),"NONE")</f>
        <v>2008</v>
      </c>
      <c r="Q155" s="150" t="str">
        <f>IFERROR(INDEX(EquipmentTBL!$D:$D,MATCH(Table5[[#This Row],[Unit'#]],EquipmentTBL!$A:$A,0)),"NONE")</f>
        <v>Prostar Eagle</v>
      </c>
      <c r="R155" s="143">
        <f>(5-WEEKDAY(A155,2))+A155</f>
        <v>42412</v>
      </c>
      <c r="S155" s="172">
        <f>((5-WEEKDAY(A155,2))+A155)+7</f>
        <v>42419</v>
      </c>
      <c r="T155" s="150">
        <f>MONTH(A155)</f>
        <v>2</v>
      </c>
      <c r="U155" s="150">
        <f>YEAR(R155)</f>
        <v>2016</v>
      </c>
      <c r="V155" s="298"/>
      <c r="Z155"/>
      <c r="AA155"/>
      <c r="AB155"/>
      <c r="AC155"/>
      <c r="AD155"/>
      <c r="AE155"/>
    </row>
    <row r="156" spans="1:31">
      <c r="A156" s="146">
        <v>42414</v>
      </c>
      <c r="B156" s="143" t="s">
        <v>3978</v>
      </c>
      <c r="C156" s="298" t="s">
        <v>3979</v>
      </c>
      <c r="D156" s="145">
        <v>1889651</v>
      </c>
      <c r="E156" s="298" t="s">
        <v>3980</v>
      </c>
      <c r="F156" s="298" t="s">
        <v>4200</v>
      </c>
      <c r="G156" s="298" t="s">
        <v>4050</v>
      </c>
      <c r="H156" s="171"/>
      <c r="I156" s="298" t="s">
        <v>123</v>
      </c>
      <c r="J156" s="59">
        <v>34.950000000000003</v>
      </c>
      <c r="K156" s="59" t="s">
        <v>3983</v>
      </c>
      <c r="L156" s="298" t="s">
        <v>3984</v>
      </c>
      <c r="M156" s="298" t="s">
        <v>3985</v>
      </c>
      <c r="N156" s="150" t="str">
        <f>IFERROR(INDEX(EquipmentTBL!$H:$H,MATCH(Table5[[#This Row],[Unit'#]],EquipmentTBL!$A:$A,0)),"NONE")</f>
        <v>NONE</v>
      </c>
      <c r="O156" s="150" t="str">
        <f>IFERROR(INDEX(EquipmentTBL!$C:$C,MATCH(Table5[[#This Row],[Unit'#]],EquipmentTBL!$A:$A,0)),"NONE")</f>
        <v>NONE</v>
      </c>
      <c r="P156" s="150" t="str">
        <f>IFERROR(INDEX(EquipmentTBL!$B:$B,MATCH(Table5[[#This Row],[Unit'#]],EquipmentTBL!$A:$A,0)),"NONE")</f>
        <v>NONE</v>
      </c>
      <c r="Q156" s="150" t="str">
        <f>IFERROR(INDEX(EquipmentTBL!$D:$D,MATCH(Table5[[#This Row],[Unit'#]],EquipmentTBL!$A:$A,0)),"NONE")</f>
        <v>NONE</v>
      </c>
      <c r="R156" s="143">
        <f>(5-WEEKDAY(A156,2))+A156</f>
        <v>42412</v>
      </c>
      <c r="S156" s="172">
        <f>((5-WEEKDAY(A156,2))+A156)+7</f>
        <v>42419</v>
      </c>
      <c r="T156" s="150">
        <f>MONTH(A156)</f>
        <v>2</v>
      </c>
      <c r="U156" s="150">
        <f>YEAR(R156)</f>
        <v>2016</v>
      </c>
      <c r="V156" s="298"/>
      <c r="Z156"/>
      <c r="AA156"/>
      <c r="AB156"/>
      <c r="AC156"/>
      <c r="AD156"/>
      <c r="AE156"/>
    </row>
    <row r="157" spans="1:31">
      <c r="A157" s="146">
        <v>42415</v>
      </c>
      <c r="B157" s="143" t="s">
        <v>3896</v>
      </c>
      <c r="C157" s="298" t="s">
        <v>3997</v>
      </c>
      <c r="D157" s="145"/>
      <c r="E157" s="298" t="s">
        <v>3980</v>
      </c>
      <c r="F157" s="298" t="s">
        <v>4000</v>
      </c>
      <c r="G157" s="298" t="s">
        <v>3999</v>
      </c>
      <c r="H157" s="171"/>
      <c r="I157" s="298" t="s">
        <v>123</v>
      </c>
      <c r="J157" s="59">
        <v>190</v>
      </c>
      <c r="K157" s="59" t="s">
        <v>3983</v>
      </c>
      <c r="L157" s="298" t="s">
        <v>3984</v>
      </c>
      <c r="M157" s="298" t="s">
        <v>3985</v>
      </c>
      <c r="N157" s="150" t="str">
        <f>IFERROR(INDEX(EquipmentTBL!$H:$H,MATCH(Table5[[#This Row],[Unit'#]],EquipmentTBL!$A:$A,0)),"NONE")</f>
        <v>2HSCUAPR79CO93785</v>
      </c>
      <c r="O157" s="150" t="str">
        <f>IFERROR(INDEX(EquipmentTBL!$C:$C,MATCH(Table5[[#This Row],[Unit'#]],EquipmentTBL!$A:$A,0)),"NONE")</f>
        <v>International</v>
      </c>
      <c r="P157" s="150">
        <f>IFERROR(INDEX(EquipmentTBL!$B:$B,MATCH(Table5[[#This Row],[Unit'#]],EquipmentTBL!$A:$A,0)),"NONE")</f>
        <v>2009</v>
      </c>
      <c r="Q157" s="150" t="str">
        <f>IFERROR(INDEX(EquipmentTBL!$D:$D,MATCH(Table5[[#This Row],[Unit'#]],EquipmentTBL!$A:$A,0)),"NONE")</f>
        <v>Prostar Eagle</v>
      </c>
      <c r="R157" s="143">
        <f>(5-WEEKDAY(A157,2))+A157</f>
        <v>42419</v>
      </c>
      <c r="S157" s="172">
        <f>((5-WEEKDAY(A157,2))+A157)+7</f>
        <v>42426</v>
      </c>
      <c r="T157" s="150">
        <f>MONTH(A157)</f>
        <v>2</v>
      </c>
      <c r="U157" s="150">
        <f>YEAR(R157)</f>
        <v>2016</v>
      </c>
      <c r="V157" s="298"/>
      <c r="Z157"/>
      <c r="AA157"/>
      <c r="AB157"/>
      <c r="AC157"/>
      <c r="AD157"/>
      <c r="AE157"/>
    </row>
    <row r="158" spans="1:31">
      <c r="A158" s="146">
        <v>42415</v>
      </c>
      <c r="B158" s="143" t="s">
        <v>4001</v>
      </c>
      <c r="C158" s="298" t="s">
        <v>4002</v>
      </c>
      <c r="D158" s="145"/>
      <c r="E158" s="298" t="s">
        <v>4028</v>
      </c>
      <c r="F158" s="298" t="s">
        <v>4201</v>
      </c>
      <c r="G158" s="298" t="s">
        <v>4202</v>
      </c>
      <c r="H158" s="171"/>
      <c r="I158" s="298" t="s">
        <v>123</v>
      </c>
      <c r="J158" s="59">
        <v>60</v>
      </c>
      <c r="K158" s="59" t="s">
        <v>3983</v>
      </c>
      <c r="L158" s="298" t="s">
        <v>3839</v>
      </c>
      <c r="M158" s="298" t="s">
        <v>3985</v>
      </c>
      <c r="N158" s="150" t="str">
        <f>IFERROR(INDEX(EquipmentTBL!$H:$H,MATCH(Table5[[#This Row],[Unit'#]],EquipmentTBL!$A:$A,0)),"NONE")</f>
        <v>1JJV532V3BL370658</v>
      </c>
      <c r="O158" s="150" t="str">
        <f>IFERROR(INDEX(EquipmentTBL!$C:$C,MATCH(Table5[[#This Row],[Unit'#]],EquipmentTBL!$A:$A,0)),"NONE")</f>
        <v>Wabash</v>
      </c>
      <c r="P158" s="150">
        <f>IFERROR(INDEX(EquipmentTBL!$B:$B,MATCH(Table5[[#This Row],[Unit'#]],EquipmentTBL!$A:$A,0)),"NONE")</f>
        <v>2011</v>
      </c>
      <c r="Q158" s="150" t="str">
        <f>IFERROR(INDEX(EquipmentTBL!$D:$D,MATCH(Table5[[#This Row],[Unit'#]],EquipmentTBL!$A:$A,0)),"NONE")</f>
        <v>DryVan</v>
      </c>
      <c r="R158" s="143">
        <f>(5-WEEKDAY(A158,2))+A158</f>
        <v>42419</v>
      </c>
      <c r="S158" s="172">
        <f>((5-WEEKDAY(A158,2))+A158)+7</f>
        <v>42426</v>
      </c>
      <c r="T158" s="150">
        <f>MONTH(A158)</f>
        <v>2</v>
      </c>
      <c r="U158" s="150">
        <f>YEAR(R158)</f>
        <v>2016</v>
      </c>
      <c r="V158" s="298"/>
      <c r="Z158"/>
      <c r="AA158"/>
      <c r="AB158"/>
      <c r="AC158"/>
      <c r="AD158"/>
      <c r="AE158"/>
    </row>
    <row r="159" spans="1:31">
      <c r="A159" s="274">
        <v>42416</v>
      </c>
      <c r="B159" s="143" t="s">
        <v>3978</v>
      </c>
      <c r="C159" s="298" t="s">
        <v>3979</v>
      </c>
      <c r="D159" s="145"/>
      <c r="E159" s="298" t="s">
        <v>3980</v>
      </c>
      <c r="F159" s="298" t="s">
        <v>4203</v>
      </c>
      <c r="G159" s="298" t="s">
        <v>4042</v>
      </c>
      <c r="H159" s="171"/>
      <c r="I159" s="298" t="s">
        <v>123</v>
      </c>
      <c r="J159" s="59">
        <v>11</v>
      </c>
      <c r="K159" s="59" t="s">
        <v>3983</v>
      </c>
      <c r="L159" s="298" t="s">
        <v>3984</v>
      </c>
      <c r="M159" s="298" t="s">
        <v>3985</v>
      </c>
      <c r="N159" s="150" t="str">
        <f>IFERROR(INDEX(EquipmentTBL!$H:$H,MATCH(Table5[[#This Row],[Unit'#]],EquipmentTBL!$A:$A,0)),"NONE")</f>
        <v>NONE</v>
      </c>
      <c r="O159" s="150" t="str">
        <f>IFERROR(INDEX(EquipmentTBL!$C:$C,MATCH(Table5[[#This Row],[Unit'#]],EquipmentTBL!$A:$A,0)),"NONE")</f>
        <v>NONE</v>
      </c>
      <c r="P159" s="150" t="str">
        <f>IFERROR(INDEX(EquipmentTBL!$B:$B,MATCH(Table5[[#This Row],[Unit'#]],EquipmentTBL!$A:$A,0)),"NONE")</f>
        <v>NONE</v>
      </c>
      <c r="Q159" s="150" t="str">
        <f>IFERROR(INDEX(EquipmentTBL!$D:$D,MATCH(Table5[[#This Row],[Unit'#]],EquipmentTBL!$A:$A,0)),"NONE")</f>
        <v>NONE</v>
      </c>
      <c r="R159" s="143">
        <f>(5-WEEKDAY(A159,2))+A159</f>
        <v>42419</v>
      </c>
      <c r="S159" s="172">
        <f>((5-WEEKDAY(A159,2))+A159)+7</f>
        <v>42426</v>
      </c>
      <c r="T159" s="150">
        <f>MONTH(A159)</f>
        <v>2</v>
      </c>
      <c r="U159" s="150">
        <f>YEAR(R159)</f>
        <v>2016</v>
      </c>
      <c r="V159" s="298"/>
      <c r="Z159"/>
      <c r="AA159"/>
      <c r="AB159"/>
      <c r="AC159"/>
      <c r="AD159"/>
      <c r="AE159"/>
    </row>
    <row r="160" spans="1:31">
      <c r="A160" s="146">
        <v>42416</v>
      </c>
      <c r="B160" s="143" t="s">
        <v>3978</v>
      </c>
      <c r="C160" s="298" t="s">
        <v>3979</v>
      </c>
      <c r="D160" s="145">
        <v>1776</v>
      </c>
      <c r="E160" s="298" t="s">
        <v>3980</v>
      </c>
      <c r="F160" s="298" t="s">
        <v>4204</v>
      </c>
      <c r="G160" s="298" t="s">
        <v>4057</v>
      </c>
      <c r="H160" s="171"/>
      <c r="I160" s="298" t="s">
        <v>123</v>
      </c>
      <c r="J160" s="59">
        <v>150</v>
      </c>
      <c r="K160" s="59" t="s">
        <v>3983</v>
      </c>
      <c r="L160" s="298" t="s">
        <v>3984</v>
      </c>
      <c r="M160" s="298" t="s">
        <v>3985</v>
      </c>
      <c r="N160" s="150" t="str">
        <f>IFERROR(INDEX(EquipmentTBL!$H:$H,MATCH(Table5[[#This Row],[Unit'#]],EquipmentTBL!$A:$A,0)),"NONE")</f>
        <v>NONE</v>
      </c>
      <c r="O160" s="150" t="str">
        <f>IFERROR(INDEX(EquipmentTBL!$C:$C,MATCH(Table5[[#This Row],[Unit'#]],EquipmentTBL!$A:$A,0)),"NONE")</f>
        <v>NONE</v>
      </c>
      <c r="P160" s="150" t="str">
        <f>IFERROR(INDEX(EquipmentTBL!$B:$B,MATCH(Table5[[#This Row],[Unit'#]],EquipmentTBL!$A:$A,0)),"NONE")</f>
        <v>NONE</v>
      </c>
      <c r="Q160" s="150" t="str">
        <f>IFERROR(INDEX(EquipmentTBL!$D:$D,MATCH(Table5[[#This Row],[Unit'#]],EquipmentTBL!$A:$A,0)),"NONE")</f>
        <v>NONE</v>
      </c>
      <c r="R160" s="143">
        <f>(5-WEEKDAY(A160,2))+A160</f>
        <v>42419</v>
      </c>
      <c r="S160" s="172">
        <f>((5-WEEKDAY(A160,2))+A160)+7</f>
        <v>42426</v>
      </c>
      <c r="T160" s="150">
        <f>MONTH(A160)</f>
        <v>2</v>
      </c>
      <c r="U160" s="150">
        <f>YEAR(R160)</f>
        <v>2016</v>
      </c>
      <c r="V160" s="298"/>
      <c r="Z160"/>
      <c r="AA160"/>
      <c r="AB160"/>
      <c r="AC160"/>
      <c r="AD160"/>
      <c r="AE160"/>
    </row>
    <row r="161" spans="1:31">
      <c r="A161" s="146">
        <v>42416</v>
      </c>
      <c r="B161" s="143" t="s">
        <v>3978</v>
      </c>
      <c r="C161" s="298" t="s">
        <v>3979</v>
      </c>
      <c r="D161" s="145">
        <v>1776</v>
      </c>
      <c r="E161" s="298" t="s">
        <v>3980</v>
      </c>
      <c r="F161" s="298" t="s">
        <v>4204</v>
      </c>
      <c r="G161" s="298" t="s">
        <v>4057</v>
      </c>
      <c r="H161" s="15"/>
      <c r="I161" s="298" t="s">
        <v>123</v>
      </c>
      <c r="J161" s="59">
        <v>50</v>
      </c>
      <c r="K161" s="59" t="s">
        <v>3983</v>
      </c>
      <c r="L161" s="298" t="s">
        <v>3984</v>
      </c>
      <c r="M161" s="298" t="s">
        <v>3985</v>
      </c>
      <c r="N161" s="150" t="str">
        <f>IFERROR(INDEX(EquipmentTBL!$H:$H,MATCH(Table5[[#This Row],[Unit'#]],EquipmentTBL!$A:$A,0)),"NONE")</f>
        <v>NONE</v>
      </c>
      <c r="O161" s="150" t="str">
        <f>IFERROR(INDEX(EquipmentTBL!$C:$C,MATCH(Table5[[#This Row],[Unit'#]],EquipmentTBL!$A:$A,0)),"NONE")</f>
        <v>NONE</v>
      </c>
      <c r="P161" s="150" t="str">
        <f>IFERROR(INDEX(EquipmentTBL!$B:$B,MATCH(Table5[[#This Row],[Unit'#]],EquipmentTBL!$A:$A,0)),"NONE")</f>
        <v>NONE</v>
      </c>
      <c r="Q161" s="150" t="str">
        <f>IFERROR(INDEX(EquipmentTBL!$D:$D,MATCH(Table5[[#This Row],[Unit'#]],EquipmentTBL!$A:$A,0)),"NONE")</f>
        <v>NONE</v>
      </c>
      <c r="R161" s="143">
        <f>(5-WEEKDAY(A161,2))+A161</f>
        <v>42419</v>
      </c>
      <c r="S161" s="172">
        <f>((5-WEEKDAY(A161,2))+A161)+7</f>
        <v>42426</v>
      </c>
      <c r="T161" s="150">
        <f>MONTH(A161)</f>
        <v>2</v>
      </c>
      <c r="U161" s="150">
        <f>YEAR(R161)</f>
        <v>2016</v>
      </c>
      <c r="V161" s="298"/>
      <c r="Z161"/>
      <c r="AA161"/>
      <c r="AB161"/>
      <c r="AC161"/>
      <c r="AD161"/>
      <c r="AE161"/>
    </row>
    <row r="162" spans="1:31">
      <c r="A162" s="146">
        <v>42416</v>
      </c>
      <c r="B162" s="143" t="s">
        <v>3978</v>
      </c>
      <c r="C162" s="298" t="s">
        <v>3979</v>
      </c>
      <c r="D162" s="145">
        <v>1776</v>
      </c>
      <c r="E162" s="298" t="s">
        <v>3980</v>
      </c>
      <c r="F162" s="298" t="s">
        <v>4204</v>
      </c>
      <c r="G162" s="298" t="s">
        <v>4057</v>
      </c>
      <c r="H162" s="15"/>
      <c r="I162" s="298" t="s">
        <v>123</v>
      </c>
      <c r="J162" s="59">
        <v>40</v>
      </c>
      <c r="K162" s="59" t="s">
        <v>3983</v>
      </c>
      <c r="L162" s="298" t="s">
        <v>3984</v>
      </c>
      <c r="M162" s="298" t="s">
        <v>3985</v>
      </c>
      <c r="N162" s="150" t="str">
        <f>IFERROR(INDEX(EquipmentTBL!$H:$H,MATCH(Table5[[#This Row],[Unit'#]],EquipmentTBL!$A:$A,0)),"NONE")</f>
        <v>NONE</v>
      </c>
      <c r="O162" s="150" t="str">
        <f>IFERROR(INDEX(EquipmentTBL!$C:$C,MATCH(Table5[[#This Row],[Unit'#]],EquipmentTBL!$A:$A,0)),"NONE")</f>
        <v>NONE</v>
      </c>
      <c r="P162" s="150" t="str">
        <f>IFERROR(INDEX(EquipmentTBL!$B:$B,MATCH(Table5[[#This Row],[Unit'#]],EquipmentTBL!$A:$A,0)),"NONE")</f>
        <v>NONE</v>
      </c>
      <c r="Q162" s="150" t="str">
        <f>IFERROR(INDEX(EquipmentTBL!$D:$D,MATCH(Table5[[#This Row],[Unit'#]],EquipmentTBL!$A:$A,0)),"NONE")</f>
        <v>NONE</v>
      </c>
      <c r="R162" s="143">
        <f>(5-WEEKDAY(A162,2))+A162</f>
        <v>42419</v>
      </c>
      <c r="S162" s="172">
        <f>((5-WEEKDAY(A162,2))+A162)+7</f>
        <v>42426</v>
      </c>
      <c r="T162" s="150">
        <f>MONTH(A162)</f>
        <v>2</v>
      </c>
      <c r="U162" s="150">
        <f>YEAR(R162)</f>
        <v>2016</v>
      </c>
      <c r="V162" s="298"/>
      <c r="Z162"/>
      <c r="AA162"/>
      <c r="AB162"/>
      <c r="AC162"/>
      <c r="AD162"/>
      <c r="AE162"/>
    </row>
    <row r="163" spans="1:31">
      <c r="A163" s="146">
        <v>42416</v>
      </c>
      <c r="B163" s="143" t="s">
        <v>3978</v>
      </c>
      <c r="C163" s="298" t="s">
        <v>3979</v>
      </c>
      <c r="D163" s="145"/>
      <c r="E163" s="298" t="s">
        <v>3980</v>
      </c>
      <c r="F163" s="298" t="s">
        <v>4204</v>
      </c>
      <c r="G163" s="298" t="s">
        <v>4057</v>
      </c>
      <c r="H163" s="15"/>
      <c r="I163" s="298" t="s">
        <v>123</v>
      </c>
      <c r="J163" s="59">
        <v>55</v>
      </c>
      <c r="K163" s="59" t="s">
        <v>3983</v>
      </c>
      <c r="L163" s="298" t="s">
        <v>3984</v>
      </c>
      <c r="M163" s="298" t="s">
        <v>3985</v>
      </c>
      <c r="N163" s="150" t="str">
        <f>IFERROR(INDEX(EquipmentTBL!$H:$H,MATCH(Table5[[#This Row],[Unit'#]],EquipmentTBL!$A:$A,0)),"NONE")</f>
        <v>NONE</v>
      </c>
      <c r="O163" s="150" t="str">
        <f>IFERROR(INDEX(EquipmentTBL!$C:$C,MATCH(Table5[[#This Row],[Unit'#]],EquipmentTBL!$A:$A,0)),"NONE")</f>
        <v>NONE</v>
      </c>
      <c r="P163" s="150" t="str">
        <f>IFERROR(INDEX(EquipmentTBL!$B:$B,MATCH(Table5[[#This Row],[Unit'#]],EquipmentTBL!$A:$A,0)),"NONE")</f>
        <v>NONE</v>
      </c>
      <c r="Q163" s="150" t="str">
        <f>IFERROR(INDEX(EquipmentTBL!$D:$D,MATCH(Table5[[#This Row],[Unit'#]],EquipmentTBL!$A:$A,0)),"NONE")</f>
        <v>NONE</v>
      </c>
      <c r="R163" s="143">
        <f>(5-WEEKDAY(A163,2))+A163</f>
        <v>42419</v>
      </c>
      <c r="S163" s="172">
        <f>((5-WEEKDAY(A163,2))+A163)+7</f>
        <v>42426</v>
      </c>
      <c r="T163" s="150">
        <f>MONTH(A163)</f>
        <v>2</v>
      </c>
      <c r="U163" s="150">
        <f>YEAR(R163)</f>
        <v>2016</v>
      </c>
      <c r="V163" s="298"/>
      <c r="Z163"/>
      <c r="AA163"/>
      <c r="AB163"/>
      <c r="AC163"/>
      <c r="AD163"/>
      <c r="AE163"/>
    </row>
    <row r="164" spans="1:31">
      <c r="A164" s="146">
        <v>42418</v>
      </c>
      <c r="B164" s="143" t="s">
        <v>3896</v>
      </c>
      <c r="C164" s="298" t="s">
        <v>4002</v>
      </c>
      <c r="D164" s="145">
        <v>56159432</v>
      </c>
      <c r="E164" s="298" t="s">
        <v>3980</v>
      </c>
      <c r="F164" s="298" t="s">
        <v>4205</v>
      </c>
      <c r="G164" s="298" t="s">
        <v>4206</v>
      </c>
      <c r="H164" s="15"/>
      <c r="I164" s="298" t="s">
        <v>123</v>
      </c>
      <c r="J164" s="59">
        <v>23.98</v>
      </c>
      <c r="K164" s="59" t="s">
        <v>3983</v>
      </c>
      <c r="L164" s="298" t="s">
        <v>3920</v>
      </c>
      <c r="M164" s="298" t="s">
        <v>3985</v>
      </c>
      <c r="N164" s="150" t="str">
        <f>IFERROR(INDEX(EquipmentTBL!$H:$H,MATCH(Table5[[#This Row],[Unit'#]],EquipmentTBL!$A:$A,0)),"NONE")</f>
        <v>2HSCUAPR79CO93785</v>
      </c>
      <c r="O164" s="150" t="str">
        <f>IFERROR(INDEX(EquipmentTBL!$C:$C,MATCH(Table5[[#This Row],[Unit'#]],EquipmentTBL!$A:$A,0)),"NONE")</f>
        <v>International</v>
      </c>
      <c r="P164" s="150">
        <f>IFERROR(INDEX(EquipmentTBL!$B:$B,MATCH(Table5[[#This Row],[Unit'#]],EquipmentTBL!$A:$A,0)),"NONE")</f>
        <v>2009</v>
      </c>
      <c r="Q164" s="150" t="str">
        <f>IFERROR(INDEX(EquipmentTBL!$D:$D,MATCH(Table5[[#This Row],[Unit'#]],EquipmentTBL!$A:$A,0)),"NONE")</f>
        <v>Prostar Eagle</v>
      </c>
      <c r="R164" s="143">
        <f>(5-WEEKDAY(A164,2))+A164</f>
        <v>42419</v>
      </c>
      <c r="S164" s="172">
        <f>((5-WEEKDAY(A164,2))+A164)+7</f>
        <v>42426</v>
      </c>
      <c r="T164" s="150">
        <f>MONTH(A164)</f>
        <v>2</v>
      </c>
      <c r="U164" s="150">
        <f>YEAR(R164)</f>
        <v>2016</v>
      </c>
      <c r="V164" s="298"/>
      <c r="Z164"/>
      <c r="AA164"/>
      <c r="AB164"/>
      <c r="AC164"/>
      <c r="AD164"/>
      <c r="AE164"/>
    </row>
    <row r="165" spans="1:31">
      <c r="A165" s="319">
        <v>42419</v>
      </c>
      <c r="B165" s="143" t="s">
        <v>3978</v>
      </c>
      <c r="C165" s="298" t="s">
        <v>3990</v>
      </c>
      <c r="D165" s="321"/>
      <c r="E165" s="320" t="s">
        <v>3980</v>
      </c>
      <c r="F165" s="298" t="s">
        <v>4207</v>
      </c>
      <c r="G165" s="320" t="s">
        <v>4208</v>
      </c>
      <c r="H165" s="15"/>
      <c r="I165" s="298" t="s">
        <v>123</v>
      </c>
      <c r="J165" s="322">
        <v>20.69</v>
      </c>
      <c r="K165" s="59" t="s">
        <v>3983</v>
      </c>
      <c r="L165" s="320" t="s">
        <v>3984</v>
      </c>
      <c r="M165" s="320" t="s">
        <v>3985</v>
      </c>
      <c r="N165" s="324" t="str">
        <f>IFERROR(INDEX(EquipmentTBL!$H:$H,MATCH(Table5[[#This Row],[Unit'#]],EquipmentTBL!$A:$A,0)),"NONE")</f>
        <v>NONE</v>
      </c>
      <c r="O165" s="324" t="str">
        <f>IFERROR(INDEX(EquipmentTBL!$C:$C,MATCH(Table5[[#This Row],[Unit'#]],EquipmentTBL!$A:$A,0)),"NONE")</f>
        <v>NONE</v>
      </c>
      <c r="P165" s="324" t="str">
        <f>IFERROR(INDEX(EquipmentTBL!$B:$B,MATCH(Table5[[#This Row],[Unit'#]],EquipmentTBL!$A:$A,0)),"NONE")</f>
        <v>NONE</v>
      </c>
      <c r="Q165" s="324" t="str">
        <f>IFERROR(INDEX(EquipmentTBL!$D:$D,MATCH(Table5[[#This Row],[Unit'#]],EquipmentTBL!$A:$A,0)),"NONE")</f>
        <v>NONE</v>
      </c>
      <c r="R165" s="323">
        <f>(5-WEEKDAY(A165,2))+A165</f>
        <v>42419</v>
      </c>
      <c r="S165" s="309">
        <f>((5-WEEKDAY(A165,2))+A165)+7</f>
        <v>42426</v>
      </c>
      <c r="T165" s="324">
        <f>MONTH(A165)</f>
        <v>2</v>
      </c>
      <c r="U165" s="324">
        <f>YEAR(R165)</f>
        <v>2016</v>
      </c>
      <c r="V165" s="298"/>
      <c r="Z165"/>
      <c r="AA165"/>
      <c r="AB165"/>
      <c r="AC165"/>
      <c r="AD165"/>
      <c r="AE165"/>
    </row>
    <row r="166" spans="1:31">
      <c r="A166" s="146">
        <v>42419</v>
      </c>
      <c r="B166" s="143" t="s">
        <v>3896</v>
      </c>
      <c r="C166" s="298" t="s">
        <v>3979</v>
      </c>
      <c r="D166" s="145">
        <v>81676467</v>
      </c>
      <c r="E166" s="298" t="s">
        <v>3980</v>
      </c>
      <c r="F166" s="298" t="s">
        <v>4023</v>
      </c>
      <c r="G166" s="298" t="s">
        <v>4209</v>
      </c>
      <c r="H166" s="15"/>
      <c r="I166" s="298">
        <v>1</v>
      </c>
      <c r="J166" s="59">
        <v>2</v>
      </c>
      <c r="K166" s="59" t="s">
        <v>3983</v>
      </c>
      <c r="L166" s="298" t="s">
        <v>3920</v>
      </c>
      <c r="M166" s="298" t="s">
        <v>3985</v>
      </c>
      <c r="N166" s="150" t="str">
        <f>IFERROR(INDEX(EquipmentTBL!$H:$H,MATCH(Table5[[#This Row],[Unit'#]],EquipmentTBL!$A:$A,0)),"NONE")</f>
        <v>2HSCUAPR79CO93785</v>
      </c>
      <c r="O166" s="150" t="str">
        <f>IFERROR(INDEX(EquipmentTBL!$C:$C,MATCH(Table5[[#This Row],[Unit'#]],EquipmentTBL!$A:$A,0)),"NONE")</f>
        <v>International</v>
      </c>
      <c r="P166" s="150">
        <f>IFERROR(INDEX(EquipmentTBL!$B:$B,MATCH(Table5[[#This Row],[Unit'#]],EquipmentTBL!$A:$A,0)),"NONE")</f>
        <v>2009</v>
      </c>
      <c r="Q166" s="150" t="str">
        <f>IFERROR(INDEX(EquipmentTBL!$D:$D,MATCH(Table5[[#This Row],[Unit'#]],EquipmentTBL!$A:$A,0)),"NONE")</f>
        <v>Prostar Eagle</v>
      </c>
      <c r="R166" s="143">
        <f>(5-WEEKDAY(A166,2))+A166</f>
        <v>42419</v>
      </c>
      <c r="S166" s="172">
        <f>((5-WEEKDAY(A166,2))+A166)+7</f>
        <v>42426</v>
      </c>
      <c r="T166" s="150">
        <f>MONTH(A166)</f>
        <v>2</v>
      </c>
      <c r="U166" s="150">
        <f>YEAR(R166)</f>
        <v>2016</v>
      </c>
      <c r="V166" s="298"/>
      <c r="Z166"/>
      <c r="AA166"/>
      <c r="AB166"/>
      <c r="AC166"/>
      <c r="AD166"/>
      <c r="AE166"/>
    </row>
    <row r="167" spans="1:31">
      <c r="A167" s="146">
        <v>42419</v>
      </c>
      <c r="B167" s="143" t="s">
        <v>3896</v>
      </c>
      <c r="C167" s="298" t="s">
        <v>3979</v>
      </c>
      <c r="D167" s="145">
        <v>81676465</v>
      </c>
      <c r="E167" s="298" t="s">
        <v>3980</v>
      </c>
      <c r="F167" s="298" t="s">
        <v>4023</v>
      </c>
      <c r="G167" s="298" t="s">
        <v>4209</v>
      </c>
      <c r="H167" s="15"/>
      <c r="I167" s="298">
        <v>1</v>
      </c>
      <c r="J167" s="59">
        <v>10.5</v>
      </c>
      <c r="K167" s="59" t="s">
        <v>3983</v>
      </c>
      <c r="L167" s="298" t="s">
        <v>3920</v>
      </c>
      <c r="M167" s="298" t="s">
        <v>3985</v>
      </c>
      <c r="N167" s="150" t="str">
        <f>IFERROR(INDEX(EquipmentTBL!$H:$H,MATCH(Table5[[#This Row],[Unit'#]],EquipmentTBL!$A:$A,0)),"NONE")</f>
        <v>2HSCUAPR79CO93785</v>
      </c>
      <c r="O167" s="150" t="str">
        <f>IFERROR(INDEX(EquipmentTBL!$C:$C,MATCH(Table5[[#This Row],[Unit'#]],EquipmentTBL!$A:$A,0)),"NONE")</f>
        <v>International</v>
      </c>
      <c r="P167" s="150">
        <f>IFERROR(INDEX(EquipmentTBL!$B:$B,MATCH(Table5[[#This Row],[Unit'#]],EquipmentTBL!$A:$A,0)),"NONE")</f>
        <v>2009</v>
      </c>
      <c r="Q167" s="150" t="str">
        <f>IFERROR(INDEX(EquipmentTBL!$D:$D,MATCH(Table5[[#This Row],[Unit'#]],EquipmentTBL!$A:$A,0)),"NONE")</f>
        <v>Prostar Eagle</v>
      </c>
      <c r="R167" s="143">
        <f>(5-WEEKDAY(A167,2))+A167</f>
        <v>42419</v>
      </c>
      <c r="S167" s="172">
        <f>((5-WEEKDAY(A167,2))+A167)+7</f>
        <v>42426</v>
      </c>
      <c r="T167" s="150">
        <f>MONTH(A167)</f>
        <v>2</v>
      </c>
      <c r="U167" s="150">
        <f>YEAR(R167)</f>
        <v>2016</v>
      </c>
      <c r="V167" s="298"/>
      <c r="Z167"/>
      <c r="AA167"/>
      <c r="AB167"/>
      <c r="AC167"/>
      <c r="AD167"/>
      <c r="AE167"/>
    </row>
    <row r="168" spans="1:31">
      <c r="A168" s="146">
        <v>42421</v>
      </c>
      <c r="B168" s="143" t="s">
        <v>3863</v>
      </c>
      <c r="C168" s="298" t="s">
        <v>4002</v>
      </c>
      <c r="D168" s="145"/>
      <c r="E168" s="298" t="s">
        <v>3980</v>
      </c>
      <c r="F168" s="298" t="s">
        <v>4210</v>
      </c>
      <c r="G168" s="298" t="s">
        <v>4026</v>
      </c>
      <c r="H168" s="171"/>
      <c r="I168" s="298" t="s">
        <v>123</v>
      </c>
      <c r="J168" s="59">
        <v>63.71</v>
      </c>
      <c r="K168" s="59" t="s">
        <v>3983</v>
      </c>
      <c r="L168" s="298" t="s">
        <v>3984</v>
      </c>
      <c r="M168" s="298" t="s">
        <v>3985</v>
      </c>
      <c r="N168" s="150" t="str">
        <f>IFERROR(INDEX(EquipmentTBL!$H:$H,MATCH(Table5[[#This Row],[Unit'#]],EquipmentTBL!$A:$A,0)),"NONE")</f>
        <v>2HSCUAPR88C657099</v>
      </c>
      <c r="O168" s="150" t="str">
        <f>IFERROR(INDEX(EquipmentTBL!$C:$C,MATCH(Table5[[#This Row],[Unit'#]],EquipmentTBL!$A:$A,0)),"NONE")</f>
        <v>International</v>
      </c>
      <c r="P168" s="150">
        <f>IFERROR(INDEX(EquipmentTBL!$B:$B,MATCH(Table5[[#This Row],[Unit'#]],EquipmentTBL!$A:$A,0)),"NONE")</f>
        <v>2008</v>
      </c>
      <c r="Q168" s="150" t="str">
        <f>IFERROR(INDEX(EquipmentTBL!$D:$D,MATCH(Table5[[#This Row],[Unit'#]],EquipmentTBL!$A:$A,0)),"NONE")</f>
        <v>Prostar Eagle</v>
      </c>
      <c r="R168" s="143">
        <f>(5-WEEKDAY(A168,2))+A168</f>
        <v>42419</v>
      </c>
      <c r="S168" s="172">
        <f>((5-WEEKDAY(A168,2))+A168)+7</f>
        <v>42426</v>
      </c>
      <c r="T168" s="150">
        <f>MONTH(A168)</f>
        <v>2</v>
      </c>
      <c r="U168" s="150">
        <f>YEAR(R168)</f>
        <v>2016</v>
      </c>
      <c r="V168" s="298"/>
      <c r="Z168"/>
      <c r="AA168"/>
      <c r="AB168"/>
      <c r="AC168"/>
      <c r="AD168"/>
      <c r="AE168"/>
    </row>
    <row r="169" spans="1:31">
      <c r="A169" s="146">
        <v>42422</v>
      </c>
      <c r="B169" s="143" t="s">
        <v>3978</v>
      </c>
      <c r="C169" s="298" t="s">
        <v>3979</v>
      </c>
      <c r="D169" s="145"/>
      <c r="E169" s="298" t="s">
        <v>3980</v>
      </c>
      <c r="F169" s="298" t="s">
        <v>4211</v>
      </c>
      <c r="G169" s="298" t="s">
        <v>4057</v>
      </c>
      <c r="H169" s="171"/>
      <c r="I169" s="298" t="s">
        <v>123</v>
      </c>
      <c r="J169" s="59">
        <v>275</v>
      </c>
      <c r="K169" s="59" t="s">
        <v>3983</v>
      </c>
      <c r="L169" s="298" t="s">
        <v>3984</v>
      </c>
      <c r="M169" s="298" t="s">
        <v>3985</v>
      </c>
      <c r="N169" s="150" t="str">
        <f>IFERROR(INDEX(EquipmentTBL!$H:$H,MATCH(Table5[[#This Row],[Unit'#]],EquipmentTBL!$A:$A,0)),"NONE")</f>
        <v>NONE</v>
      </c>
      <c r="O169" s="150" t="str">
        <f>IFERROR(INDEX(EquipmentTBL!$C:$C,MATCH(Table5[[#This Row],[Unit'#]],EquipmentTBL!$A:$A,0)),"NONE")</f>
        <v>NONE</v>
      </c>
      <c r="P169" s="150" t="str">
        <f>IFERROR(INDEX(EquipmentTBL!$B:$B,MATCH(Table5[[#This Row],[Unit'#]],EquipmentTBL!$A:$A,0)),"NONE")</f>
        <v>NONE</v>
      </c>
      <c r="Q169" s="150" t="str">
        <f>IFERROR(INDEX(EquipmentTBL!$D:$D,MATCH(Table5[[#This Row],[Unit'#]],EquipmentTBL!$A:$A,0)),"NONE")</f>
        <v>NONE</v>
      </c>
      <c r="R169" s="143">
        <f>(5-WEEKDAY(A169,2))+A169</f>
        <v>42426</v>
      </c>
      <c r="S169" s="172">
        <f>((5-WEEKDAY(A169,2))+A169)+7</f>
        <v>42433</v>
      </c>
      <c r="T169" s="150">
        <f>MONTH(A169)</f>
        <v>2</v>
      </c>
      <c r="U169" s="150">
        <f>YEAR(R169)</f>
        <v>2016</v>
      </c>
      <c r="V169" s="298"/>
      <c r="Z169"/>
      <c r="AA169"/>
      <c r="AB169"/>
      <c r="AC169"/>
      <c r="AD169"/>
      <c r="AE169"/>
    </row>
    <row r="170" spans="1:31">
      <c r="A170" s="146">
        <v>42422</v>
      </c>
      <c r="B170" s="143" t="s">
        <v>3896</v>
      </c>
      <c r="C170" s="298" t="s">
        <v>3979</v>
      </c>
      <c r="D170" s="145">
        <v>93016892</v>
      </c>
      <c r="E170" s="298" t="s">
        <v>3980</v>
      </c>
      <c r="F170" s="298" t="s">
        <v>4023</v>
      </c>
      <c r="G170" s="298" t="s">
        <v>4212</v>
      </c>
      <c r="H170" s="171"/>
      <c r="I170" s="298">
        <v>1</v>
      </c>
      <c r="J170" s="59">
        <v>10.5</v>
      </c>
      <c r="K170" s="59" t="s">
        <v>3983</v>
      </c>
      <c r="L170" s="298" t="s">
        <v>3920</v>
      </c>
      <c r="M170" s="298" t="s">
        <v>3985</v>
      </c>
      <c r="N170" s="150" t="str">
        <f>IFERROR(INDEX(EquipmentTBL!$H:$H,MATCH(Table5[[#This Row],[Unit'#]],EquipmentTBL!$A:$A,0)),"NONE")</f>
        <v>2HSCUAPR79CO93785</v>
      </c>
      <c r="O170" s="150" t="str">
        <f>IFERROR(INDEX(EquipmentTBL!$C:$C,MATCH(Table5[[#This Row],[Unit'#]],EquipmentTBL!$A:$A,0)),"NONE")</f>
        <v>International</v>
      </c>
      <c r="P170" s="150">
        <f>IFERROR(INDEX(EquipmentTBL!$B:$B,MATCH(Table5[[#This Row],[Unit'#]],EquipmentTBL!$A:$A,0)),"NONE")</f>
        <v>2009</v>
      </c>
      <c r="Q170" s="150" t="str">
        <f>IFERROR(INDEX(EquipmentTBL!$D:$D,MATCH(Table5[[#This Row],[Unit'#]],EquipmentTBL!$A:$A,0)),"NONE")</f>
        <v>Prostar Eagle</v>
      </c>
      <c r="R170" s="143">
        <f>(5-WEEKDAY(A170,2))+A170</f>
        <v>42426</v>
      </c>
      <c r="S170" s="172">
        <f>((5-WEEKDAY(A170,2))+A170)+7</f>
        <v>42433</v>
      </c>
      <c r="T170" s="150">
        <f>MONTH(A170)</f>
        <v>2</v>
      </c>
      <c r="U170" s="150">
        <f>YEAR(R170)</f>
        <v>2016</v>
      </c>
      <c r="V170" s="298"/>
      <c r="Z170"/>
      <c r="AA170"/>
      <c r="AB170"/>
      <c r="AC170"/>
      <c r="AD170"/>
      <c r="AE170"/>
    </row>
    <row r="171" spans="1:31">
      <c r="A171" s="146">
        <v>42423</v>
      </c>
      <c r="B171" s="143" t="s">
        <v>3978</v>
      </c>
      <c r="C171" s="298" t="s">
        <v>3979</v>
      </c>
      <c r="D171" s="145"/>
      <c r="E171" s="298" t="s">
        <v>3980</v>
      </c>
      <c r="F171" s="298" t="s">
        <v>4178</v>
      </c>
      <c r="G171" s="298" t="s">
        <v>4179</v>
      </c>
      <c r="H171" s="15"/>
      <c r="I171" s="298" t="s">
        <v>123</v>
      </c>
      <c r="J171" s="59">
        <v>35.299999999999997</v>
      </c>
      <c r="K171" s="59" t="s">
        <v>3983</v>
      </c>
      <c r="L171" s="298" t="s">
        <v>3984</v>
      </c>
      <c r="M171" s="298" t="s">
        <v>3985</v>
      </c>
      <c r="N171" s="150" t="str">
        <f>IFERROR(INDEX(EquipmentTBL!$H:$H,MATCH(Table5[[#This Row],[Unit'#]],EquipmentTBL!$A:$A,0)),"NONE")</f>
        <v>NONE</v>
      </c>
      <c r="O171" s="150" t="str">
        <f>IFERROR(INDEX(EquipmentTBL!$C:$C,MATCH(Table5[[#This Row],[Unit'#]],EquipmentTBL!$A:$A,0)),"NONE")</f>
        <v>NONE</v>
      </c>
      <c r="P171" s="150" t="str">
        <f>IFERROR(INDEX(EquipmentTBL!$B:$B,MATCH(Table5[[#This Row],[Unit'#]],EquipmentTBL!$A:$A,0)),"NONE")</f>
        <v>NONE</v>
      </c>
      <c r="Q171" s="150" t="str">
        <f>IFERROR(INDEX(EquipmentTBL!$D:$D,MATCH(Table5[[#This Row],[Unit'#]],EquipmentTBL!$A:$A,0)),"NONE")</f>
        <v>NONE</v>
      </c>
      <c r="R171" s="143">
        <f>(5-WEEKDAY(A171,2))+A171</f>
        <v>42426</v>
      </c>
      <c r="S171" s="172">
        <f>((5-WEEKDAY(A171,2))+A171)+7</f>
        <v>42433</v>
      </c>
      <c r="T171" s="150">
        <f>MONTH(A171)</f>
        <v>2</v>
      </c>
      <c r="U171" s="150">
        <f>YEAR(R171)</f>
        <v>2016</v>
      </c>
      <c r="V171" s="298"/>
      <c r="Z171"/>
      <c r="AA171"/>
      <c r="AB171"/>
      <c r="AC171"/>
      <c r="AD171"/>
      <c r="AE171"/>
    </row>
    <row r="172" spans="1:31">
      <c r="A172" s="146">
        <v>42423</v>
      </c>
      <c r="B172" s="143" t="s">
        <v>3896</v>
      </c>
      <c r="C172" s="298" t="s">
        <v>4002</v>
      </c>
      <c r="D172" s="145">
        <v>327080142</v>
      </c>
      <c r="E172" s="298" t="s">
        <v>3980</v>
      </c>
      <c r="F172" s="298" t="s">
        <v>4205</v>
      </c>
      <c r="G172" s="298" t="s">
        <v>4213</v>
      </c>
      <c r="H172" s="171"/>
      <c r="I172" s="298" t="s">
        <v>123</v>
      </c>
      <c r="J172" s="59">
        <v>34.380000000000003</v>
      </c>
      <c r="K172" s="59" t="s">
        <v>3983</v>
      </c>
      <c r="L172" s="298" t="s">
        <v>3920</v>
      </c>
      <c r="M172" s="298" t="s">
        <v>3985</v>
      </c>
      <c r="N172" s="150" t="str">
        <f>IFERROR(INDEX(EquipmentTBL!$H:$H,MATCH(Table5[[#This Row],[Unit'#]],EquipmentTBL!$A:$A,0)),"NONE")</f>
        <v>2HSCUAPR79CO93785</v>
      </c>
      <c r="O172" s="150" t="str">
        <f>IFERROR(INDEX(EquipmentTBL!$C:$C,MATCH(Table5[[#This Row],[Unit'#]],EquipmentTBL!$A:$A,0)),"NONE")</f>
        <v>International</v>
      </c>
      <c r="P172" s="150">
        <f>IFERROR(INDEX(EquipmentTBL!$B:$B,MATCH(Table5[[#This Row],[Unit'#]],EquipmentTBL!$A:$A,0)),"NONE")</f>
        <v>2009</v>
      </c>
      <c r="Q172" s="150" t="str">
        <f>IFERROR(INDEX(EquipmentTBL!$D:$D,MATCH(Table5[[#This Row],[Unit'#]],EquipmentTBL!$A:$A,0)),"NONE")</f>
        <v>Prostar Eagle</v>
      </c>
      <c r="R172" s="143">
        <f>(5-WEEKDAY(A172,2))+A172</f>
        <v>42426</v>
      </c>
      <c r="S172" s="172">
        <f>((5-WEEKDAY(A172,2))+A172)+7</f>
        <v>42433</v>
      </c>
      <c r="T172" s="150">
        <f>MONTH(A172)</f>
        <v>2</v>
      </c>
      <c r="U172" s="150">
        <f>YEAR(R172)</f>
        <v>2016</v>
      </c>
      <c r="V172" s="298"/>
      <c r="Z172"/>
      <c r="AA172"/>
      <c r="AB172"/>
      <c r="AC172"/>
      <c r="AD172"/>
      <c r="AE172"/>
    </row>
    <row r="173" spans="1:31">
      <c r="A173" s="146">
        <v>42425</v>
      </c>
      <c r="B173" s="143" t="s">
        <v>3896</v>
      </c>
      <c r="C173" s="298" t="s">
        <v>4002</v>
      </c>
      <c r="D173" s="145">
        <v>75504082</v>
      </c>
      <c r="E173" s="298" t="s">
        <v>3980</v>
      </c>
      <c r="F173" s="298" t="s">
        <v>4205</v>
      </c>
      <c r="G173" s="298" t="s">
        <v>4017</v>
      </c>
      <c r="H173" s="15"/>
      <c r="I173" s="298" t="s">
        <v>123</v>
      </c>
      <c r="J173" s="59">
        <v>52.63</v>
      </c>
      <c r="K173" s="59" t="s">
        <v>3983</v>
      </c>
      <c r="L173" s="298" t="s">
        <v>4214</v>
      </c>
      <c r="M173" s="298" t="s">
        <v>3985</v>
      </c>
      <c r="N173" s="150" t="str">
        <f>IFERROR(INDEX(EquipmentTBL!$H:$H,MATCH(Table5[[#This Row],[Unit'#]],EquipmentTBL!$A:$A,0)),"NONE")</f>
        <v>2HSCUAPR79CO93785</v>
      </c>
      <c r="O173" s="150" t="str">
        <f>IFERROR(INDEX(EquipmentTBL!$C:$C,MATCH(Table5[[#This Row],[Unit'#]],EquipmentTBL!$A:$A,0)),"NONE")</f>
        <v>International</v>
      </c>
      <c r="P173" s="150">
        <f>IFERROR(INDEX(EquipmentTBL!$B:$B,MATCH(Table5[[#This Row],[Unit'#]],EquipmentTBL!$A:$A,0)),"NONE")</f>
        <v>2009</v>
      </c>
      <c r="Q173" s="150" t="str">
        <f>IFERROR(INDEX(EquipmentTBL!$D:$D,MATCH(Table5[[#This Row],[Unit'#]],EquipmentTBL!$A:$A,0)),"NONE")</f>
        <v>Prostar Eagle</v>
      </c>
      <c r="R173" s="143">
        <f>(5-WEEKDAY(A173,2))+A173</f>
        <v>42426</v>
      </c>
      <c r="S173" s="172">
        <f>((5-WEEKDAY(A173,2))+A173)+7</f>
        <v>42433</v>
      </c>
      <c r="T173" s="150">
        <f>MONTH(A173)</f>
        <v>2</v>
      </c>
      <c r="U173" s="150">
        <f>YEAR(R173)</f>
        <v>2016</v>
      </c>
      <c r="V173" s="298"/>
      <c r="Z173"/>
      <c r="AA173"/>
      <c r="AB173"/>
      <c r="AC173"/>
      <c r="AD173"/>
      <c r="AE173"/>
    </row>
    <row r="174" spans="1:31">
      <c r="A174" s="319">
        <v>42425</v>
      </c>
      <c r="B174" s="143" t="s">
        <v>3896</v>
      </c>
      <c r="C174" s="298" t="s">
        <v>4002</v>
      </c>
      <c r="D174" s="321"/>
      <c r="E174" s="298" t="s">
        <v>4028</v>
      </c>
      <c r="F174" s="320" t="s">
        <v>4215</v>
      </c>
      <c r="G174" s="320" t="s">
        <v>4216</v>
      </c>
      <c r="H174" s="171"/>
      <c r="I174" s="298" t="s">
        <v>123</v>
      </c>
      <c r="J174" s="322">
        <v>700</v>
      </c>
      <c r="K174" s="59" t="s">
        <v>3983</v>
      </c>
      <c r="L174" s="320" t="s">
        <v>4214</v>
      </c>
      <c r="M174" s="298" t="s">
        <v>3985</v>
      </c>
      <c r="N174" s="324" t="str">
        <f>IFERROR(INDEX(EquipmentTBL!$H:$H,MATCH(Table5[[#This Row],[Unit'#]],EquipmentTBL!$A:$A,0)),"NONE")</f>
        <v>2HSCUAPR79CO93785</v>
      </c>
      <c r="O174" s="324" t="str">
        <f>IFERROR(INDEX(EquipmentTBL!$C:$C,MATCH(Table5[[#This Row],[Unit'#]],EquipmentTBL!$A:$A,0)),"NONE")</f>
        <v>International</v>
      </c>
      <c r="P174" s="324">
        <f>IFERROR(INDEX(EquipmentTBL!$B:$B,MATCH(Table5[[#This Row],[Unit'#]],EquipmentTBL!$A:$A,0)),"NONE")</f>
        <v>2009</v>
      </c>
      <c r="Q174" s="324" t="str">
        <f>IFERROR(INDEX(EquipmentTBL!$D:$D,MATCH(Table5[[#This Row],[Unit'#]],EquipmentTBL!$A:$A,0)),"NONE")</f>
        <v>Prostar Eagle</v>
      </c>
      <c r="R174" s="323">
        <f>(5-WEEKDAY(A174,2))+A174</f>
        <v>42426</v>
      </c>
      <c r="S174" s="309">
        <f>((5-WEEKDAY(A174,2))+A174)+7</f>
        <v>42433</v>
      </c>
      <c r="T174" s="324">
        <f>MONTH(A174)</f>
        <v>2</v>
      </c>
      <c r="U174" s="324">
        <f>YEAR(R174)</f>
        <v>2016</v>
      </c>
      <c r="V174" s="298"/>
      <c r="Z174"/>
      <c r="AA174"/>
      <c r="AB174"/>
      <c r="AC174"/>
      <c r="AD174"/>
      <c r="AE174"/>
    </row>
    <row r="175" spans="1:31">
      <c r="A175" s="319">
        <v>42425</v>
      </c>
      <c r="B175" s="143" t="s">
        <v>3896</v>
      </c>
      <c r="C175" s="298" t="s">
        <v>4002</v>
      </c>
      <c r="D175" s="321"/>
      <c r="E175" s="298" t="s">
        <v>4028</v>
      </c>
      <c r="F175" s="320" t="s">
        <v>4217</v>
      </c>
      <c r="G175" s="320" t="s">
        <v>3833</v>
      </c>
      <c r="H175" s="171"/>
      <c r="I175" s="298" t="s">
        <v>123</v>
      </c>
      <c r="J175" s="322">
        <v>375</v>
      </c>
      <c r="K175" s="59" t="s">
        <v>3983</v>
      </c>
      <c r="L175" s="320" t="s">
        <v>3984</v>
      </c>
      <c r="M175" s="320" t="s">
        <v>3985</v>
      </c>
      <c r="N175" s="324" t="str">
        <f>IFERROR(INDEX(EquipmentTBL!$H:$H,MATCH(Table5[[#This Row],[Unit'#]],EquipmentTBL!$A:$A,0)),"NONE")</f>
        <v>2HSCUAPR79CO93785</v>
      </c>
      <c r="O175" s="324" t="str">
        <f>IFERROR(INDEX(EquipmentTBL!$C:$C,MATCH(Table5[[#This Row],[Unit'#]],EquipmentTBL!$A:$A,0)),"NONE")</f>
        <v>International</v>
      </c>
      <c r="P175" s="324">
        <f>IFERROR(INDEX(EquipmentTBL!$B:$B,MATCH(Table5[[#This Row],[Unit'#]],EquipmentTBL!$A:$A,0)),"NONE")</f>
        <v>2009</v>
      </c>
      <c r="Q175" s="324" t="str">
        <f>IFERROR(INDEX(EquipmentTBL!$D:$D,MATCH(Table5[[#This Row],[Unit'#]],EquipmentTBL!$A:$A,0)),"NONE")</f>
        <v>Prostar Eagle</v>
      </c>
      <c r="R175" s="323">
        <f>(5-WEEKDAY(A175,2))+A175</f>
        <v>42426</v>
      </c>
      <c r="S175" s="309">
        <f>((5-WEEKDAY(A175,2))+A175)+7</f>
        <v>42433</v>
      </c>
      <c r="T175" s="324">
        <f>MONTH(A175)</f>
        <v>2</v>
      </c>
      <c r="U175" s="324">
        <f>YEAR(R175)</f>
        <v>2016</v>
      </c>
      <c r="V175" s="298"/>
      <c r="Z175"/>
      <c r="AA175"/>
      <c r="AB175"/>
      <c r="AC175"/>
      <c r="AD175"/>
      <c r="AE175"/>
    </row>
    <row r="176" spans="1:31">
      <c r="A176" s="146">
        <v>42430</v>
      </c>
      <c r="B176" s="143" t="s">
        <v>3863</v>
      </c>
      <c r="C176" s="298" t="s">
        <v>3997</v>
      </c>
      <c r="D176" s="145" t="s">
        <v>4218</v>
      </c>
      <c r="E176" s="298" t="s">
        <v>3980</v>
      </c>
      <c r="F176" s="298" t="s">
        <v>4000</v>
      </c>
      <c r="G176" s="298" t="s">
        <v>3999</v>
      </c>
      <c r="H176" s="171"/>
      <c r="I176" s="298" t="s">
        <v>123</v>
      </c>
      <c r="J176" s="59">
        <v>125</v>
      </c>
      <c r="K176" s="59" t="s">
        <v>3983</v>
      </c>
      <c r="L176" s="298" t="s">
        <v>3984</v>
      </c>
      <c r="M176" s="298" t="s">
        <v>3985</v>
      </c>
      <c r="N176" s="150" t="str">
        <f>IFERROR(INDEX(EquipmentTBL!$H:$H,MATCH(Table5[[#This Row],[Unit'#]],EquipmentTBL!$A:$A,0)),"NONE")</f>
        <v>2HSCUAPR88C657099</v>
      </c>
      <c r="O176" s="150" t="str">
        <f>IFERROR(INDEX(EquipmentTBL!$C:$C,MATCH(Table5[[#This Row],[Unit'#]],EquipmentTBL!$A:$A,0)),"NONE")</f>
        <v>International</v>
      </c>
      <c r="P176" s="150">
        <f>IFERROR(INDEX(EquipmentTBL!$B:$B,MATCH(Table5[[#This Row],[Unit'#]],EquipmentTBL!$A:$A,0)),"NONE")</f>
        <v>2008</v>
      </c>
      <c r="Q176" s="150" t="str">
        <f>IFERROR(INDEX(EquipmentTBL!$D:$D,MATCH(Table5[[#This Row],[Unit'#]],EquipmentTBL!$A:$A,0)),"NONE")</f>
        <v>Prostar Eagle</v>
      </c>
      <c r="R176" s="143">
        <f>(5-WEEKDAY(A176,2))+A176</f>
        <v>42433</v>
      </c>
      <c r="S176" s="172">
        <f>((5-WEEKDAY(A176,2))+A176)+7</f>
        <v>42440</v>
      </c>
      <c r="T176" s="150">
        <f>MONTH(A176)</f>
        <v>3</v>
      </c>
      <c r="U176" s="150">
        <f>YEAR(R176)</f>
        <v>2016</v>
      </c>
      <c r="V176" s="298"/>
      <c r="Z176"/>
      <c r="AA176"/>
      <c r="AB176"/>
      <c r="AC176"/>
      <c r="AD176"/>
      <c r="AE176"/>
    </row>
    <row r="177" spans="1:31">
      <c r="A177" s="146">
        <v>42430</v>
      </c>
      <c r="B177" s="143" t="s">
        <v>3896</v>
      </c>
      <c r="C177" s="298" t="s">
        <v>3997</v>
      </c>
      <c r="D177" s="145" t="s">
        <v>4218</v>
      </c>
      <c r="E177" s="298" t="s">
        <v>3980</v>
      </c>
      <c r="F177" s="298" t="s">
        <v>4000</v>
      </c>
      <c r="G177" s="298" t="s">
        <v>3999</v>
      </c>
      <c r="H177" s="171"/>
      <c r="I177" s="298" t="s">
        <v>123</v>
      </c>
      <c r="J177" s="59">
        <v>125</v>
      </c>
      <c r="K177" s="59" t="s">
        <v>3983</v>
      </c>
      <c r="L177" s="298" t="s">
        <v>3984</v>
      </c>
      <c r="M177" s="298" t="s">
        <v>3985</v>
      </c>
      <c r="N177" s="150" t="str">
        <f>IFERROR(INDEX(EquipmentTBL!$H:$H,MATCH(Table5[[#This Row],[Unit'#]],EquipmentTBL!$A:$A,0)),"NONE")</f>
        <v>2HSCUAPR79CO93785</v>
      </c>
      <c r="O177" s="150" t="str">
        <f>IFERROR(INDEX(EquipmentTBL!$C:$C,MATCH(Table5[[#This Row],[Unit'#]],EquipmentTBL!$A:$A,0)),"NONE")</f>
        <v>International</v>
      </c>
      <c r="P177" s="150">
        <f>IFERROR(INDEX(EquipmentTBL!$B:$B,MATCH(Table5[[#This Row],[Unit'#]],EquipmentTBL!$A:$A,0)),"NONE")</f>
        <v>2009</v>
      </c>
      <c r="Q177" s="150" t="str">
        <f>IFERROR(INDEX(EquipmentTBL!$D:$D,MATCH(Table5[[#This Row],[Unit'#]],EquipmentTBL!$A:$A,0)),"NONE")</f>
        <v>Prostar Eagle</v>
      </c>
      <c r="R177" s="143">
        <f>(5-WEEKDAY(A177,2))+A177</f>
        <v>42433</v>
      </c>
      <c r="S177" s="172">
        <f>((5-WEEKDAY(A177,2))+A177)+7</f>
        <v>42440</v>
      </c>
      <c r="T177" s="150">
        <f>MONTH(A177)</f>
        <v>3</v>
      </c>
      <c r="U177" s="150">
        <f>YEAR(R177)</f>
        <v>2016</v>
      </c>
      <c r="V177" s="298"/>
      <c r="Z177"/>
      <c r="AA177"/>
      <c r="AB177"/>
      <c r="AC177"/>
      <c r="AD177"/>
      <c r="AE177"/>
    </row>
    <row r="178" spans="1:31">
      <c r="A178" s="319">
        <v>42432</v>
      </c>
      <c r="B178" s="143" t="s">
        <v>3896</v>
      </c>
      <c r="C178" s="298" t="s">
        <v>4002</v>
      </c>
      <c r="D178" s="321"/>
      <c r="E178" s="298" t="s">
        <v>4028</v>
      </c>
      <c r="F178" s="298" t="s">
        <v>4219</v>
      </c>
      <c r="G178" s="320" t="s">
        <v>4220</v>
      </c>
      <c r="H178" s="15"/>
      <c r="I178" s="298" t="s">
        <v>123</v>
      </c>
      <c r="J178" s="322">
        <v>1100</v>
      </c>
      <c r="K178" s="59" t="s">
        <v>3983</v>
      </c>
      <c r="L178" s="320" t="s">
        <v>4214</v>
      </c>
      <c r="M178" s="298" t="s">
        <v>3985</v>
      </c>
      <c r="N178" s="324" t="str">
        <f>IFERROR(INDEX(EquipmentTBL!$H:$H,MATCH(Table5[[#This Row],[Unit'#]],EquipmentTBL!$A:$A,0)),"NONE")</f>
        <v>2HSCUAPR79CO93785</v>
      </c>
      <c r="O178" s="324" t="str">
        <f>IFERROR(INDEX(EquipmentTBL!$C:$C,MATCH(Table5[[#This Row],[Unit'#]],EquipmentTBL!$A:$A,0)),"NONE")</f>
        <v>International</v>
      </c>
      <c r="P178" s="324">
        <f>IFERROR(INDEX(EquipmentTBL!$B:$B,MATCH(Table5[[#This Row],[Unit'#]],EquipmentTBL!$A:$A,0)),"NONE")</f>
        <v>2009</v>
      </c>
      <c r="Q178" s="324" t="str">
        <f>IFERROR(INDEX(EquipmentTBL!$D:$D,MATCH(Table5[[#This Row],[Unit'#]],EquipmentTBL!$A:$A,0)),"NONE")</f>
        <v>Prostar Eagle</v>
      </c>
      <c r="R178" s="323">
        <f>(5-WEEKDAY(A178,2))+A178</f>
        <v>42433</v>
      </c>
      <c r="S178" s="309">
        <f>((5-WEEKDAY(A178,2))+A178)+7</f>
        <v>42440</v>
      </c>
      <c r="T178" s="324">
        <f>MONTH(A178)</f>
        <v>3</v>
      </c>
      <c r="U178" s="324">
        <f>YEAR(R178)</f>
        <v>2016</v>
      </c>
      <c r="V178" s="298"/>
      <c r="Z178"/>
      <c r="AA178"/>
      <c r="AB178"/>
      <c r="AC178"/>
      <c r="AD178"/>
      <c r="AE178"/>
    </row>
    <row r="179" spans="1:31">
      <c r="A179" s="319">
        <v>42432</v>
      </c>
      <c r="B179" s="143" t="s">
        <v>3896</v>
      </c>
      <c r="C179" s="298" t="s">
        <v>4002</v>
      </c>
      <c r="D179" s="321"/>
      <c r="E179" s="298" t="s">
        <v>4028</v>
      </c>
      <c r="F179" s="320" t="s">
        <v>4221</v>
      </c>
      <c r="G179" s="320" t="s">
        <v>3833</v>
      </c>
      <c r="H179" s="171"/>
      <c r="I179" s="298" t="s">
        <v>123</v>
      </c>
      <c r="J179" s="322">
        <v>380</v>
      </c>
      <c r="K179" s="59" t="s">
        <v>3983</v>
      </c>
      <c r="L179" s="320" t="s">
        <v>3984</v>
      </c>
      <c r="M179" s="320" t="s">
        <v>3985</v>
      </c>
      <c r="N179" s="324" t="str">
        <f>IFERROR(INDEX(EquipmentTBL!$H:$H,MATCH(Table5[[#This Row],[Unit'#]],EquipmentTBL!$A:$A,0)),"NONE")</f>
        <v>2HSCUAPR79CO93785</v>
      </c>
      <c r="O179" s="324" t="str">
        <f>IFERROR(INDEX(EquipmentTBL!$C:$C,MATCH(Table5[[#This Row],[Unit'#]],EquipmentTBL!$A:$A,0)),"NONE")</f>
        <v>International</v>
      </c>
      <c r="P179" s="324">
        <f>IFERROR(INDEX(EquipmentTBL!$B:$B,MATCH(Table5[[#This Row],[Unit'#]],EquipmentTBL!$A:$A,0)),"NONE")</f>
        <v>2009</v>
      </c>
      <c r="Q179" s="324" t="str">
        <f>IFERROR(INDEX(EquipmentTBL!$D:$D,MATCH(Table5[[#This Row],[Unit'#]],EquipmentTBL!$A:$A,0)),"NONE")</f>
        <v>Prostar Eagle</v>
      </c>
      <c r="R179" s="323">
        <f>(5-WEEKDAY(A179,2))+A179</f>
        <v>42433</v>
      </c>
      <c r="S179" s="309">
        <f>((5-WEEKDAY(A179,2))+A179)+7</f>
        <v>42440</v>
      </c>
      <c r="T179" s="324">
        <f>MONTH(A179)</f>
        <v>3</v>
      </c>
      <c r="U179" s="324">
        <f>YEAR(R179)</f>
        <v>2016</v>
      </c>
      <c r="V179" s="298"/>
      <c r="Z179"/>
      <c r="AA179"/>
      <c r="AB179"/>
      <c r="AC179"/>
      <c r="AD179"/>
      <c r="AE179"/>
    </row>
    <row r="180" spans="1:31">
      <c r="A180" s="319">
        <v>42434</v>
      </c>
      <c r="B180" s="143" t="s">
        <v>3978</v>
      </c>
      <c r="C180" s="298" t="s">
        <v>3979</v>
      </c>
      <c r="D180" s="321"/>
      <c r="E180" s="320" t="s">
        <v>3980</v>
      </c>
      <c r="F180" s="320" t="s">
        <v>4222</v>
      </c>
      <c r="G180" s="320" t="s">
        <v>4223</v>
      </c>
      <c r="H180" s="15"/>
      <c r="I180" s="298" t="s">
        <v>123</v>
      </c>
      <c r="J180" s="322">
        <v>20</v>
      </c>
      <c r="K180" s="59" t="s">
        <v>3983</v>
      </c>
      <c r="L180" s="320" t="s">
        <v>3984</v>
      </c>
      <c r="M180" s="320" t="s">
        <v>3985</v>
      </c>
      <c r="N180" s="324" t="str">
        <f>IFERROR(INDEX(EquipmentTBL!$H:$H,MATCH(Table5[[#This Row],[Unit'#]],EquipmentTBL!$A:$A,0)),"NONE")</f>
        <v>NONE</v>
      </c>
      <c r="O180" s="324" t="str">
        <f>IFERROR(INDEX(EquipmentTBL!$C:$C,MATCH(Table5[[#This Row],[Unit'#]],EquipmentTBL!$A:$A,0)),"NONE")</f>
        <v>NONE</v>
      </c>
      <c r="P180" s="324" t="str">
        <f>IFERROR(INDEX(EquipmentTBL!$B:$B,MATCH(Table5[[#This Row],[Unit'#]],EquipmentTBL!$A:$A,0)),"NONE")</f>
        <v>NONE</v>
      </c>
      <c r="Q180" s="324" t="str">
        <f>IFERROR(INDEX(EquipmentTBL!$D:$D,MATCH(Table5[[#This Row],[Unit'#]],EquipmentTBL!$A:$A,0)),"NONE")</f>
        <v>NONE</v>
      </c>
      <c r="R180" s="323">
        <f>(5-WEEKDAY(A180,2))+A180</f>
        <v>42433</v>
      </c>
      <c r="S180" s="309">
        <f>((5-WEEKDAY(A180,2))+A180)+7</f>
        <v>42440</v>
      </c>
      <c r="T180" s="324">
        <f>MONTH(A180)</f>
        <v>3</v>
      </c>
      <c r="U180" s="324">
        <f>YEAR(R180)</f>
        <v>2016</v>
      </c>
      <c r="V180" s="298"/>
      <c r="Z180"/>
      <c r="AA180"/>
      <c r="AB180"/>
      <c r="AC180"/>
      <c r="AD180"/>
      <c r="AE180"/>
    </row>
    <row r="181" spans="1:31">
      <c r="A181" s="319">
        <v>42436</v>
      </c>
      <c r="B181" s="143" t="s">
        <v>3863</v>
      </c>
      <c r="C181" s="298" t="s">
        <v>4002</v>
      </c>
      <c r="D181" s="321"/>
      <c r="E181" s="298" t="s">
        <v>4028</v>
      </c>
      <c r="F181" s="320" t="s">
        <v>4224</v>
      </c>
      <c r="G181" s="320" t="s">
        <v>3833</v>
      </c>
      <c r="H181" s="171"/>
      <c r="I181" s="298" t="s">
        <v>123</v>
      </c>
      <c r="J181" s="322">
        <v>210</v>
      </c>
      <c r="K181" s="59" t="s">
        <v>3983</v>
      </c>
      <c r="L181" s="320" t="s">
        <v>3831</v>
      </c>
      <c r="M181" s="320" t="s">
        <v>3985</v>
      </c>
      <c r="N181" s="324" t="str">
        <f>IFERROR(INDEX(EquipmentTBL!$H:$H,MATCH(Table5[[#This Row],[Unit'#]],EquipmentTBL!$A:$A,0)),"NONE")</f>
        <v>2HSCUAPR88C657099</v>
      </c>
      <c r="O181" s="324" t="str">
        <f>IFERROR(INDEX(EquipmentTBL!$C:$C,MATCH(Table5[[#This Row],[Unit'#]],EquipmentTBL!$A:$A,0)),"NONE")</f>
        <v>International</v>
      </c>
      <c r="P181" s="324">
        <f>IFERROR(INDEX(EquipmentTBL!$B:$B,MATCH(Table5[[#This Row],[Unit'#]],EquipmentTBL!$A:$A,0)),"NONE")</f>
        <v>2008</v>
      </c>
      <c r="Q181" s="324" t="str">
        <f>IFERROR(INDEX(EquipmentTBL!$D:$D,MATCH(Table5[[#This Row],[Unit'#]],EquipmentTBL!$A:$A,0)),"NONE")</f>
        <v>Prostar Eagle</v>
      </c>
      <c r="R181" s="323">
        <f>(5-WEEKDAY(A181,2))+A181</f>
        <v>42440</v>
      </c>
      <c r="S181" s="309">
        <f>((5-WEEKDAY(A181,2))+A181)+7</f>
        <v>42447</v>
      </c>
      <c r="T181" s="324">
        <f>MONTH(A181)</f>
        <v>3</v>
      </c>
      <c r="U181" s="324">
        <f>YEAR(R181)</f>
        <v>2016</v>
      </c>
      <c r="V181" s="298"/>
      <c r="Z181"/>
      <c r="AA181"/>
      <c r="AB181"/>
      <c r="AC181"/>
      <c r="AD181"/>
      <c r="AE181"/>
    </row>
    <row r="182" spans="1:31">
      <c r="A182" s="570">
        <v>42436</v>
      </c>
      <c r="B182" s="143" t="s">
        <v>3863</v>
      </c>
      <c r="C182" s="298" t="s">
        <v>4002</v>
      </c>
      <c r="D182" s="572">
        <v>2472</v>
      </c>
      <c r="E182" s="571" t="s">
        <v>4028</v>
      </c>
      <c r="F182" s="571" t="s">
        <v>4225</v>
      </c>
      <c r="G182" s="571" t="s">
        <v>4226</v>
      </c>
      <c r="H182" s="171"/>
      <c r="I182" s="298" t="s">
        <v>123</v>
      </c>
      <c r="J182" s="573">
        <v>105.25</v>
      </c>
      <c r="K182" s="59" t="s">
        <v>3983</v>
      </c>
      <c r="L182" s="571" t="s">
        <v>3984</v>
      </c>
      <c r="M182" s="571" t="s">
        <v>3985</v>
      </c>
      <c r="N182" s="574" t="str">
        <f>IFERROR(INDEX(EquipmentTBL!$H:$H,MATCH(Table5[[#This Row],[Unit'#]],EquipmentTBL!$A:$A,0)),"NONE")</f>
        <v>2HSCUAPR88C657099</v>
      </c>
      <c r="O182" s="574" t="str">
        <f>IFERROR(INDEX(EquipmentTBL!$C:$C,MATCH(Table5[[#This Row],[Unit'#]],EquipmentTBL!$A:$A,0)),"NONE")</f>
        <v>International</v>
      </c>
      <c r="P182" s="574">
        <f>IFERROR(INDEX(EquipmentTBL!$B:$B,MATCH(Table5[[#This Row],[Unit'#]],EquipmentTBL!$A:$A,0)),"NONE")</f>
        <v>2008</v>
      </c>
      <c r="Q182" s="574" t="str">
        <f>IFERROR(INDEX(EquipmentTBL!$D:$D,MATCH(Table5[[#This Row],[Unit'#]],EquipmentTBL!$A:$A,0)),"NONE")</f>
        <v>Prostar Eagle</v>
      </c>
      <c r="R182" s="575">
        <f>(5-WEEKDAY(A182,2))+A182</f>
        <v>42440</v>
      </c>
      <c r="S182" s="556">
        <f>((5-WEEKDAY(A182,2))+A182)+7</f>
        <v>42447</v>
      </c>
      <c r="T182" s="574">
        <f>MONTH(A182)</f>
        <v>3</v>
      </c>
      <c r="U182" s="574">
        <f>YEAR(R182)</f>
        <v>2016</v>
      </c>
      <c r="V182" s="298"/>
      <c r="Z182"/>
      <c r="AA182"/>
      <c r="AB182"/>
      <c r="AC182"/>
      <c r="AD182"/>
      <c r="AE182"/>
    </row>
    <row r="183" spans="1:31">
      <c r="A183" s="146">
        <v>42437</v>
      </c>
      <c r="B183" s="143" t="s">
        <v>3978</v>
      </c>
      <c r="C183" s="298" t="s">
        <v>3979</v>
      </c>
      <c r="D183" s="145"/>
      <c r="E183" s="298" t="s">
        <v>3980</v>
      </c>
      <c r="F183" s="298" t="s">
        <v>4073</v>
      </c>
      <c r="G183" s="298" t="s">
        <v>4073</v>
      </c>
      <c r="H183" s="171"/>
      <c r="I183" s="298" t="s">
        <v>123</v>
      </c>
      <c r="J183" s="59">
        <v>25</v>
      </c>
      <c r="K183" s="59" t="s">
        <v>3983</v>
      </c>
      <c r="L183" s="298" t="s">
        <v>3984</v>
      </c>
      <c r="M183" s="298" t="s">
        <v>3989</v>
      </c>
      <c r="N183" s="150" t="str">
        <f>IFERROR(INDEX(EquipmentTBL!$H:$H,MATCH(Table5[[#This Row],[Unit'#]],EquipmentTBL!$A:$A,0)),"NONE")</f>
        <v>NONE</v>
      </c>
      <c r="O183" s="150" t="str">
        <f>IFERROR(INDEX(EquipmentTBL!$C:$C,MATCH(Table5[[#This Row],[Unit'#]],EquipmentTBL!$A:$A,0)),"NONE")</f>
        <v>NONE</v>
      </c>
      <c r="P183" s="150" t="str">
        <f>IFERROR(INDEX(EquipmentTBL!$B:$B,MATCH(Table5[[#This Row],[Unit'#]],EquipmentTBL!$A:$A,0)),"NONE")</f>
        <v>NONE</v>
      </c>
      <c r="Q183" s="150" t="str">
        <f>IFERROR(INDEX(EquipmentTBL!$D:$D,MATCH(Table5[[#This Row],[Unit'#]],EquipmentTBL!$A:$A,0)),"NONE")</f>
        <v>NONE</v>
      </c>
      <c r="R183" s="143">
        <f>(5-WEEKDAY(A183,2))+A183</f>
        <v>42440</v>
      </c>
      <c r="S183" s="172">
        <f>((5-WEEKDAY(A183,2))+A183)+7</f>
        <v>42447</v>
      </c>
      <c r="T183" s="171">
        <f>MONTH(A183)</f>
        <v>3</v>
      </c>
      <c r="U183" s="150">
        <f>YEAR(R183)</f>
        <v>2016</v>
      </c>
      <c r="V183" s="298"/>
      <c r="Z183"/>
      <c r="AA183"/>
      <c r="AB183"/>
      <c r="AC183"/>
      <c r="AD183"/>
      <c r="AE183"/>
    </row>
    <row r="184" spans="1:31">
      <c r="A184" s="570">
        <v>42439</v>
      </c>
      <c r="B184" s="143" t="s">
        <v>3978</v>
      </c>
      <c r="C184" s="298" t="s">
        <v>3979</v>
      </c>
      <c r="D184" s="572">
        <v>176753</v>
      </c>
      <c r="E184" s="571" t="s">
        <v>3980</v>
      </c>
      <c r="F184" s="571" t="s">
        <v>4087</v>
      </c>
      <c r="G184" s="571" t="s">
        <v>4087</v>
      </c>
      <c r="H184" s="15"/>
      <c r="I184" s="298" t="s">
        <v>123</v>
      </c>
      <c r="J184" s="573">
        <v>3</v>
      </c>
      <c r="K184" s="59" t="s">
        <v>3983</v>
      </c>
      <c r="L184" s="571" t="s">
        <v>3984</v>
      </c>
      <c r="M184" s="571" t="s">
        <v>3985</v>
      </c>
      <c r="N184" s="574" t="str">
        <f>IFERROR(INDEX(EquipmentTBL!$H:$H,MATCH(Table5[[#This Row],[Unit'#]],EquipmentTBL!$A:$A,0)),"NONE")</f>
        <v>NONE</v>
      </c>
      <c r="O184" s="574" t="str">
        <f>IFERROR(INDEX(EquipmentTBL!$C:$C,MATCH(Table5[[#This Row],[Unit'#]],EquipmentTBL!$A:$A,0)),"NONE")</f>
        <v>NONE</v>
      </c>
      <c r="P184" s="574" t="str">
        <f>IFERROR(INDEX(EquipmentTBL!$B:$B,MATCH(Table5[[#This Row],[Unit'#]],EquipmentTBL!$A:$A,0)),"NONE")</f>
        <v>NONE</v>
      </c>
      <c r="Q184" s="574" t="str">
        <f>IFERROR(INDEX(EquipmentTBL!$D:$D,MATCH(Table5[[#This Row],[Unit'#]],EquipmentTBL!$A:$A,0)),"NONE")</f>
        <v>NONE</v>
      </c>
      <c r="R184" s="575">
        <f>(5-WEEKDAY(A184,2))+A184</f>
        <v>42440</v>
      </c>
      <c r="S184" s="556">
        <f>((5-WEEKDAY(A184,2))+A184)+7</f>
        <v>42447</v>
      </c>
      <c r="T184" s="574">
        <f>MONTH(A184)</f>
        <v>3</v>
      </c>
      <c r="U184" s="574">
        <f>YEAR(R184)</f>
        <v>2016</v>
      </c>
      <c r="V184" s="298"/>
      <c r="Z184"/>
      <c r="AA184"/>
      <c r="AB184"/>
      <c r="AC184"/>
      <c r="AD184"/>
      <c r="AE184"/>
    </row>
    <row r="185" spans="1:31">
      <c r="A185" s="146">
        <v>42443</v>
      </c>
      <c r="B185" s="143" t="s">
        <v>3978</v>
      </c>
      <c r="C185" s="298" t="s">
        <v>3979</v>
      </c>
      <c r="D185" s="145">
        <v>1932271</v>
      </c>
      <c r="E185" s="298" t="s">
        <v>3980</v>
      </c>
      <c r="F185" s="298" t="s">
        <v>4200</v>
      </c>
      <c r="G185" s="298" t="s">
        <v>4050</v>
      </c>
      <c r="H185" s="171"/>
      <c r="I185" s="298" t="s">
        <v>123</v>
      </c>
      <c r="J185" s="59">
        <v>34.950000000000003</v>
      </c>
      <c r="K185" s="59" t="s">
        <v>3983</v>
      </c>
      <c r="L185" s="298" t="s">
        <v>3984</v>
      </c>
      <c r="M185" s="298" t="s">
        <v>3985</v>
      </c>
      <c r="N185" s="150" t="str">
        <f>IFERROR(INDEX(EquipmentTBL!$H:$H,MATCH(Table5[[#This Row],[Unit'#]],EquipmentTBL!$A:$A,0)),"NONE")</f>
        <v>NONE</v>
      </c>
      <c r="O185" s="150" t="str">
        <f>IFERROR(INDEX(EquipmentTBL!$C:$C,MATCH(Table5[[#This Row],[Unit'#]],EquipmentTBL!$A:$A,0)),"NONE")</f>
        <v>NONE</v>
      </c>
      <c r="P185" s="150" t="str">
        <f>IFERROR(INDEX(EquipmentTBL!$B:$B,MATCH(Table5[[#This Row],[Unit'#]],EquipmentTBL!$A:$A,0)),"NONE")</f>
        <v>NONE</v>
      </c>
      <c r="Q185" s="150" t="str">
        <f>IFERROR(INDEX(EquipmentTBL!$D:$D,MATCH(Table5[[#This Row],[Unit'#]],EquipmentTBL!$A:$A,0)),"NONE")</f>
        <v>NONE</v>
      </c>
      <c r="R185" s="143">
        <f>(5-WEEKDAY(A185,2))+A185</f>
        <v>42447</v>
      </c>
      <c r="S185" s="172">
        <f>((5-WEEKDAY(A185,2))+A185)+7</f>
        <v>42454</v>
      </c>
      <c r="T185" s="150">
        <f>MONTH(A185)</f>
        <v>3</v>
      </c>
      <c r="U185" s="150">
        <f>YEAR(R185)</f>
        <v>2016</v>
      </c>
      <c r="V185" s="298"/>
      <c r="Z185"/>
      <c r="AA185"/>
      <c r="AB185"/>
      <c r="AC185"/>
      <c r="AD185"/>
      <c r="AE185"/>
    </row>
    <row r="186" spans="1:31">
      <c r="A186" s="570">
        <v>42443</v>
      </c>
      <c r="B186" s="143" t="s">
        <v>3896</v>
      </c>
      <c r="C186" s="298" t="s">
        <v>4002</v>
      </c>
      <c r="D186" s="572">
        <v>76899236</v>
      </c>
      <c r="E186" s="571" t="s">
        <v>4006</v>
      </c>
      <c r="F186" s="571" t="s">
        <v>4227</v>
      </c>
      <c r="G186" s="571" t="s">
        <v>4066</v>
      </c>
      <c r="H186" s="171"/>
      <c r="I186" s="298" t="s">
        <v>123</v>
      </c>
      <c r="J186" s="573">
        <v>18.52</v>
      </c>
      <c r="K186" s="59" t="s">
        <v>3983</v>
      </c>
      <c r="L186" s="571" t="s">
        <v>3897</v>
      </c>
      <c r="M186" s="571" t="s">
        <v>3985</v>
      </c>
      <c r="N186" s="574" t="str">
        <f>IFERROR(INDEX(EquipmentTBL!$H:$H,MATCH(Table5[[#This Row],[Unit'#]],EquipmentTBL!$A:$A,0)),"NONE")</f>
        <v>2HSCUAPR79CO93785</v>
      </c>
      <c r="O186" s="574" t="str">
        <f>IFERROR(INDEX(EquipmentTBL!$C:$C,MATCH(Table5[[#This Row],[Unit'#]],EquipmentTBL!$A:$A,0)),"NONE")</f>
        <v>International</v>
      </c>
      <c r="P186" s="574">
        <f>IFERROR(INDEX(EquipmentTBL!$B:$B,MATCH(Table5[[#This Row],[Unit'#]],EquipmentTBL!$A:$A,0)),"NONE")</f>
        <v>2009</v>
      </c>
      <c r="Q186" s="574" t="str">
        <f>IFERROR(INDEX(EquipmentTBL!$D:$D,MATCH(Table5[[#This Row],[Unit'#]],EquipmentTBL!$A:$A,0)),"NONE")</f>
        <v>Prostar Eagle</v>
      </c>
      <c r="R186" s="575">
        <f>(5-WEEKDAY(A186,2))+A186</f>
        <v>42447</v>
      </c>
      <c r="S186" s="556">
        <f>((5-WEEKDAY(A186,2))+A186)+7</f>
        <v>42454</v>
      </c>
      <c r="T186" s="574">
        <f>MONTH(A186)</f>
        <v>3</v>
      </c>
      <c r="U186" s="574">
        <f>YEAR(R186)</f>
        <v>2016</v>
      </c>
      <c r="V186" s="298"/>
      <c r="Z186"/>
      <c r="AA186"/>
      <c r="AB186"/>
      <c r="AC186"/>
      <c r="AD186"/>
      <c r="AE186"/>
    </row>
    <row r="187" spans="1:31">
      <c r="A187" s="146">
        <v>42444</v>
      </c>
      <c r="B187" s="143" t="s">
        <v>3978</v>
      </c>
      <c r="C187" s="298" t="s">
        <v>3979</v>
      </c>
      <c r="D187" s="145"/>
      <c r="E187" s="298" t="s">
        <v>3980</v>
      </c>
      <c r="F187" s="298" t="s">
        <v>4228</v>
      </c>
      <c r="G187" s="298" t="s">
        <v>4042</v>
      </c>
      <c r="H187" s="171"/>
      <c r="I187" s="298" t="s">
        <v>123</v>
      </c>
      <c r="J187" s="59">
        <v>8</v>
      </c>
      <c r="K187" s="59" t="s">
        <v>3983</v>
      </c>
      <c r="L187" s="298" t="s">
        <v>3984</v>
      </c>
      <c r="M187" s="298" t="s">
        <v>3985</v>
      </c>
      <c r="N187" s="150" t="str">
        <f>IFERROR(INDEX(EquipmentTBL!$H:$H,MATCH(Table5[[#This Row],[Unit'#]],EquipmentTBL!$A:$A,0)),"NONE")</f>
        <v>NONE</v>
      </c>
      <c r="O187" s="150" t="str">
        <f>IFERROR(INDEX(EquipmentTBL!$C:$C,MATCH(Table5[[#This Row],[Unit'#]],EquipmentTBL!$A:$A,0)),"NONE")</f>
        <v>NONE</v>
      </c>
      <c r="P187" s="150" t="str">
        <f>IFERROR(INDEX(EquipmentTBL!$B:$B,MATCH(Table5[[#This Row],[Unit'#]],EquipmentTBL!$A:$A,0)),"NONE")</f>
        <v>NONE</v>
      </c>
      <c r="Q187" s="150" t="str">
        <f>IFERROR(INDEX(EquipmentTBL!$D:$D,MATCH(Table5[[#This Row],[Unit'#]],EquipmentTBL!$A:$A,0)),"NONE")</f>
        <v>NONE</v>
      </c>
      <c r="R187" s="143">
        <f>(5-WEEKDAY(A187,2))+A187</f>
        <v>42447</v>
      </c>
      <c r="S187" s="172">
        <f>((5-WEEKDAY(A187,2))+A187)+7</f>
        <v>42454</v>
      </c>
      <c r="T187" s="150">
        <f>MONTH(A187)</f>
        <v>3</v>
      </c>
      <c r="U187" s="150">
        <f>YEAR(R187)</f>
        <v>2016</v>
      </c>
      <c r="V187" s="298"/>
      <c r="Z187"/>
      <c r="AA187"/>
      <c r="AB187"/>
      <c r="AC187"/>
      <c r="AD187"/>
      <c r="AE187"/>
    </row>
    <row r="188" spans="1:31">
      <c r="A188" s="146">
        <v>42444</v>
      </c>
      <c r="B188" s="143" t="s">
        <v>3978</v>
      </c>
      <c r="C188" s="298" t="s">
        <v>3979</v>
      </c>
      <c r="D188" s="145"/>
      <c r="E188" s="298" t="s">
        <v>3980</v>
      </c>
      <c r="F188" s="298" t="s">
        <v>4229</v>
      </c>
      <c r="G188" s="298" t="s">
        <v>4042</v>
      </c>
      <c r="H188" s="171"/>
      <c r="I188" s="298" t="s">
        <v>123</v>
      </c>
      <c r="J188" s="59">
        <v>11</v>
      </c>
      <c r="K188" s="59" t="s">
        <v>3983</v>
      </c>
      <c r="L188" s="298" t="s">
        <v>3984</v>
      </c>
      <c r="M188" s="298" t="s">
        <v>3985</v>
      </c>
      <c r="N188" s="150" t="str">
        <f>IFERROR(INDEX(EquipmentTBL!$H:$H,MATCH(Table5[[#This Row],[Unit'#]],EquipmentTBL!$A:$A,0)),"NONE")</f>
        <v>NONE</v>
      </c>
      <c r="O188" s="150" t="str">
        <f>IFERROR(INDEX(EquipmentTBL!$C:$C,MATCH(Table5[[#This Row],[Unit'#]],EquipmentTBL!$A:$A,0)),"NONE")</f>
        <v>NONE</v>
      </c>
      <c r="P188" s="150" t="str">
        <f>IFERROR(INDEX(EquipmentTBL!$B:$B,MATCH(Table5[[#This Row],[Unit'#]],EquipmentTBL!$A:$A,0)),"NONE")</f>
        <v>NONE</v>
      </c>
      <c r="Q188" s="150" t="str">
        <f>IFERROR(INDEX(EquipmentTBL!$D:$D,MATCH(Table5[[#This Row],[Unit'#]],EquipmentTBL!$A:$A,0)),"NONE")</f>
        <v>NONE</v>
      </c>
      <c r="R188" s="143">
        <f>(5-WEEKDAY(A188,2))+A188</f>
        <v>42447</v>
      </c>
      <c r="S188" s="172">
        <f>((5-WEEKDAY(A188,2))+A188)+7</f>
        <v>42454</v>
      </c>
      <c r="T188" s="150">
        <f>MONTH(A188)</f>
        <v>3</v>
      </c>
      <c r="U188" s="150">
        <f>YEAR(R188)</f>
        <v>2016</v>
      </c>
      <c r="V188" s="298"/>
      <c r="Z188"/>
      <c r="AA188"/>
      <c r="AB188"/>
      <c r="AC188"/>
      <c r="AD188"/>
      <c r="AE188"/>
    </row>
    <row r="189" spans="1:31">
      <c r="A189" s="570">
        <v>42446</v>
      </c>
      <c r="B189" s="143" t="s">
        <v>3896</v>
      </c>
      <c r="C189" s="298" t="s">
        <v>4002</v>
      </c>
      <c r="D189" s="572">
        <v>48371</v>
      </c>
      <c r="E189" s="571" t="s">
        <v>4006</v>
      </c>
      <c r="F189" s="571" t="s">
        <v>4230</v>
      </c>
      <c r="G189" s="571" t="s">
        <v>4231</v>
      </c>
      <c r="H189" s="171"/>
      <c r="I189" s="298" t="s">
        <v>123</v>
      </c>
      <c r="J189" s="573">
        <v>55.3</v>
      </c>
      <c r="K189" s="59" t="s">
        <v>3983</v>
      </c>
      <c r="L189" s="571" t="s">
        <v>3984</v>
      </c>
      <c r="M189" s="571" t="s">
        <v>3985</v>
      </c>
      <c r="N189" s="574" t="str">
        <f>IFERROR(INDEX(EquipmentTBL!$H:$H,MATCH(Table5[[#This Row],[Unit'#]],EquipmentTBL!$A:$A,0)),"NONE")</f>
        <v>2HSCUAPR79CO93785</v>
      </c>
      <c r="O189" s="574" t="str">
        <f>IFERROR(INDEX(EquipmentTBL!$C:$C,MATCH(Table5[[#This Row],[Unit'#]],EquipmentTBL!$A:$A,0)),"NONE")</f>
        <v>International</v>
      </c>
      <c r="P189" s="574">
        <f>IFERROR(INDEX(EquipmentTBL!$B:$B,MATCH(Table5[[#This Row],[Unit'#]],EquipmentTBL!$A:$A,0)),"NONE")</f>
        <v>2009</v>
      </c>
      <c r="Q189" s="574" t="str">
        <f>IFERROR(INDEX(EquipmentTBL!$D:$D,MATCH(Table5[[#This Row],[Unit'#]],EquipmentTBL!$A:$A,0)),"NONE")</f>
        <v>Prostar Eagle</v>
      </c>
      <c r="R189" s="575">
        <f>(5-WEEKDAY(A189,2))+A189</f>
        <v>42447</v>
      </c>
      <c r="S189" s="556">
        <f>((5-WEEKDAY(A189,2))+A189)+7</f>
        <v>42454</v>
      </c>
      <c r="T189" s="574">
        <f>MONTH(A189)</f>
        <v>3</v>
      </c>
      <c r="U189" s="574">
        <f>YEAR(R189)</f>
        <v>2016</v>
      </c>
      <c r="V189" s="298"/>
      <c r="Z189"/>
      <c r="AA189"/>
      <c r="AB189"/>
      <c r="AC189"/>
      <c r="AD189"/>
      <c r="AE189"/>
    </row>
    <row r="190" spans="1:31">
      <c r="A190" s="146">
        <v>42451</v>
      </c>
      <c r="B190" s="143" t="s">
        <v>3978</v>
      </c>
      <c r="C190" s="298" t="s">
        <v>3979</v>
      </c>
      <c r="D190" s="145"/>
      <c r="E190" s="298" t="s">
        <v>3980</v>
      </c>
      <c r="F190" s="298" t="s">
        <v>4178</v>
      </c>
      <c r="G190" s="298" t="s">
        <v>4179</v>
      </c>
      <c r="H190" s="171"/>
      <c r="I190" s="298" t="s">
        <v>123</v>
      </c>
      <c r="J190" s="59">
        <v>35.299999999999997</v>
      </c>
      <c r="K190" s="59" t="s">
        <v>3983</v>
      </c>
      <c r="L190" s="298" t="s">
        <v>3984</v>
      </c>
      <c r="M190" s="298" t="s">
        <v>3985</v>
      </c>
      <c r="N190" s="150" t="str">
        <f>IFERROR(INDEX(EquipmentTBL!$H:$H,MATCH(Table5[[#This Row],[Unit'#]],EquipmentTBL!$A:$A,0)),"NONE")</f>
        <v>NONE</v>
      </c>
      <c r="O190" s="150" t="str">
        <f>IFERROR(INDEX(EquipmentTBL!$C:$C,MATCH(Table5[[#This Row],[Unit'#]],EquipmentTBL!$A:$A,0)),"NONE")</f>
        <v>NONE</v>
      </c>
      <c r="P190" s="150" t="str">
        <f>IFERROR(INDEX(EquipmentTBL!$B:$B,MATCH(Table5[[#This Row],[Unit'#]],EquipmentTBL!$A:$A,0)),"NONE")</f>
        <v>NONE</v>
      </c>
      <c r="Q190" s="150" t="str">
        <f>IFERROR(INDEX(EquipmentTBL!$D:$D,MATCH(Table5[[#This Row],[Unit'#]],EquipmentTBL!$A:$A,0)),"NONE")</f>
        <v>NONE</v>
      </c>
      <c r="R190" s="143">
        <f>(5-WEEKDAY(A190,2))+A190</f>
        <v>42454</v>
      </c>
      <c r="S190" s="172">
        <f>((5-WEEKDAY(A190,2))+A190)+7</f>
        <v>42461</v>
      </c>
      <c r="T190" s="150">
        <f>MONTH(A190)</f>
        <v>3</v>
      </c>
      <c r="U190" s="150">
        <f>YEAR(R190)</f>
        <v>2016</v>
      </c>
      <c r="V190" s="298"/>
      <c r="Z190"/>
      <c r="AA190"/>
      <c r="AB190"/>
      <c r="AC190"/>
      <c r="AD190"/>
      <c r="AE190"/>
    </row>
    <row r="191" spans="1:31">
      <c r="A191" s="570">
        <v>42455</v>
      </c>
      <c r="B191" s="143" t="s">
        <v>3978</v>
      </c>
      <c r="C191" s="298" t="s">
        <v>3990</v>
      </c>
      <c r="D191" s="572">
        <v>755250649</v>
      </c>
      <c r="E191" s="571" t="s">
        <v>3980</v>
      </c>
      <c r="F191" s="571" t="s">
        <v>4232</v>
      </c>
      <c r="G191" s="571" t="s">
        <v>4233</v>
      </c>
      <c r="H191" s="171"/>
      <c r="I191" s="298" t="s">
        <v>123</v>
      </c>
      <c r="J191" s="573">
        <v>87.56</v>
      </c>
      <c r="K191" s="59" t="s">
        <v>3983</v>
      </c>
      <c r="L191" s="571" t="s">
        <v>3984</v>
      </c>
      <c r="M191" s="571" t="s">
        <v>3985</v>
      </c>
      <c r="N191" s="574" t="str">
        <f>IFERROR(INDEX(EquipmentTBL!$H:$H,MATCH(Table5[[#This Row],[Unit'#]],EquipmentTBL!$A:$A,0)),"NONE")</f>
        <v>NONE</v>
      </c>
      <c r="O191" s="574" t="str">
        <f>IFERROR(INDEX(EquipmentTBL!$C:$C,MATCH(Table5[[#This Row],[Unit'#]],EquipmentTBL!$A:$A,0)),"NONE")</f>
        <v>NONE</v>
      </c>
      <c r="P191" s="574" t="str">
        <f>IFERROR(INDEX(EquipmentTBL!$B:$B,MATCH(Table5[[#This Row],[Unit'#]],EquipmentTBL!$A:$A,0)),"NONE")</f>
        <v>NONE</v>
      </c>
      <c r="Q191" s="574" t="str">
        <f>IFERROR(INDEX(EquipmentTBL!$D:$D,MATCH(Table5[[#This Row],[Unit'#]],EquipmentTBL!$A:$A,0)),"NONE")</f>
        <v>NONE</v>
      </c>
      <c r="R191" s="575">
        <f>(5-WEEKDAY(A191,2))+A191</f>
        <v>42454</v>
      </c>
      <c r="S191" s="556">
        <f>((5-WEEKDAY(A191,2))+A191)+7</f>
        <v>42461</v>
      </c>
      <c r="T191" s="574">
        <f>MONTH(A191)</f>
        <v>3</v>
      </c>
      <c r="U191" s="574">
        <f>YEAR(R191)</f>
        <v>2016</v>
      </c>
      <c r="V191" s="298"/>
      <c r="Z191"/>
      <c r="AA191"/>
      <c r="AB191"/>
      <c r="AC191"/>
      <c r="AD191"/>
      <c r="AE191"/>
    </row>
    <row r="192" spans="1:31">
      <c r="A192" s="570">
        <v>42455</v>
      </c>
      <c r="B192" s="143" t="s">
        <v>3896</v>
      </c>
      <c r="C192" s="298" t="s">
        <v>4002</v>
      </c>
      <c r="D192" s="572">
        <v>5603746</v>
      </c>
      <c r="E192" s="571" t="s">
        <v>4006</v>
      </c>
      <c r="F192" s="571" t="s">
        <v>4234</v>
      </c>
      <c r="G192" s="571" t="s">
        <v>4174</v>
      </c>
      <c r="H192" s="171"/>
      <c r="I192" s="298" t="s">
        <v>123</v>
      </c>
      <c r="J192" s="573">
        <v>19.989999999999998</v>
      </c>
      <c r="K192" s="59" t="s">
        <v>3983</v>
      </c>
      <c r="L192" s="571" t="s">
        <v>3897</v>
      </c>
      <c r="M192" s="571" t="s">
        <v>3985</v>
      </c>
      <c r="N192" s="574" t="str">
        <f>IFERROR(INDEX(EquipmentTBL!$H:$H,MATCH(Table5[[#This Row],[Unit'#]],EquipmentTBL!$A:$A,0)),"NONE")</f>
        <v>2HSCUAPR79CO93785</v>
      </c>
      <c r="O192" s="574" t="str">
        <f>IFERROR(INDEX(EquipmentTBL!$C:$C,MATCH(Table5[[#This Row],[Unit'#]],EquipmentTBL!$A:$A,0)),"NONE")</f>
        <v>International</v>
      </c>
      <c r="P192" s="574">
        <f>IFERROR(INDEX(EquipmentTBL!$B:$B,MATCH(Table5[[#This Row],[Unit'#]],EquipmentTBL!$A:$A,0)),"NONE")</f>
        <v>2009</v>
      </c>
      <c r="Q192" s="574" t="str">
        <f>IFERROR(INDEX(EquipmentTBL!$D:$D,MATCH(Table5[[#This Row],[Unit'#]],EquipmentTBL!$A:$A,0)),"NONE")</f>
        <v>Prostar Eagle</v>
      </c>
      <c r="R192" s="575">
        <f>(5-WEEKDAY(A192,2))+A192</f>
        <v>42454</v>
      </c>
      <c r="S192" s="556">
        <f>((5-WEEKDAY(A192,2))+A192)+7</f>
        <v>42461</v>
      </c>
      <c r="T192" s="574">
        <f>MONTH(A192)</f>
        <v>3</v>
      </c>
      <c r="U192" s="574">
        <f>YEAR(R192)</f>
        <v>2016</v>
      </c>
      <c r="V192" s="298"/>
      <c r="Z192"/>
      <c r="AA192"/>
      <c r="AB192"/>
      <c r="AC192"/>
      <c r="AD192"/>
      <c r="AE192"/>
    </row>
    <row r="193" spans="1:31">
      <c r="A193" s="570">
        <v>42458</v>
      </c>
      <c r="B193" s="143" t="s">
        <v>3863</v>
      </c>
      <c r="C193" s="298" t="s">
        <v>4002</v>
      </c>
      <c r="D193" s="572">
        <v>715315</v>
      </c>
      <c r="E193" s="571" t="s">
        <v>4006</v>
      </c>
      <c r="F193" s="571" t="s">
        <v>4235</v>
      </c>
      <c r="G193" s="571" t="s">
        <v>4236</v>
      </c>
      <c r="H193" s="171"/>
      <c r="I193" s="298" t="s">
        <v>123</v>
      </c>
      <c r="J193" s="573">
        <v>16.12</v>
      </c>
      <c r="K193" s="59" t="s">
        <v>3983</v>
      </c>
      <c r="L193" s="571" t="s">
        <v>3984</v>
      </c>
      <c r="M193" s="571" t="s">
        <v>3985</v>
      </c>
      <c r="N193" s="574" t="str">
        <f>IFERROR(INDEX(EquipmentTBL!$H:$H,MATCH(Table5[[#This Row],[Unit'#]],EquipmentTBL!$A:$A,0)),"NONE")</f>
        <v>2HSCUAPR88C657099</v>
      </c>
      <c r="O193" s="574" t="str">
        <f>IFERROR(INDEX(EquipmentTBL!$C:$C,MATCH(Table5[[#This Row],[Unit'#]],EquipmentTBL!$A:$A,0)),"NONE")</f>
        <v>International</v>
      </c>
      <c r="P193" s="574">
        <f>IFERROR(INDEX(EquipmentTBL!$B:$B,MATCH(Table5[[#This Row],[Unit'#]],EquipmentTBL!$A:$A,0)),"NONE")</f>
        <v>2008</v>
      </c>
      <c r="Q193" s="574" t="str">
        <f>IFERROR(INDEX(EquipmentTBL!$D:$D,MATCH(Table5[[#This Row],[Unit'#]],EquipmentTBL!$A:$A,0)),"NONE")</f>
        <v>Prostar Eagle</v>
      </c>
      <c r="R193" s="575">
        <f>(5-WEEKDAY(A193,2))+A193</f>
        <v>42461</v>
      </c>
      <c r="S193" s="556">
        <f>((5-WEEKDAY(A193,2))+A193)+7</f>
        <v>42468</v>
      </c>
      <c r="T193" s="574">
        <f>MONTH(A193)</f>
        <v>3</v>
      </c>
      <c r="U193" s="574">
        <f>YEAR(R193)</f>
        <v>2016</v>
      </c>
      <c r="V193" s="298"/>
      <c r="Z193"/>
      <c r="AA193"/>
      <c r="AB193"/>
      <c r="AC193"/>
      <c r="AD193"/>
      <c r="AE193"/>
    </row>
    <row r="194" spans="1:31">
      <c r="A194" s="570">
        <v>42461</v>
      </c>
      <c r="B194" s="143" t="s">
        <v>3863</v>
      </c>
      <c r="C194" s="298" t="s">
        <v>3979</v>
      </c>
      <c r="D194" s="572">
        <v>7042</v>
      </c>
      <c r="E194" s="571" t="s">
        <v>3980</v>
      </c>
      <c r="F194" s="571" t="s">
        <v>4237</v>
      </c>
      <c r="G194" s="571" t="s">
        <v>4048</v>
      </c>
      <c r="H194" s="171"/>
      <c r="I194" s="298" t="s">
        <v>123</v>
      </c>
      <c r="J194" s="573">
        <v>60</v>
      </c>
      <c r="K194" s="59" t="s">
        <v>3983</v>
      </c>
      <c r="L194" s="571" t="s">
        <v>3984</v>
      </c>
      <c r="M194" s="571" t="s">
        <v>3985</v>
      </c>
      <c r="N194" s="574" t="str">
        <f>IFERROR(INDEX(EquipmentTBL!$H:$H,MATCH(Table5[[#This Row],[Unit'#]],EquipmentTBL!$A:$A,0)),"NONE")</f>
        <v>2HSCUAPR88C657099</v>
      </c>
      <c r="O194" s="574" t="str">
        <f>IFERROR(INDEX(EquipmentTBL!$C:$C,MATCH(Table5[[#This Row],[Unit'#]],EquipmentTBL!$A:$A,0)),"NONE")</f>
        <v>International</v>
      </c>
      <c r="P194" s="574">
        <f>IFERROR(INDEX(EquipmentTBL!$B:$B,MATCH(Table5[[#This Row],[Unit'#]],EquipmentTBL!$A:$A,0)),"NONE")</f>
        <v>2008</v>
      </c>
      <c r="Q194" s="574" t="str">
        <f>IFERROR(INDEX(EquipmentTBL!$D:$D,MATCH(Table5[[#This Row],[Unit'#]],EquipmentTBL!$A:$A,0)),"NONE")</f>
        <v>Prostar Eagle</v>
      </c>
      <c r="R194" s="575">
        <f>(5-WEEKDAY(A194,2))+A194</f>
        <v>42461</v>
      </c>
      <c r="S194" s="556">
        <f>((5-WEEKDAY(A194,2))+A194)+7</f>
        <v>42468</v>
      </c>
      <c r="T194" s="574">
        <f>MONTH(A194)</f>
        <v>4</v>
      </c>
      <c r="U194" s="574">
        <f>YEAR(R194)</f>
        <v>2016</v>
      </c>
      <c r="V194" s="298"/>
      <c r="Z194"/>
      <c r="AA194"/>
      <c r="AB194"/>
      <c r="AC194"/>
      <c r="AD194"/>
      <c r="AE194"/>
    </row>
    <row r="195" spans="1:31">
      <c r="A195" s="570">
        <v>42461</v>
      </c>
      <c r="B195" s="143" t="s">
        <v>3863</v>
      </c>
      <c r="C195" s="298" t="s">
        <v>3997</v>
      </c>
      <c r="D195" s="572"/>
      <c r="E195" s="571" t="s">
        <v>3980</v>
      </c>
      <c r="F195" s="571" t="s">
        <v>4000</v>
      </c>
      <c r="G195" s="571" t="s">
        <v>3999</v>
      </c>
      <c r="H195" s="171"/>
      <c r="I195" s="298" t="s">
        <v>123</v>
      </c>
      <c r="J195" s="573">
        <v>125</v>
      </c>
      <c r="K195" s="59" t="s">
        <v>3983</v>
      </c>
      <c r="L195" s="571" t="s">
        <v>3984</v>
      </c>
      <c r="M195" s="571" t="s">
        <v>3985</v>
      </c>
      <c r="N195" s="574" t="str">
        <f>IFERROR(INDEX(EquipmentTBL!$H:$H,MATCH(Table5[[#This Row],[Unit'#]],EquipmentTBL!$A:$A,0)),"NONE")</f>
        <v>2HSCUAPR88C657099</v>
      </c>
      <c r="O195" s="574" t="str">
        <f>IFERROR(INDEX(EquipmentTBL!$C:$C,MATCH(Table5[[#This Row],[Unit'#]],EquipmentTBL!$A:$A,0)),"NONE")</f>
        <v>International</v>
      </c>
      <c r="P195" s="574">
        <f>IFERROR(INDEX(EquipmentTBL!$B:$B,MATCH(Table5[[#This Row],[Unit'#]],EquipmentTBL!$A:$A,0)),"NONE")</f>
        <v>2008</v>
      </c>
      <c r="Q195" s="574" t="str">
        <f>IFERROR(INDEX(EquipmentTBL!$D:$D,MATCH(Table5[[#This Row],[Unit'#]],EquipmentTBL!$A:$A,0)),"NONE")</f>
        <v>Prostar Eagle</v>
      </c>
      <c r="R195" s="575">
        <f>(5-WEEKDAY(A195,2))+A195</f>
        <v>42461</v>
      </c>
      <c r="S195" s="556">
        <f>((5-WEEKDAY(A195,2))+A195)+7</f>
        <v>42468</v>
      </c>
      <c r="T195" s="574">
        <f>MONTH(A195)</f>
        <v>4</v>
      </c>
      <c r="U195" s="574">
        <f>YEAR(R195)</f>
        <v>2016</v>
      </c>
      <c r="V195" s="298"/>
      <c r="Z195"/>
      <c r="AA195"/>
      <c r="AB195"/>
      <c r="AC195"/>
      <c r="AD195"/>
      <c r="AE195"/>
    </row>
    <row r="196" spans="1:31">
      <c r="A196" s="570">
        <v>42461</v>
      </c>
      <c r="B196" s="143" t="s">
        <v>3896</v>
      </c>
      <c r="C196" s="298" t="s">
        <v>3997</v>
      </c>
      <c r="D196" s="572"/>
      <c r="E196" s="571" t="s">
        <v>3980</v>
      </c>
      <c r="F196" s="571" t="s">
        <v>4000</v>
      </c>
      <c r="G196" s="571" t="s">
        <v>3999</v>
      </c>
      <c r="H196" s="171"/>
      <c r="I196" s="298" t="s">
        <v>123</v>
      </c>
      <c r="J196" s="573">
        <v>125</v>
      </c>
      <c r="K196" s="59" t="s">
        <v>3983</v>
      </c>
      <c r="L196" s="571" t="s">
        <v>3984</v>
      </c>
      <c r="M196" s="571" t="s">
        <v>3985</v>
      </c>
      <c r="N196" s="574" t="str">
        <f>IFERROR(INDEX(EquipmentTBL!$H:$H,MATCH(Table5[[#This Row],[Unit'#]],EquipmentTBL!$A:$A,0)),"NONE")</f>
        <v>2HSCUAPR79CO93785</v>
      </c>
      <c r="O196" s="574" t="str">
        <f>IFERROR(INDEX(EquipmentTBL!$C:$C,MATCH(Table5[[#This Row],[Unit'#]],EquipmentTBL!$A:$A,0)),"NONE")</f>
        <v>International</v>
      </c>
      <c r="P196" s="574">
        <f>IFERROR(INDEX(EquipmentTBL!$B:$B,MATCH(Table5[[#This Row],[Unit'#]],EquipmentTBL!$A:$A,0)),"NONE")</f>
        <v>2009</v>
      </c>
      <c r="Q196" s="574" t="str">
        <f>IFERROR(INDEX(EquipmentTBL!$D:$D,MATCH(Table5[[#This Row],[Unit'#]],EquipmentTBL!$A:$A,0)),"NONE")</f>
        <v>Prostar Eagle</v>
      </c>
      <c r="R196" s="575">
        <f>(5-WEEKDAY(A196,2))+A196</f>
        <v>42461</v>
      </c>
      <c r="S196" s="556">
        <f>((5-WEEKDAY(A196,2))+A196)+7</f>
        <v>42468</v>
      </c>
      <c r="T196" s="574">
        <f>MONTH(A196)</f>
        <v>4</v>
      </c>
      <c r="U196" s="574">
        <f>YEAR(R196)</f>
        <v>2016</v>
      </c>
      <c r="V196" s="298"/>
      <c r="Z196"/>
      <c r="AA196"/>
      <c r="AB196"/>
      <c r="AC196"/>
      <c r="AD196"/>
      <c r="AE196"/>
    </row>
    <row r="197" spans="1:31">
      <c r="A197" s="570">
        <v>42465</v>
      </c>
      <c r="B197" s="143" t="s">
        <v>3896</v>
      </c>
      <c r="C197" s="298" t="s">
        <v>4002</v>
      </c>
      <c r="D197" s="572">
        <v>7381</v>
      </c>
      <c r="E197" s="571" t="s">
        <v>4039</v>
      </c>
      <c r="F197" s="571" t="s">
        <v>4238</v>
      </c>
      <c r="G197" s="571" t="s">
        <v>4019</v>
      </c>
      <c r="H197" s="171"/>
      <c r="I197" s="298">
        <v>4</v>
      </c>
      <c r="J197" s="573">
        <v>1650</v>
      </c>
      <c r="K197" s="59" t="s">
        <v>3983</v>
      </c>
      <c r="L197" s="571" t="s">
        <v>3984</v>
      </c>
      <c r="M197" s="571" t="s">
        <v>3985</v>
      </c>
      <c r="N197" s="574" t="str">
        <f>IFERROR(INDEX(EquipmentTBL!$H:$H,MATCH(Table5[[#This Row],[Unit'#]],EquipmentTBL!$A:$A,0)),"NONE")</f>
        <v>2HSCUAPR79CO93785</v>
      </c>
      <c r="O197" s="574" t="str">
        <f>IFERROR(INDEX(EquipmentTBL!$C:$C,MATCH(Table5[[#This Row],[Unit'#]],EquipmentTBL!$A:$A,0)),"NONE")</f>
        <v>International</v>
      </c>
      <c r="P197" s="574">
        <f>IFERROR(INDEX(EquipmentTBL!$B:$B,MATCH(Table5[[#This Row],[Unit'#]],EquipmentTBL!$A:$A,0)),"NONE")</f>
        <v>2009</v>
      </c>
      <c r="Q197" s="574" t="str">
        <f>IFERROR(INDEX(EquipmentTBL!$D:$D,MATCH(Table5[[#This Row],[Unit'#]],EquipmentTBL!$A:$A,0)),"NONE")</f>
        <v>Prostar Eagle</v>
      </c>
      <c r="R197" s="575">
        <f>(5-WEEKDAY(A197,2))+A197</f>
        <v>42468</v>
      </c>
      <c r="S197" s="556">
        <f>((5-WEEKDAY(A197,2))+A197)+7</f>
        <v>42475</v>
      </c>
      <c r="T197" s="574">
        <f>MONTH(A197)</f>
        <v>4</v>
      </c>
      <c r="U197" s="574">
        <f>YEAR(R197)</f>
        <v>2016</v>
      </c>
      <c r="V197" s="298"/>
      <c r="Z197"/>
      <c r="AA197"/>
      <c r="AB197"/>
      <c r="AC197"/>
      <c r="AD197"/>
      <c r="AE197"/>
    </row>
    <row r="198" spans="1:31">
      <c r="A198" s="570">
        <v>42465</v>
      </c>
      <c r="B198" s="143" t="s">
        <v>3896</v>
      </c>
      <c r="C198" s="298" t="s">
        <v>4002</v>
      </c>
      <c r="D198" s="572">
        <v>7381</v>
      </c>
      <c r="E198" s="571" t="s">
        <v>4028</v>
      </c>
      <c r="F198" s="571" t="s">
        <v>4239</v>
      </c>
      <c r="G198" s="571" t="s">
        <v>4019</v>
      </c>
      <c r="H198" s="171"/>
      <c r="I198" s="298" t="s">
        <v>123</v>
      </c>
      <c r="J198" s="573">
        <v>1830</v>
      </c>
      <c r="K198" s="59" t="s">
        <v>3983</v>
      </c>
      <c r="L198" s="571" t="s">
        <v>3984</v>
      </c>
      <c r="M198" s="571" t="s">
        <v>3985</v>
      </c>
      <c r="N198" s="574" t="str">
        <f>IFERROR(INDEX(EquipmentTBL!$H:$H,MATCH(Table5[[#This Row],[Unit'#]],EquipmentTBL!$A:$A,0)),"NONE")</f>
        <v>2HSCUAPR79CO93785</v>
      </c>
      <c r="O198" s="574" t="str">
        <f>IFERROR(INDEX(EquipmentTBL!$C:$C,MATCH(Table5[[#This Row],[Unit'#]],EquipmentTBL!$A:$A,0)),"NONE")</f>
        <v>International</v>
      </c>
      <c r="P198" s="574">
        <f>IFERROR(INDEX(EquipmentTBL!$B:$B,MATCH(Table5[[#This Row],[Unit'#]],EquipmentTBL!$A:$A,0)),"NONE")</f>
        <v>2009</v>
      </c>
      <c r="Q198" s="574" t="str">
        <f>IFERROR(INDEX(EquipmentTBL!$D:$D,MATCH(Table5[[#This Row],[Unit'#]],EquipmentTBL!$A:$A,0)),"NONE")</f>
        <v>Prostar Eagle</v>
      </c>
      <c r="R198" s="575">
        <f>(5-WEEKDAY(A198,2))+A198</f>
        <v>42468</v>
      </c>
      <c r="S198" s="556">
        <f>((5-WEEKDAY(A198,2))+A198)+7</f>
        <v>42475</v>
      </c>
      <c r="T198" s="574">
        <f>MONTH(A198)</f>
        <v>4</v>
      </c>
      <c r="U198" s="574">
        <f>YEAR(R198)</f>
        <v>2016</v>
      </c>
      <c r="V198" s="298"/>
      <c r="Z198"/>
      <c r="AA198"/>
      <c r="AB198"/>
      <c r="AC198"/>
      <c r="AD198"/>
      <c r="AE198"/>
    </row>
    <row r="199" spans="1:31">
      <c r="A199" s="570">
        <v>42466</v>
      </c>
      <c r="B199" s="143" t="s">
        <v>3896</v>
      </c>
      <c r="C199" s="298" t="s">
        <v>4002</v>
      </c>
      <c r="D199" s="572" t="s">
        <v>4240</v>
      </c>
      <c r="E199" s="571" t="s">
        <v>4028</v>
      </c>
      <c r="F199" s="571" t="s">
        <v>4241</v>
      </c>
      <c r="G199" s="571" t="s">
        <v>4242</v>
      </c>
      <c r="H199" s="171"/>
      <c r="I199" s="298" t="s">
        <v>123</v>
      </c>
      <c r="J199" s="573">
        <v>4301.4799999999996</v>
      </c>
      <c r="K199" s="59" t="s">
        <v>3983</v>
      </c>
      <c r="L199" s="571" t="s">
        <v>3984</v>
      </c>
      <c r="M199" s="571" t="s">
        <v>3985</v>
      </c>
      <c r="N199" s="574" t="str">
        <f>IFERROR(INDEX(EquipmentTBL!$H:$H,MATCH(Table5[[#This Row],[Unit'#]],EquipmentTBL!$A:$A,0)),"NONE")</f>
        <v>2HSCUAPR79CO93785</v>
      </c>
      <c r="O199" s="574" t="str">
        <f>IFERROR(INDEX(EquipmentTBL!$C:$C,MATCH(Table5[[#This Row],[Unit'#]],EquipmentTBL!$A:$A,0)),"NONE")</f>
        <v>International</v>
      </c>
      <c r="P199" s="574">
        <f>IFERROR(INDEX(EquipmentTBL!$B:$B,MATCH(Table5[[#This Row],[Unit'#]],EquipmentTBL!$A:$A,0)),"NONE")</f>
        <v>2009</v>
      </c>
      <c r="Q199" s="574" t="str">
        <f>IFERROR(INDEX(EquipmentTBL!$D:$D,MATCH(Table5[[#This Row],[Unit'#]],EquipmentTBL!$A:$A,0)),"NONE")</f>
        <v>Prostar Eagle</v>
      </c>
      <c r="R199" s="575">
        <f>(5-WEEKDAY(A199,2))+A199</f>
        <v>42468</v>
      </c>
      <c r="S199" s="556">
        <f>((5-WEEKDAY(A199,2))+A199)+7</f>
        <v>42475</v>
      </c>
      <c r="T199" s="574">
        <f>MONTH(A199)</f>
        <v>4</v>
      </c>
      <c r="U199" s="574">
        <f>YEAR(R199)</f>
        <v>2016</v>
      </c>
      <c r="V199" s="298"/>
      <c r="Z199"/>
      <c r="AA199"/>
      <c r="AB199"/>
      <c r="AC199"/>
      <c r="AD199"/>
      <c r="AE199"/>
    </row>
    <row r="200" spans="1:31">
      <c r="A200" s="570">
        <v>42466</v>
      </c>
      <c r="B200" s="143" t="s">
        <v>3978</v>
      </c>
      <c r="C200" s="298" t="s">
        <v>3979</v>
      </c>
      <c r="D200" s="572"/>
      <c r="E200" s="571" t="s">
        <v>3980</v>
      </c>
      <c r="F200" s="571" t="s">
        <v>4243</v>
      </c>
      <c r="G200" s="571" t="s">
        <v>4090</v>
      </c>
      <c r="H200" s="171"/>
      <c r="I200" s="298" t="s">
        <v>123</v>
      </c>
      <c r="J200" s="573">
        <v>302.7</v>
      </c>
      <c r="K200" s="59" t="s">
        <v>3983</v>
      </c>
      <c r="L200" s="298" t="s">
        <v>3984</v>
      </c>
      <c r="M200" s="298" t="s">
        <v>3985</v>
      </c>
      <c r="N200" s="574" t="str">
        <f>IFERROR(INDEX(EquipmentTBL!$H:$H,MATCH(Table5[[#This Row],[Unit'#]],EquipmentTBL!$A:$A,0)),"NONE")</f>
        <v>NONE</v>
      </c>
      <c r="O200" s="574" t="str">
        <f>IFERROR(INDEX(EquipmentTBL!$C:$C,MATCH(Table5[[#This Row],[Unit'#]],EquipmentTBL!$A:$A,0)),"NONE")</f>
        <v>NONE</v>
      </c>
      <c r="P200" s="574" t="str">
        <f>IFERROR(INDEX(EquipmentTBL!$B:$B,MATCH(Table5[[#This Row],[Unit'#]],EquipmentTBL!$A:$A,0)),"NONE")</f>
        <v>NONE</v>
      </c>
      <c r="Q200" s="574" t="str">
        <f>IFERROR(INDEX(EquipmentTBL!$D:$D,MATCH(Table5[[#This Row],[Unit'#]],EquipmentTBL!$A:$A,0)),"NONE")</f>
        <v>NONE</v>
      </c>
      <c r="R200" s="575">
        <f>(5-WEEKDAY(A200,2))+A200</f>
        <v>42468</v>
      </c>
      <c r="S200" s="556">
        <f>((5-WEEKDAY(A200,2))+A200)+7</f>
        <v>42475</v>
      </c>
      <c r="T200" s="574">
        <f>MONTH(A200)</f>
        <v>4</v>
      </c>
      <c r="U200" s="574">
        <f>YEAR(R200)</f>
        <v>2016</v>
      </c>
      <c r="V200" s="298"/>
      <c r="Z200"/>
      <c r="AA200"/>
      <c r="AB200"/>
      <c r="AC200"/>
      <c r="AD200"/>
      <c r="AE200"/>
    </row>
    <row r="201" spans="1:31">
      <c r="A201" s="570">
        <v>42469</v>
      </c>
      <c r="B201" s="143" t="s">
        <v>3863</v>
      </c>
      <c r="C201" s="298" t="s">
        <v>4002</v>
      </c>
      <c r="D201" s="572">
        <v>210</v>
      </c>
      <c r="E201" s="298" t="s">
        <v>4039</v>
      </c>
      <c r="F201" s="298" t="s">
        <v>4040</v>
      </c>
      <c r="G201" s="571" t="s">
        <v>4244</v>
      </c>
      <c r="H201" s="171"/>
      <c r="I201" s="298" t="s">
        <v>123</v>
      </c>
      <c r="J201" s="573">
        <v>1700</v>
      </c>
      <c r="K201" s="59" t="s">
        <v>3983</v>
      </c>
      <c r="L201" s="571" t="s">
        <v>3984</v>
      </c>
      <c r="M201" s="571" t="s">
        <v>3985</v>
      </c>
      <c r="N201" s="574" t="str">
        <f>IFERROR(INDEX(EquipmentTBL!$H:$H,MATCH(Table5[[#This Row],[Unit'#]],EquipmentTBL!$A:$A,0)),"NONE")</f>
        <v>2HSCUAPR88C657099</v>
      </c>
      <c r="O201" s="574" t="str">
        <f>IFERROR(INDEX(EquipmentTBL!$C:$C,MATCH(Table5[[#This Row],[Unit'#]],EquipmentTBL!$A:$A,0)),"NONE")</f>
        <v>International</v>
      </c>
      <c r="P201" s="574">
        <f>IFERROR(INDEX(EquipmentTBL!$B:$B,MATCH(Table5[[#This Row],[Unit'#]],EquipmentTBL!$A:$A,0)),"NONE")</f>
        <v>2008</v>
      </c>
      <c r="Q201" s="574" t="str">
        <f>IFERROR(INDEX(EquipmentTBL!$D:$D,MATCH(Table5[[#This Row],[Unit'#]],EquipmentTBL!$A:$A,0)),"NONE")</f>
        <v>Prostar Eagle</v>
      </c>
      <c r="R201" s="575">
        <f>(5-WEEKDAY(A201,2))+A201</f>
        <v>42468</v>
      </c>
      <c r="S201" s="556">
        <f>((5-WEEKDAY(A201,2))+A201)+7</f>
        <v>42475</v>
      </c>
      <c r="T201" s="574">
        <f>MONTH(A201)</f>
        <v>4</v>
      </c>
      <c r="U201" s="574">
        <f>YEAR(R201)</f>
        <v>2016</v>
      </c>
      <c r="V201" s="298"/>
      <c r="Z201"/>
      <c r="AA201"/>
      <c r="AB201"/>
      <c r="AC201"/>
      <c r="AD201"/>
      <c r="AE201"/>
    </row>
    <row r="202" spans="1:31">
      <c r="A202" s="570">
        <v>42469</v>
      </c>
      <c r="B202" s="143" t="s">
        <v>3978</v>
      </c>
      <c r="C202" s="298" t="s">
        <v>3990</v>
      </c>
      <c r="D202" s="572">
        <v>2500</v>
      </c>
      <c r="E202" s="571" t="s">
        <v>3980</v>
      </c>
      <c r="F202" s="571" t="s">
        <v>4232</v>
      </c>
      <c r="G202" s="571" t="s">
        <v>4026</v>
      </c>
      <c r="H202" s="171"/>
      <c r="I202" s="298" t="s">
        <v>123</v>
      </c>
      <c r="J202" s="573">
        <v>45.26</v>
      </c>
      <c r="K202" s="59" t="s">
        <v>3983</v>
      </c>
      <c r="L202" s="571" t="s">
        <v>3984</v>
      </c>
      <c r="M202" s="571" t="s">
        <v>3985</v>
      </c>
      <c r="N202" s="574" t="str">
        <f>IFERROR(INDEX(EquipmentTBL!$H:$H,MATCH(Table5[[#This Row],[Unit'#]],EquipmentTBL!$A:$A,0)),"NONE")</f>
        <v>NONE</v>
      </c>
      <c r="O202" s="574" t="str">
        <f>IFERROR(INDEX(EquipmentTBL!$C:$C,MATCH(Table5[[#This Row],[Unit'#]],EquipmentTBL!$A:$A,0)),"NONE")</f>
        <v>NONE</v>
      </c>
      <c r="P202" s="574" t="str">
        <f>IFERROR(INDEX(EquipmentTBL!$B:$B,MATCH(Table5[[#This Row],[Unit'#]],EquipmentTBL!$A:$A,0)),"NONE")</f>
        <v>NONE</v>
      </c>
      <c r="Q202" s="574" t="str">
        <f>IFERROR(INDEX(EquipmentTBL!$D:$D,MATCH(Table5[[#This Row],[Unit'#]],EquipmentTBL!$A:$A,0)),"NONE")</f>
        <v>NONE</v>
      </c>
      <c r="R202" s="575">
        <f>(5-WEEKDAY(A202,2))+A202</f>
        <v>42468</v>
      </c>
      <c r="S202" s="556">
        <f>((5-WEEKDAY(A202,2))+A202)+7</f>
        <v>42475</v>
      </c>
      <c r="T202" s="574">
        <f>MONTH(A202)</f>
        <v>4</v>
      </c>
      <c r="U202" s="574">
        <f>YEAR(R202)</f>
        <v>2016</v>
      </c>
      <c r="V202" s="298"/>
      <c r="Z202"/>
      <c r="AA202"/>
      <c r="AB202"/>
      <c r="AC202"/>
      <c r="AD202"/>
      <c r="AE202"/>
    </row>
    <row r="203" spans="1:31">
      <c r="A203" s="570">
        <v>42469</v>
      </c>
      <c r="B203" s="143" t="s">
        <v>3863</v>
      </c>
      <c r="C203" s="298" t="s">
        <v>4002</v>
      </c>
      <c r="D203" s="572" t="s">
        <v>4245</v>
      </c>
      <c r="E203" s="571" t="s">
        <v>4028</v>
      </c>
      <c r="F203" s="571" t="s">
        <v>4246</v>
      </c>
      <c r="G203" s="571" t="s">
        <v>4096</v>
      </c>
      <c r="H203" s="171"/>
      <c r="I203" s="298">
        <v>1</v>
      </c>
      <c r="J203" s="573">
        <v>38.14</v>
      </c>
      <c r="K203" s="59" t="s">
        <v>3983</v>
      </c>
      <c r="L203" s="571" t="s">
        <v>3984</v>
      </c>
      <c r="M203" s="571" t="s">
        <v>3985</v>
      </c>
      <c r="N203" s="574" t="str">
        <f>IFERROR(INDEX(EquipmentTBL!$H:$H,MATCH(Table5[[#This Row],[Unit'#]],EquipmentTBL!$A:$A,0)),"NONE")</f>
        <v>2HSCUAPR88C657099</v>
      </c>
      <c r="O203" s="574" t="str">
        <f>IFERROR(INDEX(EquipmentTBL!$C:$C,MATCH(Table5[[#This Row],[Unit'#]],EquipmentTBL!$A:$A,0)),"NONE")</f>
        <v>International</v>
      </c>
      <c r="P203" s="574">
        <f>IFERROR(INDEX(EquipmentTBL!$B:$B,MATCH(Table5[[#This Row],[Unit'#]],EquipmentTBL!$A:$A,0)),"NONE")</f>
        <v>2008</v>
      </c>
      <c r="Q203" s="574" t="str">
        <f>IFERROR(INDEX(EquipmentTBL!$D:$D,MATCH(Table5[[#This Row],[Unit'#]],EquipmentTBL!$A:$A,0)),"NONE")</f>
        <v>Prostar Eagle</v>
      </c>
      <c r="R203" s="575">
        <f>(5-WEEKDAY(A203,2))+A203</f>
        <v>42468</v>
      </c>
      <c r="S203" s="556">
        <f>((5-WEEKDAY(A203,2))+A203)+7</f>
        <v>42475</v>
      </c>
      <c r="T203" s="574">
        <f>MONTH(A203)</f>
        <v>4</v>
      </c>
      <c r="U203" s="574">
        <f>YEAR(R203)</f>
        <v>2016</v>
      </c>
      <c r="V203" s="298"/>
      <c r="Z203"/>
      <c r="AA203"/>
      <c r="AB203"/>
      <c r="AC203"/>
      <c r="AD203"/>
      <c r="AE203"/>
    </row>
    <row r="204" spans="1:31">
      <c r="A204" s="570">
        <v>42469</v>
      </c>
      <c r="B204" s="143" t="s">
        <v>3863</v>
      </c>
      <c r="C204" s="298" t="s">
        <v>4002</v>
      </c>
      <c r="D204" s="572" t="s">
        <v>4247</v>
      </c>
      <c r="E204" s="571" t="s">
        <v>4028</v>
      </c>
      <c r="F204" s="571" t="s">
        <v>4248</v>
      </c>
      <c r="G204" s="571" t="s">
        <v>4096</v>
      </c>
      <c r="H204" s="171"/>
      <c r="I204" s="298">
        <v>1</v>
      </c>
      <c r="J204" s="573">
        <v>28.42</v>
      </c>
      <c r="K204" s="59" t="s">
        <v>3983</v>
      </c>
      <c r="L204" s="571" t="s">
        <v>3984</v>
      </c>
      <c r="M204" s="571" t="s">
        <v>3985</v>
      </c>
      <c r="N204" s="574" t="str">
        <f>IFERROR(INDEX(EquipmentTBL!$H:$H,MATCH(Table5[[#This Row],[Unit'#]],EquipmentTBL!$A:$A,0)),"NONE")</f>
        <v>2HSCUAPR88C657099</v>
      </c>
      <c r="O204" s="574" t="str">
        <f>IFERROR(INDEX(EquipmentTBL!$C:$C,MATCH(Table5[[#This Row],[Unit'#]],EquipmentTBL!$A:$A,0)),"NONE")</f>
        <v>International</v>
      </c>
      <c r="P204" s="574">
        <f>IFERROR(INDEX(EquipmentTBL!$B:$B,MATCH(Table5[[#This Row],[Unit'#]],EquipmentTBL!$A:$A,0)),"NONE")</f>
        <v>2008</v>
      </c>
      <c r="Q204" s="574" t="str">
        <f>IFERROR(INDEX(EquipmentTBL!$D:$D,MATCH(Table5[[#This Row],[Unit'#]],EquipmentTBL!$A:$A,0)),"NONE")</f>
        <v>Prostar Eagle</v>
      </c>
      <c r="R204" s="575">
        <f>(5-WEEKDAY(A204,2))+A204</f>
        <v>42468</v>
      </c>
      <c r="S204" s="556">
        <f>((5-WEEKDAY(A204,2))+A204)+7</f>
        <v>42475</v>
      </c>
      <c r="T204" s="574">
        <f>MONTH(A204)</f>
        <v>4</v>
      </c>
      <c r="U204" s="574">
        <f>YEAR(R204)</f>
        <v>2016</v>
      </c>
      <c r="V204" s="298"/>
      <c r="Z204"/>
      <c r="AA204"/>
      <c r="AB204"/>
      <c r="AC204"/>
      <c r="AD204"/>
      <c r="AE204"/>
    </row>
    <row r="205" spans="1:31">
      <c r="A205" s="570">
        <v>42469</v>
      </c>
      <c r="B205" s="143" t="s">
        <v>3863</v>
      </c>
      <c r="C205" s="298" t="s">
        <v>4002</v>
      </c>
      <c r="D205" s="572" t="s">
        <v>4249</v>
      </c>
      <c r="E205" s="571" t="s">
        <v>4028</v>
      </c>
      <c r="F205" s="571" t="s">
        <v>4250</v>
      </c>
      <c r="G205" s="571" t="s">
        <v>4096</v>
      </c>
      <c r="H205" s="171"/>
      <c r="I205" s="298">
        <v>1</v>
      </c>
      <c r="J205" s="573">
        <v>470</v>
      </c>
      <c r="K205" s="59" t="s">
        <v>3983</v>
      </c>
      <c r="L205" s="571" t="s">
        <v>3984</v>
      </c>
      <c r="M205" s="571" t="s">
        <v>3985</v>
      </c>
      <c r="N205" s="574" t="str">
        <f>IFERROR(INDEX(EquipmentTBL!$H:$H,MATCH(Table5[[#This Row],[Unit'#]],EquipmentTBL!$A:$A,0)),"NONE")</f>
        <v>2HSCUAPR88C657099</v>
      </c>
      <c r="O205" s="574" t="str">
        <f>IFERROR(INDEX(EquipmentTBL!$C:$C,MATCH(Table5[[#This Row],[Unit'#]],EquipmentTBL!$A:$A,0)),"NONE")</f>
        <v>International</v>
      </c>
      <c r="P205" s="574">
        <f>IFERROR(INDEX(EquipmentTBL!$B:$B,MATCH(Table5[[#This Row],[Unit'#]],EquipmentTBL!$A:$A,0)),"NONE")</f>
        <v>2008</v>
      </c>
      <c r="Q205" s="574" t="str">
        <f>IFERROR(INDEX(EquipmentTBL!$D:$D,MATCH(Table5[[#This Row],[Unit'#]],EquipmentTBL!$A:$A,0)),"NONE")</f>
        <v>Prostar Eagle</v>
      </c>
      <c r="R205" s="575">
        <f>(5-WEEKDAY(A205,2))+A205</f>
        <v>42468</v>
      </c>
      <c r="S205" s="556">
        <f>((5-WEEKDAY(A205,2))+A205)+7</f>
        <v>42475</v>
      </c>
      <c r="T205" s="574">
        <f>MONTH(A205)</f>
        <v>4</v>
      </c>
      <c r="U205" s="574">
        <f>YEAR(R205)</f>
        <v>2016</v>
      </c>
      <c r="V205" s="298"/>
      <c r="Z205"/>
      <c r="AA205"/>
      <c r="AB205"/>
      <c r="AC205"/>
      <c r="AD205"/>
      <c r="AE205"/>
    </row>
    <row r="206" spans="1:31">
      <c r="A206" s="570">
        <v>42469</v>
      </c>
      <c r="B206" s="143" t="s">
        <v>3896</v>
      </c>
      <c r="C206" s="298" t="s">
        <v>4002</v>
      </c>
      <c r="D206" s="572" t="s">
        <v>4245</v>
      </c>
      <c r="E206" s="571" t="s">
        <v>4028</v>
      </c>
      <c r="F206" s="571" t="s">
        <v>4251</v>
      </c>
      <c r="G206" s="571" t="s">
        <v>4096</v>
      </c>
      <c r="H206" s="171"/>
      <c r="I206" s="298">
        <v>1</v>
      </c>
      <c r="J206" s="573">
        <v>38.14</v>
      </c>
      <c r="K206" s="59" t="s">
        <v>3983</v>
      </c>
      <c r="L206" s="571" t="s">
        <v>3984</v>
      </c>
      <c r="M206" s="571" t="s">
        <v>3985</v>
      </c>
      <c r="N206" s="574" t="str">
        <f>IFERROR(INDEX(EquipmentTBL!$H:$H,MATCH(Table5[[#This Row],[Unit'#]],EquipmentTBL!$A:$A,0)),"NONE")</f>
        <v>2HSCUAPR79CO93785</v>
      </c>
      <c r="O206" s="574" t="str">
        <f>IFERROR(INDEX(EquipmentTBL!$C:$C,MATCH(Table5[[#This Row],[Unit'#]],EquipmentTBL!$A:$A,0)),"NONE")</f>
        <v>International</v>
      </c>
      <c r="P206" s="574">
        <f>IFERROR(INDEX(EquipmentTBL!$B:$B,MATCH(Table5[[#This Row],[Unit'#]],EquipmentTBL!$A:$A,0)),"NONE")</f>
        <v>2009</v>
      </c>
      <c r="Q206" s="574" t="str">
        <f>IFERROR(INDEX(EquipmentTBL!$D:$D,MATCH(Table5[[#This Row],[Unit'#]],EquipmentTBL!$A:$A,0)),"NONE")</f>
        <v>Prostar Eagle</v>
      </c>
      <c r="R206" s="575">
        <f>(5-WEEKDAY(A206,2))+A206</f>
        <v>42468</v>
      </c>
      <c r="S206" s="556">
        <f>((5-WEEKDAY(A206,2))+A206)+7</f>
        <v>42475</v>
      </c>
      <c r="T206" s="574">
        <f>MONTH(A206)</f>
        <v>4</v>
      </c>
      <c r="U206" s="574">
        <f>YEAR(R206)</f>
        <v>2016</v>
      </c>
      <c r="V206" s="298"/>
      <c r="Z206"/>
      <c r="AA206"/>
      <c r="AB206"/>
      <c r="AC206"/>
      <c r="AD206"/>
      <c r="AE206"/>
    </row>
    <row r="207" spans="1:31">
      <c r="A207" s="570">
        <v>42470</v>
      </c>
      <c r="B207" s="143" t="s">
        <v>3978</v>
      </c>
      <c r="C207" s="298" t="s">
        <v>3979</v>
      </c>
      <c r="D207" s="572">
        <v>176753</v>
      </c>
      <c r="E207" s="571" t="s">
        <v>3980</v>
      </c>
      <c r="F207" s="571" t="s">
        <v>4087</v>
      </c>
      <c r="G207" s="571" t="s">
        <v>4087</v>
      </c>
      <c r="H207" s="171"/>
      <c r="I207" s="298" t="s">
        <v>123</v>
      </c>
      <c r="J207" s="573">
        <v>3</v>
      </c>
      <c r="K207" s="59" t="s">
        <v>3983</v>
      </c>
      <c r="L207" s="571" t="s">
        <v>3984</v>
      </c>
      <c r="M207" s="571" t="s">
        <v>3985</v>
      </c>
      <c r="N207" s="574" t="str">
        <f>IFERROR(INDEX(EquipmentTBL!$H:$H,MATCH(Table5[[#This Row],[Unit'#]],EquipmentTBL!$A:$A,0)),"NONE")</f>
        <v>NONE</v>
      </c>
      <c r="O207" s="574" t="str">
        <f>IFERROR(INDEX(EquipmentTBL!$C:$C,MATCH(Table5[[#This Row],[Unit'#]],EquipmentTBL!$A:$A,0)),"NONE")</f>
        <v>NONE</v>
      </c>
      <c r="P207" s="574" t="str">
        <f>IFERROR(INDEX(EquipmentTBL!$B:$B,MATCH(Table5[[#This Row],[Unit'#]],EquipmentTBL!$A:$A,0)),"NONE")</f>
        <v>NONE</v>
      </c>
      <c r="Q207" s="574" t="str">
        <f>IFERROR(INDEX(EquipmentTBL!$D:$D,MATCH(Table5[[#This Row],[Unit'#]],EquipmentTBL!$A:$A,0)),"NONE")</f>
        <v>NONE</v>
      </c>
      <c r="R207" s="575">
        <f>(5-WEEKDAY(A207,2))+A207</f>
        <v>42468</v>
      </c>
      <c r="S207" s="556">
        <f>((5-WEEKDAY(A207,2))+A207)+7</f>
        <v>42475</v>
      </c>
      <c r="T207" s="574">
        <f>MONTH(A207)</f>
        <v>4</v>
      </c>
      <c r="U207" s="574">
        <f>YEAR(R207)</f>
        <v>2016</v>
      </c>
      <c r="V207" s="298"/>
      <c r="Z207"/>
      <c r="AA207"/>
      <c r="AB207"/>
      <c r="AC207"/>
      <c r="AD207"/>
      <c r="AE207"/>
    </row>
    <row r="208" spans="1:31">
      <c r="A208" s="146">
        <v>42471</v>
      </c>
      <c r="B208" s="143" t="s">
        <v>3978</v>
      </c>
      <c r="C208" s="298" t="s">
        <v>3979</v>
      </c>
      <c r="D208" s="145"/>
      <c r="E208" s="298" t="s">
        <v>3980</v>
      </c>
      <c r="F208" s="298" t="s">
        <v>4073</v>
      </c>
      <c r="G208" s="298" t="s">
        <v>4073</v>
      </c>
      <c r="H208" s="171"/>
      <c r="I208" s="298" t="s">
        <v>123</v>
      </c>
      <c r="J208" s="59">
        <v>115</v>
      </c>
      <c r="K208" s="59" t="s">
        <v>3983</v>
      </c>
      <c r="L208" s="298" t="s">
        <v>3984</v>
      </c>
      <c r="M208" s="298" t="s">
        <v>3985</v>
      </c>
      <c r="N208" s="150" t="str">
        <f>IFERROR(INDEX(EquipmentTBL!$H:$H,MATCH(Table5[[#This Row],[Unit'#]],EquipmentTBL!$A:$A,0)),"NONE")</f>
        <v>NONE</v>
      </c>
      <c r="O208" s="150" t="str">
        <f>IFERROR(INDEX(EquipmentTBL!$C:$C,MATCH(Table5[[#This Row],[Unit'#]],EquipmentTBL!$A:$A,0)),"NONE")</f>
        <v>NONE</v>
      </c>
      <c r="P208" s="150" t="str">
        <f>IFERROR(INDEX(EquipmentTBL!$B:$B,MATCH(Table5[[#This Row],[Unit'#]],EquipmentTBL!$A:$A,0)),"NONE")</f>
        <v>NONE</v>
      </c>
      <c r="Q208" s="150" t="str">
        <f>IFERROR(INDEX(EquipmentTBL!$D:$D,MATCH(Table5[[#This Row],[Unit'#]],EquipmentTBL!$A:$A,0)),"NONE")</f>
        <v>NONE</v>
      </c>
      <c r="R208" s="143">
        <f>(5-WEEKDAY(A208,2))+A208</f>
        <v>42475</v>
      </c>
      <c r="S208" s="172">
        <f>((5-WEEKDAY(A208,2))+A208)+7</f>
        <v>42482</v>
      </c>
      <c r="T208" s="171">
        <f>MONTH(A208)</f>
        <v>4</v>
      </c>
      <c r="U208" s="150">
        <f>YEAR(R208)</f>
        <v>2016</v>
      </c>
      <c r="V208" s="298"/>
      <c r="Z208"/>
      <c r="AA208"/>
      <c r="AB208"/>
      <c r="AC208"/>
      <c r="AD208"/>
      <c r="AE208"/>
    </row>
    <row r="209" spans="1:31">
      <c r="A209" s="570">
        <v>42471</v>
      </c>
      <c r="B209" s="143" t="s">
        <v>3896</v>
      </c>
      <c r="C209" s="298" t="s">
        <v>4002</v>
      </c>
      <c r="D209" s="572">
        <v>7381</v>
      </c>
      <c r="E209" s="571" t="s">
        <v>4028</v>
      </c>
      <c r="F209" s="571" t="s">
        <v>4252</v>
      </c>
      <c r="G209" s="571" t="s">
        <v>4019</v>
      </c>
      <c r="H209" s="171"/>
      <c r="I209" s="298" t="s">
        <v>123</v>
      </c>
      <c r="J209" s="573">
        <v>2279</v>
      </c>
      <c r="K209" s="59" t="s">
        <v>3983</v>
      </c>
      <c r="L209" s="571" t="s">
        <v>3984</v>
      </c>
      <c r="M209" s="571" t="s">
        <v>3985</v>
      </c>
      <c r="N209" s="574" t="str">
        <f>IFERROR(INDEX(EquipmentTBL!$H:$H,MATCH(Table5[[#This Row],[Unit'#]],EquipmentTBL!$A:$A,0)),"NONE")</f>
        <v>2HSCUAPR79CO93785</v>
      </c>
      <c r="O209" s="574" t="str">
        <f>IFERROR(INDEX(EquipmentTBL!$C:$C,MATCH(Table5[[#This Row],[Unit'#]],EquipmentTBL!$A:$A,0)),"NONE")</f>
        <v>International</v>
      </c>
      <c r="P209" s="574">
        <f>IFERROR(INDEX(EquipmentTBL!$B:$B,MATCH(Table5[[#This Row],[Unit'#]],EquipmentTBL!$A:$A,0)),"NONE")</f>
        <v>2009</v>
      </c>
      <c r="Q209" s="574" t="str">
        <f>IFERROR(INDEX(EquipmentTBL!$D:$D,MATCH(Table5[[#This Row],[Unit'#]],EquipmentTBL!$A:$A,0)),"NONE")</f>
        <v>Prostar Eagle</v>
      </c>
      <c r="R209" s="575">
        <f>(5-WEEKDAY(A209,2))+A209</f>
        <v>42475</v>
      </c>
      <c r="S209" s="556">
        <f>((5-WEEKDAY(A209,2))+A209)+7</f>
        <v>42482</v>
      </c>
      <c r="T209" s="574">
        <f>MONTH(A209)</f>
        <v>4</v>
      </c>
      <c r="U209" s="574">
        <f>YEAR(R209)</f>
        <v>2016</v>
      </c>
      <c r="V209" s="298"/>
      <c r="Z209"/>
      <c r="AA209"/>
      <c r="AB209"/>
      <c r="AC209"/>
      <c r="AD209"/>
      <c r="AE209"/>
    </row>
    <row r="210" spans="1:31">
      <c r="A210" s="570">
        <v>42473</v>
      </c>
      <c r="B210" s="143" t="s">
        <v>3863</v>
      </c>
      <c r="C210" s="298" t="s">
        <v>4002</v>
      </c>
      <c r="D210" s="572">
        <v>137164</v>
      </c>
      <c r="E210" s="571" t="s">
        <v>4006</v>
      </c>
      <c r="F210" s="571" t="s">
        <v>4253</v>
      </c>
      <c r="G210" s="571" t="s">
        <v>4008</v>
      </c>
      <c r="H210" s="171"/>
      <c r="I210" s="298" t="s">
        <v>123</v>
      </c>
      <c r="J210" s="573">
        <v>520.4</v>
      </c>
      <c r="K210" s="59" t="s">
        <v>3983</v>
      </c>
      <c r="L210" s="571" t="s">
        <v>3984</v>
      </c>
      <c r="M210" s="571" t="s">
        <v>3985</v>
      </c>
      <c r="N210" s="574" t="str">
        <f>IFERROR(INDEX(EquipmentTBL!$H:$H,MATCH(Table5[[#This Row],[Unit'#]],EquipmentTBL!$A:$A,0)),"NONE")</f>
        <v>2HSCUAPR88C657099</v>
      </c>
      <c r="O210" s="574" t="str">
        <f>IFERROR(INDEX(EquipmentTBL!$C:$C,MATCH(Table5[[#This Row],[Unit'#]],EquipmentTBL!$A:$A,0)),"NONE")</f>
        <v>International</v>
      </c>
      <c r="P210" s="574">
        <f>IFERROR(INDEX(EquipmentTBL!$B:$B,MATCH(Table5[[#This Row],[Unit'#]],EquipmentTBL!$A:$A,0)),"NONE")</f>
        <v>2008</v>
      </c>
      <c r="Q210" s="574" t="str">
        <f>IFERROR(INDEX(EquipmentTBL!$D:$D,MATCH(Table5[[#This Row],[Unit'#]],EquipmentTBL!$A:$A,0)),"NONE")</f>
        <v>Prostar Eagle</v>
      </c>
      <c r="R210" s="575">
        <f>(5-WEEKDAY(A210,2))+A210</f>
        <v>42475</v>
      </c>
      <c r="S210" s="556">
        <f>((5-WEEKDAY(A210,2))+A210)+7</f>
        <v>42482</v>
      </c>
      <c r="T210" s="574">
        <f>MONTH(A210)</f>
        <v>4</v>
      </c>
      <c r="U210" s="574">
        <f>YEAR(R210)</f>
        <v>2016</v>
      </c>
      <c r="V210" s="298"/>
      <c r="Z210"/>
      <c r="AA210"/>
      <c r="AB210"/>
      <c r="AC210"/>
      <c r="AD210"/>
      <c r="AE210"/>
    </row>
    <row r="211" spans="1:31">
      <c r="A211" s="570">
        <v>42473</v>
      </c>
      <c r="B211" s="143" t="s">
        <v>3896</v>
      </c>
      <c r="C211" s="298" t="s">
        <v>4002</v>
      </c>
      <c r="D211" s="572">
        <v>159681</v>
      </c>
      <c r="E211" s="571" t="s">
        <v>4006</v>
      </c>
      <c r="F211" s="571" t="s">
        <v>4130</v>
      </c>
      <c r="G211" s="571" t="s">
        <v>4008</v>
      </c>
      <c r="H211" s="171"/>
      <c r="I211" s="298" t="s">
        <v>123</v>
      </c>
      <c r="J211" s="573">
        <v>425.08</v>
      </c>
      <c r="K211" s="59" t="s">
        <v>3983</v>
      </c>
      <c r="L211" s="571" t="s">
        <v>3984</v>
      </c>
      <c r="M211" s="571" t="s">
        <v>3985</v>
      </c>
      <c r="N211" s="574" t="str">
        <f>IFERROR(INDEX(EquipmentTBL!$H:$H,MATCH(Table5[[#This Row],[Unit'#]],EquipmentTBL!$A:$A,0)),"NONE")</f>
        <v>2HSCUAPR79CO93785</v>
      </c>
      <c r="O211" s="574" t="str">
        <f>IFERROR(INDEX(EquipmentTBL!$C:$C,MATCH(Table5[[#This Row],[Unit'#]],EquipmentTBL!$A:$A,0)),"NONE")</f>
        <v>International</v>
      </c>
      <c r="P211" s="574">
        <f>IFERROR(INDEX(EquipmentTBL!$B:$B,MATCH(Table5[[#This Row],[Unit'#]],EquipmentTBL!$A:$A,0)),"NONE")</f>
        <v>2009</v>
      </c>
      <c r="Q211" s="574" t="str">
        <f>IFERROR(INDEX(EquipmentTBL!$D:$D,MATCH(Table5[[#This Row],[Unit'#]],EquipmentTBL!$A:$A,0)),"NONE")</f>
        <v>Prostar Eagle</v>
      </c>
      <c r="R211" s="575">
        <f>(5-WEEKDAY(A211,2))+A211</f>
        <v>42475</v>
      </c>
      <c r="S211" s="556">
        <f>((5-WEEKDAY(A211,2))+A211)+7</f>
        <v>42482</v>
      </c>
      <c r="T211" s="574">
        <f>MONTH(A211)</f>
        <v>4</v>
      </c>
      <c r="U211" s="574">
        <f>YEAR(R211)</f>
        <v>2016</v>
      </c>
      <c r="V211" s="298"/>
      <c r="Z211"/>
      <c r="AA211"/>
      <c r="AB211"/>
      <c r="AC211"/>
      <c r="AD211"/>
      <c r="AE211"/>
    </row>
    <row r="212" spans="1:31">
      <c r="A212" s="146">
        <v>42474</v>
      </c>
      <c r="B212" s="143" t="s">
        <v>3978</v>
      </c>
      <c r="C212" s="298" t="s">
        <v>3979</v>
      </c>
      <c r="D212" s="145"/>
      <c r="E212" s="298" t="s">
        <v>3980</v>
      </c>
      <c r="F212" s="298" t="s">
        <v>4200</v>
      </c>
      <c r="G212" s="298" t="s">
        <v>4050</v>
      </c>
      <c r="H212" s="171"/>
      <c r="I212" s="298" t="s">
        <v>123</v>
      </c>
      <c r="J212" s="59">
        <v>34.950000000000003</v>
      </c>
      <c r="K212" s="59" t="s">
        <v>3983</v>
      </c>
      <c r="L212" s="298" t="s">
        <v>3984</v>
      </c>
      <c r="M212" s="298" t="s">
        <v>3985</v>
      </c>
      <c r="N212" s="150" t="str">
        <f>IFERROR(INDEX(EquipmentTBL!$H:$H,MATCH(Table5[[#This Row],[Unit'#]],EquipmentTBL!$A:$A,0)),"NONE")</f>
        <v>NONE</v>
      </c>
      <c r="O212" s="150" t="str">
        <f>IFERROR(INDEX(EquipmentTBL!$C:$C,MATCH(Table5[[#This Row],[Unit'#]],EquipmentTBL!$A:$A,0)),"NONE")</f>
        <v>NONE</v>
      </c>
      <c r="P212" s="150" t="str">
        <f>IFERROR(INDEX(EquipmentTBL!$B:$B,MATCH(Table5[[#This Row],[Unit'#]],EquipmentTBL!$A:$A,0)),"NONE")</f>
        <v>NONE</v>
      </c>
      <c r="Q212" s="150" t="str">
        <f>IFERROR(INDEX(EquipmentTBL!$D:$D,MATCH(Table5[[#This Row],[Unit'#]],EquipmentTBL!$A:$A,0)),"NONE")</f>
        <v>NONE</v>
      </c>
      <c r="R212" s="143">
        <f>(5-WEEKDAY(A212,2))+A212</f>
        <v>42475</v>
      </c>
      <c r="S212" s="172">
        <f>((5-WEEKDAY(A212,2))+A212)+7</f>
        <v>42482</v>
      </c>
      <c r="T212" s="150">
        <f>MONTH(A212)</f>
        <v>4</v>
      </c>
      <c r="U212" s="150">
        <f>YEAR(R212)</f>
        <v>2016</v>
      </c>
      <c r="V212" s="298"/>
      <c r="Z212"/>
      <c r="AA212"/>
      <c r="AB212"/>
      <c r="AC212"/>
      <c r="AD212"/>
      <c r="AE212"/>
    </row>
    <row r="213" spans="1:31">
      <c r="A213" s="570">
        <v>42475</v>
      </c>
      <c r="B213" s="143" t="s">
        <v>3978</v>
      </c>
      <c r="C213" s="298" t="s">
        <v>3979</v>
      </c>
      <c r="D213" s="572"/>
      <c r="E213" s="571" t="s">
        <v>3980</v>
      </c>
      <c r="F213" s="571" t="s">
        <v>4200</v>
      </c>
      <c r="G213" s="571" t="s">
        <v>4050</v>
      </c>
      <c r="H213" s="171"/>
      <c r="I213" s="298" t="s">
        <v>123</v>
      </c>
      <c r="J213" s="59">
        <v>34.950000000000003</v>
      </c>
      <c r="K213" s="59" t="s">
        <v>3983</v>
      </c>
      <c r="L213" s="571" t="s">
        <v>3984</v>
      </c>
      <c r="M213" s="298" t="s">
        <v>3985</v>
      </c>
      <c r="N213" s="574" t="str">
        <f>IFERROR(INDEX(EquipmentTBL!$H:$H,MATCH(Table5[[#This Row],[Unit'#]],EquipmentTBL!$A:$A,0)),"NONE")</f>
        <v>NONE</v>
      </c>
      <c r="O213" s="574" t="str">
        <f>IFERROR(INDEX(EquipmentTBL!$C:$C,MATCH(Table5[[#This Row],[Unit'#]],EquipmentTBL!$A:$A,0)),"NONE")</f>
        <v>NONE</v>
      </c>
      <c r="P213" s="574" t="str">
        <f>IFERROR(INDEX(EquipmentTBL!$B:$B,MATCH(Table5[[#This Row],[Unit'#]],EquipmentTBL!$A:$A,0)),"NONE")</f>
        <v>NONE</v>
      </c>
      <c r="Q213" s="574" t="str">
        <f>IFERROR(INDEX(EquipmentTBL!$D:$D,MATCH(Table5[[#This Row],[Unit'#]],EquipmentTBL!$A:$A,0)),"NONE")</f>
        <v>NONE</v>
      </c>
      <c r="R213" s="575">
        <f>(5-WEEKDAY(A213,2))+A213</f>
        <v>42475</v>
      </c>
      <c r="S213" s="556">
        <f>((5-WEEKDAY(A213,2))+A213)+7</f>
        <v>42482</v>
      </c>
      <c r="T213" s="574">
        <f>MONTH(A213)</f>
        <v>4</v>
      </c>
      <c r="U213" s="574">
        <f>YEAR(R213)</f>
        <v>2016</v>
      </c>
      <c r="V213" s="298"/>
      <c r="Z213"/>
      <c r="AA213"/>
      <c r="AB213"/>
      <c r="AC213"/>
      <c r="AD213"/>
      <c r="AE213"/>
    </row>
    <row r="214" spans="1:31">
      <c r="A214" s="570">
        <v>42475</v>
      </c>
      <c r="B214" s="143" t="s">
        <v>3978</v>
      </c>
      <c r="C214" s="298" t="s">
        <v>3979</v>
      </c>
      <c r="D214" s="572"/>
      <c r="E214" s="298" t="s">
        <v>3980</v>
      </c>
      <c r="F214" s="547" t="s">
        <v>4254</v>
      </c>
      <c r="G214" s="298" t="s">
        <v>4042</v>
      </c>
      <c r="H214" s="171"/>
      <c r="I214" s="298" t="s">
        <v>123</v>
      </c>
      <c r="J214" s="573">
        <v>5</v>
      </c>
      <c r="K214" s="59" t="s">
        <v>3983</v>
      </c>
      <c r="L214" s="298" t="s">
        <v>3984</v>
      </c>
      <c r="M214" s="298" t="s">
        <v>3985</v>
      </c>
      <c r="N214" s="574" t="str">
        <f>IFERROR(INDEX(EquipmentTBL!$H:$H,MATCH(Table5[[#This Row],[Unit'#]],EquipmentTBL!$A:$A,0)),"NONE")</f>
        <v>NONE</v>
      </c>
      <c r="O214" s="574" t="str">
        <f>IFERROR(INDEX(EquipmentTBL!$C:$C,MATCH(Table5[[#This Row],[Unit'#]],EquipmentTBL!$A:$A,0)),"NONE")</f>
        <v>NONE</v>
      </c>
      <c r="P214" s="574" t="str">
        <f>IFERROR(INDEX(EquipmentTBL!$B:$B,MATCH(Table5[[#This Row],[Unit'#]],EquipmentTBL!$A:$A,0)),"NONE")</f>
        <v>NONE</v>
      </c>
      <c r="Q214" s="574" t="str">
        <f>IFERROR(INDEX(EquipmentTBL!$D:$D,MATCH(Table5[[#This Row],[Unit'#]],EquipmentTBL!$A:$A,0)),"NONE")</f>
        <v>NONE</v>
      </c>
      <c r="R214" s="575">
        <f>(5-WEEKDAY(A214,2))+A214</f>
        <v>42475</v>
      </c>
      <c r="S214" s="556">
        <f>((5-WEEKDAY(A214,2))+A214)+7</f>
        <v>42482</v>
      </c>
      <c r="T214" s="574">
        <f>MONTH(A214)</f>
        <v>4</v>
      </c>
      <c r="U214" s="574">
        <f>YEAR(R214)</f>
        <v>2016</v>
      </c>
      <c r="V214" s="298"/>
      <c r="Z214"/>
      <c r="AA214"/>
      <c r="AB214"/>
      <c r="AC214"/>
      <c r="AD214"/>
      <c r="AE214"/>
    </row>
    <row r="215" spans="1:31">
      <c r="A215" s="570">
        <v>42475</v>
      </c>
      <c r="B215" s="143" t="s">
        <v>3978</v>
      </c>
      <c r="C215" s="298" t="s">
        <v>4159</v>
      </c>
      <c r="D215" s="572"/>
      <c r="E215" s="298" t="s">
        <v>3980</v>
      </c>
      <c r="F215" s="571" t="s">
        <v>4255</v>
      </c>
      <c r="G215" s="298" t="s">
        <v>3897</v>
      </c>
      <c r="H215" s="171"/>
      <c r="I215" s="298" t="s">
        <v>123</v>
      </c>
      <c r="J215" s="573">
        <v>50</v>
      </c>
      <c r="K215" s="59" t="s">
        <v>3983</v>
      </c>
      <c r="L215" s="571" t="s">
        <v>3984</v>
      </c>
      <c r="M215" s="571" t="s">
        <v>3985</v>
      </c>
      <c r="N215" s="574" t="str">
        <f>IFERROR(INDEX(EquipmentTBL!$H:$H,MATCH(Table5[[#This Row],[Unit'#]],EquipmentTBL!$A:$A,0)),"NONE")</f>
        <v>NONE</v>
      </c>
      <c r="O215" s="574" t="str">
        <f>IFERROR(INDEX(EquipmentTBL!$C:$C,MATCH(Table5[[#This Row],[Unit'#]],EquipmentTBL!$A:$A,0)),"NONE")</f>
        <v>NONE</v>
      </c>
      <c r="P215" s="574" t="str">
        <f>IFERROR(INDEX(EquipmentTBL!$B:$B,MATCH(Table5[[#This Row],[Unit'#]],EquipmentTBL!$A:$A,0)),"NONE")</f>
        <v>NONE</v>
      </c>
      <c r="Q215" s="574" t="str">
        <f>IFERROR(INDEX(EquipmentTBL!$D:$D,MATCH(Table5[[#This Row],[Unit'#]],EquipmentTBL!$A:$A,0)),"NONE")</f>
        <v>NONE</v>
      </c>
      <c r="R215" s="575">
        <f>(5-WEEKDAY(A215,2))+A215</f>
        <v>42475</v>
      </c>
      <c r="S215" s="556">
        <f>((5-WEEKDAY(A215,2))+A215)+7</f>
        <v>42482</v>
      </c>
      <c r="T215" s="574">
        <f>MONTH(A215)</f>
        <v>4</v>
      </c>
      <c r="U215" s="574">
        <f>YEAR(R215)</f>
        <v>2016</v>
      </c>
      <c r="V215" s="298"/>
      <c r="Z215"/>
      <c r="AA215"/>
      <c r="AB215"/>
      <c r="AC215"/>
      <c r="AD215"/>
      <c r="AE215"/>
    </row>
    <row r="216" spans="1:31">
      <c r="A216" s="570">
        <v>42477</v>
      </c>
      <c r="B216" s="143" t="s">
        <v>3896</v>
      </c>
      <c r="C216" s="298" t="s">
        <v>4002</v>
      </c>
      <c r="D216" s="572">
        <v>793031</v>
      </c>
      <c r="E216" s="571" t="s">
        <v>4006</v>
      </c>
      <c r="F216" s="571" t="s">
        <v>4256</v>
      </c>
      <c r="G216" s="571" t="s">
        <v>4257</v>
      </c>
      <c r="H216" s="171"/>
      <c r="I216" s="298" t="s">
        <v>123</v>
      </c>
      <c r="J216" s="573">
        <v>38.76</v>
      </c>
      <c r="K216" s="59" t="s">
        <v>3983</v>
      </c>
      <c r="L216" s="571" t="s">
        <v>3984</v>
      </c>
      <c r="M216" s="571" t="s">
        <v>3985</v>
      </c>
      <c r="N216" s="574" t="str">
        <f>IFERROR(INDEX(EquipmentTBL!$H:$H,MATCH(Table5[[#This Row],[Unit'#]],EquipmentTBL!$A:$A,0)),"NONE")</f>
        <v>2HSCUAPR79CO93785</v>
      </c>
      <c r="O216" s="574" t="str">
        <f>IFERROR(INDEX(EquipmentTBL!$C:$C,MATCH(Table5[[#This Row],[Unit'#]],EquipmentTBL!$A:$A,0)),"NONE")</f>
        <v>International</v>
      </c>
      <c r="P216" s="574">
        <f>IFERROR(INDEX(EquipmentTBL!$B:$B,MATCH(Table5[[#This Row],[Unit'#]],EquipmentTBL!$A:$A,0)),"NONE")</f>
        <v>2009</v>
      </c>
      <c r="Q216" s="574" t="str">
        <f>IFERROR(INDEX(EquipmentTBL!$D:$D,MATCH(Table5[[#This Row],[Unit'#]],EquipmentTBL!$A:$A,0)),"NONE")</f>
        <v>Prostar Eagle</v>
      </c>
      <c r="R216" s="575">
        <f>(5-WEEKDAY(A216,2))+A216</f>
        <v>42475</v>
      </c>
      <c r="S216" s="556">
        <f>((5-WEEKDAY(A216,2))+A216)+7</f>
        <v>42482</v>
      </c>
      <c r="T216" s="574">
        <f>MONTH(A216)</f>
        <v>4</v>
      </c>
      <c r="U216" s="574">
        <f>YEAR(R216)</f>
        <v>2016</v>
      </c>
      <c r="V216" s="298"/>
      <c r="Z216"/>
      <c r="AA216"/>
      <c r="AB216"/>
      <c r="AC216"/>
      <c r="AD216"/>
      <c r="AE216"/>
    </row>
    <row r="217" spans="1:31">
      <c r="A217" s="146">
        <v>42482</v>
      </c>
      <c r="B217" s="143" t="s">
        <v>3978</v>
      </c>
      <c r="C217" s="298" t="s">
        <v>3979</v>
      </c>
      <c r="D217" s="572"/>
      <c r="E217" s="298" t="s">
        <v>3980</v>
      </c>
      <c r="F217" s="298" t="s">
        <v>4178</v>
      </c>
      <c r="G217" s="298" t="s">
        <v>4179</v>
      </c>
      <c r="H217" s="171"/>
      <c r="I217" s="298" t="s">
        <v>123</v>
      </c>
      <c r="J217" s="573">
        <v>35.299999999999997</v>
      </c>
      <c r="K217" s="59" t="s">
        <v>3983</v>
      </c>
      <c r="L217" s="298" t="s">
        <v>3984</v>
      </c>
      <c r="M217" s="298" t="s">
        <v>3985</v>
      </c>
      <c r="N217" s="574" t="str">
        <f>IFERROR(INDEX(EquipmentTBL!$H:$H,MATCH(Table5[[#This Row],[Unit'#]],EquipmentTBL!$A:$A,0)),"NONE")</f>
        <v>NONE</v>
      </c>
      <c r="O217" s="574" t="str">
        <f>IFERROR(INDEX(EquipmentTBL!$C:$C,MATCH(Table5[[#This Row],[Unit'#]],EquipmentTBL!$A:$A,0)),"NONE")</f>
        <v>NONE</v>
      </c>
      <c r="P217" s="574" t="str">
        <f>IFERROR(INDEX(EquipmentTBL!$B:$B,MATCH(Table5[[#This Row],[Unit'#]],EquipmentTBL!$A:$A,0)),"NONE")</f>
        <v>NONE</v>
      </c>
      <c r="Q217" s="574" t="str">
        <f>IFERROR(INDEX(EquipmentTBL!$D:$D,MATCH(Table5[[#This Row],[Unit'#]],EquipmentTBL!$A:$A,0)),"NONE")</f>
        <v>NONE</v>
      </c>
      <c r="R217" s="575">
        <f>(5-WEEKDAY(A217,2))+A217</f>
        <v>42482</v>
      </c>
      <c r="S217" s="556">
        <f>((5-WEEKDAY(A217,2))+A217)+7</f>
        <v>42489</v>
      </c>
      <c r="T217" s="574">
        <f>MONTH(A217)</f>
        <v>4</v>
      </c>
      <c r="U217" s="574">
        <f>YEAR(R217)</f>
        <v>2016</v>
      </c>
      <c r="V217" s="298"/>
      <c r="Z217"/>
      <c r="AA217"/>
      <c r="AB217"/>
      <c r="AC217"/>
      <c r="AD217"/>
      <c r="AE217"/>
    </row>
    <row r="218" spans="1:31">
      <c r="A218" s="146">
        <v>42482</v>
      </c>
      <c r="B218" s="143" t="s">
        <v>3978</v>
      </c>
      <c r="C218" s="298" t="s">
        <v>4159</v>
      </c>
      <c r="D218" s="145"/>
      <c r="E218" s="298" t="s">
        <v>3980</v>
      </c>
      <c r="F218" s="298" t="s">
        <v>4258</v>
      </c>
      <c r="G218" s="298" t="s">
        <v>3897</v>
      </c>
      <c r="H218" s="15"/>
      <c r="I218" s="298" t="s">
        <v>123</v>
      </c>
      <c r="J218" s="59">
        <v>200</v>
      </c>
      <c r="K218" s="59" t="s">
        <v>3983</v>
      </c>
      <c r="L218" s="298" t="s">
        <v>3984</v>
      </c>
      <c r="M218" s="571" t="s">
        <v>3985</v>
      </c>
      <c r="N218" s="150" t="str">
        <f>IFERROR(INDEX(EquipmentTBL!$H:$H,MATCH(Table5[[#This Row],[Unit'#]],EquipmentTBL!$A:$A,0)),"NONE")</f>
        <v>NONE</v>
      </c>
      <c r="O218" s="150" t="str">
        <f>IFERROR(INDEX(EquipmentTBL!$C:$C,MATCH(Table5[[#This Row],[Unit'#]],EquipmentTBL!$A:$A,0)),"NONE")</f>
        <v>NONE</v>
      </c>
      <c r="P218" s="150" t="str">
        <f>IFERROR(INDEX(EquipmentTBL!$B:$B,MATCH(Table5[[#This Row],[Unit'#]],EquipmentTBL!$A:$A,0)),"NONE")</f>
        <v>NONE</v>
      </c>
      <c r="Q218" s="150" t="str">
        <f>IFERROR(INDEX(EquipmentTBL!$D:$D,MATCH(Table5[[#This Row],[Unit'#]],EquipmentTBL!$A:$A,0)),"NONE")</f>
        <v>NONE</v>
      </c>
      <c r="R218" s="143">
        <f>(5-WEEKDAY(A218,2))+A218</f>
        <v>42482</v>
      </c>
      <c r="S218" s="172">
        <f>((5-WEEKDAY(A218,2))+A218)+7</f>
        <v>42489</v>
      </c>
      <c r="T218" s="150">
        <f>MONTH(A218)</f>
        <v>4</v>
      </c>
      <c r="U218" s="150">
        <f>YEAR(R218)</f>
        <v>2016</v>
      </c>
      <c r="V218" s="298"/>
      <c r="Z218"/>
      <c r="AA218"/>
      <c r="AB218"/>
      <c r="AC218"/>
      <c r="AD218"/>
      <c r="AE218"/>
    </row>
    <row r="219" spans="1:31">
      <c r="A219" s="570">
        <v>42482</v>
      </c>
      <c r="B219" s="143" t="s">
        <v>3896</v>
      </c>
      <c r="C219" s="298" t="s">
        <v>4002</v>
      </c>
      <c r="D219" s="572">
        <v>2272431</v>
      </c>
      <c r="E219" s="571" t="s">
        <v>4006</v>
      </c>
      <c r="F219" s="571" t="s">
        <v>4259</v>
      </c>
      <c r="G219" s="571" t="s">
        <v>4174</v>
      </c>
      <c r="H219" s="171"/>
      <c r="I219" s="298" t="s">
        <v>123</v>
      </c>
      <c r="J219" s="573">
        <v>89.99</v>
      </c>
      <c r="K219" s="59" t="s">
        <v>3983</v>
      </c>
      <c r="L219" s="571" t="s">
        <v>3984</v>
      </c>
      <c r="M219" s="571" t="s">
        <v>3985</v>
      </c>
      <c r="N219" s="574" t="str">
        <f>IFERROR(INDEX(EquipmentTBL!$H:$H,MATCH(Table5[[#This Row],[Unit'#]],EquipmentTBL!$A:$A,0)),"NONE")</f>
        <v>2HSCUAPR79CO93785</v>
      </c>
      <c r="O219" s="574" t="str">
        <f>IFERROR(INDEX(EquipmentTBL!$C:$C,MATCH(Table5[[#This Row],[Unit'#]],EquipmentTBL!$A:$A,0)),"NONE")</f>
        <v>International</v>
      </c>
      <c r="P219" s="574">
        <f>IFERROR(INDEX(EquipmentTBL!$B:$B,MATCH(Table5[[#This Row],[Unit'#]],EquipmentTBL!$A:$A,0)),"NONE")</f>
        <v>2009</v>
      </c>
      <c r="Q219" s="574" t="str">
        <f>IFERROR(INDEX(EquipmentTBL!$D:$D,MATCH(Table5[[#This Row],[Unit'#]],EquipmentTBL!$A:$A,0)),"NONE")</f>
        <v>Prostar Eagle</v>
      </c>
      <c r="R219" s="575">
        <f>(5-WEEKDAY(A219,2))+A219</f>
        <v>42482</v>
      </c>
      <c r="S219" s="556">
        <f>((5-WEEKDAY(A219,2))+A219)+7</f>
        <v>42489</v>
      </c>
      <c r="T219" s="574">
        <f>MONTH(A219)</f>
        <v>4</v>
      </c>
      <c r="U219" s="574">
        <f>YEAR(R219)</f>
        <v>2016</v>
      </c>
      <c r="V219" s="298"/>
      <c r="Z219"/>
      <c r="AA219"/>
      <c r="AB219"/>
      <c r="AC219"/>
      <c r="AD219"/>
      <c r="AE219"/>
    </row>
    <row r="220" spans="1:31">
      <c r="A220" s="570">
        <v>42483</v>
      </c>
      <c r="B220" s="570" t="s">
        <v>3896</v>
      </c>
      <c r="C220" s="298" t="s">
        <v>4002</v>
      </c>
      <c r="D220" s="572" t="s">
        <v>4260</v>
      </c>
      <c r="E220" s="571" t="s">
        <v>4028</v>
      </c>
      <c r="F220" s="571" t="s">
        <v>4261</v>
      </c>
      <c r="G220" s="571" t="s">
        <v>4242</v>
      </c>
      <c r="H220" s="550"/>
      <c r="I220" s="576">
        <v>1</v>
      </c>
      <c r="J220" s="577">
        <v>211.19</v>
      </c>
      <c r="K220" s="577" t="s">
        <v>3983</v>
      </c>
      <c r="L220" s="573" t="s">
        <v>3984</v>
      </c>
      <c r="M220" s="572" t="s">
        <v>3985</v>
      </c>
      <c r="N220" s="578" t="str">
        <f>IFERROR(INDEX(EquipmentTBL!$H:$H,MATCH(Table5[[#This Row],[Unit'#]],EquipmentTBL!$A:$A,0)),"NONE")</f>
        <v>2HSCUAPR79CO93785</v>
      </c>
      <c r="O220" s="578" t="str">
        <f>IFERROR(INDEX(EquipmentTBL!$C:$C,MATCH(Table5[[#This Row],[Unit'#]],EquipmentTBL!$A:$A,0)),"NONE")</f>
        <v>International</v>
      </c>
      <c r="P220" s="578">
        <f>IFERROR(INDEX(EquipmentTBL!$B:$B,MATCH(Table5[[#This Row],[Unit'#]],EquipmentTBL!$A:$A,0)),"NONE")</f>
        <v>2009</v>
      </c>
      <c r="Q220" s="578" t="str">
        <f>IFERROR(INDEX(EquipmentTBL!$D:$D,MATCH(Table5[[#This Row],[Unit'#]],EquipmentTBL!$A:$A,0)),"NONE")</f>
        <v>Prostar Eagle</v>
      </c>
      <c r="R220" s="579">
        <f>(5-WEEKDAY(A220,2))+A220</f>
        <v>42482</v>
      </c>
      <c r="S220" s="556">
        <f>((5-WEEKDAY(A220,2))+A220)+7</f>
        <v>42489</v>
      </c>
      <c r="T220" s="574">
        <f>MONTH(A220)</f>
        <v>4</v>
      </c>
      <c r="U220" s="574">
        <f>YEAR(R220)</f>
        <v>2016</v>
      </c>
      <c r="V220" s="298"/>
      <c r="Z220"/>
      <c r="AA220"/>
      <c r="AB220"/>
      <c r="AC220"/>
      <c r="AD220"/>
      <c r="AE220"/>
    </row>
    <row r="221" spans="1:31">
      <c r="A221" s="570">
        <v>42483</v>
      </c>
      <c r="B221" s="570" t="s">
        <v>3896</v>
      </c>
      <c r="C221" s="298" t="s">
        <v>4002</v>
      </c>
      <c r="D221" s="572" t="s">
        <v>4260</v>
      </c>
      <c r="E221" s="571" t="s">
        <v>4028</v>
      </c>
      <c r="F221" s="571" t="s">
        <v>4262</v>
      </c>
      <c r="G221" s="571" t="s">
        <v>4242</v>
      </c>
      <c r="H221" s="550"/>
      <c r="I221" s="576">
        <v>1</v>
      </c>
      <c r="J221" s="577">
        <v>44.82</v>
      </c>
      <c r="K221" s="577" t="s">
        <v>3983</v>
      </c>
      <c r="L221" s="573" t="s">
        <v>3984</v>
      </c>
      <c r="M221" s="572" t="s">
        <v>3985</v>
      </c>
      <c r="N221" s="578" t="str">
        <f>IFERROR(INDEX(EquipmentTBL!$H:$H,MATCH(Table5[[#This Row],[Unit'#]],EquipmentTBL!$A:$A,0)),"NONE")</f>
        <v>2HSCUAPR79CO93785</v>
      </c>
      <c r="O221" s="578" t="str">
        <f>IFERROR(INDEX(EquipmentTBL!$C:$C,MATCH(Table5[[#This Row],[Unit'#]],EquipmentTBL!$A:$A,0)),"NONE")</f>
        <v>International</v>
      </c>
      <c r="P221" s="578">
        <f>IFERROR(INDEX(EquipmentTBL!$B:$B,MATCH(Table5[[#This Row],[Unit'#]],EquipmentTBL!$A:$A,0)),"NONE")</f>
        <v>2009</v>
      </c>
      <c r="Q221" s="578" t="str">
        <f>IFERROR(INDEX(EquipmentTBL!$D:$D,MATCH(Table5[[#This Row],[Unit'#]],EquipmentTBL!$A:$A,0)),"NONE")</f>
        <v>Prostar Eagle</v>
      </c>
      <c r="R221" s="579">
        <f>(5-WEEKDAY(A221,2))+A221</f>
        <v>42482</v>
      </c>
      <c r="S221" s="556">
        <f>((5-WEEKDAY(A221,2))+A221)+7</f>
        <v>42489</v>
      </c>
      <c r="T221" s="574">
        <f>MONTH(A221)</f>
        <v>4</v>
      </c>
      <c r="U221" s="574">
        <f>YEAR(R221)</f>
        <v>2016</v>
      </c>
      <c r="V221" s="298"/>
      <c r="Z221"/>
      <c r="AA221"/>
      <c r="AB221"/>
      <c r="AC221"/>
      <c r="AD221"/>
      <c r="AE221"/>
    </row>
    <row r="222" spans="1:31">
      <c r="A222" s="570">
        <v>42483</v>
      </c>
      <c r="B222" s="143" t="s">
        <v>3896</v>
      </c>
      <c r="C222" s="298" t="s">
        <v>4002</v>
      </c>
      <c r="D222" s="572" t="s">
        <v>4260</v>
      </c>
      <c r="E222" s="571" t="s">
        <v>4028</v>
      </c>
      <c r="F222" s="571" t="s">
        <v>4263</v>
      </c>
      <c r="G222" s="571" t="s">
        <v>4242</v>
      </c>
      <c r="H222" s="171"/>
      <c r="I222" s="571">
        <v>1</v>
      </c>
      <c r="J222" s="573">
        <v>2172.35</v>
      </c>
      <c r="K222" s="59" t="s">
        <v>3983</v>
      </c>
      <c r="L222" s="571" t="s">
        <v>3984</v>
      </c>
      <c r="M222" s="571" t="s">
        <v>3985</v>
      </c>
      <c r="N222" s="574" t="str">
        <f>IFERROR(INDEX(EquipmentTBL!$H:$H,MATCH(Table5[[#This Row],[Unit'#]],EquipmentTBL!$A:$A,0)),"NONE")</f>
        <v>2HSCUAPR79CO93785</v>
      </c>
      <c r="O222" s="574" t="str">
        <f>IFERROR(INDEX(EquipmentTBL!$C:$C,MATCH(Table5[[#This Row],[Unit'#]],EquipmentTBL!$A:$A,0)),"NONE")</f>
        <v>International</v>
      </c>
      <c r="P222" s="574">
        <f>IFERROR(INDEX(EquipmentTBL!$B:$B,MATCH(Table5[[#This Row],[Unit'#]],EquipmentTBL!$A:$A,0)),"NONE")</f>
        <v>2009</v>
      </c>
      <c r="Q222" s="574" t="str">
        <f>IFERROR(INDEX(EquipmentTBL!$D:$D,MATCH(Table5[[#This Row],[Unit'#]],EquipmentTBL!$A:$A,0)),"NONE")</f>
        <v>Prostar Eagle</v>
      </c>
      <c r="R222" s="575">
        <f>(5-WEEKDAY(A222,2))+A222</f>
        <v>42482</v>
      </c>
      <c r="S222" s="556">
        <f>((5-WEEKDAY(A222,2))+A222)+7</f>
        <v>42489</v>
      </c>
      <c r="T222" s="574">
        <f>MONTH(A222)</f>
        <v>4</v>
      </c>
      <c r="U222" s="574">
        <f>YEAR(R222)</f>
        <v>2016</v>
      </c>
      <c r="V222" s="298"/>
      <c r="Z222"/>
      <c r="AA222"/>
      <c r="AB222"/>
      <c r="AC222"/>
      <c r="AD222"/>
      <c r="AE222"/>
    </row>
    <row r="223" spans="1:31">
      <c r="A223" s="570">
        <v>42483</v>
      </c>
      <c r="B223" s="143" t="s">
        <v>3896</v>
      </c>
      <c r="C223" s="298" t="s">
        <v>4002</v>
      </c>
      <c r="D223" s="572" t="s">
        <v>4260</v>
      </c>
      <c r="E223" s="571" t="s">
        <v>4028</v>
      </c>
      <c r="F223" s="571" t="s">
        <v>4264</v>
      </c>
      <c r="G223" s="571" t="s">
        <v>4242</v>
      </c>
      <c r="H223" s="171"/>
      <c r="I223" s="571">
        <v>4</v>
      </c>
      <c r="J223" s="573">
        <v>423.36</v>
      </c>
      <c r="K223" s="59" t="s">
        <v>3983</v>
      </c>
      <c r="L223" s="571" t="s">
        <v>3984</v>
      </c>
      <c r="M223" s="571" t="s">
        <v>3985</v>
      </c>
      <c r="N223" s="574" t="str">
        <f>IFERROR(INDEX(EquipmentTBL!$H:$H,MATCH(Table5[[#This Row],[Unit'#]],EquipmentTBL!$A:$A,0)),"NONE")</f>
        <v>2HSCUAPR79CO93785</v>
      </c>
      <c r="O223" s="574" t="str">
        <f>IFERROR(INDEX(EquipmentTBL!$C:$C,MATCH(Table5[[#This Row],[Unit'#]],EquipmentTBL!$A:$A,0)),"NONE")</f>
        <v>International</v>
      </c>
      <c r="P223" s="574">
        <f>IFERROR(INDEX(EquipmentTBL!$B:$B,MATCH(Table5[[#This Row],[Unit'#]],EquipmentTBL!$A:$A,0)),"NONE")</f>
        <v>2009</v>
      </c>
      <c r="Q223" s="574" t="str">
        <f>IFERROR(INDEX(EquipmentTBL!$D:$D,MATCH(Table5[[#This Row],[Unit'#]],EquipmentTBL!$A:$A,0)),"NONE")</f>
        <v>Prostar Eagle</v>
      </c>
      <c r="R223" s="575">
        <f>(5-WEEKDAY(A223,2))+A223</f>
        <v>42482</v>
      </c>
      <c r="S223" s="556">
        <f>((5-WEEKDAY(A223,2))+A223)+7</f>
        <v>42489</v>
      </c>
      <c r="T223" s="574">
        <f>MONTH(A223)</f>
        <v>4</v>
      </c>
      <c r="U223" s="574">
        <f>YEAR(R223)</f>
        <v>2016</v>
      </c>
      <c r="V223" s="298"/>
      <c r="Z223"/>
      <c r="AA223"/>
      <c r="AB223"/>
      <c r="AC223"/>
      <c r="AD223"/>
      <c r="AE223"/>
    </row>
    <row r="224" spans="1:31">
      <c r="A224" s="570">
        <v>42483</v>
      </c>
      <c r="B224" s="143" t="s">
        <v>3896</v>
      </c>
      <c r="C224" s="298" t="s">
        <v>4002</v>
      </c>
      <c r="D224" s="572" t="s">
        <v>4260</v>
      </c>
      <c r="E224" s="571" t="s">
        <v>4028</v>
      </c>
      <c r="F224" s="571" t="s">
        <v>4265</v>
      </c>
      <c r="G224" s="571" t="s">
        <v>4242</v>
      </c>
      <c r="H224" s="171"/>
      <c r="I224" s="571">
        <v>1</v>
      </c>
      <c r="J224" s="573">
        <v>395.65</v>
      </c>
      <c r="K224" s="59" t="s">
        <v>3983</v>
      </c>
      <c r="L224" s="571" t="s">
        <v>3984</v>
      </c>
      <c r="M224" s="571" t="s">
        <v>3985</v>
      </c>
      <c r="N224" s="574" t="str">
        <f>IFERROR(INDEX(EquipmentTBL!$H:$H,MATCH(Table5[[#This Row],[Unit'#]],EquipmentTBL!$A:$A,0)),"NONE")</f>
        <v>2HSCUAPR79CO93785</v>
      </c>
      <c r="O224" s="574" t="str">
        <f>IFERROR(INDEX(EquipmentTBL!$C:$C,MATCH(Table5[[#This Row],[Unit'#]],EquipmentTBL!$A:$A,0)),"NONE")</f>
        <v>International</v>
      </c>
      <c r="P224" s="574">
        <f>IFERROR(INDEX(EquipmentTBL!$B:$B,MATCH(Table5[[#This Row],[Unit'#]],EquipmentTBL!$A:$A,0)),"NONE")</f>
        <v>2009</v>
      </c>
      <c r="Q224" s="574" t="str">
        <f>IFERROR(INDEX(EquipmentTBL!$D:$D,MATCH(Table5[[#This Row],[Unit'#]],EquipmentTBL!$A:$A,0)),"NONE")</f>
        <v>Prostar Eagle</v>
      </c>
      <c r="R224" s="575">
        <f>(5-WEEKDAY(A224,2))+A224</f>
        <v>42482</v>
      </c>
      <c r="S224" s="556">
        <f>((5-WEEKDAY(A224,2))+A224)+7</f>
        <v>42489</v>
      </c>
      <c r="T224" s="574">
        <f>MONTH(A224)</f>
        <v>4</v>
      </c>
      <c r="U224" s="574">
        <f>YEAR(R224)</f>
        <v>2016</v>
      </c>
      <c r="V224" s="298"/>
      <c r="Z224"/>
      <c r="AA224"/>
      <c r="AB224"/>
      <c r="AC224"/>
      <c r="AD224"/>
      <c r="AE224"/>
    </row>
    <row r="225" spans="1:31">
      <c r="A225" s="570">
        <v>42488</v>
      </c>
      <c r="B225" s="143" t="s">
        <v>3863</v>
      </c>
      <c r="C225" s="298" t="s">
        <v>4002</v>
      </c>
      <c r="D225" s="572" t="s">
        <v>4266</v>
      </c>
      <c r="E225" s="571" t="s">
        <v>4028</v>
      </c>
      <c r="F225" s="571" t="s">
        <v>4267</v>
      </c>
      <c r="G225" s="571" t="s">
        <v>4096</v>
      </c>
      <c r="H225" s="171"/>
      <c r="I225" s="571">
        <v>1</v>
      </c>
      <c r="J225" s="573">
        <v>122.25</v>
      </c>
      <c r="K225" s="59" t="s">
        <v>3983</v>
      </c>
      <c r="L225" s="571" t="s">
        <v>3984</v>
      </c>
      <c r="M225" s="571" t="s">
        <v>3985</v>
      </c>
      <c r="N225" s="574" t="str">
        <f>IFERROR(INDEX(EquipmentTBL!$H:$H,MATCH(Table5[[#This Row],[Unit'#]],EquipmentTBL!$A:$A,0)),"NONE")</f>
        <v>2HSCUAPR88C657099</v>
      </c>
      <c r="O225" s="574" t="str">
        <f>IFERROR(INDEX(EquipmentTBL!$C:$C,MATCH(Table5[[#This Row],[Unit'#]],EquipmentTBL!$A:$A,0)),"NONE")</f>
        <v>International</v>
      </c>
      <c r="P225" s="574">
        <f>IFERROR(INDEX(EquipmentTBL!$B:$B,MATCH(Table5[[#This Row],[Unit'#]],EquipmentTBL!$A:$A,0)),"NONE")</f>
        <v>2008</v>
      </c>
      <c r="Q225" s="574" t="str">
        <f>IFERROR(INDEX(EquipmentTBL!$D:$D,MATCH(Table5[[#This Row],[Unit'#]],EquipmentTBL!$A:$A,0)),"NONE")</f>
        <v>Prostar Eagle</v>
      </c>
      <c r="R225" s="575">
        <f>(5-WEEKDAY(A225,2))+A225</f>
        <v>42489</v>
      </c>
      <c r="S225" s="556">
        <f>((5-WEEKDAY(A225,2))+A225)+7</f>
        <v>42496</v>
      </c>
      <c r="T225" s="574">
        <f>MONTH(A225)</f>
        <v>4</v>
      </c>
      <c r="U225" s="574">
        <f>YEAR(R225)</f>
        <v>2016</v>
      </c>
      <c r="V225" s="298"/>
      <c r="Z225"/>
      <c r="AA225"/>
      <c r="AB225"/>
      <c r="AC225"/>
      <c r="AD225"/>
      <c r="AE225"/>
    </row>
    <row r="226" spans="1:31">
      <c r="A226" s="297">
        <v>42489</v>
      </c>
      <c r="B226" s="143" t="s">
        <v>3978</v>
      </c>
      <c r="C226" s="298" t="s">
        <v>3979</v>
      </c>
      <c r="D226" s="572"/>
      <c r="E226" s="571" t="s">
        <v>3980</v>
      </c>
      <c r="F226" s="571" t="s">
        <v>4268</v>
      </c>
      <c r="G226" s="298" t="s">
        <v>4196</v>
      </c>
      <c r="H226" s="171"/>
      <c r="I226" s="571" t="s">
        <v>123</v>
      </c>
      <c r="J226" s="573">
        <v>161</v>
      </c>
      <c r="K226" s="59" t="s">
        <v>3983</v>
      </c>
      <c r="L226" s="298" t="s">
        <v>3984</v>
      </c>
      <c r="M226" s="298" t="s">
        <v>3985</v>
      </c>
      <c r="N226" s="574" t="str">
        <f>IFERROR(INDEX(EquipmentTBL!$H:$H,MATCH(Table5[[#This Row],[Unit'#]],EquipmentTBL!$A:$A,0)),"NONE")</f>
        <v>NONE</v>
      </c>
      <c r="O226" s="574" t="str">
        <f>IFERROR(INDEX(EquipmentTBL!$C:$C,MATCH(Table5[[#This Row],[Unit'#]],EquipmentTBL!$A:$A,0)),"NONE")</f>
        <v>NONE</v>
      </c>
      <c r="P226" s="574" t="str">
        <f>IFERROR(INDEX(EquipmentTBL!$B:$B,MATCH(Table5[[#This Row],[Unit'#]],EquipmentTBL!$A:$A,0)),"NONE")</f>
        <v>NONE</v>
      </c>
      <c r="Q226" s="574" t="str">
        <f>IFERROR(INDEX(EquipmentTBL!$D:$D,MATCH(Table5[[#This Row],[Unit'#]],EquipmentTBL!$A:$A,0)),"NONE")</f>
        <v>NONE</v>
      </c>
      <c r="R226" s="575">
        <f>(5-WEEKDAY(A226,2))+A226</f>
        <v>42489</v>
      </c>
      <c r="S226" s="556">
        <f>((5-WEEKDAY(A226,2))+A226)+7</f>
        <v>42496</v>
      </c>
      <c r="T226" s="574">
        <f>MONTH(A226)</f>
        <v>4</v>
      </c>
      <c r="U226" s="574">
        <f>YEAR(R226)</f>
        <v>2016</v>
      </c>
      <c r="V226" s="298"/>
      <c r="Z226"/>
      <c r="AA226"/>
      <c r="AB226"/>
      <c r="AC226"/>
      <c r="AD226"/>
      <c r="AE226"/>
    </row>
    <row r="227" spans="1:31">
      <c r="A227" s="570">
        <v>42489</v>
      </c>
      <c r="B227" s="143" t="s">
        <v>3978</v>
      </c>
      <c r="C227" s="298" t="s">
        <v>4159</v>
      </c>
      <c r="D227" s="572"/>
      <c r="E227" s="298" t="s">
        <v>3980</v>
      </c>
      <c r="F227" s="571" t="s">
        <v>4269</v>
      </c>
      <c r="G227" s="298" t="s">
        <v>3831</v>
      </c>
      <c r="H227" s="171"/>
      <c r="I227" s="571" t="s">
        <v>123</v>
      </c>
      <c r="J227" s="573">
        <v>175</v>
      </c>
      <c r="K227" s="59" t="s">
        <v>3983</v>
      </c>
      <c r="L227" s="571" t="s">
        <v>3984</v>
      </c>
      <c r="M227" s="571" t="s">
        <v>3985</v>
      </c>
      <c r="N227" s="574" t="str">
        <f>IFERROR(INDEX(EquipmentTBL!$H:$H,MATCH(Table5[[#This Row],[Unit'#]],EquipmentTBL!$A:$A,0)),"NONE")</f>
        <v>NONE</v>
      </c>
      <c r="O227" s="574" t="str">
        <f>IFERROR(INDEX(EquipmentTBL!$C:$C,MATCH(Table5[[#This Row],[Unit'#]],EquipmentTBL!$A:$A,0)),"NONE")</f>
        <v>NONE</v>
      </c>
      <c r="P227" s="574" t="str">
        <f>IFERROR(INDEX(EquipmentTBL!$B:$B,MATCH(Table5[[#This Row],[Unit'#]],EquipmentTBL!$A:$A,0)),"NONE")</f>
        <v>NONE</v>
      </c>
      <c r="Q227" s="574" t="str">
        <f>IFERROR(INDEX(EquipmentTBL!$D:$D,MATCH(Table5[[#This Row],[Unit'#]],EquipmentTBL!$A:$A,0)),"NONE")</f>
        <v>NONE</v>
      </c>
      <c r="R227" s="575">
        <f>(5-WEEKDAY(A227,2))+A227</f>
        <v>42489</v>
      </c>
      <c r="S227" s="556">
        <f>((5-WEEKDAY(A227,2))+A227)+7</f>
        <v>42496</v>
      </c>
      <c r="T227" s="574">
        <f>MONTH(A227)</f>
        <v>4</v>
      </c>
      <c r="U227" s="574">
        <f>YEAR(R227)</f>
        <v>2016</v>
      </c>
      <c r="V227" s="298"/>
      <c r="Z227"/>
      <c r="AA227"/>
      <c r="AB227"/>
      <c r="AC227"/>
      <c r="AD227"/>
      <c r="AE227"/>
    </row>
    <row r="228" spans="1:31">
      <c r="A228" s="146">
        <v>42490</v>
      </c>
      <c r="B228" s="146" t="s">
        <v>3978</v>
      </c>
      <c r="C228" s="65" t="s">
        <v>3990</v>
      </c>
      <c r="D228" s="145"/>
      <c r="E228" s="298" t="s">
        <v>3980</v>
      </c>
      <c r="F228" s="298" t="s">
        <v>4270</v>
      </c>
      <c r="G228" s="298" t="s">
        <v>4124</v>
      </c>
      <c r="H228" s="15"/>
      <c r="I228" s="65">
        <v>1</v>
      </c>
      <c r="J228" s="54">
        <v>27.39</v>
      </c>
      <c r="K228" s="54" t="s">
        <v>3983</v>
      </c>
      <c r="L228" s="59" t="s">
        <v>3984</v>
      </c>
      <c r="M228" s="145" t="s">
        <v>3985</v>
      </c>
      <c r="N228" s="86" t="str">
        <f>IFERROR(INDEX(EquipmentTBL!$H:$H,MATCH(Table5[[#This Row],[Unit'#]],EquipmentTBL!$A:$A,0)),"NONE")</f>
        <v>NONE</v>
      </c>
      <c r="O228" s="86" t="str">
        <f>IFERROR(INDEX(EquipmentTBL!$C:$C,MATCH(Table5[[#This Row],[Unit'#]],EquipmentTBL!$A:$A,0)),"NONE")</f>
        <v>NONE</v>
      </c>
      <c r="P228" s="86" t="str">
        <f>IFERROR(INDEX(EquipmentTBL!$B:$B,MATCH(Table5[[#This Row],[Unit'#]],EquipmentTBL!$A:$A,0)),"NONE")</f>
        <v>NONE</v>
      </c>
      <c r="Q228" s="86" t="str">
        <f>IFERROR(INDEX(EquipmentTBL!$D:$D,MATCH(Table5[[#This Row],[Unit'#]],EquipmentTBL!$A:$A,0)),"NONE")</f>
        <v>NONE</v>
      </c>
      <c r="R228" s="26">
        <f>(5-WEEKDAY(A228,2))+A228</f>
        <v>42489</v>
      </c>
      <c r="S228" s="172">
        <f>((5-WEEKDAY(A228,2))+A228)+7</f>
        <v>42496</v>
      </c>
      <c r="T228" s="150">
        <f>MONTH(A228)</f>
        <v>4</v>
      </c>
      <c r="U228" s="150">
        <f>YEAR(R228)</f>
        <v>2016</v>
      </c>
      <c r="V228" s="298"/>
      <c r="Z228"/>
      <c r="AA228"/>
      <c r="AB228"/>
      <c r="AC228"/>
      <c r="AD228"/>
      <c r="AE228"/>
    </row>
    <row r="229" spans="1:31">
      <c r="A229" s="146">
        <v>42490</v>
      </c>
      <c r="B229" s="146" t="s">
        <v>3978</v>
      </c>
      <c r="C229" s="65" t="s">
        <v>3990</v>
      </c>
      <c r="D229" s="145">
        <v>446259</v>
      </c>
      <c r="E229" s="298" t="s">
        <v>3980</v>
      </c>
      <c r="F229" s="298" t="s">
        <v>4677</v>
      </c>
      <c r="G229" s="298" t="s">
        <v>4678</v>
      </c>
      <c r="H229" s="15"/>
      <c r="I229" s="65">
        <v>1</v>
      </c>
      <c r="J229" s="54">
        <v>15</v>
      </c>
      <c r="K229" s="54" t="s">
        <v>3983</v>
      </c>
      <c r="L229" s="59" t="s">
        <v>3984</v>
      </c>
      <c r="M229" s="145" t="s">
        <v>3985</v>
      </c>
      <c r="N229" s="86" t="str">
        <f>IFERROR(INDEX(EquipmentTBL!$H:$H,MATCH(Table5[[#This Row],[Unit'#]],EquipmentTBL!$A:$A,0)),"NONE")</f>
        <v>NONE</v>
      </c>
      <c r="O229" s="86" t="str">
        <f>IFERROR(INDEX(EquipmentTBL!$C:$C,MATCH(Table5[[#This Row],[Unit'#]],EquipmentTBL!$A:$A,0)),"NONE")</f>
        <v>NONE</v>
      </c>
      <c r="P229" s="86" t="str">
        <f>IFERROR(INDEX(EquipmentTBL!$B:$B,MATCH(Table5[[#This Row],[Unit'#]],EquipmentTBL!$A:$A,0)),"NONE")</f>
        <v>NONE</v>
      </c>
      <c r="Q229" s="86" t="str">
        <f>IFERROR(INDEX(EquipmentTBL!$D:$D,MATCH(Table5[[#This Row],[Unit'#]],EquipmentTBL!$A:$A,0)),"NONE")</f>
        <v>NONE</v>
      </c>
      <c r="R229" s="26">
        <f>(5-WEEKDAY(A229,2))+A229</f>
        <v>42489</v>
      </c>
      <c r="S229" s="172">
        <f>((5-WEEKDAY(A229,2))+A229)+7</f>
        <v>42496</v>
      </c>
      <c r="T229" s="150">
        <f>MONTH(A229)</f>
        <v>4</v>
      </c>
      <c r="U229" s="150">
        <f>YEAR(R229)</f>
        <v>2016</v>
      </c>
      <c r="V229" s="298"/>
      <c r="Z229"/>
      <c r="AA229"/>
      <c r="AB229"/>
      <c r="AC229"/>
      <c r="AD229"/>
      <c r="AE229"/>
    </row>
    <row r="230" spans="1:31">
      <c r="A230" s="570">
        <v>42491</v>
      </c>
      <c r="B230" s="143" t="s">
        <v>3863</v>
      </c>
      <c r="C230" s="298" t="s">
        <v>3997</v>
      </c>
      <c r="D230" s="572"/>
      <c r="E230" s="571" t="s">
        <v>3980</v>
      </c>
      <c r="F230" s="571" t="s">
        <v>4000</v>
      </c>
      <c r="G230" s="571" t="s">
        <v>3999</v>
      </c>
      <c r="H230" s="171"/>
      <c r="I230" s="571" t="s">
        <v>123</v>
      </c>
      <c r="J230" s="573">
        <v>125</v>
      </c>
      <c r="K230" s="59" t="s">
        <v>3983</v>
      </c>
      <c r="L230" s="571" t="s">
        <v>3984</v>
      </c>
      <c r="M230" s="571" t="s">
        <v>3985</v>
      </c>
      <c r="N230" s="574" t="str">
        <f>IFERROR(INDEX(EquipmentTBL!$H:$H,MATCH(Table5[[#This Row],[Unit'#]],EquipmentTBL!$A:$A,0)),"NONE")</f>
        <v>2HSCUAPR88C657099</v>
      </c>
      <c r="O230" s="574" t="str">
        <f>IFERROR(INDEX(EquipmentTBL!$C:$C,MATCH(Table5[[#This Row],[Unit'#]],EquipmentTBL!$A:$A,0)),"NONE")</f>
        <v>International</v>
      </c>
      <c r="P230" s="574">
        <f>IFERROR(INDEX(EquipmentTBL!$B:$B,MATCH(Table5[[#This Row],[Unit'#]],EquipmentTBL!$A:$A,0)),"NONE")</f>
        <v>2008</v>
      </c>
      <c r="Q230" s="574" t="str">
        <f>IFERROR(INDEX(EquipmentTBL!$D:$D,MATCH(Table5[[#This Row],[Unit'#]],EquipmentTBL!$A:$A,0)),"NONE")</f>
        <v>Prostar Eagle</v>
      </c>
      <c r="R230" s="575">
        <f>(5-WEEKDAY(A230,2))+A230</f>
        <v>42489</v>
      </c>
      <c r="S230" s="556">
        <f>((5-WEEKDAY(A230,2))+A230)+7</f>
        <v>42496</v>
      </c>
      <c r="T230" s="574">
        <f>MONTH(A230)</f>
        <v>5</v>
      </c>
      <c r="U230" s="574">
        <f>YEAR(R230)</f>
        <v>2016</v>
      </c>
      <c r="V230" s="298"/>
      <c r="Z230"/>
      <c r="AA230"/>
      <c r="AB230"/>
      <c r="AC230"/>
      <c r="AD230"/>
      <c r="AE230"/>
    </row>
    <row r="231" spans="1:31">
      <c r="A231" s="570">
        <v>42491</v>
      </c>
      <c r="B231" s="143" t="s">
        <v>3896</v>
      </c>
      <c r="C231" s="298" t="s">
        <v>3997</v>
      </c>
      <c r="D231" s="572"/>
      <c r="E231" s="571" t="s">
        <v>3980</v>
      </c>
      <c r="F231" s="571" t="s">
        <v>4000</v>
      </c>
      <c r="G231" s="571" t="s">
        <v>3999</v>
      </c>
      <c r="H231" s="171"/>
      <c r="I231" s="571" t="s">
        <v>123</v>
      </c>
      <c r="J231" s="573">
        <v>125</v>
      </c>
      <c r="K231" s="59" t="s">
        <v>3983</v>
      </c>
      <c r="L231" s="571" t="s">
        <v>3984</v>
      </c>
      <c r="M231" s="571" t="s">
        <v>3985</v>
      </c>
      <c r="N231" s="574" t="str">
        <f>IFERROR(INDEX(EquipmentTBL!$H:$H,MATCH(Table5[[#This Row],[Unit'#]],EquipmentTBL!$A:$A,0)),"NONE")</f>
        <v>2HSCUAPR79CO93785</v>
      </c>
      <c r="O231" s="574" t="str">
        <f>IFERROR(INDEX(EquipmentTBL!$C:$C,MATCH(Table5[[#This Row],[Unit'#]],EquipmentTBL!$A:$A,0)),"NONE")</f>
        <v>International</v>
      </c>
      <c r="P231" s="574">
        <f>IFERROR(INDEX(EquipmentTBL!$B:$B,MATCH(Table5[[#This Row],[Unit'#]],EquipmentTBL!$A:$A,0)),"NONE")</f>
        <v>2009</v>
      </c>
      <c r="Q231" s="574" t="str">
        <f>IFERROR(INDEX(EquipmentTBL!$D:$D,MATCH(Table5[[#This Row],[Unit'#]],EquipmentTBL!$A:$A,0)),"NONE")</f>
        <v>Prostar Eagle</v>
      </c>
      <c r="R231" s="575">
        <f>(5-WEEKDAY(A231,2))+A231</f>
        <v>42489</v>
      </c>
      <c r="S231" s="556">
        <f>((5-WEEKDAY(A231,2))+A231)+7</f>
        <v>42496</v>
      </c>
      <c r="T231" s="574">
        <f>MONTH(A231)</f>
        <v>5</v>
      </c>
      <c r="U231" s="574">
        <f>YEAR(R231)</f>
        <v>2016</v>
      </c>
      <c r="V231" s="298"/>
      <c r="Z231"/>
      <c r="AA231"/>
      <c r="AB231"/>
      <c r="AC231"/>
      <c r="AD231"/>
      <c r="AE231"/>
    </row>
    <row r="232" spans="1:31">
      <c r="A232" s="570">
        <v>42492</v>
      </c>
      <c r="B232" s="143" t="s">
        <v>3978</v>
      </c>
      <c r="C232" s="298" t="s">
        <v>3990</v>
      </c>
      <c r="D232" s="572"/>
      <c r="E232" s="571" t="s">
        <v>3980</v>
      </c>
      <c r="F232" s="571" t="s">
        <v>4271</v>
      </c>
      <c r="G232" s="571" t="s">
        <v>4272</v>
      </c>
      <c r="H232" s="171"/>
      <c r="I232" s="571" t="s">
        <v>123</v>
      </c>
      <c r="J232" s="573">
        <v>25.89</v>
      </c>
      <c r="K232" s="59" t="s">
        <v>3983</v>
      </c>
      <c r="L232" s="298" t="s">
        <v>3984</v>
      </c>
      <c r="M232" s="571" t="s">
        <v>3985</v>
      </c>
      <c r="N232" s="574" t="str">
        <f>IFERROR(INDEX(EquipmentTBL!$H:$H,MATCH(Table5[[#This Row],[Unit'#]],EquipmentTBL!$A:$A,0)),"NONE")</f>
        <v>NONE</v>
      </c>
      <c r="O232" s="574" t="str">
        <f>IFERROR(INDEX(EquipmentTBL!$C:$C,MATCH(Table5[[#This Row],[Unit'#]],EquipmentTBL!$A:$A,0)),"NONE")</f>
        <v>NONE</v>
      </c>
      <c r="P232" s="574" t="str">
        <f>IFERROR(INDEX(EquipmentTBL!$B:$B,MATCH(Table5[[#This Row],[Unit'#]],EquipmentTBL!$A:$A,0)),"NONE")</f>
        <v>NONE</v>
      </c>
      <c r="Q232" s="574" t="str">
        <f>IFERROR(INDEX(EquipmentTBL!$D:$D,MATCH(Table5[[#This Row],[Unit'#]],EquipmentTBL!$A:$A,0)),"NONE")</f>
        <v>NONE</v>
      </c>
      <c r="R232" s="575">
        <f>(5-WEEKDAY(A232,2))+A232</f>
        <v>42496</v>
      </c>
      <c r="S232" s="556">
        <f>((5-WEEKDAY(A232,2))+A232)+7</f>
        <v>42503</v>
      </c>
      <c r="T232" s="574">
        <f>MONTH(A232)</f>
        <v>5</v>
      </c>
      <c r="U232" s="574">
        <f>YEAR(R232)</f>
        <v>2016</v>
      </c>
      <c r="V232" s="298"/>
      <c r="Z232"/>
      <c r="AA232"/>
      <c r="AB232"/>
      <c r="AC232"/>
      <c r="AD232"/>
      <c r="AE232"/>
    </row>
    <row r="233" spans="1:31">
      <c r="A233" s="570">
        <v>42492</v>
      </c>
      <c r="B233" s="143" t="s">
        <v>3978</v>
      </c>
      <c r="C233" s="298" t="s">
        <v>3979</v>
      </c>
      <c r="D233" s="572"/>
      <c r="E233" s="571" t="s">
        <v>3980</v>
      </c>
      <c r="F233" s="571" t="s">
        <v>4273</v>
      </c>
      <c r="G233" s="571" t="s">
        <v>4274</v>
      </c>
      <c r="H233" s="171"/>
      <c r="I233" s="571" t="s">
        <v>123</v>
      </c>
      <c r="J233" s="573">
        <v>206</v>
      </c>
      <c r="K233" s="59" t="s">
        <v>3983</v>
      </c>
      <c r="L233" s="298" t="s">
        <v>3984</v>
      </c>
      <c r="M233" s="298" t="s">
        <v>3985</v>
      </c>
      <c r="N233" s="574" t="str">
        <f>IFERROR(INDEX(EquipmentTBL!$H:$H,MATCH(Table5[[#This Row],[Unit'#]],EquipmentTBL!$A:$A,0)),"NONE")</f>
        <v>NONE</v>
      </c>
      <c r="O233" s="574" t="str">
        <f>IFERROR(INDEX(EquipmentTBL!$C:$C,MATCH(Table5[[#This Row],[Unit'#]],EquipmentTBL!$A:$A,0)),"NONE")</f>
        <v>NONE</v>
      </c>
      <c r="P233" s="574" t="str">
        <f>IFERROR(INDEX(EquipmentTBL!$B:$B,MATCH(Table5[[#This Row],[Unit'#]],EquipmentTBL!$A:$A,0)),"NONE")</f>
        <v>NONE</v>
      </c>
      <c r="Q233" s="574" t="str">
        <f>IFERROR(INDEX(EquipmentTBL!$D:$D,MATCH(Table5[[#This Row],[Unit'#]],EquipmentTBL!$A:$A,0)),"NONE")</f>
        <v>NONE</v>
      </c>
      <c r="R233" s="575">
        <f>(5-WEEKDAY(A233,2))+A233</f>
        <v>42496</v>
      </c>
      <c r="S233" s="556">
        <f>((5-WEEKDAY(A233,2))+A233)+7</f>
        <v>42503</v>
      </c>
      <c r="T233" s="574">
        <f>MONTH(A233)</f>
        <v>5</v>
      </c>
      <c r="U233" s="574">
        <f>YEAR(R233)</f>
        <v>2016</v>
      </c>
      <c r="V233" s="298"/>
      <c r="Z233"/>
      <c r="AA233"/>
      <c r="AB233"/>
      <c r="AC233"/>
      <c r="AD233"/>
      <c r="AE233"/>
    </row>
    <row r="234" spans="1:31">
      <c r="A234" s="570">
        <v>42493</v>
      </c>
      <c r="B234" s="143" t="s">
        <v>4030</v>
      </c>
      <c r="C234" s="298" t="s">
        <v>4002</v>
      </c>
      <c r="D234" s="572">
        <v>7536</v>
      </c>
      <c r="E234" s="571" t="s">
        <v>4039</v>
      </c>
      <c r="F234" s="571" t="s">
        <v>4275</v>
      </c>
      <c r="G234" s="571" t="s">
        <v>4019</v>
      </c>
      <c r="H234" s="171"/>
      <c r="I234" s="571">
        <v>2</v>
      </c>
      <c r="J234" s="573">
        <v>450</v>
      </c>
      <c r="K234" s="59" t="s">
        <v>3983</v>
      </c>
      <c r="L234" s="571" t="s">
        <v>3984</v>
      </c>
      <c r="M234" s="571" t="s">
        <v>3985</v>
      </c>
      <c r="N234" s="574" t="str">
        <f>IFERROR(INDEX(EquipmentTBL!$H:$H,MATCH(Table5[[#This Row],[Unit'#]],EquipmentTBL!$A:$A,0)),"NONE")</f>
        <v>1GRAA0625XB130354</v>
      </c>
      <c r="O234" s="574" t="str">
        <f>IFERROR(INDEX(EquipmentTBL!$C:$C,MATCH(Table5[[#This Row],[Unit'#]],EquipmentTBL!$A:$A,0)),"NONE")</f>
        <v>Grate Dane</v>
      </c>
      <c r="P234" s="574">
        <f>IFERROR(INDEX(EquipmentTBL!$B:$B,MATCH(Table5[[#This Row],[Unit'#]],EquipmentTBL!$A:$A,0)),"NONE")</f>
        <v>1999</v>
      </c>
      <c r="Q234" s="574" t="str">
        <f>IFERROR(INDEX(EquipmentTBL!$D:$D,MATCH(Table5[[#This Row],[Unit'#]],EquipmentTBL!$A:$A,0)),"NONE")</f>
        <v>DryVan</v>
      </c>
      <c r="R234" s="575">
        <f>(5-WEEKDAY(A234,2))+A234</f>
        <v>42496</v>
      </c>
      <c r="S234" s="556">
        <f>((5-WEEKDAY(A234,2))+A234)+7</f>
        <v>42503</v>
      </c>
      <c r="T234" s="574">
        <f>MONTH(A234)</f>
        <v>5</v>
      </c>
      <c r="U234" s="574">
        <f>YEAR(R234)</f>
        <v>2016</v>
      </c>
      <c r="V234" s="298"/>
      <c r="Z234"/>
      <c r="AA234"/>
      <c r="AB234"/>
      <c r="AC234"/>
      <c r="AD234"/>
      <c r="AE234"/>
    </row>
    <row r="235" spans="1:31">
      <c r="A235" s="570">
        <v>42493</v>
      </c>
      <c r="B235" s="143" t="s">
        <v>3896</v>
      </c>
      <c r="C235" s="298" t="s">
        <v>3979</v>
      </c>
      <c r="D235" s="572" t="s">
        <v>4276</v>
      </c>
      <c r="E235" s="571" t="s">
        <v>3980</v>
      </c>
      <c r="F235" s="571" t="s">
        <v>4023</v>
      </c>
      <c r="G235" s="571" t="s">
        <v>4277</v>
      </c>
      <c r="H235" s="171"/>
      <c r="I235" s="571">
        <v>1</v>
      </c>
      <c r="J235" s="573">
        <v>12.5</v>
      </c>
      <c r="K235" s="59" t="s">
        <v>3983</v>
      </c>
      <c r="L235" s="571" t="s">
        <v>3897</v>
      </c>
      <c r="M235" s="571" t="s">
        <v>3985</v>
      </c>
      <c r="N235" s="574" t="str">
        <f>IFERROR(INDEX(EquipmentTBL!$H:$H,MATCH(Table5[[#This Row],[Unit'#]],EquipmentTBL!$A:$A,0)),"NONE")</f>
        <v>2HSCUAPR79CO93785</v>
      </c>
      <c r="O235" s="574" t="str">
        <f>IFERROR(INDEX(EquipmentTBL!$C:$C,MATCH(Table5[[#This Row],[Unit'#]],EquipmentTBL!$A:$A,0)),"NONE")</f>
        <v>International</v>
      </c>
      <c r="P235" s="574">
        <f>IFERROR(INDEX(EquipmentTBL!$B:$B,MATCH(Table5[[#This Row],[Unit'#]],EquipmentTBL!$A:$A,0)),"NONE")</f>
        <v>2009</v>
      </c>
      <c r="Q235" s="574" t="str">
        <f>IFERROR(INDEX(EquipmentTBL!$D:$D,MATCH(Table5[[#This Row],[Unit'#]],EquipmentTBL!$A:$A,0)),"NONE")</f>
        <v>Prostar Eagle</v>
      </c>
      <c r="R235" s="575">
        <f>(5-WEEKDAY(A235,2))+A235</f>
        <v>42496</v>
      </c>
      <c r="S235" s="556">
        <f>((5-WEEKDAY(A235,2))+A235)+7</f>
        <v>42503</v>
      </c>
      <c r="T235" s="574">
        <f>MONTH(A235)</f>
        <v>5</v>
      </c>
      <c r="U235" s="574">
        <f>YEAR(R235)</f>
        <v>2016</v>
      </c>
      <c r="V235" s="298"/>
      <c r="Z235"/>
      <c r="AA235"/>
      <c r="AB235"/>
      <c r="AC235"/>
      <c r="AD235"/>
      <c r="AE235"/>
    </row>
    <row r="236" spans="1:31">
      <c r="A236" s="297">
        <v>42494</v>
      </c>
      <c r="B236" s="143" t="s">
        <v>3978</v>
      </c>
      <c r="C236" s="298" t="s">
        <v>3979</v>
      </c>
      <c r="D236" s="572"/>
      <c r="E236" s="298" t="s">
        <v>3980</v>
      </c>
      <c r="F236" s="571" t="s">
        <v>4278</v>
      </c>
      <c r="G236" s="571" t="s">
        <v>4090</v>
      </c>
      <c r="H236" s="171"/>
      <c r="I236" s="571" t="s">
        <v>123</v>
      </c>
      <c r="J236" s="573">
        <v>35</v>
      </c>
      <c r="K236" s="59" t="s">
        <v>3983</v>
      </c>
      <c r="L236" s="298" t="s">
        <v>3984</v>
      </c>
      <c r="M236" s="298" t="s">
        <v>3985</v>
      </c>
      <c r="N236" s="574" t="str">
        <f>IFERROR(INDEX(EquipmentTBL!$H:$H,MATCH(Table5[[#This Row],[Unit'#]],EquipmentTBL!$A:$A,0)),"NONE")</f>
        <v>NONE</v>
      </c>
      <c r="O236" s="574" t="str">
        <f>IFERROR(INDEX(EquipmentTBL!$C:$C,MATCH(Table5[[#This Row],[Unit'#]],EquipmentTBL!$A:$A,0)),"NONE")</f>
        <v>NONE</v>
      </c>
      <c r="P236" s="574" t="str">
        <f>IFERROR(INDEX(EquipmentTBL!$B:$B,MATCH(Table5[[#This Row],[Unit'#]],EquipmentTBL!$A:$A,0)),"NONE")</f>
        <v>NONE</v>
      </c>
      <c r="Q236" s="574" t="str">
        <f>IFERROR(INDEX(EquipmentTBL!$D:$D,MATCH(Table5[[#This Row],[Unit'#]],EquipmentTBL!$A:$A,0)),"NONE")</f>
        <v>NONE</v>
      </c>
      <c r="R236" s="575">
        <f>(5-WEEKDAY(A236,2))+A236</f>
        <v>42496</v>
      </c>
      <c r="S236" s="556">
        <f>((5-WEEKDAY(A236,2))+A236)+7</f>
        <v>42503</v>
      </c>
      <c r="T236" s="574">
        <f>MONTH(A236)</f>
        <v>5</v>
      </c>
      <c r="U236" s="574">
        <f>YEAR(R236)</f>
        <v>2016</v>
      </c>
      <c r="V236" s="298"/>
      <c r="Z236"/>
      <c r="AA236"/>
      <c r="AB236"/>
      <c r="AC236"/>
      <c r="AD236"/>
      <c r="AE236"/>
    </row>
    <row r="237" spans="1:31">
      <c r="A237" s="570">
        <v>42495</v>
      </c>
      <c r="B237" s="143" t="s">
        <v>3863</v>
      </c>
      <c r="C237" s="298" t="s">
        <v>4002</v>
      </c>
      <c r="D237" s="572" t="s">
        <v>4279</v>
      </c>
      <c r="E237" s="571" t="s">
        <v>4028</v>
      </c>
      <c r="F237" s="571" t="s">
        <v>4280</v>
      </c>
      <c r="G237" s="571" t="s">
        <v>4096</v>
      </c>
      <c r="H237" s="171"/>
      <c r="I237" s="571">
        <v>1</v>
      </c>
      <c r="J237" s="573">
        <v>26.17</v>
      </c>
      <c r="K237" s="59" t="s">
        <v>3983</v>
      </c>
      <c r="L237" s="571" t="s">
        <v>3984</v>
      </c>
      <c r="M237" s="571" t="s">
        <v>3985</v>
      </c>
      <c r="N237" s="574" t="str">
        <f>IFERROR(INDEX(EquipmentTBL!$H:$H,MATCH(Table5[[#This Row],[Unit'#]],EquipmentTBL!$A:$A,0)),"NONE")</f>
        <v>2HSCUAPR88C657099</v>
      </c>
      <c r="O237" s="574" t="str">
        <f>IFERROR(INDEX(EquipmentTBL!$C:$C,MATCH(Table5[[#This Row],[Unit'#]],EquipmentTBL!$A:$A,0)),"NONE")</f>
        <v>International</v>
      </c>
      <c r="P237" s="574">
        <f>IFERROR(INDEX(EquipmentTBL!$B:$B,MATCH(Table5[[#This Row],[Unit'#]],EquipmentTBL!$A:$A,0)),"NONE")</f>
        <v>2008</v>
      </c>
      <c r="Q237" s="574" t="str">
        <f>IFERROR(INDEX(EquipmentTBL!$D:$D,MATCH(Table5[[#This Row],[Unit'#]],EquipmentTBL!$A:$A,0)),"NONE")</f>
        <v>Prostar Eagle</v>
      </c>
      <c r="R237" s="575">
        <f>(5-WEEKDAY(A237,2))+A237</f>
        <v>42496</v>
      </c>
      <c r="S237" s="556">
        <f>((5-WEEKDAY(A237,2))+A237)+7</f>
        <v>42503</v>
      </c>
      <c r="T237" s="574">
        <f>MONTH(A237)</f>
        <v>5</v>
      </c>
      <c r="U237" s="574">
        <f>YEAR(R237)</f>
        <v>2016</v>
      </c>
      <c r="V237" s="298"/>
      <c r="Z237"/>
      <c r="AA237"/>
      <c r="AB237"/>
      <c r="AC237"/>
      <c r="AD237"/>
      <c r="AE237"/>
    </row>
    <row r="238" spans="1:31">
      <c r="A238" s="570">
        <v>42497</v>
      </c>
      <c r="B238" s="143" t="s">
        <v>3896</v>
      </c>
      <c r="C238" s="298" t="s">
        <v>4002</v>
      </c>
      <c r="D238" s="572" t="s">
        <v>4281</v>
      </c>
      <c r="E238" s="571" t="s">
        <v>4028</v>
      </c>
      <c r="F238" s="571" t="s">
        <v>4282</v>
      </c>
      <c r="G238" s="571" t="s">
        <v>4096</v>
      </c>
      <c r="H238" s="171"/>
      <c r="I238" s="571">
        <v>1</v>
      </c>
      <c r="J238" s="573">
        <v>529.77</v>
      </c>
      <c r="K238" s="59" t="s">
        <v>3983</v>
      </c>
      <c r="L238" s="571" t="s">
        <v>3984</v>
      </c>
      <c r="M238" s="571" t="s">
        <v>3985</v>
      </c>
      <c r="N238" s="574" t="str">
        <f>IFERROR(INDEX(EquipmentTBL!$H:$H,MATCH(Table5[[#This Row],[Unit'#]],EquipmentTBL!$A:$A,0)),"NONE")</f>
        <v>2HSCUAPR79CO93785</v>
      </c>
      <c r="O238" s="574" t="str">
        <f>IFERROR(INDEX(EquipmentTBL!$C:$C,MATCH(Table5[[#This Row],[Unit'#]],EquipmentTBL!$A:$A,0)),"NONE")</f>
        <v>International</v>
      </c>
      <c r="P238" s="574">
        <f>IFERROR(INDEX(EquipmentTBL!$B:$B,MATCH(Table5[[#This Row],[Unit'#]],EquipmentTBL!$A:$A,0)),"NONE")</f>
        <v>2009</v>
      </c>
      <c r="Q238" s="574" t="str">
        <f>IFERROR(INDEX(EquipmentTBL!$D:$D,MATCH(Table5[[#This Row],[Unit'#]],EquipmentTBL!$A:$A,0)),"NONE")</f>
        <v>Prostar Eagle</v>
      </c>
      <c r="R238" s="575">
        <f>(5-WEEKDAY(A238,2))+A238</f>
        <v>42496</v>
      </c>
      <c r="S238" s="556">
        <f>((5-WEEKDAY(A238,2))+A238)+7</f>
        <v>42503</v>
      </c>
      <c r="T238" s="574">
        <f>MONTH(A238)</f>
        <v>5</v>
      </c>
      <c r="U238" s="574">
        <f>YEAR(R238)</f>
        <v>2016</v>
      </c>
      <c r="V238" s="298"/>
      <c r="Z238"/>
      <c r="AA238"/>
      <c r="AB238"/>
      <c r="AC238"/>
      <c r="AD238"/>
      <c r="AE238"/>
    </row>
    <row r="239" spans="1:31">
      <c r="A239" s="570">
        <v>42499</v>
      </c>
      <c r="B239" s="143" t="s">
        <v>3896</v>
      </c>
      <c r="C239" s="298" t="s">
        <v>4002</v>
      </c>
      <c r="D239" s="572" t="s">
        <v>4283</v>
      </c>
      <c r="E239" s="571" t="s">
        <v>4028</v>
      </c>
      <c r="F239" s="571" t="s">
        <v>4284</v>
      </c>
      <c r="G239" s="571" t="s">
        <v>4242</v>
      </c>
      <c r="H239" s="171"/>
      <c r="I239" s="571">
        <v>1</v>
      </c>
      <c r="J239" s="573">
        <v>249.76</v>
      </c>
      <c r="K239" s="59" t="s">
        <v>3983</v>
      </c>
      <c r="L239" s="571" t="s">
        <v>3984</v>
      </c>
      <c r="M239" s="571" t="s">
        <v>3985</v>
      </c>
      <c r="N239" s="574" t="str">
        <f>IFERROR(INDEX(EquipmentTBL!$H:$H,MATCH(Table5[[#This Row],[Unit'#]],EquipmentTBL!$A:$A,0)),"NONE")</f>
        <v>2HSCUAPR79CO93785</v>
      </c>
      <c r="O239" s="574" t="str">
        <f>IFERROR(INDEX(EquipmentTBL!$C:$C,MATCH(Table5[[#This Row],[Unit'#]],EquipmentTBL!$A:$A,0)),"NONE")</f>
        <v>International</v>
      </c>
      <c r="P239" s="574">
        <f>IFERROR(INDEX(EquipmentTBL!$B:$B,MATCH(Table5[[#This Row],[Unit'#]],EquipmentTBL!$A:$A,0)),"NONE")</f>
        <v>2009</v>
      </c>
      <c r="Q239" s="574" t="str">
        <f>IFERROR(INDEX(EquipmentTBL!$D:$D,MATCH(Table5[[#This Row],[Unit'#]],EquipmentTBL!$A:$A,0)),"NONE")</f>
        <v>Prostar Eagle</v>
      </c>
      <c r="R239" s="575">
        <f>(5-WEEKDAY(A239,2))+A239</f>
        <v>42503</v>
      </c>
      <c r="S239" s="556">
        <f>((5-WEEKDAY(A239,2))+A239)+7</f>
        <v>42510</v>
      </c>
      <c r="T239" s="574">
        <f>MONTH(A239)</f>
        <v>5</v>
      </c>
      <c r="U239" s="574">
        <f>YEAR(R239)</f>
        <v>2016</v>
      </c>
      <c r="V239" s="298"/>
      <c r="Z239"/>
      <c r="AA239"/>
      <c r="AB239"/>
      <c r="AC239"/>
      <c r="AD239"/>
      <c r="AE239"/>
    </row>
    <row r="240" spans="1:31">
      <c r="A240" s="146">
        <v>42501</v>
      </c>
      <c r="B240" s="143" t="s">
        <v>3978</v>
      </c>
      <c r="C240" s="298" t="s">
        <v>3979</v>
      </c>
      <c r="D240" s="572">
        <v>176753</v>
      </c>
      <c r="E240" s="571" t="s">
        <v>3980</v>
      </c>
      <c r="F240" s="571" t="s">
        <v>4087</v>
      </c>
      <c r="G240" s="571" t="s">
        <v>4087</v>
      </c>
      <c r="H240" s="171"/>
      <c r="I240" s="571" t="s">
        <v>123</v>
      </c>
      <c r="J240" s="573">
        <v>3</v>
      </c>
      <c r="K240" s="59" t="s">
        <v>3983</v>
      </c>
      <c r="L240" s="571" t="s">
        <v>3984</v>
      </c>
      <c r="M240" s="571" t="s">
        <v>3985</v>
      </c>
      <c r="N240" s="150" t="str">
        <f>IFERROR(INDEX(EquipmentTBL!$H:$H,MATCH(Table5[[#This Row],[Unit'#]],EquipmentTBL!$A:$A,0)),"NONE")</f>
        <v>NONE</v>
      </c>
      <c r="O240" s="150" t="str">
        <f>IFERROR(INDEX(EquipmentTBL!$C:$C,MATCH(Table5[[#This Row],[Unit'#]],EquipmentTBL!$A:$A,0)),"NONE")</f>
        <v>NONE</v>
      </c>
      <c r="P240" s="150" t="str">
        <f>IFERROR(INDEX(EquipmentTBL!$B:$B,MATCH(Table5[[#This Row],[Unit'#]],EquipmentTBL!$A:$A,0)),"NONE")</f>
        <v>NONE</v>
      </c>
      <c r="Q240" s="150" t="str">
        <f>IFERROR(INDEX(EquipmentTBL!$D:$D,MATCH(Table5[[#This Row],[Unit'#]],EquipmentTBL!$A:$A,0)),"NONE")</f>
        <v>NONE</v>
      </c>
      <c r="R240" s="143">
        <f>(5-WEEKDAY(A240,2))+A240</f>
        <v>42503</v>
      </c>
      <c r="S240" s="172">
        <f>((5-WEEKDAY(A240,2))+A240)+7</f>
        <v>42510</v>
      </c>
      <c r="T240" s="150">
        <f>MONTH(A240)</f>
        <v>5</v>
      </c>
      <c r="U240" s="150">
        <f>YEAR(R240)</f>
        <v>2016</v>
      </c>
      <c r="V240" s="298"/>
      <c r="Z240"/>
      <c r="AA240"/>
      <c r="AB240"/>
      <c r="AC240"/>
      <c r="AD240"/>
      <c r="AE240"/>
    </row>
    <row r="241" spans="1:31" ht="12.75" customHeight="1">
      <c r="A241" s="570">
        <v>42502</v>
      </c>
      <c r="B241" s="143" t="s">
        <v>3978</v>
      </c>
      <c r="C241" s="298" t="s">
        <v>3979</v>
      </c>
      <c r="D241" s="572"/>
      <c r="E241" s="571" t="s">
        <v>3980</v>
      </c>
      <c r="F241" s="571" t="s">
        <v>4073</v>
      </c>
      <c r="G241" s="571" t="s">
        <v>4073</v>
      </c>
      <c r="H241" s="171"/>
      <c r="I241" s="298" t="s">
        <v>123</v>
      </c>
      <c r="J241" s="573">
        <v>115</v>
      </c>
      <c r="K241" s="59" t="s">
        <v>3983</v>
      </c>
      <c r="L241" s="571" t="s">
        <v>3984</v>
      </c>
      <c r="M241" s="571" t="s">
        <v>3985</v>
      </c>
      <c r="N241" s="574" t="str">
        <f>IFERROR(INDEX(EquipmentTBL!$H:$H,MATCH(Table5[[#This Row],[Unit'#]],EquipmentTBL!$A:$A,0)),"NONE")</f>
        <v>NONE</v>
      </c>
      <c r="O241" s="574" t="str">
        <f>IFERROR(INDEX(EquipmentTBL!$C:$C,MATCH(Table5[[#This Row],[Unit'#]],EquipmentTBL!$A:$A,0)),"NONE")</f>
        <v>NONE</v>
      </c>
      <c r="P241" s="574" t="str">
        <f>IFERROR(INDEX(EquipmentTBL!$B:$B,MATCH(Table5[[#This Row],[Unit'#]],EquipmentTBL!$A:$A,0)),"NONE")</f>
        <v>NONE</v>
      </c>
      <c r="Q241" s="574" t="str">
        <f>IFERROR(INDEX(EquipmentTBL!$D:$D,MATCH(Table5[[#This Row],[Unit'#]],EquipmentTBL!$A:$A,0)),"NONE")</f>
        <v>NONE</v>
      </c>
      <c r="R241" s="575">
        <f>(5-WEEKDAY(A241,2))+A241</f>
        <v>42503</v>
      </c>
      <c r="S241" s="556">
        <f>((5-WEEKDAY(A241,2))+A241)+7</f>
        <v>42510</v>
      </c>
      <c r="T241" s="554">
        <f>MONTH(A241)</f>
        <v>5</v>
      </c>
      <c r="U241" s="574">
        <f>YEAR(R241)</f>
        <v>2016</v>
      </c>
      <c r="V241" s="324"/>
      <c r="Z241"/>
      <c r="AA241"/>
      <c r="AB241"/>
      <c r="AC241"/>
      <c r="AD241"/>
      <c r="AE241"/>
    </row>
    <row r="242" spans="1:31">
      <c r="A242" s="570">
        <v>42503</v>
      </c>
      <c r="B242" s="143" t="s">
        <v>3863</v>
      </c>
      <c r="C242" s="298" t="s">
        <v>3979</v>
      </c>
      <c r="D242" s="572">
        <v>88903462</v>
      </c>
      <c r="E242" s="571" t="s">
        <v>3980</v>
      </c>
      <c r="F242" s="571" t="s">
        <v>4023</v>
      </c>
      <c r="G242" s="571" t="s">
        <v>3943</v>
      </c>
      <c r="H242" s="171"/>
      <c r="I242" s="571">
        <v>1</v>
      </c>
      <c r="J242" s="573">
        <v>10.5</v>
      </c>
      <c r="K242" s="59" t="s">
        <v>3983</v>
      </c>
      <c r="L242" s="571" t="s">
        <v>3831</v>
      </c>
      <c r="M242" s="571" t="s">
        <v>3985</v>
      </c>
      <c r="N242" s="574" t="str">
        <f>IFERROR(INDEX(EquipmentTBL!$H:$H,MATCH(Table5[[#This Row],[Unit'#]],EquipmentTBL!$A:$A,0)),"NONE")</f>
        <v>2HSCUAPR88C657099</v>
      </c>
      <c r="O242" s="574" t="str">
        <f>IFERROR(INDEX(EquipmentTBL!$C:$C,MATCH(Table5[[#This Row],[Unit'#]],EquipmentTBL!$A:$A,0)),"NONE")</f>
        <v>International</v>
      </c>
      <c r="P242" s="574">
        <f>IFERROR(INDEX(EquipmentTBL!$B:$B,MATCH(Table5[[#This Row],[Unit'#]],EquipmentTBL!$A:$A,0)),"NONE")</f>
        <v>2008</v>
      </c>
      <c r="Q242" s="574" t="str">
        <f>IFERROR(INDEX(EquipmentTBL!$D:$D,MATCH(Table5[[#This Row],[Unit'#]],EquipmentTBL!$A:$A,0)),"NONE")</f>
        <v>Prostar Eagle</v>
      </c>
      <c r="R242" s="575">
        <f>(5-WEEKDAY(A242,2))+A242</f>
        <v>42503</v>
      </c>
      <c r="S242" s="556">
        <f>((5-WEEKDAY(A242,2))+A242)+7</f>
        <v>42510</v>
      </c>
      <c r="T242" s="574">
        <f>MONTH(A242)</f>
        <v>5</v>
      </c>
      <c r="U242" s="574">
        <f>YEAR(R242)</f>
        <v>2016</v>
      </c>
      <c r="Z242"/>
      <c r="AA242"/>
      <c r="AB242"/>
      <c r="AC242"/>
      <c r="AD242"/>
      <c r="AE242"/>
    </row>
    <row r="243" spans="1:31">
      <c r="A243" s="570">
        <v>42503</v>
      </c>
      <c r="B243" s="143" t="s">
        <v>3863</v>
      </c>
      <c r="C243" s="298" t="s">
        <v>3979</v>
      </c>
      <c r="D243" s="572">
        <v>88903449</v>
      </c>
      <c r="E243" s="571" t="s">
        <v>3980</v>
      </c>
      <c r="F243" s="571" t="s">
        <v>4023</v>
      </c>
      <c r="G243" s="571" t="s">
        <v>3943</v>
      </c>
      <c r="I243" s="571">
        <v>1</v>
      </c>
      <c r="J243" s="573">
        <v>10.5</v>
      </c>
      <c r="K243" s="59" t="s">
        <v>3983</v>
      </c>
      <c r="L243" s="571" t="s">
        <v>3831</v>
      </c>
      <c r="M243" s="571" t="s">
        <v>3985</v>
      </c>
      <c r="N243" s="574" t="str">
        <f>IFERROR(INDEX(EquipmentTBL!$H:$H,MATCH(Table5[[#This Row],[Unit'#]],EquipmentTBL!$A:$A,0)),"NONE")</f>
        <v>2HSCUAPR88C657099</v>
      </c>
      <c r="O243" s="574" t="str">
        <f>IFERROR(INDEX(EquipmentTBL!$C:$C,MATCH(Table5[[#This Row],[Unit'#]],EquipmentTBL!$A:$A,0)),"NONE")</f>
        <v>International</v>
      </c>
      <c r="P243" s="574">
        <f>IFERROR(INDEX(EquipmentTBL!$B:$B,MATCH(Table5[[#This Row],[Unit'#]],EquipmentTBL!$A:$A,0)),"NONE")</f>
        <v>2008</v>
      </c>
      <c r="Q243" s="574" t="str">
        <f>IFERROR(INDEX(EquipmentTBL!$D:$D,MATCH(Table5[[#This Row],[Unit'#]],EquipmentTBL!$A:$A,0)),"NONE")</f>
        <v>Prostar Eagle</v>
      </c>
      <c r="R243" s="575">
        <f>(5-WEEKDAY(A243,2))+A243</f>
        <v>42503</v>
      </c>
      <c r="S243" s="556">
        <f>((5-WEEKDAY(A243,2))+A243)+7</f>
        <v>42510</v>
      </c>
      <c r="T243" s="574">
        <f>MONTH(A243)</f>
        <v>5</v>
      </c>
      <c r="U243" s="574">
        <f>YEAR(R243)</f>
        <v>2016</v>
      </c>
      <c r="Z243"/>
      <c r="AA243"/>
      <c r="AB243"/>
      <c r="AC243"/>
      <c r="AD243"/>
      <c r="AE243"/>
    </row>
    <row r="244" spans="1:31">
      <c r="A244" s="570">
        <v>42503</v>
      </c>
      <c r="B244" s="143" t="s">
        <v>3896</v>
      </c>
      <c r="C244" s="298" t="s">
        <v>3990</v>
      </c>
      <c r="D244" s="572">
        <v>7694</v>
      </c>
      <c r="E244" s="571" t="s">
        <v>3980</v>
      </c>
      <c r="F244" s="298" t="s">
        <v>4010</v>
      </c>
      <c r="G244" s="571" t="s">
        <v>4048</v>
      </c>
      <c r="H244" s="171"/>
      <c r="I244" s="571" t="s">
        <v>123</v>
      </c>
      <c r="J244" s="573">
        <v>65</v>
      </c>
      <c r="K244" s="59" t="s">
        <v>3983</v>
      </c>
      <c r="L244" s="571" t="s">
        <v>3897</v>
      </c>
      <c r="M244" s="571" t="s">
        <v>3985</v>
      </c>
      <c r="N244" s="574" t="str">
        <f>IFERROR(INDEX(EquipmentTBL!$H:$H,MATCH(Table5[[#This Row],[Unit'#]],EquipmentTBL!$A:$A,0)),"NONE")</f>
        <v>2HSCUAPR79CO93785</v>
      </c>
      <c r="O244" s="574" t="str">
        <f>IFERROR(INDEX(EquipmentTBL!$C:$C,MATCH(Table5[[#This Row],[Unit'#]],EquipmentTBL!$A:$A,0)),"NONE")</f>
        <v>International</v>
      </c>
      <c r="P244" s="574">
        <f>IFERROR(INDEX(EquipmentTBL!$B:$B,MATCH(Table5[[#This Row],[Unit'#]],EquipmentTBL!$A:$A,0)),"NONE")</f>
        <v>2009</v>
      </c>
      <c r="Q244" s="574" t="str">
        <f>IFERROR(INDEX(EquipmentTBL!$D:$D,MATCH(Table5[[#This Row],[Unit'#]],EquipmentTBL!$A:$A,0)),"NONE")</f>
        <v>Prostar Eagle</v>
      </c>
      <c r="R244" s="575">
        <f>(5-WEEKDAY(A244,2))+A244</f>
        <v>42503</v>
      </c>
      <c r="S244" s="556">
        <f>((5-WEEKDAY(A244,2))+A244)+7</f>
        <v>42510</v>
      </c>
      <c r="T244" s="574">
        <f>MONTH(A244)</f>
        <v>5</v>
      </c>
      <c r="U244" s="574">
        <f>YEAR(R244)</f>
        <v>2016</v>
      </c>
      <c r="Z244"/>
      <c r="AA244"/>
      <c r="AB244"/>
      <c r="AC244"/>
      <c r="AD244"/>
      <c r="AE244"/>
    </row>
    <row r="245" spans="1:31">
      <c r="A245" s="146">
        <v>42504</v>
      </c>
      <c r="B245" s="146" t="s">
        <v>3978</v>
      </c>
      <c r="C245" s="65" t="s">
        <v>3979</v>
      </c>
      <c r="D245" s="547">
        <v>2020621</v>
      </c>
      <c r="E245" s="298" t="s">
        <v>3980</v>
      </c>
      <c r="F245" s="298" t="s">
        <v>4200</v>
      </c>
      <c r="G245" s="298" t="s">
        <v>4050</v>
      </c>
      <c r="H245" s="15"/>
      <c r="I245" s="571" t="s">
        <v>123</v>
      </c>
      <c r="J245" s="54">
        <v>34.950000000000003</v>
      </c>
      <c r="K245" s="59" t="s">
        <v>3983</v>
      </c>
      <c r="L245" s="298" t="s">
        <v>3984</v>
      </c>
      <c r="M245" s="571" t="s">
        <v>3985</v>
      </c>
      <c r="N245" s="150" t="str">
        <f>IFERROR(INDEX(EquipmentTBL!$H:$H,MATCH(Table5[[#This Row],[Unit'#]],EquipmentTBL!$A:$A,0)),"NONE")</f>
        <v>NONE</v>
      </c>
      <c r="O245" s="86" t="str">
        <f>IFERROR(INDEX(EquipmentTBL!$C:$C,MATCH(Table5[[#This Row],[Unit'#]],EquipmentTBL!$A:$A,0)),"NONE")</f>
        <v>NONE</v>
      </c>
      <c r="P245" s="86" t="str">
        <f>IFERROR(INDEX(EquipmentTBL!$B:$B,MATCH(Table5[[#This Row],[Unit'#]],EquipmentTBL!$A:$A,0)),"NONE")</f>
        <v>NONE</v>
      </c>
      <c r="Q245" s="86" t="str">
        <f>IFERROR(INDEX(EquipmentTBL!$D:$D,MATCH(Table5[[#This Row],[Unit'#]],EquipmentTBL!$A:$A,0)),"NONE")</f>
        <v>NONE</v>
      </c>
      <c r="R245" s="42">
        <f>(5-WEEKDAY(A245,2))+A245</f>
        <v>42503</v>
      </c>
      <c r="S245" s="16">
        <f>((5-WEEKDAY(A245,2))+A245)+7</f>
        <v>42510</v>
      </c>
      <c r="T245" s="171">
        <f>MONTH(A245)</f>
        <v>5</v>
      </c>
      <c r="U245" s="150">
        <f>YEAR(R245)</f>
        <v>2016</v>
      </c>
      <c r="Z245"/>
      <c r="AA245"/>
      <c r="AB245"/>
      <c r="AC245"/>
      <c r="AD245"/>
      <c r="AE245"/>
    </row>
    <row r="246" spans="1:31">
      <c r="A246" s="570">
        <v>42505</v>
      </c>
      <c r="B246" s="143" t="s">
        <v>3978</v>
      </c>
      <c r="C246" s="298" t="s">
        <v>3979</v>
      </c>
      <c r="D246" s="572"/>
      <c r="E246" s="571" t="s">
        <v>3980</v>
      </c>
      <c r="F246" s="571" t="s">
        <v>4200</v>
      </c>
      <c r="G246" s="571" t="s">
        <v>4050</v>
      </c>
      <c r="H246" s="171"/>
      <c r="I246" s="571" t="s">
        <v>123</v>
      </c>
      <c r="J246" s="59">
        <v>34.950000000000003</v>
      </c>
      <c r="K246" s="59" t="s">
        <v>3983</v>
      </c>
      <c r="L246" s="571" t="s">
        <v>3984</v>
      </c>
      <c r="M246" s="571" t="s">
        <v>3985</v>
      </c>
      <c r="N246" s="574" t="str">
        <f>IFERROR(INDEX(EquipmentTBL!$H:$H,MATCH(Table5[[#This Row],[Unit'#]],EquipmentTBL!$A:$A,0)),"NONE")</f>
        <v>NONE</v>
      </c>
      <c r="O246" s="574" t="str">
        <f>IFERROR(INDEX(EquipmentTBL!$C:$C,MATCH(Table5[[#This Row],[Unit'#]],EquipmentTBL!$A:$A,0)),"NONE")</f>
        <v>NONE</v>
      </c>
      <c r="P246" s="574" t="str">
        <f>IFERROR(INDEX(EquipmentTBL!$B:$B,MATCH(Table5[[#This Row],[Unit'#]],EquipmentTBL!$A:$A,0)),"NONE")</f>
        <v>NONE</v>
      </c>
      <c r="Q246" s="574" t="str">
        <f>IFERROR(INDEX(EquipmentTBL!$D:$D,MATCH(Table5[[#This Row],[Unit'#]],EquipmentTBL!$A:$A,0)),"NONE")</f>
        <v>NONE</v>
      </c>
      <c r="R246" s="575">
        <f>(5-WEEKDAY(A246,2))+A246</f>
        <v>42503</v>
      </c>
      <c r="S246" s="556">
        <f>((5-WEEKDAY(A246,2))+A246)+7</f>
        <v>42510</v>
      </c>
      <c r="T246" s="574">
        <f>MONTH(A246)</f>
        <v>5</v>
      </c>
      <c r="U246" s="574">
        <f>YEAR(R246)</f>
        <v>2016</v>
      </c>
      <c r="Z246"/>
      <c r="AA246"/>
      <c r="AB246"/>
      <c r="AC246"/>
      <c r="AD246"/>
      <c r="AE246"/>
    </row>
    <row r="247" spans="1:31">
      <c r="A247" s="146">
        <v>42511</v>
      </c>
      <c r="B247" s="146" t="s">
        <v>4001</v>
      </c>
      <c r="C247" s="65" t="s">
        <v>4002</v>
      </c>
      <c r="D247" s="145"/>
      <c r="E247" s="298" t="s">
        <v>4039</v>
      </c>
      <c r="F247" s="298" t="s">
        <v>4285</v>
      </c>
      <c r="G247" s="298" t="s">
        <v>4244</v>
      </c>
      <c r="H247" s="15"/>
      <c r="I247" s="65">
        <v>4</v>
      </c>
      <c r="J247" s="54">
        <v>875</v>
      </c>
      <c r="K247" s="54" t="s">
        <v>3983</v>
      </c>
      <c r="L247" s="59" t="s">
        <v>3984</v>
      </c>
      <c r="M247" s="145" t="s">
        <v>3985</v>
      </c>
      <c r="N247" s="86" t="str">
        <f>IFERROR(INDEX(EquipmentTBL!$H:$H,MATCH(Table5[[#This Row],[Unit'#]],EquipmentTBL!$A:$A,0)),"NONE")</f>
        <v>1JJV532V3BL370658</v>
      </c>
      <c r="O247" s="86" t="str">
        <f>IFERROR(INDEX(EquipmentTBL!$C:$C,MATCH(Table5[[#This Row],[Unit'#]],EquipmentTBL!$A:$A,0)),"NONE")</f>
        <v>Wabash</v>
      </c>
      <c r="P247" s="86">
        <f>IFERROR(INDEX(EquipmentTBL!$B:$B,MATCH(Table5[[#This Row],[Unit'#]],EquipmentTBL!$A:$A,0)),"NONE")</f>
        <v>2011</v>
      </c>
      <c r="Q247" s="86" t="str">
        <f>IFERROR(INDEX(EquipmentTBL!$D:$D,MATCH(Table5[[#This Row],[Unit'#]],EquipmentTBL!$A:$A,0)),"NONE")</f>
        <v>DryVan</v>
      </c>
      <c r="R247" s="26">
        <f>(5-WEEKDAY(A247,2))+A247</f>
        <v>42510</v>
      </c>
      <c r="S247" s="172">
        <f>((5-WEEKDAY(A247,2))+A247)+7</f>
        <v>42517</v>
      </c>
      <c r="T247" s="150">
        <f>MONTH(A247)</f>
        <v>5</v>
      </c>
      <c r="U247" s="150">
        <f>YEAR(R247)</f>
        <v>2016</v>
      </c>
      <c r="Z247"/>
      <c r="AA247"/>
      <c r="AB247"/>
      <c r="AC247"/>
      <c r="AD247"/>
      <c r="AE247"/>
    </row>
    <row r="248" spans="1:31">
      <c r="A248" s="570">
        <v>42512</v>
      </c>
      <c r="B248" s="143" t="s">
        <v>3978</v>
      </c>
      <c r="C248" s="298" t="s">
        <v>3979</v>
      </c>
      <c r="D248" s="572"/>
      <c r="E248" s="298" t="s">
        <v>3980</v>
      </c>
      <c r="F248" s="298" t="s">
        <v>4178</v>
      </c>
      <c r="G248" s="298" t="s">
        <v>4179</v>
      </c>
      <c r="H248" s="171"/>
      <c r="I248" s="571" t="s">
        <v>123</v>
      </c>
      <c r="J248" s="573">
        <v>35.299999999999997</v>
      </c>
      <c r="K248" s="59" t="s">
        <v>3983</v>
      </c>
      <c r="L248" s="298" t="s">
        <v>3984</v>
      </c>
      <c r="M248" s="571" t="s">
        <v>3985</v>
      </c>
      <c r="N248" s="574" t="str">
        <f>IFERROR(INDEX(EquipmentTBL!$H:$H,MATCH(Table5[[#This Row],[Unit'#]],EquipmentTBL!$A:$A,0)),"NONE")</f>
        <v>NONE</v>
      </c>
      <c r="O248" s="574" t="str">
        <f>IFERROR(INDEX(EquipmentTBL!$C:$C,MATCH(Table5[[#This Row],[Unit'#]],EquipmentTBL!$A:$A,0)),"NONE")</f>
        <v>NONE</v>
      </c>
      <c r="P248" s="574" t="str">
        <f>IFERROR(INDEX(EquipmentTBL!$B:$B,MATCH(Table5[[#This Row],[Unit'#]],EquipmentTBL!$A:$A,0)),"NONE")</f>
        <v>NONE</v>
      </c>
      <c r="Q248" s="574" t="str">
        <f>IFERROR(INDEX(EquipmentTBL!$D:$D,MATCH(Table5[[#This Row],[Unit'#]],EquipmentTBL!$A:$A,0)),"NONE")</f>
        <v>NONE</v>
      </c>
      <c r="R248" s="575">
        <f>(5-WEEKDAY(A248,2))+A248</f>
        <v>42510</v>
      </c>
      <c r="S248" s="556">
        <f>((5-WEEKDAY(A248,2))+A248)+7</f>
        <v>42517</v>
      </c>
      <c r="T248" s="574">
        <f>MONTH(A248)</f>
        <v>5</v>
      </c>
      <c r="U248" s="574">
        <f>YEAR(R248)</f>
        <v>2016</v>
      </c>
      <c r="Z248"/>
      <c r="AA248"/>
      <c r="AB248"/>
      <c r="AC248"/>
      <c r="AD248"/>
      <c r="AE248"/>
    </row>
    <row r="249" spans="1:31">
      <c r="A249" s="146">
        <v>42512</v>
      </c>
      <c r="B249" s="146" t="s">
        <v>3863</v>
      </c>
      <c r="C249" s="65" t="s">
        <v>4002</v>
      </c>
      <c r="D249" s="145">
        <v>5865328</v>
      </c>
      <c r="E249" s="298" t="s">
        <v>4006</v>
      </c>
      <c r="F249" s="298" t="s">
        <v>4675</v>
      </c>
      <c r="G249" s="298" t="s">
        <v>4676</v>
      </c>
      <c r="H249" s="15"/>
      <c r="I249" s="65">
        <v>1</v>
      </c>
      <c r="J249" s="54">
        <v>19.43</v>
      </c>
      <c r="K249" s="54" t="s">
        <v>3983</v>
      </c>
      <c r="L249" s="59" t="s">
        <v>3984</v>
      </c>
      <c r="M249" s="145" t="s">
        <v>3985</v>
      </c>
      <c r="N249" s="86" t="str">
        <f>IFERROR(INDEX(EquipmentTBL!$H:$H,MATCH(Table5[[#This Row],[Unit'#]],EquipmentTBL!$A:$A,0)),"NONE")</f>
        <v>2HSCUAPR88C657099</v>
      </c>
      <c r="O249" s="86" t="str">
        <f>IFERROR(INDEX(EquipmentTBL!$C:$C,MATCH(Table5[[#This Row],[Unit'#]],EquipmentTBL!$A:$A,0)),"NONE")</f>
        <v>International</v>
      </c>
      <c r="P249" s="86">
        <f>IFERROR(INDEX(EquipmentTBL!$B:$B,MATCH(Table5[[#This Row],[Unit'#]],EquipmentTBL!$A:$A,0)),"NONE")</f>
        <v>2008</v>
      </c>
      <c r="Q249" s="86" t="str">
        <f>IFERROR(INDEX(EquipmentTBL!$D:$D,MATCH(Table5[[#This Row],[Unit'#]],EquipmentTBL!$A:$A,0)),"NONE")</f>
        <v>Prostar Eagle</v>
      </c>
      <c r="R249" s="26">
        <f>(5-WEEKDAY(A249,2))+A249</f>
        <v>42510</v>
      </c>
      <c r="S249" s="172">
        <f>((5-WEEKDAY(A249,2))+A249)+7</f>
        <v>42517</v>
      </c>
      <c r="T249" s="150">
        <f>MONTH(A249)</f>
        <v>5</v>
      </c>
      <c r="U249" s="150">
        <f>YEAR(R249)</f>
        <v>2016</v>
      </c>
      <c r="Z249"/>
      <c r="AA249"/>
      <c r="AB249"/>
      <c r="AC249"/>
      <c r="AD249"/>
      <c r="AE249"/>
    </row>
    <row r="250" spans="1:31">
      <c r="A250" s="146">
        <v>42513</v>
      </c>
      <c r="B250" s="146" t="s">
        <v>3978</v>
      </c>
      <c r="C250" s="65" t="s">
        <v>3990</v>
      </c>
      <c r="D250" s="145">
        <v>5542</v>
      </c>
      <c r="E250" s="298" t="s">
        <v>3980</v>
      </c>
      <c r="F250" s="298" t="s">
        <v>4084</v>
      </c>
      <c r="G250" s="298" t="s">
        <v>4026</v>
      </c>
      <c r="H250" s="15"/>
      <c r="I250" s="571" t="s">
        <v>123</v>
      </c>
      <c r="J250" s="54">
        <v>8.51</v>
      </c>
      <c r="K250" s="54" t="s">
        <v>3983</v>
      </c>
      <c r="L250" s="59" t="s">
        <v>3984</v>
      </c>
      <c r="M250" s="145" t="s">
        <v>3985</v>
      </c>
      <c r="N250" s="86" t="str">
        <f>IFERROR(INDEX(EquipmentTBL!$H:$H,MATCH(Table5[[#This Row],[Unit'#]],EquipmentTBL!$A:$A,0)),"NONE")</f>
        <v>NONE</v>
      </c>
      <c r="O250" s="86" t="str">
        <f>IFERROR(INDEX(EquipmentTBL!$C:$C,MATCH(Table5[[#This Row],[Unit'#]],EquipmentTBL!$A:$A,0)),"NONE")</f>
        <v>NONE</v>
      </c>
      <c r="P250" s="86" t="str">
        <f>IFERROR(INDEX(EquipmentTBL!$B:$B,MATCH(Table5[[#This Row],[Unit'#]],EquipmentTBL!$A:$A,0)),"NONE")</f>
        <v>NONE</v>
      </c>
      <c r="Q250" s="86" t="str">
        <f>IFERROR(INDEX(EquipmentTBL!$D:$D,MATCH(Table5[[#This Row],[Unit'#]],EquipmentTBL!$A:$A,0)),"NONE")</f>
        <v>NONE</v>
      </c>
      <c r="R250" s="26">
        <f>(5-WEEKDAY(A250,2))+A250</f>
        <v>42517</v>
      </c>
      <c r="S250" s="172">
        <f>((5-WEEKDAY(A250,2))+A250)+7</f>
        <v>42524</v>
      </c>
      <c r="T250" s="150">
        <f>MONTH(A250)</f>
        <v>5</v>
      </c>
      <c r="U250" s="150">
        <f>YEAR(R250)</f>
        <v>2016</v>
      </c>
      <c r="Z250"/>
      <c r="AA250"/>
      <c r="AB250"/>
      <c r="AC250"/>
      <c r="AD250"/>
      <c r="AE250"/>
    </row>
    <row r="251" spans="1:31">
      <c r="A251" s="146">
        <v>42514</v>
      </c>
      <c r="B251" s="146" t="s">
        <v>3978</v>
      </c>
      <c r="C251" s="65" t="s">
        <v>3990</v>
      </c>
      <c r="D251" s="145">
        <v>2748</v>
      </c>
      <c r="E251" s="298" t="s">
        <v>3980</v>
      </c>
      <c r="F251" s="298" t="s">
        <v>4286</v>
      </c>
      <c r="G251" s="298" t="s">
        <v>4026</v>
      </c>
      <c r="H251" s="15"/>
      <c r="I251" s="571" t="s">
        <v>123</v>
      </c>
      <c r="J251" s="54">
        <v>29.89</v>
      </c>
      <c r="K251" s="54" t="s">
        <v>3983</v>
      </c>
      <c r="L251" s="59" t="s">
        <v>3984</v>
      </c>
      <c r="M251" s="145" t="s">
        <v>3985</v>
      </c>
      <c r="N251" s="86" t="str">
        <f>IFERROR(INDEX(EquipmentTBL!$H:$H,MATCH(Table5[[#This Row],[Unit'#]],EquipmentTBL!$A:$A,0)),"NONE")</f>
        <v>NONE</v>
      </c>
      <c r="O251" s="86" t="str">
        <f>IFERROR(INDEX(EquipmentTBL!$C:$C,MATCH(Table5[[#This Row],[Unit'#]],EquipmentTBL!$A:$A,0)),"NONE")</f>
        <v>NONE</v>
      </c>
      <c r="P251" s="86" t="str">
        <f>IFERROR(INDEX(EquipmentTBL!$B:$B,MATCH(Table5[[#This Row],[Unit'#]],EquipmentTBL!$A:$A,0)),"NONE")</f>
        <v>NONE</v>
      </c>
      <c r="Q251" s="86" t="str">
        <f>IFERROR(INDEX(EquipmentTBL!$D:$D,MATCH(Table5[[#This Row],[Unit'#]],EquipmentTBL!$A:$A,0)),"NONE")</f>
        <v>NONE</v>
      </c>
      <c r="R251" s="26">
        <f>(5-WEEKDAY(A251,2))+A251</f>
        <v>42517</v>
      </c>
      <c r="S251" s="172">
        <f>((5-WEEKDAY(A251,2))+A251)+7</f>
        <v>42524</v>
      </c>
      <c r="T251" s="150">
        <f>MONTH(A251)</f>
        <v>5</v>
      </c>
      <c r="U251" s="150">
        <f>YEAR(R251)</f>
        <v>2016</v>
      </c>
      <c r="Z251"/>
      <c r="AA251"/>
      <c r="AB251"/>
      <c r="AC251"/>
      <c r="AD251"/>
      <c r="AE251"/>
    </row>
    <row r="252" spans="1:31">
      <c r="A252" s="146">
        <v>42516</v>
      </c>
      <c r="B252" s="146" t="s">
        <v>4371</v>
      </c>
      <c r="C252" s="65" t="s">
        <v>3979</v>
      </c>
      <c r="D252" s="145">
        <v>42015648</v>
      </c>
      <c r="E252" s="298" t="s">
        <v>3980</v>
      </c>
      <c r="F252" s="298" t="s">
        <v>4023</v>
      </c>
      <c r="G252" s="298" t="s">
        <v>3943</v>
      </c>
      <c r="H252" s="15"/>
      <c r="I252" s="65">
        <v>1</v>
      </c>
      <c r="J252" s="54">
        <v>10.5</v>
      </c>
      <c r="K252" s="54" t="s">
        <v>3983</v>
      </c>
      <c r="L252" s="59" t="s">
        <v>3839</v>
      </c>
      <c r="M252" s="145" t="s">
        <v>3985</v>
      </c>
      <c r="N252" s="86" t="str">
        <f>IFERROR(INDEX(EquipmentTBL!$H:$H,MATCH(Table5[[#This Row],[Unit'#]],EquipmentTBL!$A:$A,0)),"NONE")</f>
        <v>1XPHD49X28D763820</v>
      </c>
      <c r="O252" s="86" t="str">
        <f>IFERROR(INDEX(EquipmentTBL!$C:$C,MATCH(Table5[[#This Row],[Unit'#]],EquipmentTBL!$A:$A,0)),"NONE")</f>
        <v>Peterbilt</v>
      </c>
      <c r="P252" s="86">
        <f>IFERROR(INDEX(EquipmentTBL!$B:$B,MATCH(Table5[[#This Row],[Unit'#]],EquipmentTBL!$A:$A,0)),"NONE")</f>
        <v>2009</v>
      </c>
      <c r="Q252" s="86">
        <f>IFERROR(INDEX(EquipmentTBL!$D:$D,MATCH(Table5[[#This Row],[Unit'#]],EquipmentTBL!$A:$A,0)),"NONE")</f>
        <v>1086</v>
      </c>
      <c r="R252" s="26">
        <f>(5-WEEKDAY(A252,2))+A252</f>
        <v>42517</v>
      </c>
      <c r="S252" s="172">
        <f>((5-WEEKDAY(A252,2))+A252)+7</f>
        <v>42524</v>
      </c>
      <c r="T252" s="150">
        <f>MONTH(A252)</f>
        <v>5</v>
      </c>
      <c r="U252" s="150">
        <f>YEAR(R252)</f>
        <v>2016</v>
      </c>
      <c r="Z252"/>
      <c r="AA252"/>
      <c r="AB252"/>
      <c r="AC252"/>
      <c r="AD252"/>
      <c r="AE252"/>
    </row>
    <row r="253" spans="1:31">
      <c r="A253" s="146">
        <v>42520</v>
      </c>
      <c r="B253" s="146" t="s">
        <v>3978</v>
      </c>
      <c r="C253" s="65" t="s">
        <v>3990</v>
      </c>
      <c r="D253" s="145">
        <v>231238</v>
      </c>
      <c r="E253" s="298" t="s">
        <v>3980</v>
      </c>
      <c r="F253" s="298" t="s">
        <v>4287</v>
      </c>
      <c r="G253" s="298" t="s">
        <v>3897</v>
      </c>
      <c r="H253" s="15"/>
      <c r="I253" s="571" t="s">
        <v>123</v>
      </c>
      <c r="J253" s="54">
        <v>20</v>
      </c>
      <c r="K253" s="54" t="s">
        <v>3983</v>
      </c>
      <c r="L253" s="59" t="s">
        <v>3984</v>
      </c>
      <c r="M253" s="145" t="s">
        <v>3985</v>
      </c>
      <c r="N253" s="86" t="str">
        <f>IFERROR(INDEX(EquipmentTBL!$H:$H,MATCH(Table5[[#This Row],[Unit'#]],EquipmentTBL!$A:$A,0)),"NONE")</f>
        <v>NONE</v>
      </c>
      <c r="O253" s="86" t="str">
        <f>IFERROR(INDEX(EquipmentTBL!$C:$C,MATCH(Table5[[#This Row],[Unit'#]],EquipmentTBL!$A:$A,0)),"NONE")</f>
        <v>NONE</v>
      </c>
      <c r="P253" s="86" t="str">
        <f>IFERROR(INDEX(EquipmentTBL!$B:$B,MATCH(Table5[[#This Row],[Unit'#]],EquipmentTBL!$A:$A,0)),"NONE")</f>
        <v>NONE</v>
      </c>
      <c r="Q253" s="86" t="str">
        <f>IFERROR(INDEX(EquipmentTBL!$D:$D,MATCH(Table5[[#This Row],[Unit'#]],EquipmentTBL!$A:$A,0)),"NONE")</f>
        <v>NONE</v>
      </c>
      <c r="R253" s="26">
        <f>(5-WEEKDAY(A253,2))+A253</f>
        <v>42524</v>
      </c>
      <c r="S253" s="172">
        <f>((5-WEEKDAY(A253,2))+A253)+7</f>
        <v>42531</v>
      </c>
      <c r="T253" s="150">
        <f>MONTH(A253)</f>
        <v>5</v>
      </c>
      <c r="U253" s="150">
        <f>YEAR(R253)</f>
        <v>2016</v>
      </c>
      <c r="Z253"/>
      <c r="AA253"/>
      <c r="AB253"/>
      <c r="AC253"/>
      <c r="AD253"/>
      <c r="AE253"/>
    </row>
    <row r="254" spans="1:31">
      <c r="A254" s="146">
        <v>42520</v>
      </c>
      <c r="B254" s="146" t="s">
        <v>3978</v>
      </c>
      <c r="C254" s="65" t="s">
        <v>3990</v>
      </c>
      <c r="D254" s="145">
        <v>231238</v>
      </c>
      <c r="E254" s="298" t="s">
        <v>3980</v>
      </c>
      <c r="F254" s="298" t="s">
        <v>4287</v>
      </c>
      <c r="G254" s="298" t="s">
        <v>3897</v>
      </c>
      <c r="H254" s="15"/>
      <c r="I254" s="571" t="s">
        <v>123</v>
      </c>
      <c r="J254" s="54">
        <v>20</v>
      </c>
      <c r="K254" s="54" t="s">
        <v>3983</v>
      </c>
      <c r="L254" s="59" t="s">
        <v>3984</v>
      </c>
      <c r="M254" s="145" t="s">
        <v>3985</v>
      </c>
      <c r="N254" s="86" t="str">
        <f>IFERROR(INDEX(EquipmentTBL!$H:$H,MATCH(Table5[[#This Row],[Unit'#]],EquipmentTBL!$A:$A,0)),"NONE")</f>
        <v>NONE</v>
      </c>
      <c r="O254" s="86" t="str">
        <f>IFERROR(INDEX(EquipmentTBL!$C:$C,MATCH(Table5[[#This Row],[Unit'#]],EquipmentTBL!$A:$A,0)),"NONE")</f>
        <v>NONE</v>
      </c>
      <c r="P254" s="86" t="str">
        <f>IFERROR(INDEX(EquipmentTBL!$B:$B,MATCH(Table5[[#This Row],[Unit'#]],EquipmentTBL!$A:$A,0)),"NONE")</f>
        <v>NONE</v>
      </c>
      <c r="Q254" s="86" t="str">
        <f>IFERROR(INDEX(EquipmentTBL!$D:$D,MATCH(Table5[[#This Row],[Unit'#]],EquipmentTBL!$A:$A,0)),"NONE")</f>
        <v>NONE</v>
      </c>
      <c r="R254" s="26">
        <f>(5-WEEKDAY(A254,2))+A254</f>
        <v>42524</v>
      </c>
      <c r="S254" s="172">
        <f>((5-WEEKDAY(A254,2))+A254)+7</f>
        <v>42531</v>
      </c>
      <c r="T254" s="150">
        <f>MONTH(A254)</f>
        <v>5</v>
      </c>
      <c r="U254" s="150">
        <f>YEAR(R254)</f>
        <v>2016</v>
      </c>
      <c r="Z254"/>
      <c r="AA254"/>
      <c r="AB254"/>
      <c r="AC254"/>
      <c r="AD254"/>
      <c r="AE254"/>
    </row>
    <row r="255" spans="1:31">
      <c r="A255" s="146">
        <v>42522</v>
      </c>
      <c r="B255" s="146" t="s">
        <v>3863</v>
      </c>
      <c r="C255" s="65" t="s">
        <v>3997</v>
      </c>
      <c r="D255" s="145"/>
      <c r="E255" s="298" t="s">
        <v>3980</v>
      </c>
      <c r="F255" s="298" t="s">
        <v>4000</v>
      </c>
      <c r="G255" s="298" t="s">
        <v>3999</v>
      </c>
      <c r="H255" s="15"/>
      <c r="I255" s="571" t="s">
        <v>123</v>
      </c>
      <c r="J255" s="54">
        <v>135</v>
      </c>
      <c r="K255" s="54" t="s">
        <v>3983</v>
      </c>
      <c r="L255" s="571" t="s">
        <v>3984</v>
      </c>
      <c r="M255" s="571" t="s">
        <v>3985</v>
      </c>
      <c r="N255" s="86" t="str">
        <f>IFERROR(INDEX(EquipmentTBL!$H:$H,MATCH(Table5[[#This Row],[Unit'#]],EquipmentTBL!$A:$A,0)),"NONE")</f>
        <v>2HSCUAPR88C657099</v>
      </c>
      <c r="O255" s="86" t="str">
        <f>IFERROR(INDEX(EquipmentTBL!$C:$C,MATCH(Table5[[#This Row],[Unit'#]],EquipmentTBL!$A:$A,0)),"NONE")</f>
        <v>International</v>
      </c>
      <c r="P255" s="86">
        <f>IFERROR(INDEX(EquipmentTBL!$B:$B,MATCH(Table5[[#This Row],[Unit'#]],EquipmentTBL!$A:$A,0)),"NONE")</f>
        <v>2008</v>
      </c>
      <c r="Q255" s="86" t="str">
        <f>IFERROR(INDEX(EquipmentTBL!$D:$D,MATCH(Table5[[#This Row],[Unit'#]],EquipmentTBL!$A:$A,0)),"NONE")</f>
        <v>Prostar Eagle</v>
      </c>
      <c r="R255" s="26">
        <f>(5-WEEKDAY(A255,2))+A255</f>
        <v>42524</v>
      </c>
      <c r="S255" s="172">
        <f>((5-WEEKDAY(A255,2))+A255)+7</f>
        <v>42531</v>
      </c>
      <c r="T255" s="150">
        <f>MONTH(A255)</f>
        <v>6</v>
      </c>
      <c r="U255" s="150">
        <f>YEAR(R255)</f>
        <v>2016</v>
      </c>
      <c r="Z255"/>
      <c r="AA255"/>
      <c r="AB255"/>
      <c r="AC255"/>
      <c r="AD255"/>
      <c r="AE255"/>
    </row>
    <row r="256" spans="1:31">
      <c r="A256" s="146">
        <v>42522</v>
      </c>
      <c r="B256" s="146" t="s">
        <v>3896</v>
      </c>
      <c r="C256" s="65" t="s">
        <v>3997</v>
      </c>
      <c r="D256" s="145"/>
      <c r="E256" s="298" t="s">
        <v>3980</v>
      </c>
      <c r="F256" s="298" t="s">
        <v>4000</v>
      </c>
      <c r="G256" s="298" t="s">
        <v>3999</v>
      </c>
      <c r="H256" s="15"/>
      <c r="I256" s="571" t="s">
        <v>123</v>
      </c>
      <c r="J256" s="54">
        <v>135</v>
      </c>
      <c r="K256" s="54" t="s">
        <v>3983</v>
      </c>
      <c r="L256" s="571" t="s">
        <v>3984</v>
      </c>
      <c r="M256" s="145" t="s">
        <v>3985</v>
      </c>
      <c r="N256" s="86" t="str">
        <f>IFERROR(INDEX(EquipmentTBL!$H:$H,MATCH(Table5[[#This Row],[Unit'#]],EquipmentTBL!$A:$A,0)),"NONE")</f>
        <v>2HSCUAPR79CO93785</v>
      </c>
      <c r="O256" s="86" t="str">
        <f>IFERROR(INDEX(EquipmentTBL!$C:$C,MATCH(Table5[[#This Row],[Unit'#]],EquipmentTBL!$A:$A,0)),"NONE")</f>
        <v>International</v>
      </c>
      <c r="P256" s="86">
        <f>IFERROR(INDEX(EquipmentTBL!$B:$B,MATCH(Table5[[#This Row],[Unit'#]],EquipmentTBL!$A:$A,0)),"NONE")</f>
        <v>2009</v>
      </c>
      <c r="Q256" s="86" t="str">
        <f>IFERROR(INDEX(EquipmentTBL!$D:$D,MATCH(Table5[[#This Row],[Unit'#]],EquipmentTBL!$A:$A,0)),"NONE")</f>
        <v>Prostar Eagle</v>
      </c>
      <c r="R256" s="26">
        <f>(5-WEEKDAY(A256,2))+A256</f>
        <v>42524</v>
      </c>
      <c r="S256" s="172">
        <f>((5-WEEKDAY(A256,2))+A256)+7</f>
        <v>42531</v>
      </c>
      <c r="T256" s="150">
        <f>MONTH(A256)</f>
        <v>6</v>
      </c>
      <c r="U256" s="150">
        <f>YEAR(R256)</f>
        <v>2016</v>
      </c>
      <c r="Z256"/>
      <c r="AA256"/>
      <c r="AB256"/>
      <c r="AC256"/>
      <c r="AD256"/>
      <c r="AE256"/>
    </row>
    <row r="257" spans="1:31">
      <c r="A257" s="570">
        <v>42525</v>
      </c>
      <c r="B257" s="570" t="s">
        <v>4030</v>
      </c>
      <c r="C257" s="576" t="s">
        <v>4002</v>
      </c>
      <c r="D257" s="572">
        <v>7728</v>
      </c>
      <c r="E257" s="571" t="s">
        <v>4039</v>
      </c>
      <c r="F257" s="571" t="s">
        <v>4288</v>
      </c>
      <c r="G257" s="571" t="s">
        <v>4019</v>
      </c>
      <c r="H257" s="550"/>
      <c r="I257" s="576">
        <v>2</v>
      </c>
      <c r="J257" s="577">
        <v>440</v>
      </c>
      <c r="K257" s="577" t="s">
        <v>3983</v>
      </c>
      <c r="L257" s="59" t="s">
        <v>4214</v>
      </c>
      <c r="M257" s="572" t="s">
        <v>3985</v>
      </c>
      <c r="N257" s="578" t="str">
        <f>IFERROR(INDEX(EquipmentTBL!$H:$H,MATCH(Table5[[#This Row],[Unit'#]],EquipmentTBL!$A:$A,0)),"NONE")</f>
        <v>1GRAA0625XB130354</v>
      </c>
      <c r="O257" s="578" t="str">
        <f>IFERROR(INDEX(EquipmentTBL!$C:$C,MATCH(Table5[[#This Row],[Unit'#]],EquipmentTBL!$A:$A,0)),"NONE")</f>
        <v>Grate Dane</v>
      </c>
      <c r="P257" s="578">
        <f>IFERROR(INDEX(EquipmentTBL!$B:$B,MATCH(Table5[[#This Row],[Unit'#]],EquipmentTBL!$A:$A,0)),"NONE")</f>
        <v>1999</v>
      </c>
      <c r="Q257" s="578" t="str">
        <f>IFERROR(INDEX(EquipmentTBL!$D:$D,MATCH(Table5[[#This Row],[Unit'#]],EquipmentTBL!$A:$A,0)),"NONE")</f>
        <v>DryVan</v>
      </c>
      <c r="R257" s="579">
        <f>(5-WEEKDAY(A257,2))+A257</f>
        <v>42524</v>
      </c>
      <c r="S257" s="556">
        <f>((5-WEEKDAY(A257,2))+A257)+7</f>
        <v>42531</v>
      </c>
      <c r="T257" s="574">
        <f>MONTH(A257)</f>
        <v>6</v>
      </c>
      <c r="U257" s="574">
        <f>YEAR(R257)</f>
        <v>2016</v>
      </c>
      <c r="Z257"/>
      <c r="AA257"/>
      <c r="AB257"/>
      <c r="AC257"/>
      <c r="AD257"/>
      <c r="AE257"/>
    </row>
    <row r="258" spans="1:31">
      <c r="A258" s="146">
        <v>42525</v>
      </c>
      <c r="B258" s="146" t="s">
        <v>4067</v>
      </c>
      <c r="C258" s="65" t="s">
        <v>4002</v>
      </c>
      <c r="D258" s="145" t="s">
        <v>4289</v>
      </c>
      <c r="E258" s="298" t="s">
        <v>3980</v>
      </c>
      <c r="F258" s="298" t="s">
        <v>4290</v>
      </c>
      <c r="G258" s="298" t="s">
        <v>4291</v>
      </c>
      <c r="H258" s="15"/>
      <c r="I258" s="571" t="s">
        <v>123</v>
      </c>
      <c r="J258" s="54">
        <v>3.23</v>
      </c>
      <c r="K258" s="54" t="s">
        <v>3983</v>
      </c>
      <c r="L258" s="59" t="s">
        <v>3984</v>
      </c>
      <c r="M258" s="145" t="s">
        <v>3985</v>
      </c>
      <c r="N258" s="86" t="str">
        <f>IFERROR(INDEX(EquipmentTBL!$H:$H,MATCH(Table5[[#This Row],[Unit'#]],EquipmentTBL!$A:$A,0)),"NONE")</f>
        <v>1UYVS25305P500707</v>
      </c>
      <c r="O258" s="86" t="str">
        <f>IFERROR(INDEX(EquipmentTBL!$C:$C,MATCH(Table5[[#This Row],[Unit'#]],EquipmentTBL!$A:$A,0)),"NONE")</f>
        <v>Utility</v>
      </c>
      <c r="P258" s="86">
        <f>IFERROR(INDEX(EquipmentTBL!$B:$B,MATCH(Table5[[#This Row],[Unit'#]],EquipmentTBL!$A:$A,0)),"NONE")</f>
        <v>2005</v>
      </c>
      <c r="Q258" s="86" t="str">
        <f>IFERROR(INDEX(EquipmentTBL!$D:$D,MATCH(Table5[[#This Row],[Unit'#]],EquipmentTBL!$A:$A,0)),"NONE")</f>
        <v>DryVan</v>
      </c>
      <c r="R258" s="26">
        <f>(5-WEEKDAY(A258,2))+A258</f>
        <v>42524</v>
      </c>
      <c r="S258" s="172">
        <f>((5-WEEKDAY(A258,2))+A258)+7</f>
        <v>42531</v>
      </c>
      <c r="T258" s="150">
        <f>MONTH(A258)</f>
        <v>6</v>
      </c>
      <c r="U258" s="150">
        <f>YEAR(R258)</f>
        <v>2016</v>
      </c>
      <c r="Z258"/>
      <c r="AA258"/>
      <c r="AB258"/>
      <c r="AC258"/>
      <c r="AD258"/>
      <c r="AE258"/>
    </row>
    <row r="259" spans="1:31">
      <c r="A259" s="570">
        <v>42525</v>
      </c>
      <c r="B259" s="570" t="s">
        <v>3978</v>
      </c>
      <c r="C259" s="576" t="s">
        <v>3990</v>
      </c>
      <c r="D259" s="572" t="s">
        <v>4292</v>
      </c>
      <c r="E259" s="571" t="s">
        <v>3980</v>
      </c>
      <c r="F259" s="571" t="s">
        <v>4293</v>
      </c>
      <c r="G259" s="571" t="s">
        <v>4096</v>
      </c>
      <c r="H259" s="550"/>
      <c r="I259" s="576">
        <v>1</v>
      </c>
      <c r="J259" s="577">
        <v>51.86</v>
      </c>
      <c r="K259" s="577" t="s">
        <v>3983</v>
      </c>
      <c r="L259" s="580" t="s">
        <v>3984</v>
      </c>
      <c r="M259" s="572" t="s">
        <v>3985</v>
      </c>
      <c r="N259" s="578" t="str">
        <f>IFERROR(INDEX(EquipmentTBL!$H:$H,MATCH(Table5[[#This Row],[Unit'#]],EquipmentTBL!$A:$A,0)),"NONE")</f>
        <v>NONE</v>
      </c>
      <c r="O259" s="578" t="str">
        <f>IFERROR(INDEX(EquipmentTBL!$C:$C,MATCH(Table5[[#This Row],[Unit'#]],EquipmentTBL!$A:$A,0)),"NONE")</f>
        <v>NONE</v>
      </c>
      <c r="P259" s="578" t="str">
        <f>IFERROR(INDEX(EquipmentTBL!$B:$B,MATCH(Table5[[#This Row],[Unit'#]],EquipmentTBL!$A:$A,0)),"NONE")</f>
        <v>NONE</v>
      </c>
      <c r="Q259" s="578" t="str">
        <f>IFERROR(INDEX(EquipmentTBL!$D:$D,MATCH(Table5[[#This Row],[Unit'#]],EquipmentTBL!$A:$A,0)),"NONE")</f>
        <v>NONE</v>
      </c>
      <c r="R259" s="579">
        <f>(5-WEEKDAY(A259,2))+A259</f>
        <v>42524</v>
      </c>
      <c r="S259" s="556">
        <f>((5-WEEKDAY(A259,2))+A259)+7</f>
        <v>42531</v>
      </c>
      <c r="T259" s="574">
        <f>MONTH(A259)</f>
        <v>6</v>
      </c>
      <c r="U259" s="574">
        <f>YEAR(R259)</f>
        <v>2016</v>
      </c>
      <c r="Z259"/>
      <c r="AA259"/>
      <c r="AB259"/>
      <c r="AC259"/>
      <c r="AD259"/>
      <c r="AE259"/>
    </row>
    <row r="260" spans="1:31">
      <c r="A260" s="570">
        <v>42525</v>
      </c>
      <c r="B260" s="570" t="s">
        <v>3863</v>
      </c>
      <c r="C260" s="576" t="s">
        <v>4002</v>
      </c>
      <c r="D260" s="572" t="s">
        <v>4294</v>
      </c>
      <c r="E260" s="571" t="s">
        <v>4028</v>
      </c>
      <c r="F260" s="571" t="s">
        <v>4295</v>
      </c>
      <c r="G260" s="571" t="s">
        <v>4096</v>
      </c>
      <c r="H260" s="550"/>
      <c r="I260" s="576">
        <v>1</v>
      </c>
      <c r="J260" s="577">
        <v>78.25</v>
      </c>
      <c r="K260" s="577" t="s">
        <v>3983</v>
      </c>
      <c r="L260" s="580" t="s">
        <v>3984</v>
      </c>
      <c r="M260" s="572" t="s">
        <v>3985</v>
      </c>
      <c r="N260" s="578" t="str">
        <f>IFERROR(INDEX(EquipmentTBL!$H:$H,MATCH(Table5[[#This Row],[Unit'#]],EquipmentTBL!$A:$A,0)),"NONE")</f>
        <v>2HSCUAPR88C657099</v>
      </c>
      <c r="O260" s="578" t="str">
        <f>IFERROR(INDEX(EquipmentTBL!$C:$C,MATCH(Table5[[#This Row],[Unit'#]],EquipmentTBL!$A:$A,0)),"NONE")</f>
        <v>International</v>
      </c>
      <c r="P260" s="578">
        <f>IFERROR(INDEX(EquipmentTBL!$B:$B,MATCH(Table5[[#This Row],[Unit'#]],EquipmentTBL!$A:$A,0)),"NONE")</f>
        <v>2008</v>
      </c>
      <c r="Q260" s="578" t="str">
        <f>IFERROR(INDEX(EquipmentTBL!$D:$D,MATCH(Table5[[#This Row],[Unit'#]],EquipmentTBL!$A:$A,0)),"NONE")</f>
        <v>Prostar Eagle</v>
      </c>
      <c r="R260" s="579">
        <f>(5-WEEKDAY(A260,2))+A260</f>
        <v>42524</v>
      </c>
      <c r="S260" s="556">
        <f>((5-WEEKDAY(A260,2))+A260)+7</f>
        <v>42531</v>
      </c>
      <c r="T260" s="574">
        <f>MONTH(A260)</f>
        <v>6</v>
      </c>
      <c r="U260" s="574">
        <f>YEAR(R260)</f>
        <v>2016</v>
      </c>
      <c r="Z260"/>
      <c r="AA260"/>
      <c r="AB260"/>
      <c r="AC260"/>
      <c r="AD260"/>
      <c r="AE260"/>
    </row>
    <row r="261" spans="1:31">
      <c r="A261" s="146">
        <v>42525</v>
      </c>
      <c r="B261" s="146" t="s">
        <v>3896</v>
      </c>
      <c r="C261" s="65" t="s">
        <v>4002</v>
      </c>
      <c r="D261" s="145">
        <v>7728</v>
      </c>
      <c r="E261" s="298" t="s">
        <v>4028</v>
      </c>
      <c r="F261" s="298" t="s">
        <v>4668</v>
      </c>
      <c r="G261" s="298" t="s">
        <v>4019</v>
      </c>
      <c r="H261" s="15"/>
      <c r="I261" s="65">
        <v>1</v>
      </c>
      <c r="J261" s="54">
        <v>125</v>
      </c>
      <c r="K261" s="54" t="s">
        <v>3983</v>
      </c>
      <c r="L261" s="59" t="s">
        <v>4214</v>
      </c>
      <c r="M261" s="145" t="s">
        <v>3985</v>
      </c>
      <c r="N261" s="86" t="str">
        <f>IFERROR(INDEX(EquipmentTBL!$H:$H,MATCH(Table5[[#This Row],[Unit'#]],EquipmentTBL!$A:$A,0)),"NONE")</f>
        <v>2HSCUAPR79CO93785</v>
      </c>
      <c r="O261" s="86" t="str">
        <f>IFERROR(INDEX(EquipmentTBL!$C:$C,MATCH(Table5[[#This Row],[Unit'#]],EquipmentTBL!$A:$A,0)),"NONE")</f>
        <v>International</v>
      </c>
      <c r="P261" s="86">
        <f>IFERROR(INDEX(EquipmentTBL!$B:$B,MATCH(Table5[[#This Row],[Unit'#]],EquipmentTBL!$A:$A,0)),"NONE")</f>
        <v>2009</v>
      </c>
      <c r="Q261" s="86" t="str">
        <f>IFERROR(INDEX(EquipmentTBL!$D:$D,MATCH(Table5[[#This Row],[Unit'#]],EquipmentTBL!$A:$A,0)),"NONE")</f>
        <v>Prostar Eagle</v>
      </c>
      <c r="R261" s="26">
        <f>(5-WEEKDAY(A261,2))+A261</f>
        <v>42524</v>
      </c>
      <c r="S261" s="172">
        <f>((5-WEEKDAY(A261,2))+A261)+7</f>
        <v>42531</v>
      </c>
      <c r="T261" s="150">
        <f>MONTH(A261)</f>
        <v>6</v>
      </c>
      <c r="U261" s="150">
        <f>YEAR(R261)</f>
        <v>2016</v>
      </c>
      <c r="Z261"/>
      <c r="AA261"/>
      <c r="AB261"/>
      <c r="AC261"/>
      <c r="AD261"/>
      <c r="AE261"/>
    </row>
    <row r="262" spans="1:31">
      <c r="A262" s="146">
        <v>42525</v>
      </c>
      <c r="B262" s="146" t="s">
        <v>3896</v>
      </c>
      <c r="C262" s="65" t="s">
        <v>4002</v>
      </c>
      <c r="D262" s="145">
        <v>7728</v>
      </c>
      <c r="E262" s="298" t="s">
        <v>4039</v>
      </c>
      <c r="F262" s="298" t="s">
        <v>4669</v>
      </c>
      <c r="G262" s="298" t="s">
        <v>4019</v>
      </c>
      <c r="H262" s="15"/>
      <c r="I262" s="65">
        <v>1</v>
      </c>
      <c r="J262" s="54">
        <v>25</v>
      </c>
      <c r="K262" s="54" t="s">
        <v>3983</v>
      </c>
      <c r="L262" s="59" t="s">
        <v>4214</v>
      </c>
      <c r="M262" s="145" t="s">
        <v>3985</v>
      </c>
      <c r="N262" s="86" t="str">
        <f>IFERROR(INDEX(EquipmentTBL!$H:$H,MATCH(Table5[[#This Row],[Unit'#]],EquipmentTBL!$A:$A,0)),"NONE")</f>
        <v>2HSCUAPR79CO93785</v>
      </c>
      <c r="O262" s="86" t="str">
        <f>IFERROR(INDEX(EquipmentTBL!$C:$C,MATCH(Table5[[#This Row],[Unit'#]],EquipmentTBL!$A:$A,0)),"NONE")</f>
        <v>International</v>
      </c>
      <c r="P262" s="86">
        <f>IFERROR(INDEX(EquipmentTBL!$B:$B,MATCH(Table5[[#This Row],[Unit'#]],EquipmentTBL!$A:$A,0)),"NONE")</f>
        <v>2009</v>
      </c>
      <c r="Q262" s="86" t="str">
        <f>IFERROR(INDEX(EquipmentTBL!$D:$D,MATCH(Table5[[#This Row],[Unit'#]],EquipmentTBL!$A:$A,0)),"NONE")</f>
        <v>Prostar Eagle</v>
      </c>
      <c r="R262" s="26">
        <f>(5-WEEKDAY(A262,2))+A262</f>
        <v>42524</v>
      </c>
      <c r="S262" s="172">
        <f>((5-WEEKDAY(A262,2))+A262)+7</f>
        <v>42531</v>
      </c>
      <c r="T262" s="150">
        <f>MONTH(A262)</f>
        <v>6</v>
      </c>
      <c r="U262" s="150">
        <f>YEAR(R262)</f>
        <v>2016</v>
      </c>
      <c r="Z262"/>
      <c r="AA262"/>
      <c r="AB262"/>
      <c r="AC262"/>
      <c r="AD262"/>
      <c r="AE262"/>
    </row>
    <row r="263" spans="1:31">
      <c r="A263" s="146">
        <v>42525</v>
      </c>
      <c r="B263" s="146" t="s">
        <v>4030</v>
      </c>
      <c r="C263" s="65" t="s">
        <v>4002</v>
      </c>
      <c r="D263" s="145">
        <v>7728</v>
      </c>
      <c r="E263" s="298" t="s">
        <v>4013</v>
      </c>
      <c r="F263" s="298" t="s">
        <v>4670</v>
      </c>
      <c r="G263" s="298" t="s">
        <v>4019</v>
      </c>
      <c r="H263" s="15"/>
      <c r="I263" s="65">
        <v>1</v>
      </c>
      <c r="J263" s="54">
        <v>183</v>
      </c>
      <c r="K263" s="54" t="s">
        <v>3983</v>
      </c>
      <c r="L263" s="59" t="s">
        <v>4214</v>
      </c>
      <c r="M263" s="145" t="s">
        <v>3985</v>
      </c>
      <c r="N263" s="86" t="str">
        <f>IFERROR(INDEX(EquipmentTBL!$H:$H,MATCH(Table5[[#This Row],[Unit'#]],EquipmentTBL!$A:$A,0)),"NONE")</f>
        <v>1GRAA0625XB130354</v>
      </c>
      <c r="O263" s="86" t="str">
        <f>IFERROR(INDEX(EquipmentTBL!$C:$C,MATCH(Table5[[#This Row],[Unit'#]],EquipmentTBL!$A:$A,0)),"NONE")</f>
        <v>Grate Dane</v>
      </c>
      <c r="P263" s="86">
        <f>IFERROR(INDEX(EquipmentTBL!$B:$B,MATCH(Table5[[#This Row],[Unit'#]],EquipmentTBL!$A:$A,0)),"NONE")</f>
        <v>1999</v>
      </c>
      <c r="Q263" s="86" t="str">
        <f>IFERROR(INDEX(EquipmentTBL!$D:$D,MATCH(Table5[[#This Row],[Unit'#]],EquipmentTBL!$A:$A,0)),"NONE")</f>
        <v>DryVan</v>
      </c>
      <c r="R263" s="26">
        <f>(5-WEEKDAY(A263,2))+A263</f>
        <v>42524</v>
      </c>
      <c r="S263" s="172">
        <f>((5-WEEKDAY(A263,2))+A263)+7</f>
        <v>42531</v>
      </c>
      <c r="T263" s="150">
        <f>MONTH(A263)</f>
        <v>6</v>
      </c>
      <c r="U263" s="150">
        <f>YEAR(R263)</f>
        <v>2016</v>
      </c>
      <c r="Z263"/>
      <c r="AA263"/>
      <c r="AB263"/>
      <c r="AC263"/>
      <c r="AD263"/>
      <c r="AE263"/>
    </row>
    <row r="264" spans="1:31">
      <c r="A264" s="146">
        <v>42525</v>
      </c>
      <c r="B264" s="146" t="s">
        <v>3896</v>
      </c>
      <c r="C264" s="65" t="s">
        <v>4002</v>
      </c>
      <c r="D264" s="145">
        <v>7728</v>
      </c>
      <c r="E264" s="298" t="s">
        <v>4028</v>
      </c>
      <c r="F264" s="298" t="s">
        <v>4671</v>
      </c>
      <c r="G264" s="298" t="s">
        <v>4019</v>
      </c>
      <c r="H264" s="15"/>
      <c r="I264" s="65">
        <v>2</v>
      </c>
      <c r="J264" s="54">
        <v>135</v>
      </c>
      <c r="K264" s="54" t="s">
        <v>3983</v>
      </c>
      <c r="L264" s="59" t="s">
        <v>4214</v>
      </c>
      <c r="M264" s="145" t="s">
        <v>3985</v>
      </c>
      <c r="N264" s="86" t="str">
        <f>IFERROR(INDEX(EquipmentTBL!$H:$H,MATCH(Table5[[#This Row],[Unit'#]],EquipmentTBL!$A:$A,0)),"NONE")</f>
        <v>2HSCUAPR79CO93785</v>
      </c>
      <c r="O264" s="86" t="str">
        <f>IFERROR(INDEX(EquipmentTBL!$C:$C,MATCH(Table5[[#This Row],[Unit'#]],EquipmentTBL!$A:$A,0)),"NONE")</f>
        <v>International</v>
      </c>
      <c r="P264" s="86">
        <f>IFERROR(INDEX(EquipmentTBL!$B:$B,MATCH(Table5[[#This Row],[Unit'#]],EquipmentTBL!$A:$A,0)),"NONE")</f>
        <v>2009</v>
      </c>
      <c r="Q264" s="86" t="str">
        <f>IFERROR(INDEX(EquipmentTBL!$D:$D,MATCH(Table5[[#This Row],[Unit'#]],EquipmentTBL!$A:$A,0)),"NONE")</f>
        <v>Prostar Eagle</v>
      </c>
      <c r="R264" s="26">
        <f>(5-WEEKDAY(A264,2))+A264</f>
        <v>42524</v>
      </c>
      <c r="S264" s="172">
        <f>((5-WEEKDAY(A264,2))+A264)+7</f>
        <v>42531</v>
      </c>
      <c r="T264" s="150">
        <f>MONTH(A264)</f>
        <v>6</v>
      </c>
      <c r="U264" s="150">
        <f>YEAR(R264)</f>
        <v>2016</v>
      </c>
      <c r="Z264"/>
      <c r="AA264"/>
      <c r="AB264"/>
      <c r="AC264"/>
      <c r="AD264"/>
      <c r="AE264"/>
    </row>
    <row r="265" spans="1:31">
      <c r="A265" s="146">
        <v>42525</v>
      </c>
      <c r="B265" s="146" t="s">
        <v>3896</v>
      </c>
      <c r="C265" s="65" t="s">
        <v>4002</v>
      </c>
      <c r="D265" s="145">
        <v>7728</v>
      </c>
      <c r="E265" s="298" t="s">
        <v>4013</v>
      </c>
      <c r="F265" s="298" t="s">
        <v>4672</v>
      </c>
      <c r="G265" s="298" t="s">
        <v>4019</v>
      </c>
      <c r="H265" s="15"/>
      <c r="I265" s="65">
        <v>2</v>
      </c>
      <c r="J265" s="54">
        <v>188</v>
      </c>
      <c r="K265" s="54" t="s">
        <v>3983</v>
      </c>
      <c r="L265" s="59" t="s">
        <v>4214</v>
      </c>
      <c r="M265" s="145" t="s">
        <v>3985</v>
      </c>
      <c r="N265" s="86" t="str">
        <f>IFERROR(INDEX(EquipmentTBL!$H:$H,MATCH(Table5[[#This Row],[Unit'#]],EquipmentTBL!$A:$A,0)),"NONE")</f>
        <v>2HSCUAPR79CO93785</v>
      </c>
      <c r="O265" s="86" t="str">
        <f>IFERROR(INDEX(EquipmentTBL!$C:$C,MATCH(Table5[[#This Row],[Unit'#]],EquipmentTBL!$A:$A,0)),"NONE")</f>
        <v>International</v>
      </c>
      <c r="P265" s="86">
        <f>IFERROR(INDEX(EquipmentTBL!$B:$B,MATCH(Table5[[#This Row],[Unit'#]],EquipmentTBL!$A:$A,0)),"NONE")</f>
        <v>2009</v>
      </c>
      <c r="Q265" s="86" t="str">
        <f>IFERROR(INDEX(EquipmentTBL!$D:$D,MATCH(Table5[[#This Row],[Unit'#]],EquipmentTBL!$A:$A,0)),"NONE")</f>
        <v>Prostar Eagle</v>
      </c>
      <c r="R265" s="26">
        <f>(5-WEEKDAY(A265,2))+A265</f>
        <v>42524</v>
      </c>
      <c r="S265" s="172">
        <f>((5-WEEKDAY(A265,2))+A265)+7</f>
        <v>42531</v>
      </c>
      <c r="T265" s="150">
        <f>MONTH(A265)</f>
        <v>6</v>
      </c>
      <c r="U265" s="150">
        <f>YEAR(R265)</f>
        <v>2016</v>
      </c>
      <c r="Z265"/>
      <c r="AA265"/>
      <c r="AB265"/>
      <c r="AC265"/>
      <c r="AD265"/>
      <c r="AE265"/>
    </row>
    <row r="266" spans="1:31">
      <c r="A266" s="570">
        <v>42527</v>
      </c>
      <c r="B266" s="570" t="s">
        <v>3896</v>
      </c>
      <c r="C266" s="576" t="s">
        <v>3990</v>
      </c>
      <c r="D266" s="572">
        <v>277568</v>
      </c>
      <c r="E266" s="571" t="s">
        <v>3980</v>
      </c>
      <c r="F266" s="298" t="s">
        <v>4010</v>
      </c>
      <c r="G266" s="571" t="s">
        <v>4296</v>
      </c>
      <c r="H266" s="550"/>
      <c r="I266" s="576">
        <v>1</v>
      </c>
      <c r="J266" s="577">
        <v>35</v>
      </c>
      <c r="K266" s="577" t="s">
        <v>3983</v>
      </c>
      <c r="L266" s="573" t="s">
        <v>3897</v>
      </c>
      <c r="M266" s="572" t="s">
        <v>3985</v>
      </c>
      <c r="N266" s="578" t="str">
        <f>IFERROR(INDEX(EquipmentTBL!$H:$H,MATCH(Table5[[#This Row],[Unit'#]],EquipmentTBL!$A:$A,0)),"NONE")</f>
        <v>2HSCUAPR79CO93785</v>
      </c>
      <c r="O266" s="578" t="str">
        <f>IFERROR(INDEX(EquipmentTBL!$C:$C,MATCH(Table5[[#This Row],[Unit'#]],EquipmentTBL!$A:$A,0)),"NONE")</f>
        <v>International</v>
      </c>
      <c r="P266" s="578">
        <f>IFERROR(INDEX(EquipmentTBL!$B:$B,MATCH(Table5[[#This Row],[Unit'#]],EquipmentTBL!$A:$A,0)),"NONE")</f>
        <v>2009</v>
      </c>
      <c r="Q266" s="578" t="str">
        <f>IFERROR(INDEX(EquipmentTBL!$D:$D,MATCH(Table5[[#This Row],[Unit'#]],EquipmentTBL!$A:$A,0)),"NONE")</f>
        <v>Prostar Eagle</v>
      </c>
      <c r="R266" s="579">
        <f>(5-WEEKDAY(A266,2))+A266</f>
        <v>42531</v>
      </c>
      <c r="S266" s="556">
        <f>((5-WEEKDAY(A266,2))+A266)+7</f>
        <v>42538</v>
      </c>
      <c r="T266" s="574">
        <f>MONTH(A266)</f>
        <v>6</v>
      </c>
      <c r="U266" s="574">
        <f>YEAR(R266)</f>
        <v>2016</v>
      </c>
      <c r="Z266"/>
      <c r="AA266"/>
      <c r="AB266"/>
      <c r="AC266"/>
      <c r="AD266"/>
      <c r="AE266"/>
    </row>
    <row r="267" spans="1:31">
      <c r="A267" s="146">
        <v>42528</v>
      </c>
      <c r="B267" s="146" t="s">
        <v>3896</v>
      </c>
      <c r="C267" s="65" t="s">
        <v>4002</v>
      </c>
      <c r="D267" s="145" t="s">
        <v>4679</v>
      </c>
      <c r="E267" s="298" t="s">
        <v>4028</v>
      </c>
      <c r="F267" s="298" t="s">
        <v>4680</v>
      </c>
      <c r="G267" s="298" t="s">
        <v>4096</v>
      </c>
      <c r="H267" s="15"/>
      <c r="I267" s="65">
        <v>1</v>
      </c>
      <c r="J267" s="54">
        <v>83.72</v>
      </c>
      <c r="K267" s="54" t="s">
        <v>3983</v>
      </c>
      <c r="L267" s="59" t="s">
        <v>3984</v>
      </c>
      <c r="M267" s="145" t="s">
        <v>3985</v>
      </c>
      <c r="N267" s="86" t="str">
        <f>IFERROR(INDEX(EquipmentTBL!$H:$H,MATCH(Table5[[#This Row],[Unit'#]],EquipmentTBL!$A:$A,0)),"NONE")</f>
        <v>2HSCUAPR79CO93785</v>
      </c>
      <c r="O267" s="86" t="str">
        <f>IFERROR(INDEX(EquipmentTBL!$C:$C,MATCH(Table5[[#This Row],[Unit'#]],EquipmentTBL!$A:$A,0)),"NONE")</f>
        <v>International</v>
      </c>
      <c r="P267" s="86">
        <f>IFERROR(INDEX(EquipmentTBL!$B:$B,MATCH(Table5[[#This Row],[Unit'#]],EquipmentTBL!$A:$A,0)),"NONE")</f>
        <v>2009</v>
      </c>
      <c r="Q267" s="86" t="str">
        <f>IFERROR(INDEX(EquipmentTBL!$D:$D,MATCH(Table5[[#This Row],[Unit'#]],EquipmentTBL!$A:$A,0)),"NONE")</f>
        <v>Prostar Eagle</v>
      </c>
      <c r="R267" s="26">
        <f>(5-WEEKDAY(A267,2))+A267</f>
        <v>42531</v>
      </c>
      <c r="S267" s="172">
        <f>((5-WEEKDAY(A267,2))+A267)+7</f>
        <v>42538</v>
      </c>
      <c r="T267" s="150">
        <f>MONTH(A267)</f>
        <v>6</v>
      </c>
      <c r="U267" s="150">
        <f>YEAR(R267)</f>
        <v>2016</v>
      </c>
      <c r="Z267"/>
      <c r="AA267"/>
      <c r="AB267"/>
      <c r="AC267"/>
      <c r="AD267"/>
      <c r="AE267"/>
    </row>
    <row r="268" spans="1:31">
      <c r="A268" s="146">
        <v>42531</v>
      </c>
      <c r="B268" s="146" t="s">
        <v>3863</v>
      </c>
      <c r="C268" s="65" t="s">
        <v>3990</v>
      </c>
      <c r="D268" s="145">
        <v>8203</v>
      </c>
      <c r="E268" s="298" t="s">
        <v>3980</v>
      </c>
      <c r="F268" s="298" t="s">
        <v>4010</v>
      </c>
      <c r="G268" s="298" t="s">
        <v>4048</v>
      </c>
      <c r="H268" s="15"/>
      <c r="I268" s="65">
        <v>1</v>
      </c>
      <c r="J268" s="54">
        <v>60</v>
      </c>
      <c r="K268" s="54" t="s">
        <v>3983</v>
      </c>
      <c r="L268" s="59" t="s">
        <v>3984</v>
      </c>
      <c r="M268" s="145" t="s">
        <v>3985</v>
      </c>
      <c r="N268" s="86" t="str">
        <f>IFERROR(INDEX(EquipmentTBL!$H:$H,MATCH(Table5[[#This Row],[Unit'#]],EquipmentTBL!$A:$A,0)),"NONE")</f>
        <v>2HSCUAPR88C657099</v>
      </c>
      <c r="O268" s="86" t="str">
        <f>IFERROR(INDEX(EquipmentTBL!$C:$C,MATCH(Table5[[#This Row],[Unit'#]],EquipmentTBL!$A:$A,0)),"NONE")</f>
        <v>International</v>
      </c>
      <c r="P268" s="86">
        <f>IFERROR(INDEX(EquipmentTBL!$B:$B,MATCH(Table5[[#This Row],[Unit'#]],EquipmentTBL!$A:$A,0)),"NONE")</f>
        <v>2008</v>
      </c>
      <c r="Q268" s="86" t="str">
        <f>IFERROR(INDEX(EquipmentTBL!$D:$D,MATCH(Table5[[#This Row],[Unit'#]],EquipmentTBL!$A:$A,0)),"NONE")</f>
        <v>Prostar Eagle</v>
      </c>
      <c r="R268" s="26">
        <f>(5-WEEKDAY(A268,2))+A268</f>
        <v>42531</v>
      </c>
      <c r="S268" s="172">
        <f>((5-WEEKDAY(A268,2))+A268)+7</f>
        <v>42538</v>
      </c>
      <c r="T268" s="150">
        <f>MONTH(A268)</f>
        <v>6</v>
      </c>
      <c r="U268" s="150">
        <f>YEAR(R268)</f>
        <v>2016</v>
      </c>
      <c r="Z268"/>
      <c r="AA268"/>
      <c r="AB268"/>
      <c r="AC268"/>
      <c r="AD268"/>
      <c r="AE268"/>
    </row>
    <row r="269" spans="1:31">
      <c r="A269" s="146">
        <v>42534</v>
      </c>
      <c r="B269" s="146" t="s">
        <v>3896</v>
      </c>
      <c r="C269" s="65" t="s">
        <v>3979</v>
      </c>
      <c r="D269" s="145">
        <v>172</v>
      </c>
      <c r="E269" s="298" t="s">
        <v>3980</v>
      </c>
      <c r="F269" s="298" t="s">
        <v>4023</v>
      </c>
      <c r="G269" s="298" t="s">
        <v>3943</v>
      </c>
      <c r="H269" s="15"/>
      <c r="I269" s="65">
        <v>1</v>
      </c>
      <c r="J269" s="54">
        <v>12.5</v>
      </c>
      <c r="K269" s="54" t="s">
        <v>3983</v>
      </c>
      <c r="L269" s="59" t="s">
        <v>3897</v>
      </c>
      <c r="M269" s="145" t="s">
        <v>3985</v>
      </c>
      <c r="N269" s="86" t="str">
        <f>IFERROR(INDEX(EquipmentTBL!$H:$H,MATCH(Table5[[#This Row],[Unit'#]],EquipmentTBL!$A:$A,0)),"NONE")</f>
        <v>2HSCUAPR79CO93785</v>
      </c>
      <c r="O269" s="86" t="str">
        <f>IFERROR(INDEX(EquipmentTBL!$C:$C,MATCH(Table5[[#This Row],[Unit'#]],EquipmentTBL!$A:$A,0)),"NONE")</f>
        <v>International</v>
      </c>
      <c r="P269" s="86">
        <f>IFERROR(INDEX(EquipmentTBL!$B:$B,MATCH(Table5[[#This Row],[Unit'#]],EquipmentTBL!$A:$A,0)),"NONE")</f>
        <v>2009</v>
      </c>
      <c r="Q269" s="86" t="str">
        <f>IFERROR(INDEX(EquipmentTBL!$D:$D,MATCH(Table5[[#This Row],[Unit'#]],EquipmentTBL!$A:$A,0)),"NONE")</f>
        <v>Prostar Eagle</v>
      </c>
      <c r="R269" s="26">
        <f>(5-WEEKDAY(A269,2))+A269</f>
        <v>42538</v>
      </c>
      <c r="S269" s="172">
        <f>((5-WEEKDAY(A269,2))+A269)+7</f>
        <v>42545</v>
      </c>
      <c r="T269" s="150">
        <f>MONTH(A269)</f>
        <v>6</v>
      </c>
      <c r="U269" s="150">
        <f>YEAR(R269)</f>
        <v>2016</v>
      </c>
      <c r="Z269"/>
      <c r="AA269"/>
      <c r="AB269"/>
      <c r="AC269"/>
      <c r="AD269"/>
      <c r="AE269"/>
    </row>
    <row r="270" spans="1:31">
      <c r="A270" s="146">
        <v>42534</v>
      </c>
      <c r="B270" s="146" t="s">
        <v>3863</v>
      </c>
      <c r="C270" s="65" t="s">
        <v>4002</v>
      </c>
      <c r="D270" s="145">
        <v>7785</v>
      </c>
      <c r="E270" s="298" t="s">
        <v>4013</v>
      </c>
      <c r="F270" s="298" t="s">
        <v>4681</v>
      </c>
      <c r="G270" s="298" t="s">
        <v>4019</v>
      </c>
      <c r="H270" s="15"/>
      <c r="I270" s="65">
        <v>1</v>
      </c>
      <c r="J270" s="54">
        <v>124.91</v>
      </c>
      <c r="K270" s="54" t="s">
        <v>3983</v>
      </c>
      <c r="L270" s="59" t="s">
        <v>3984</v>
      </c>
      <c r="M270" s="145" t="s">
        <v>3985</v>
      </c>
      <c r="N270" s="86" t="str">
        <f>IFERROR(INDEX(EquipmentTBL!$H:$H,MATCH(Table5[[#This Row],[Unit'#]],EquipmentTBL!$A:$A,0)),"NONE")</f>
        <v>2HSCUAPR88C657099</v>
      </c>
      <c r="O270" s="86" t="str">
        <f>IFERROR(INDEX(EquipmentTBL!$C:$C,MATCH(Table5[[#This Row],[Unit'#]],EquipmentTBL!$A:$A,0)),"NONE")</f>
        <v>International</v>
      </c>
      <c r="P270" s="86">
        <f>IFERROR(INDEX(EquipmentTBL!$B:$B,MATCH(Table5[[#This Row],[Unit'#]],EquipmentTBL!$A:$A,0)),"NONE")</f>
        <v>2008</v>
      </c>
      <c r="Q270" s="86" t="str">
        <f>IFERROR(INDEX(EquipmentTBL!$D:$D,MATCH(Table5[[#This Row],[Unit'#]],EquipmentTBL!$A:$A,0)),"NONE")</f>
        <v>Prostar Eagle</v>
      </c>
      <c r="R270" s="26">
        <f>(5-WEEKDAY(A270,2))+A270</f>
        <v>42538</v>
      </c>
      <c r="S270" s="172">
        <f>((5-WEEKDAY(A270,2))+A270)+7</f>
        <v>42545</v>
      </c>
      <c r="T270" s="150">
        <f>MONTH(A270)</f>
        <v>6</v>
      </c>
      <c r="U270" s="150">
        <f>YEAR(R270)</f>
        <v>2016</v>
      </c>
      <c r="Z270"/>
      <c r="AA270"/>
      <c r="AB270"/>
      <c r="AC270"/>
      <c r="AD270"/>
      <c r="AE270"/>
    </row>
    <row r="271" spans="1:31">
      <c r="A271" s="146">
        <v>42534</v>
      </c>
      <c r="B271" s="146" t="s">
        <v>4001</v>
      </c>
      <c r="C271" s="65" t="s">
        <v>4002</v>
      </c>
      <c r="D271" s="145">
        <v>7785</v>
      </c>
      <c r="E271" s="298" t="s">
        <v>4013</v>
      </c>
      <c r="F271" s="298" t="s">
        <v>4682</v>
      </c>
      <c r="G271" s="298" t="s">
        <v>4019</v>
      </c>
      <c r="H271" s="15"/>
      <c r="I271" s="65">
        <v>1</v>
      </c>
      <c r="J271" s="54">
        <v>92</v>
      </c>
      <c r="K271" s="54" t="s">
        <v>3983</v>
      </c>
      <c r="L271" s="59" t="s">
        <v>3984</v>
      </c>
      <c r="M271" s="145" t="s">
        <v>3985</v>
      </c>
      <c r="N271" s="86" t="str">
        <f>IFERROR(INDEX(EquipmentTBL!$H:$H,MATCH(Table5[[#This Row],[Unit'#]],EquipmentTBL!$A:$A,0)),"NONE")</f>
        <v>1JJV532V3BL370658</v>
      </c>
      <c r="O271" s="86" t="str">
        <f>IFERROR(INDEX(EquipmentTBL!$C:$C,MATCH(Table5[[#This Row],[Unit'#]],EquipmentTBL!$A:$A,0)),"NONE")</f>
        <v>Wabash</v>
      </c>
      <c r="P271" s="86">
        <f>IFERROR(INDEX(EquipmentTBL!$B:$B,MATCH(Table5[[#This Row],[Unit'#]],EquipmentTBL!$A:$A,0)),"NONE")</f>
        <v>2011</v>
      </c>
      <c r="Q271" s="86" t="str">
        <f>IFERROR(INDEX(EquipmentTBL!$D:$D,MATCH(Table5[[#This Row],[Unit'#]],EquipmentTBL!$A:$A,0)),"NONE")</f>
        <v>DryVan</v>
      </c>
      <c r="R271" s="26">
        <f>(5-WEEKDAY(A271,2))+A271</f>
        <v>42538</v>
      </c>
      <c r="S271" s="172">
        <f>((5-WEEKDAY(A271,2))+A271)+7</f>
        <v>42545</v>
      </c>
      <c r="T271" s="150">
        <f>MONTH(A271)</f>
        <v>6</v>
      </c>
      <c r="U271" s="150">
        <f>YEAR(R271)</f>
        <v>2016</v>
      </c>
      <c r="Z271"/>
      <c r="AA271"/>
      <c r="AB271"/>
      <c r="AC271"/>
      <c r="AD271"/>
      <c r="AE271"/>
    </row>
    <row r="272" spans="1:31">
      <c r="A272" s="146">
        <v>42534</v>
      </c>
      <c r="B272" s="146" t="s">
        <v>3863</v>
      </c>
      <c r="C272" s="65" t="s">
        <v>3990</v>
      </c>
      <c r="D272" s="145">
        <v>7785</v>
      </c>
      <c r="E272" s="298" t="s">
        <v>3980</v>
      </c>
      <c r="F272" s="298" t="s">
        <v>4125</v>
      </c>
      <c r="G272" s="298" t="s">
        <v>4019</v>
      </c>
      <c r="H272" s="15"/>
      <c r="I272" s="65">
        <v>2</v>
      </c>
      <c r="J272" s="54">
        <v>50</v>
      </c>
      <c r="K272" s="54" t="s">
        <v>3983</v>
      </c>
      <c r="L272" s="59" t="s">
        <v>3984</v>
      </c>
      <c r="M272" s="145" t="s">
        <v>3985</v>
      </c>
      <c r="N272" s="86" t="str">
        <f>IFERROR(INDEX(EquipmentTBL!$H:$H,MATCH(Table5[[#This Row],[Unit'#]],EquipmentTBL!$A:$A,0)),"NONE")</f>
        <v>2HSCUAPR88C657099</v>
      </c>
      <c r="O272" s="86" t="str">
        <f>IFERROR(INDEX(EquipmentTBL!$C:$C,MATCH(Table5[[#This Row],[Unit'#]],EquipmentTBL!$A:$A,0)),"NONE")</f>
        <v>International</v>
      </c>
      <c r="P272" s="86">
        <f>IFERROR(INDEX(EquipmentTBL!$B:$B,MATCH(Table5[[#This Row],[Unit'#]],EquipmentTBL!$A:$A,0)),"NONE")</f>
        <v>2008</v>
      </c>
      <c r="Q272" s="86" t="str">
        <f>IFERROR(INDEX(EquipmentTBL!$D:$D,MATCH(Table5[[#This Row],[Unit'#]],EquipmentTBL!$A:$A,0)),"NONE")</f>
        <v>Prostar Eagle</v>
      </c>
      <c r="R272" s="26">
        <f>(5-WEEKDAY(A272,2))+A272</f>
        <v>42538</v>
      </c>
      <c r="S272" s="172">
        <f>((5-WEEKDAY(A272,2))+A272)+7</f>
        <v>42545</v>
      </c>
      <c r="T272" s="150">
        <f>MONTH(A272)</f>
        <v>6</v>
      </c>
      <c r="U272" s="150">
        <f>YEAR(R272)</f>
        <v>2016</v>
      </c>
      <c r="Z272"/>
      <c r="AA272"/>
      <c r="AB272"/>
      <c r="AC272"/>
      <c r="AD272"/>
      <c r="AE272"/>
    </row>
    <row r="273" spans="1:31">
      <c r="A273" s="146">
        <v>42534</v>
      </c>
      <c r="B273" s="146" t="s">
        <v>4001</v>
      </c>
      <c r="C273" s="65" t="s">
        <v>4002</v>
      </c>
      <c r="D273" s="145">
        <v>7785</v>
      </c>
      <c r="E273" s="298" t="s">
        <v>4013</v>
      </c>
      <c r="F273" s="298" t="s">
        <v>4683</v>
      </c>
      <c r="G273" s="298" t="s">
        <v>4019</v>
      </c>
      <c r="H273" s="15"/>
      <c r="I273" s="65">
        <v>1</v>
      </c>
      <c r="J273" s="54">
        <v>40</v>
      </c>
      <c r="K273" s="54" t="s">
        <v>3983</v>
      </c>
      <c r="L273" s="59" t="s">
        <v>3984</v>
      </c>
      <c r="M273" s="145" t="s">
        <v>3985</v>
      </c>
      <c r="N273" s="86" t="str">
        <f>IFERROR(INDEX(EquipmentTBL!$H:$H,MATCH(Table5[[#This Row],[Unit'#]],EquipmentTBL!$A:$A,0)),"NONE")</f>
        <v>1JJV532V3BL370658</v>
      </c>
      <c r="O273" s="86" t="str">
        <f>IFERROR(INDEX(EquipmentTBL!$C:$C,MATCH(Table5[[#This Row],[Unit'#]],EquipmentTBL!$A:$A,0)),"NONE")</f>
        <v>Wabash</v>
      </c>
      <c r="P273" s="86">
        <f>IFERROR(INDEX(EquipmentTBL!$B:$B,MATCH(Table5[[#This Row],[Unit'#]],EquipmentTBL!$A:$A,0)),"NONE")</f>
        <v>2011</v>
      </c>
      <c r="Q273" s="86" t="str">
        <f>IFERROR(INDEX(EquipmentTBL!$D:$D,MATCH(Table5[[#This Row],[Unit'#]],EquipmentTBL!$A:$A,0)),"NONE")</f>
        <v>DryVan</v>
      </c>
      <c r="R273" s="26">
        <f>(5-WEEKDAY(A273,2))+A273</f>
        <v>42538</v>
      </c>
      <c r="S273" s="172">
        <f>((5-WEEKDAY(A273,2))+A273)+7</f>
        <v>42545</v>
      </c>
      <c r="T273" s="150">
        <f>MONTH(A273)</f>
        <v>6</v>
      </c>
      <c r="U273" s="150">
        <f>YEAR(R273)</f>
        <v>2016</v>
      </c>
      <c r="Z273"/>
      <c r="AA273"/>
      <c r="AB273"/>
      <c r="AC273"/>
      <c r="AD273"/>
      <c r="AE273"/>
    </row>
    <row r="274" spans="1:31">
      <c r="A274" s="146">
        <v>42534</v>
      </c>
      <c r="B274" s="146" t="s">
        <v>3978</v>
      </c>
      <c r="C274" s="65" t="s">
        <v>3979</v>
      </c>
      <c r="D274" s="145">
        <v>229013</v>
      </c>
      <c r="E274" s="298" t="s">
        <v>3980</v>
      </c>
      <c r="F274" s="298" t="s">
        <v>4684</v>
      </c>
      <c r="G274" s="298" t="s">
        <v>4186</v>
      </c>
      <c r="H274" s="15"/>
      <c r="I274" s="65">
        <v>1</v>
      </c>
      <c r="J274" s="54">
        <v>2500</v>
      </c>
      <c r="K274" s="54" t="s">
        <v>3983</v>
      </c>
      <c r="L274" s="59" t="s">
        <v>3984</v>
      </c>
      <c r="M274" s="145" t="s">
        <v>3985</v>
      </c>
      <c r="N274" s="86" t="str">
        <f>IFERROR(INDEX(EquipmentTBL!$H:$H,MATCH(Table5[[#This Row],[Unit'#]],EquipmentTBL!$A:$A,0)),"NONE")</f>
        <v>NONE</v>
      </c>
      <c r="O274" s="86" t="str">
        <f>IFERROR(INDEX(EquipmentTBL!$C:$C,MATCH(Table5[[#This Row],[Unit'#]],EquipmentTBL!$A:$A,0)),"NONE")</f>
        <v>NONE</v>
      </c>
      <c r="P274" s="86" t="str">
        <f>IFERROR(INDEX(EquipmentTBL!$B:$B,MATCH(Table5[[#This Row],[Unit'#]],EquipmentTBL!$A:$A,0)),"NONE")</f>
        <v>NONE</v>
      </c>
      <c r="Q274" s="86" t="str">
        <f>IFERROR(INDEX(EquipmentTBL!$D:$D,MATCH(Table5[[#This Row],[Unit'#]],EquipmentTBL!$A:$A,0)),"NONE")</f>
        <v>NONE</v>
      </c>
      <c r="R274" s="26">
        <f>(5-WEEKDAY(A274,2))+A274</f>
        <v>42538</v>
      </c>
      <c r="S274" s="172">
        <f>((5-WEEKDAY(A274,2))+A274)+7</f>
        <v>42545</v>
      </c>
      <c r="T274" s="150">
        <f>MONTH(A274)</f>
        <v>6</v>
      </c>
      <c r="U274" s="150">
        <f>YEAR(R274)</f>
        <v>2016</v>
      </c>
      <c r="Z274"/>
      <c r="AA274"/>
      <c r="AB274"/>
      <c r="AC274"/>
      <c r="AD274"/>
      <c r="AE274"/>
    </row>
    <row r="275" spans="1:31">
      <c r="A275" s="146">
        <v>42535</v>
      </c>
      <c r="B275" s="146" t="s">
        <v>3978</v>
      </c>
      <c r="C275" s="298" t="s">
        <v>3979</v>
      </c>
      <c r="D275" s="145"/>
      <c r="E275" s="298" t="s">
        <v>3980</v>
      </c>
      <c r="F275" s="298" t="s">
        <v>4073</v>
      </c>
      <c r="G275" s="298" t="s">
        <v>4073</v>
      </c>
      <c r="H275" s="15"/>
      <c r="I275" s="571" t="s">
        <v>123</v>
      </c>
      <c r="J275" s="322">
        <v>128</v>
      </c>
      <c r="K275" s="59" t="s">
        <v>3983</v>
      </c>
      <c r="L275" s="298" t="s">
        <v>3984</v>
      </c>
      <c r="M275" s="571" t="s">
        <v>3985</v>
      </c>
      <c r="N275" s="324" t="str">
        <f>IFERROR(INDEX(EquipmentTBL!$H:$H,MATCH(Table5[[#This Row],[Unit'#]],EquipmentTBL!$A:$A,0)),"NONE")</f>
        <v>NONE</v>
      </c>
      <c r="O275" s="324" t="str">
        <f>IFERROR(INDEX(EquipmentTBL!$C:$C,MATCH(Table5[[#This Row],[Unit'#]],EquipmentTBL!$A:$A,0)),"NONE")</f>
        <v>NONE</v>
      </c>
      <c r="P275" s="324" t="str">
        <f>IFERROR(INDEX(EquipmentTBL!$B:$B,MATCH(Table5[[#This Row],[Unit'#]],EquipmentTBL!$A:$A,0)),"NONE")</f>
        <v>NONE</v>
      </c>
      <c r="Q275" s="324" t="str">
        <f>IFERROR(INDEX(EquipmentTBL!$D:$D,MATCH(Table5[[#This Row],[Unit'#]],EquipmentTBL!$A:$A,0)),"NONE")</f>
        <v>NONE</v>
      </c>
      <c r="R275" s="146">
        <f>(5-WEEKDAY(A275,2))+A275</f>
        <v>42538</v>
      </c>
      <c r="S275" s="309">
        <f>((5-WEEKDAY(A275,2))+A275)+7</f>
        <v>42545</v>
      </c>
      <c r="T275" s="306">
        <f>MONTH(A275)</f>
        <v>6</v>
      </c>
      <c r="U275" s="324">
        <f>YEAR(R275)</f>
        <v>2016</v>
      </c>
      <c r="Z275"/>
      <c r="AA275"/>
      <c r="AB275"/>
      <c r="AC275"/>
      <c r="AD275"/>
      <c r="AE275"/>
    </row>
    <row r="276" spans="1:31">
      <c r="A276" s="146">
        <v>42535</v>
      </c>
      <c r="B276" s="146" t="s">
        <v>3978</v>
      </c>
      <c r="C276" s="65" t="s">
        <v>3979</v>
      </c>
      <c r="D276" s="145">
        <v>2066049</v>
      </c>
      <c r="E276" s="298" t="s">
        <v>3980</v>
      </c>
      <c r="F276" s="298" t="s">
        <v>4200</v>
      </c>
      <c r="G276" s="298" t="s">
        <v>4050</v>
      </c>
      <c r="H276" s="15"/>
      <c r="I276" s="571" t="s">
        <v>123</v>
      </c>
      <c r="J276" s="54">
        <v>34.950000000000003</v>
      </c>
      <c r="K276" s="59" t="s">
        <v>3983</v>
      </c>
      <c r="L276" s="54" t="s">
        <v>3984</v>
      </c>
      <c r="M276" s="571" t="s">
        <v>3985</v>
      </c>
      <c r="N276" s="150" t="str">
        <f>IFERROR(INDEX(EquipmentTBL!$H:$H,MATCH(Table5[[#This Row],[Unit'#]],EquipmentTBL!$A:$A,0)),"NONE")</f>
        <v>NONE</v>
      </c>
      <c r="O276" s="86" t="str">
        <f>IFERROR(INDEX(EquipmentTBL!$C:$C,MATCH(Table5[[#This Row],[Unit'#]],EquipmentTBL!$A:$A,0)),"NONE")</f>
        <v>NONE</v>
      </c>
      <c r="P276" s="86" t="str">
        <f>IFERROR(INDEX(EquipmentTBL!$B:$B,MATCH(Table5[[#This Row],[Unit'#]],EquipmentTBL!$A:$A,0)),"NONE")</f>
        <v>NONE</v>
      </c>
      <c r="Q276" s="86" t="str">
        <f>IFERROR(INDEX(EquipmentTBL!$D:$D,MATCH(Table5[[#This Row],[Unit'#]],EquipmentTBL!$A:$A,0)),"NONE")</f>
        <v>NONE</v>
      </c>
      <c r="R276" s="42">
        <f>(5-WEEKDAY(A276,2))+A276</f>
        <v>42538</v>
      </c>
      <c r="S276" s="16">
        <f>((5-WEEKDAY(A276,2))+A276)+7</f>
        <v>42545</v>
      </c>
      <c r="T276" s="171">
        <f>MONTH(A276)</f>
        <v>6</v>
      </c>
      <c r="U276" s="150">
        <f>YEAR(R276)</f>
        <v>2016</v>
      </c>
      <c r="Z276"/>
      <c r="AA276"/>
      <c r="AB276"/>
      <c r="AC276"/>
      <c r="AD276"/>
      <c r="AE276"/>
    </row>
    <row r="277" spans="1:31">
      <c r="A277" s="146">
        <v>42542</v>
      </c>
      <c r="B277" s="146" t="s">
        <v>3978</v>
      </c>
      <c r="C277" s="65" t="s">
        <v>3979</v>
      </c>
      <c r="D277" s="145">
        <v>764932</v>
      </c>
      <c r="E277" s="298" t="s">
        <v>3980</v>
      </c>
      <c r="F277" s="298" t="s">
        <v>4673</v>
      </c>
      <c r="G277" s="298" t="s">
        <v>4674</v>
      </c>
      <c r="H277" s="15"/>
      <c r="I277" s="65">
        <v>1</v>
      </c>
      <c r="J277" s="54">
        <v>35</v>
      </c>
      <c r="K277" s="54" t="s">
        <v>3983</v>
      </c>
      <c r="L277" s="59" t="s">
        <v>3984</v>
      </c>
      <c r="M277" s="145" t="s">
        <v>3985</v>
      </c>
      <c r="N277" s="86" t="str">
        <f>IFERROR(INDEX(EquipmentTBL!$H:$H,MATCH(Table5[[#This Row],[Unit'#]],EquipmentTBL!$A:$A,0)),"NONE")</f>
        <v>NONE</v>
      </c>
      <c r="O277" s="86" t="str">
        <f>IFERROR(INDEX(EquipmentTBL!$C:$C,MATCH(Table5[[#This Row],[Unit'#]],EquipmentTBL!$A:$A,0)),"NONE")</f>
        <v>NONE</v>
      </c>
      <c r="P277" s="86" t="str">
        <f>IFERROR(INDEX(EquipmentTBL!$B:$B,MATCH(Table5[[#This Row],[Unit'#]],EquipmentTBL!$A:$A,0)),"NONE")</f>
        <v>NONE</v>
      </c>
      <c r="Q277" s="86" t="str">
        <f>IFERROR(INDEX(EquipmentTBL!$D:$D,MATCH(Table5[[#This Row],[Unit'#]],EquipmentTBL!$A:$A,0)),"NONE")</f>
        <v>NONE</v>
      </c>
      <c r="R277" s="26">
        <f>(5-WEEKDAY(A277,2))+A277</f>
        <v>42545</v>
      </c>
      <c r="S277" s="172">
        <f>((5-WEEKDAY(A277,2))+A277)+7</f>
        <v>42552</v>
      </c>
      <c r="T277" s="150">
        <f>MONTH(A277)</f>
        <v>6</v>
      </c>
      <c r="U277" s="150">
        <f>YEAR(R277)</f>
        <v>2016</v>
      </c>
      <c r="Z277"/>
      <c r="AA277"/>
      <c r="AB277"/>
      <c r="AC277"/>
      <c r="AD277"/>
      <c r="AE277"/>
    </row>
    <row r="278" spans="1:31">
      <c r="A278" s="146">
        <v>42543</v>
      </c>
      <c r="B278" s="146" t="s">
        <v>3978</v>
      </c>
      <c r="C278" s="65" t="s">
        <v>3979</v>
      </c>
      <c r="D278" s="145"/>
      <c r="E278" s="298" t="s">
        <v>3980</v>
      </c>
      <c r="F278" s="298" t="s">
        <v>4178</v>
      </c>
      <c r="G278" s="298" t="s">
        <v>4179</v>
      </c>
      <c r="H278" s="15"/>
      <c r="I278" s="571" t="s">
        <v>123</v>
      </c>
      <c r="J278" s="573">
        <v>35.299999999999997</v>
      </c>
      <c r="K278" s="59" t="s">
        <v>3983</v>
      </c>
      <c r="L278" s="298" t="s">
        <v>3984</v>
      </c>
      <c r="M278" s="571" t="s">
        <v>3985</v>
      </c>
      <c r="N278" s="150" t="str">
        <f>IFERROR(INDEX(EquipmentTBL!$H:$H,MATCH(Table5[[#This Row],[Unit'#]],EquipmentTBL!$A:$A,0)),"NONE")</f>
        <v>NONE</v>
      </c>
      <c r="O278" s="86" t="str">
        <f>IFERROR(INDEX(EquipmentTBL!$C:$C,MATCH(Table5[[#This Row],[Unit'#]],EquipmentTBL!$A:$A,0)),"NONE")</f>
        <v>NONE</v>
      </c>
      <c r="P278" s="86" t="str">
        <f>IFERROR(INDEX(EquipmentTBL!$B:$B,MATCH(Table5[[#This Row],[Unit'#]],EquipmentTBL!$A:$A,0)),"NONE")</f>
        <v>NONE</v>
      </c>
      <c r="Q278" s="86" t="str">
        <f>IFERROR(INDEX(EquipmentTBL!$D:$D,MATCH(Table5[[#This Row],[Unit'#]],EquipmentTBL!$A:$A,0)),"NONE")</f>
        <v>NONE</v>
      </c>
      <c r="R278" s="42">
        <f>(5-WEEKDAY(A278,2))+A278</f>
        <v>42545</v>
      </c>
      <c r="S278" s="16">
        <f>((5-WEEKDAY(A278,2))+A278)+7</f>
        <v>42552</v>
      </c>
      <c r="T278" s="171">
        <f>MONTH(A278)</f>
        <v>6</v>
      </c>
      <c r="U278" s="150">
        <f>YEAR(R278)</f>
        <v>2016</v>
      </c>
      <c r="Z278"/>
      <c r="AA278"/>
      <c r="AB278"/>
      <c r="AC278"/>
      <c r="AD278"/>
      <c r="AE278"/>
    </row>
    <row r="279" spans="1:31">
      <c r="A279" s="570">
        <v>42544</v>
      </c>
      <c r="B279" s="570" t="s">
        <v>3863</v>
      </c>
      <c r="C279" s="576" t="s">
        <v>3979</v>
      </c>
      <c r="D279" s="572">
        <v>93440504</v>
      </c>
      <c r="E279" s="571" t="s">
        <v>3980</v>
      </c>
      <c r="F279" s="571" t="s">
        <v>4023</v>
      </c>
      <c r="G279" s="571" t="s">
        <v>3935</v>
      </c>
      <c r="H279" s="550"/>
      <c r="I279" s="576">
        <v>1</v>
      </c>
      <c r="J279" s="577">
        <v>21</v>
      </c>
      <c r="K279" s="577" t="s">
        <v>3983</v>
      </c>
      <c r="L279" s="573" t="s">
        <v>3831</v>
      </c>
      <c r="M279" s="572" t="s">
        <v>3985</v>
      </c>
      <c r="N279" s="578" t="str">
        <f>IFERROR(INDEX(EquipmentTBL!$H:$H,MATCH(Table5[[#This Row],[Unit'#]],EquipmentTBL!$A:$A,0)),"NONE")</f>
        <v>2HSCUAPR88C657099</v>
      </c>
      <c r="O279" s="578" t="str">
        <f>IFERROR(INDEX(EquipmentTBL!$C:$C,MATCH(Table5[[#This Row],[Unit'#]],EquipmentTBL!$A:$A,0)),"NONE")</f>
        <v>International</v>
      </c>
      <c r="P279" s="578">
        <f>IFERROR(INDEX(EquipmentTBL!$B:$B,MATCH(Table5[[#This Row],[Unit'#]],EquipmentTBL!$A:$A,0)),"NONE")</f>
        <v>2008</v>
      </c>
      <c r="Q279" s="578" t="str">
        <f>IFERROR(INDEX(EquipmentTBL!$D:$D,MATCH(Table5[[#This Row],[Unit'#]],EquipmentTBL!$A:$A,0)),"NONE")</f>
        <v>Prostar Eagle</v>
      </c>
      <c r="R279" s="579">
        <f>(5-WEEKDAY(A279,2))+A279</f>
        <v>42545</v>
      </c>
      <c r="S279" s="556">
        <f>((5-WEEKDAY(A279,2))+A279)+7</f>
        <v>42552</v>
      </c>
      <c r="T279" s="574">
        <f>MONTH(A279)</f>
        <v>6</v>
      </c>
      <c r="U279" s="574">
        <f>YEAR(R279)</f>
        <v>2016</v>
      </c>
      <c r="Z279"/>
      <c r="AA279"/>
      <c r="AB279"/>
      <c r="AC279"/>
      <c r="AD279"/>
      <c r="AE279"/>
    </row>
    <row r="280" spans="1:31">
      <c r="A280" s="570">
        <v>42545</v>
      </c>
      <c r="B280" s="570" t="s">
        <v>3863</v>
      </c>
      <c r="C280" s="576" t="s">
        <v>3979</v>
      </c>
      <c r="D280" s="572">
        <v>12413</v>
      </c>
      <c r="E280" s="571" t="s">
        <v>3980</v>
      </c>
      <c r="F280" s="571" t="s">
        <v>4023</v>
      </c>
      <c r="G280" s="571" t="s">
        <v>4297</v>
      </c>
      <c r="H280" s="550"/>
      <c r="I280" s="576">
        <v>1</v>
      </c>
      <c r="J280" s="577">
        <v>10</v>
      </c>
      <c r="K280" s="577" t="s">
        <v>3983</v>
      </c>
      <c r="L280" s="573" t="s">
        <v>3831</v>
      </c>
      <c r="M280" s="572" t="s">
        <v>3985</v>
      </c>
      <c r="N280" s="578" t="str">
        <f>IFERROR(INDEX(EquipmentTBL!$H:$H,MATCH(Table5[[#This Row],[Unit'#]],EquipmentTBL!$A:$A,0)),"NONE")</f>
        <v>2HSCUAPR88C657099</v>
      </c>
      <c r="O280" s="578" t="str">
        <f>IFERROR(INDEX(EquipmentTBL!$C:$C,MATCH(Table5[[#This Row],[Unit'#]],EquipmentTBL!$A:$A,0)),"NONE")</f>
        <v>International</v>
      </c>
      <c r="P280" s="578">
        <f>IFERROR(INDEX(EquipmentTBL!$B:$B,MATCH(Table5[[#This Row],[Unit'#]],EquipmentTBL!$A:$A,0)),"NONE")</f>
        <v>2008</v>
      </c>
      <c r="Q280" s="578" t="str">
        <f>IFERROR(INDEX(EquipmentTBL!$D:$D,MATCH(Table5[[#This Row],[Unit'#]],EquipmentTBL!$A:$A,0)),"NONE")</f>
        <v>Prostar Eagle</v>
      </c>
      <c r="R280" s="579">
        <f>(5-WEEKDAY(A280,2))+A280</f>
        <v>42545</v>
      </c>
      <c r="S280" s="556">
        <f>((5-WEEKDAY(A280,2))+A280)+7</f>
        <v>42552</v>
      </c>
      <c r="T280" s="574">
        <f>MONTH(A280)</f>
        <v>6</v>
      </c>
      <c r="U280" s="574">
        <f>YEAR(R280)</f>
        <v>2016</v>
      </c>
      <c r="Z280"/>
      <c r="AA280"/>
      <c r="AB280"/>
      <c r="AC280"/>
      <c r="AD280"/>
      <c r="AE280"/>
    </row>
    <row r="281" spans="1:31">
      <c r="A281" s="146">
        <v>42545</v>
      </c>
      <c r="B281" s="146" t="s">
        <v>4030</v>
      </c>
      <c r="C281" s="65" t="s">
        <v>4002</v>
      </c>
      <c r="D281" s="145">
        <v>28680</v>
      </c>
      <c r="E281" s="298" t="s">
        <v>4028</v>
      </c>
      <c r="F281" s="298" t="s">
        <v>4685</v>
      </c>
      <c r="G281" s="298" t="s">
        <v>4686</v>
      </c>
      <c r="H281" s="15"/>
      <c r="I281" s="65">
        <v>1</v>
      </c>
      <c r="J281" s="54">
        <v>1771.43</v>
      </c>
      <c r="K281" s="54" t="s">
        <v>3983</v>
      </c>
      <c r="L281" s="59" t="s">
        <v>3984</v>
      </c>
      <c r="M281" s="145" t="s">
        <v>3985</v>
      </c>
      <c r="N281" s="86" t="str">
        <f>IFERROR(INDEX(EquipmentTBL!$H:$H,MATCH(Table5[[#This Row],[Unit'#]],EquipmentTBL!$A:$A,0)),"NONE")</f>
        <v>1GRAA0625XB130354</v>
      </c>
      <c r="O281" s="86" t="str">
        <f>IFERROR(INDEX(EquipmentTBL!$C:$C,MATCH(Table5[[#This Row],[Unit'#]],EquipmentTBL!$A:$A,0)),"NONE")</f>
        <v>Grate Dane</v>
      </c>
      <c r="P281" s="86">
        <f>IFERROR(INDEX(EquipmentTBL!$B:$B,MATCH(Table5[[#This Row],[Unit'#]],EquipmentTBL!$A:$A,0)),"NONE")</f>
        <v>1999</v>
      </c>
      <c r="Q281" s="86" t="str">
        <f>IFERROR(INDEX(EquipmentTBL!$D:$D,MATCH(Table5[[#This Row],[Unit'#]],EquipmentTBL!$A:$A,0)),"NONE")</f>
        <v>DryVan</v>
      </c>
      <c r="R281" s="26">
        <f>(5-WEEKDAY(A281,2))+A281</f>
        <v>42545</v>
      </c>
      <c r="S281" s="172">
        <f>((5-WEEKDAY(A281,2))+A281)+7</f>
        <v>42552</v>
      </c>
      <c r="T281" s="150">
        <f>MONTH(A281)</f>
        <v>6</v>
      </c>
      <c r="U281" s="150">
        <f>YEAR(R281)</f>
        <v>2016</v>
      </c>
      <c r="Z281"/>
      <c r="AA281"/>
      <c r="AB281"/>
      <c r="AC281"/>
      <c r="AD281"/>
      <c r="AE281"/>
    </row>
    <row r="282" spans="1:31">
      <c r="A282" s="146">
        <v>42548</v>
      </c>
      <c r="B282" s="146" t="s">
        <v>4001</v>
      </c>
      <c r="C282" s="65" t="s">
        <v>4002</v>
      </c>
      <c r="D282" s="145"/>
      <c r="E282" s="298" t="s">
        <v>4039</v>
      </c>
      <c r="F282" s="298" t="s">
        <v>4298</v>
      </c>
      <c r="G282" s="298" t="s">
        <v>4244</v>
      </c>
      <c r="H282" s="15"/>
      <c r="I282" s="65">
        <v>4</v>
      </c>
      <c r="J282" s="54">
        <v>670</v>
      </c>
      <c r="K282" s="54" t="s">
        <v>3983</v>
      </c>
      <c r="L282" s="59" t="s">
        <v>3984</v>
      </c>
      <c r="M282" s="145" t="s">
        <v>3985</v>
      </c>
      <c r="N282" s="86" t="str">
        <f>IFERROR(INDEX(EquipmentTBL!$H:$H,MATCH(Table5[[#This Row],[Unit'#]],EquipmentTBL!$A:$A,0)),"NONE")</f>
        <v>1JJV532V3BL370658</v>
      </c>
      <c r="O282" s="86" t="str">
        <f>IFERROR(INDEX(EquipmentTBL!$C:$C,MATCH(Table5[[#This Row],[Unit'#]],EquipmentTBL!$A:$A,0)),"NONE")</f>
        <v>Wabash</v>
      </c>
      <c r="P282" s="86">
        <f>IFERROR(INDEX(EquipmentTBL!$B:$B,MATCH(Table5[[#This Row],[Unit'#]],EquipmentTBL!$A:$A,0)),"NONE")</f>
        <v>2011</v>
      </c>
      <c r="Q282" s="86" t="str">
        <f>IFERROR(INDEX(EquipmentTBL!$D:$D,MATCH(Table5[[#This Row],[Unit'#]],EquipmentTBL!$A:$A,0)),"NONE")</f>
        <v>DryVan</v>
      </c>
      <c r="R282" s="26">
        <f>(5-WEEKDAY(A282,2))+A282</f>
        <v>42552</v>
      </c>
      <c r="S282" s="172">
        <f>((5-WEEKDAY(A282,2))+A282)+7</f>
        <v>42559</v>
      </c>
      <c r="T282" s="150">
        <f>MONTH(A282)</f>
        <v>6</v>
      </c>
      <c r="U282" s="150">
        <f>YEAR(R282)</f>
        <v>2016</v>
      </c>
      <c r="Z282"/>
      <c r="AA282"/>
      <c r="AB282"/>
      <c r="AC282"/>
      <c r="AD282"/>
      <c r="AE282"/>
    </row>
    <row r="283" spans="1:31">
      <c r="A283" s="570">
        <v>42549</v>
      </c>
      <c r="B283" s="570" t="s">
        <v>3956</v>
      </c>
      <c r="C283" s="576" t="s">
        <v>3979</v>
      </c>
      <c r="D283" s="572" t="s">
        <v>4299</v>
      </c>
      <c r="E283" s="571" t="s">
        <v>3980</v>
      </c>
      <c r="F283" s="571" t="s">
        <v>4300</v>
      </c>
      <c r="G283" s="571" t="s">
        <v>4301</v>
      </c>
      <c r="H283" s="550"/>
      <c r="I283" s="576">
        <v>1</v>
      </c>
      <c r="J283" s="577">
        <v>584.35</v>
      </c>
      <c r="K283" s="577" t="s">
        <v>3983</v>
      </c>
      <c r="L283" s="573" t="s">
        <v>133</v>
      </c>
      <c r="M283" s="572" t="s">
        <v>3985</v>
      </c>
      <c r="N283" s="578">
        <f>IFERROR(INDEX(EquipmentTBL!$H:$H,MATCH(Table5[[#This Row],[Unit'#]],EquipmentTBL!$A:$A,0)),"NONE")</f>
        <v>0</v>
      </c>
      <c r="O283" s="578">
        <f>IFERROR(INDEX(EquipmentTBL!$C:$C,MATCH(Table5[[#This Row],[Unit'#]],EquipmentTBL!$A:$A,0)),"NONE")</f>
        <v>0</v>
      </c>
      <c r="P283" s="578">
        <f>IFERROR(INDEX(EquipmentTBL!$B:$B,MATCH(Table5[[#This Row],[Unit'#]],EquipmentTBL!$A:$A,0)),"NONE")</f>
        <v>0</v>
      </c>
      <c r="Q283" s="578">
        <f>IFERROR(INDEX(EquipmentTBL!$D:$D,MATCH(Table5[[#This Row],[Unit'#]],EquipmentTBL!$A:$A,0)),"NONE")</f>
        <v>0</v>
      </c>
      <c r="R283" s="579">
        <f>(5-WEEKDAY(A283,2))+A283</f>
        <v>42552</v>
      </c>
      <c r="S283" s="556">
        <f>((5-WEEKDAY(A283,2))+A283)+7</f>
        <v>42559</v>
      </c>
      <c r="T283" s="574">
        <f>MONTH(A283)</f>
        <v>6</v>
      </c>
      <c r="U283" s="574">
        <f>YEAR(R283)</f>
        <v>2016</v>
      </c>
      <c r="Z283"/>
      <c r="AA283"/>
      <c r="AB283"/>
      <c r="AC283"/>
      <c r="AD283"/>
      <c r="AE283"/>
    </row>
    <row r="284" spans="1:31">
      <c r="A284" s="570">
        <v>42549</v>
      </c>
      <c r="B284" s="570" t="s">
        <v>3960</v>
      </c>
      <c r="C284" s="576" t="s">
        <v>3979</v>
      </c>
      <c r="D284" s="572" t="s">
        <v>4299</v>
      </c>
      <c r="E284" s="571" t="s">
        <v>3980</v>
      </c>
      <c r="F284" s="571" t="s">
        <v>4300</v>
      </c>
      <c r="G284" s="571" t="s">
        <v>4301</v>
      </c>
      <c r="H284" s="550"/>
      <c r="I284" s="576">
        <v>1</v>
      </c>
      <c r="J284" s="577">
        <v>584.35</v>
      </c>
      <c r="K284" s="577" t="s">
        <v>3983</v>
      </c>
      <c r="L284" s="573" t="s">
        <v>133</v>
      </c>
      <c r="M284" s="572" t="s">
        <v>3985</v>
      </c>
      <c r="N284" s="578">
        <f>IFERROR(INDEX(EquipmentTBL!$H:$H,MATCH(Table5[[#This Row],[Unit'#]],EquipmentTBL!$A:$A,0)),"NONE")</f>
        <v>0</v>
      </c>
      <c r="O284" s="578">
        <f>IFERROR(INDEX(EquipmentTBL!$C:$C,MATCH(Table5[[#This Row],[Unit'#]],EquipmentTBL!$A:$A,0)),"NONE")</f>
        <v>0</v>
      </c>
      <c r="P284" s="578">
        <f>IFERROR(INDEX(EquipmentTBL!$B:$B,MATCH(Table5[[#This Row],[Unit'#]],EquipmentTBL!$A:$A,0)),"NONE")</f>
        <v>0</v>
      </c>
      <c r="Q284" s="578">
        <f>IFERROR(INDEX(EquipmentTBL!$D:$D,MATCH(Table5[[#This Row],[Unit'#]],EquipmentTBL!$A:$A,0)),"NONE")</f>
        <v>0</v>
      </c>
      <c r="R284" s="579">
        <f>(5-WEEKDAY(A284,2))+A284</f>
        <v>42552</v>
      </c>
      <c r="S284" s="556">
        <f>((5-WEEKDAY(A284,2))+A284)+7</f>
        <v>42559</v>
      </c>
      <c r="T284" s="574">
        <f>MONTH(A284)</f>
        <v>6</v>
      </c>
      <c r="U284" s="574">
        <f>YEAR(R284)</f>
        <v>2016</v>
      </c>
      <c r="Z284"/>
      <c r="AA284"/>
      <c r="AB284"/>
      <c r="AC284"/>
      <c r="AD284"/>
      <c r="AE284"/>
    </row>
    <row r="285" spans="1:31">
      <c r="A285" s="570">
        <v>42549</v>
      </c>
      <c r="B285" s="570" t="s">
        <v>3896</v>
      </c>
      <c r="C285" s="576" t="s">
        <v>4002</v>
      </c>
      <c r="D285" s="572">
        <v>32609</v>
      </c>
      <c r="E285" s="571" t="s">
        <v>3980</v>
      </c>
      <c r="F285" s="571" t="s">
        <v>4302</v>
      </c>
      <c r="G285" s="571" t="s">
        <v>4303</v>
      </c>
      <c r="H285" s="550"/>
      <c r="I285" s="576">
        <v>1</v>
      </c>
      <c r="J285" s="577">
        <v>265</v>
      </c>
      <c r="K285" s="577" t="s">
        <v>3983</v>
      </c>
      <c r="L285" s="573" t="s">
        <v>4214</v>
      </c>
      <c r="M285" s="572" t="s">
        <v>3985</v>
      </c>
      <c r="N285" s="578" t="str">
        <f>IFERROR(INDEX(EquipmentTBL!$H:$H,MATCH(Table5[[#This Row],[Unit'#]],EquipmentTBL!$A:$A,0)),"NONE")</f>
        <v>2HSCUAPR79CO93785</v>
      </c>
      <c r="O285" s="578" t="str">
        <f>IFERROR(INDEX(EquipmentTBL!$C:$C,MATCH(Table5[[#This Row],[Unit'#]],EquipmentTBL!$A:$A,0)),"NONE")</f>
        <v>International</v>
      </c>
      <c r="P285" s="578">
        <f>IFERROR(INDEX(EquipmentTBL!$B:$B,MATCH(Table5[[#This Row],[Unit'#]],EquipmentTBL!$A:$A,0)),"NONE")</f>
        <v>2009</v>
      </c>
      <c r="Q285" s="578" t="str">
        <f>IFERROR(INDEX(EquipmentTBL!$D:$D,MATCH(Table5[[#This Row],[Unit'#]],EquipmentTBL!$A:$A,0)),"NONE")</f>
        <v>Prostar Eagle</v>
      </c>
      <c r="R285" s="579">
        <f>(5-WEEKDAY(A285,2))+A285</f>
        <v>42552</v>
      </c>
      <c r="S285" s="556">
        <f>((5-WEEKDAY(A285,2))+A285)+7</f>
        <v>42559</v>
      </c>
      <c r="T285" s="574">
        <f>MONTH(A285)</f>
        <v>6</v>
      </c>
      <c r="U285" s="574">
        <f>YEAR(R285)</f>
        <v>2016</v>
      </c>
      <c r="Z285"/>
      <c r="AA285"/>
      <c r="AB285"/>
      <c r="AC285"/>
      <c r="AD285"/>
      <c r="AE285"/>
    </row>
    <row r="286" spans="1:31">
      <c r="A286" s="570">
        <v>42551</v>
      </c>
      <c r="B286" s="570" t="s">
        <v>3896</v>
      </c>
      <c r="C286" s="576" t="s">
        <v>4002</v>
      </c>
      <c r="D286" s="572" t="s">
        <v>4304</v>
      </c>
      <c r="E286" s="571" t="s">
        <v>4028</v>
      </c>
      <c r="F286" s="571" t="s">
        <v>4305</v>
      </c>
      <c r="G286" s="571" t="s">
        <v>4242</v>
      </c>
      <c r="H286" s="550"/>
      <c r="I286" s="576">
        <v>1</v>
      </c>
      <c r="J286" s="577">
        <v>611.72</v>
      </c>
      <c r="K286" s="577" t="s">
        <v>3983</v>
      </c>
      <c r="L286" s="573" t="s">
        <v>4214</v>
      </c>
      <c r="M286" s="572" t="s">
        <v>3985</v>
      </c>
      <c r="N286" s="578" t="str">
        <f>IFERROR(INDEX(EquipmentTBL!$H:$H,MATCH(Table5[[#This Row],[Unit'#]],EquipmentTBL!$A:$A,0)),"NONE")</f>
        <v>2HSCUAPR79CO93785</v>
      </c>
      <c r="O286" s="578" t="str">
        <f>IFERROR(INDEX(EquipmentTBL!$C:$C,MATCH(Table5[[#This Row],[Unit'#]],EquipmentTBL!$A:$A,0)),"NONE")</f>
        <v>International</v>
      </c>
      <c r="P286" s="578">
        <f>IFERROR(INDEX(EquipmentTBL!$B:$B,MATCH(Table5[[#This Row],[Unit'#]],EquipmentTBL!$A:$A,0)),"NONE")</f>
        <v>2009</v>
      </c>
      <c r="Q286" s="578" t="str">
        <f>IFERROR(INDEX(EquipmentTBL!$D:$D,MATCH(Table5[[#This Row],[Unit'#]],EquipmentTBL!$A:$A,0)),"NONE")</f>
        <v>Prostar Eagle</v>
      </c>
      <c r="R286" s="579">
        <f>(5-WEEKDAY(A286,2))+A286</f>
        <v>42552</v>
      </c>
      <c r="S286" s="556">
        <f>((5-WEEKDAY(A286,2))+A286)+7</f>
        <v>42559</v>
      </c>
      <c r="T286" s="574">
        <f>MONTH(A286)</f>
        <v>6</v>
      </c>
      <c r="U286" s="574">
        <f>YEAR(R286)</f>
        <v>2016</v>
      </c>
      <c r="Z286"/>
      <c r="AA286"/>
      <c r="AB286"/>
      <c r="AC286"/>
      <c r="AD286"/>
      <c r="AE286"/>
    </row>
    <row r="287" spans="1:31">
      <c r="A287" s="146">
        <v>42551</v>
      </c>
      <c r="B287" s="146" t="s">
        <v>3978</v>
      </c>
      <c r="C287" s="65" t="s">
        <v>3979</v>
      </c>
      <c r="D287" s="145"/>
      <c r="E287" s="298" t="s">
        <v>3980</v>
      </c>
      <c r="F287" s="298" t="s">
        <v>4178</v>
      </c>
      <c r="G287" s="298" t="s">
        <v>4179</v>
      </c>
      <c r="H287" s="15"/>
      <c r="I287" s="571" t="s">
        <v>123</v>
      </c>
      <c r="J287" s="54">
        <v>115.9</v>
      </c>
      <c r="K287" s="54" t="s">
        <v>3983</v>
      </c>
      <c r="L287" s="59" t="s">
        <v>3984</v>
      </c>
      <c r="M287" s="145" t="s">
        <v>3985</v>
      </c>
      <c r="N287" s="86" t="str">
        <f>IFERROR(INDEX(EquipmentTBL!$H:$H,MATCH(Table5[[#This Row],[Unit'#]],EquipmentTBL!$A:$A,0)),"NONE")</f>
        <v>NONE</v>
      </c>
      <c r="O287" s="86" t="str">
        <f>IFERROR(INDEX(EquipmentTBL!$C:$C,MATCH(Table5[[#This Row],[Unit'#]],EquipmentTBL!$A:$A,0)),"NONE")</f>
        <v>NONE</v>
      </c>
      <c r="P287" s="86" t="str">
        <f>IFERROR(INDEX(EquipmentTBL!$B:$B,MATCH(Table5[[#This Row],[Unit'#]],EquipmentTBL!$A:$A,0)),"NONE")</f>
        <v>NONE</v>
      </c>
      <c r="Q287" s="86" t="str">
        <f>IFERROR(INDEX(EquipmentTBL!$D:$D,MATCH(Table5[[#This Row],[Unit'#]],EquipmentTBL!$A:$A,0)),"NONE")</f>
        <v>NONE</v>
      </c>
      <c r="R287" s="26">
        <f>(5-WEEKDAY(A287,2))+A287</f>
        <v>42552</v>
      </c>
      <c r="S287" s="172">
        <f>((5-WEEKDAY(A287,2))+A287)+7</f>
        <v>42559</v>
      </c>
      <c r="T287" s="150">
        <f>MONTH(A287)</f>
        <v>6</v>
      </c>
      <c r="U287" s="150">
        <f>YEAR(R287)</f>
        <v>2016</v>
      </c>
      <c r="Z287"/>
      <c r="AA287"/>
      <c r="AB287"/>
      <c r="AC287"/>
      <c r="AD287"/>
      <c r="AE287"/>
    </row>
    <row r="288" spans="1:31">
      <c r="A288" s="146">
        <v>42552</v>
      </c>
      <c r="B288" s="146" t="s">
        <v>3863</v>
      </c>
      <c r="C288" s="65" t="s">
        <v>3997</v>
      </c>
      <c r="D288" s="145"/>
      <c r="E288" s="298" t="s">
        <v>3980</v>
      </c>
      <c r="F288" s="298" t="s">
        <v>4000</v>
      </c>
      <c r="G288" s="298" t="s">
        <v>3999</v>
      </c>
      <c r="H288" s="15"/>
      <c r="I288" s="571" t="s">
        <v>123</v>
      </c>
      <c r="J288" s="54">
        <v>135</v>
      </c>
      <c r="K288" s="54" t="s">
        <v>3983</v>
      </c>
      <c r="L288" s="571" t="s">
        <v>3984</v>
      </c>
      <c r="M288" s="571" t="s">
        <v>3985</v>
      </c>
      <c r="N288" s="86" t="str">
        <f>IFERROR(INDEX(EquipmentTBL!$H:$H,MATCH(Table5[[#This Row],[Unit'#]],EquipmentTBL!$A:$A,0)),"NONE")</f>
        <v>2HSCUAPR88C657099</v>
      </c>
      <c r="O288" s="86" t="str">
        <f>IFERROR(INDEX(EquipmentTBL!$C:$C,MATCH(Table5[[#This Row],[Unit'#]],EquipmentTBL!$A:$A,0)),"NONE")</f>
        <v>International</v>
      </c>
      <c r="P288" s="86">
        <f>IFERROR(INDEX(EquipmentTBL!$B:$B,MATCH(Table5[[#This Row],[Unit'#]],EquipmentTBL!$A:$A,0)),"NONE")</f>
        <v>2008</v>
      </c>
      <c r="Q288" s="86" t="str">
        <f>IFERROR(INDEX(EquipmentTBL!$D:$D,MATCH(Table5[[#This Row],[Unit'#]],EquipmentTBL!$A:$A,0)),"NONE")</f>
        <v>Prostar Eagle</v>
      </c>
      <c r="R288" s="26">
        <f>(5-WEEKDAY(A288,2))+A288</f>
        <v>42552</v>
      </c>
      <c r="S288" s="172">
        <f>((5-WEEKDAY(A288,2))+A288)+7</f>
        <v>42559</v>
      </c>
      <c r="T288" s="150">
        <f>MONTH(A288)</f>
        <v>7</v>
      </c>
      <c r="U288" s="150">
        <f>YEAR(R288)</f>
        <v>2016</v>
      </c>
      <c r="Z288"/>
      <c r="AA288"/>
      <c r="AB288"/>
      <c r="AC288"/>
      <c r="AD288"/>
      <c r="AE288"/>
    </row>
    <row r="289" spans="1:31">
      <c r="A289" s="146">
        <v>42552</v>
      </c>
      <c r="B289" s="146" t="s">
        <v>3896</v>
      </c>
      <c r="C289" s="65" t="s">
        <v>3997</v>
      </c>
      <c r="D289" s="145"/>
      <c r="E289" s="298" t="s">
        <v>3980</v>
      </c>
      <c r="F289" s="298" t="s">
        <v>4000</v>
      </c>
      <c r="G289" s="298" t="s">
        <v>3999</v>
      </c>
      <c r="H289" s="15"/>
      <c r="I289" s="571" t="s">
        <v>123</v>
      </c>
      <c r="J289" s="54">
        <v>135</v>
      </c>
      <c r="K289" s="54" t="s">
        <v>3983</v>
      </c>
      <c r="L289" s="571" t="s">
        <v>3984</v>
      </c>
      <c r="M289" s="571" t="s">
        <v>3985</v>
      </c>
      <c r="N289" s="86" t="str">
        <f>IFERROR(INDEX(EquipmentTBL!$H:$H,MATCH(Table5[[#This Row],[Unit'#]],EquipmentTBL!$A:$A,0)),"NONE")</f>
        <v>2HSCUAPR79CO93785</v>
      </c>
      <c r="O289" s="86" t="str">
        <f>IFERROR(INDEX(EquipmentTBL!$C:$C,MATCH(Table5[[#This Row],[Unit'#]],EquipmentTBL!$A:$A,0)),"NONE")</f>
        <v>International</v>
      </c>
      <c r="P289" s="86">
        <f>IFERROR(INDEX(EquipmentTBL!$B:$B,MATCH(Table5[[#This Row],[Unit'#]],EquipmentTBL!$A:$A,0)),"NONE")</f>
        <v>2009</v>
      </c>
      <c r="Q289" s="86" t="str">
        <f>IFERROR(INDEX(EquipmentTBL!$D:$D,MATCH(Table5[[#This Row],[Unit'#]],EquipmentTBL!$A:$A,0)),"NONE")</f>
        <v>Prostar Eagle</v>
      </c>
      <c r="R289" s="26">
        <f>(5-WEEKDAY(A289,2))+A289</f>
        <v>42552</v>
      </c>
      <c r="S289" s="172">
        <f>((5-WEEKDAY(A289,2))+A289)+7</f>
        <v>42559</v>
      </c>
      <c r="T289" s="150">
        <f>MONTH(A289)</f>
        <v>7</v>
      </c>
      <c r="U289" s="150">
        <f>YEAR(R289)</f>
        <v>2016</v>
      </c>
      <c r="Z289"/>
      <c r="AA289"/>
      <c r="AB289"/>
      <c r="AC289"/>
      <c r="AD289"/>
      <c r="AE289"/>
    </row>
    <row r="290" spans="1:31">
      <c r="A290" s="570">
        <v>42552</v>
      </c>
      <c r="B290" s="146" t="s">
        <v>3896</v>
      </c>
      <c r="C290" s="576" t="s">
        <v>3979</v>
      </c>
      <c r="D290" s="572">
        <v>91971526</v>
      </c>
      <c r="E290" s="571" t="s">
        <v>3980</v>
      </c>
      <c r="F290" s="571" t="s">
        <v>4023</v>
      </c>
      <c r="G290" s="571" t="s">
        <v>3943</v>
      </c>
      <c r="H290" s="15"/>
      <c r="I290" s="576">
        <v>1</v>
      </c>
      <c r="J290" s="577">
        <v>12.5</v>
      </c>
      <c r="K290" s="577" t="s">
        <v>3983</v>
      </c>
      <c r="L290" s="573" t="s">
        <v>3897</v>
      </c>
      <c r="M290" s="572" t="s">
        <v>3985</v>
      </c>
      <c r="N290" s="578" t="str">
        <f>IFERROR(INDEX(EquipmentTBL!$H:$H,MATCH(Table5[[#This Row],[Unit'#]],EquipmentTBL!$A:$A,0)),"NONE")</f>
        <v>2HSCUAPR79CO93785</v>
      </c>
      <c r="O290" s="578" t="str">
        <f>IFERROR(INDEX(EquipmentTBL!$C:$C,MATCH(Table5[[#This Row],[Unit'#]],EquipmentTBL!$A:$A,0)),"NONE")</f>
        <v>International</v>
      </c>
      <c r="P290" s="578">
        <f>IFERROR(INDEX(EquipmentTBL!$B:$B,MATCH(Table5[[#This Row],[Unit'#]],EquipmentTBL!$A:$A,0)),"NONE")</f>
        <v>2009</v>
      </c>
      <c r="Q290" s="578" t="str">
        <f>IFERROR(INDEX(EquipmentTBL!$D:$D,MATCH(Table5[[#This Row],[Unit'#]],EquipmentTBL!$A:$A,0)),"NONE")</f>
        <v>Prostar Eagle</v>
      </c>
      <c r="R290" s="579">
        <f>(5-WEEKDAY(A290,2))+A290</f>
        <v>42552</v>
      </c>
      <c r="S290" s="556">
        <f>((5-WEEKDAY(A290,2))+A290)+7</f>
        <v>42559</v>
      </c>
      <c r="T290" s="574">
        <f>MONTH(A290)</f>
        <v>7</v>
      </c>
      <c r="U290" s="574">
        <f>YEAR(R290)</f>
        <v>2016</v>
      </c>
      <c r="Z290"/>
      <c r="AA290"/>
      <c r="AB290"/>
      <c r="AC290"/>
      <c r="AD290"/>
      <c r="AE290"/>
    </row>
    <row r="291" spans="1:31">
      <c r="A291" s="146">
        <v>42552</v>
      </c>
      <c r="B291" s="146" t="s">
        <v>3863</v>
      </c>
      <c r="C291" s="65" t="s">
        <v>3979</v>
      </c>
      <c r="D291" s="145">
        <v>93304397</v>
      </c>
      <c r="E291" s="298" t="s">
        <v>3980</v>
      </c>
      <c r="F291" s="298" t="s">
        <v>4023</v>
      </c>
      <c r="G291" s="298" t="s">
        <v>4223</v>
      </c>
      <c r="H291" s="15"/>
      <c r="I291" s="65">
        <v>1</v>
      </c>
      <c r="J291" s="54">
        <v>10.5</v>
      </c>
      <c r="K291" s="54" t="s">
        <v>3983</v>
      </c>
      <c r="L291" s="59" t="s">
        <v>3831</v>
      </c>
      <c r="M291" s="145" t="s">
        <v>3985</v>
      </c>
      <c r="N291" s="86" t="str">
        <f>IFERROR(INDEX(EquipmentTBL!$H:$H,MATCH(Table5[[#This Row],[Unit'#]],EquipmentTBL!$A:$A,0)),"NONE")</f>
        <v>2HSCUAPR88C657099</v>
      </c>
      <c r="O291" s="86" t="str">
        <f>IFERROR(INDEX(EquipmentTBL!$C:$C,MATCH(Table5[[#This Row],[Unit'#]],EquipmentTBL!$A:$A,0)),"NONE")</f>
        <v>International</v>
      </c>
      <c r="P291" s="86">
        <f>IFERROR(INDEX(EquipmentTBL!$B:$B,MATCH(Table5[[#This Row],[Unit'#]],EquipmentTBL!$A:$A,0)),"NONE")</f>
        <v>2008</v>
      </c>
      <c r="Q291" s="86" t="str">
        <f>IFERROR(INDEX(EquipmentTBL!$D:$D,MATCH(Table5[[#This Row],[Unit'#]],EquipmentTBL!$A:$A,0)),"NONE")</f>
        <v>Prostar Eagle</v>
      </c>
      <c r="R291" s="26">
        <f>(5-WEEKDAY(A291,2))+A291</f>
        <v>42552</v>
      </c>
      <c r="S291" s="172">
        <f>((5-WEEKDAY(A291,2))+A291)+7</f>
        <v>42559</v>
      </c>
      <c r="T291" s="150">
        <f>MONTH(A291)</f>
        <v>7</v>
      </c>
      <c r="U291" s="150">
        <f>YEAR(R291)</f>
        <v>2016</v>
      </c>
      <c r="Z291"/>
      <c r="AA291"/>
      <c r="AB291"/>
      <c r="AC291"/>
      <c r="AD291"/>
      <c r="AE291"/>
    </row>
    <row r="292" spans="1:31">
      <c r="A292" s="146">
        <v>42556</v>
      </c>
      <c r="B292" s="146" t="s">
        <v>3863</v>
      </c>
      <c r="C292" s="65" t="s">
        <v>3979</v>
      </c>
      <c r="D292" s="145">
        <v>12585</v>
      </c>
      <c r="E292" s="298" t="s">
        <v>3980</v>
      </c>
      <c r="F292" s="298" t="s">
        <v>4023</v>
      </c>
      <c r="G292" s="298" t="s">
        <v>4297</v>
      </c>
      <c r="H292" s="15"/>
      <c r="I292" s="65">
        <v>1</v>
      </c>
      <c r="J292" s="54">
        <v>10</v>
      </c>
      <c r="K292" s="54" t="s">
        <v>3983</v>
      </c>
      <c r="L292" s="59" t="s">
        <v>4711</v>
      </c>
      <c r="M292" s="145" t="s">
        <v>3985</v>
      </c>
      <c r="N292" s="86" t="str">
        <f>IFERROR(INDEX(EquipmentTBL!$H:$H,MATCH(Table5[[#This Row],[Unit'#]],EquipmentTBL!$A:$A,0)),"NONE")</f>
        <v>2HSCUAPR88C657099</v>
      </c>
      <c r="O292" s="86" t="str">
        <f>IFERROR(INDEX(EquipmentTBL!$C:$C,MATCH(Table5[[#This Row],[Unit'#]],EquipmentTBL!$A:$A,0)),"NONE")</f>
        <v>International</v>
      </c>
      <c r="P292" s="86">
        <f>IFERROR(INDEX(EquipmentTBL!$B:$B,MATCH(Table5[[#This Row],[Unit'#]],EquipmentTBL!$A:$A,0)),"NONE")</f>
        <v>2008</v>
      </c>
      <c r="Q292" s="86" t="str">
        <f>IFERROR(INDEX(EquipmentTBL!$D:$D,MATCH(Table5[[#This Row],[Unit'#]],EquipmentTBL!$A:$A,0)),"NONE")</f>
        <v>Prostar Eagle</v>
      </c>
      <c r="R292" s="26">
        <f>(5-WEEKDAY(A292,2))+A292</f>
        <v>42559</v>
      </c>
      <c r="S292" s="172">
        <f>((5-WEEKDAY(A292,2))+A292)+7</f>
        <v>42566</v>
      </c>
      <c r="T292" s="150">
        <f>MONTH(A292)</f>
        <v>7</v>
      </c>
      <c r="U292" s="150">
        <f>YEAR(R292)</f>
        <v>2016</v>
      </c>
      <c r="Z292"/>
      <c r="AA292"/>
      <c r="AB292"/>
      <c r="AC292"/>
      <c r="AD292"/>
      <c r="AE292"/>
    </row>
    <row r="293" spans="1:31">
      <c r="A293" s="570">
        <v>42557</v>
      </c>
      <c r="B293" s="570" t="s">
        <v>3978</v>
      </c>
      <c r="C293" s="576" t="s">
        <v>3990</v>
      </c>
      <c r="D293" s="572">
        <v>11236465867</v>
      </c>
      <c r="E293" s="571" t="s">
        <v>3980</v>
      </c>
      <c r="F293" s="571" t="s">
        <v>4307</v>
      </c>
      <c r="G293" s="571" t="s">
        <v>4308</v>
      </c>
      <c r="H293" s="550"/>
      <c r="I293" s="576">
        <v>1</v>
      </c>
      <c r="J293" s="577">
        <v>10</v>
      </c>
      <c r="K293" s="577" t="s">
        <v>3983</v>
      </c>
      <c r="L293" s="573" t="s">
        <v>3984</v>
      </c>
      <c r="M293" s="572" t="s">
        <v>3985</v>
      </c>
      <c r="N293" s="578" t="str">
        <f>IFERROR(INDEX(EquipmentTBL!$H:$H,MATCH(Table5[[#This Row],[Unit'#]],EquipmentTBL!$A:$A,0)),"NONE")</f>
        <v>NONE</v>
      </c>
      <c r="O293" s="578" t="str">
        <f>IFERROR(INDEX(EquipmentTBL!$C:$C,MATCH(Table5[[#This Row],[Unit'#]],EquipmentTBL!$A:$A,0)),"NONE")</f>
        <v>NONE</v>
      </c>
      <c r="P293" s="578" t="str">
        <f>IFERROR(INDEX(EquipmentTBL!$B:$B,MATCH(Table5[[#This Row],[Unit'#]],EquipmentTBL!$A:$A,0)),"NONE")</f>
        <v>NONE</v>
      </c>
      <c r="Q293" s="578" t="str">
        <f>IFERROR(INDEX(EquipmentTBL!$D:$D,MATCH(Table5[[#This Row],[Unit'#]],EquipmentTBL!$A:$A,0)),"NONE")</f>
        <v>NONE</v>
      </c>
      <c r="R293" s="579">
        <f>(5-WEEKDAY(A293,2))+A293</f>
        <v>42559</v>
      </c>
      <c r="S293" s="556">
        <f>((5-WEEKDAY(A293,2))+A293)+7</f>
        <v>42566</v>
      </c>
      <c r="T293" s="574">
        <f>MONTH(A293)</f>
        <v>7</v>
      </c>
      <c r="U293" s="574">
        <f>YEAR(R293)</f>
        <v>2016</v>
      </c>
      <c r="Z293"/>
      <c r="AA293"/>
      <c r="AB293"/>
      <c r="AC293"/>
      <c r="AD293"/>
      <c r="AE293"/>
    </row>
    <row r="294" spans="1:31">
      <c r="A294" s="146">
        <v>42561</v>
      </c>
      <c r="B294" s="146" t="s">
        <v>3863</v>
      </c>
      <c r="C294" s="65" t="s">
        <v>4002</v>
      </c>
      <c r="D294" s="145">
        <v>76899236</v>
      </c>
      <c r="E294" s="298" t="s">
        <v>4006</v>
      </c>
      <c r="F294" s="298" t="s">
        <v>4309</v>
      </c>
      <c r="G294" s="298" t="s">
        <v>4066</v>
      </c>
      <c r="H294" s="15">
        <v>774800</v>
      </c>
      <c r="I294" s="65">
        <v>1</v>
      </c>
      <c r="J294" s="54">
        <v>18.52</v>
      </c>
      <c r="K294" s="54" t="s">
        <v>3983</v>
      </c>
      <c r="L294" s="59" t="s">
        <v>3839</v>
      </c>
      <c r="M294" s="145" t="s">
        <v>4310</v>
      </c>
      <c r="N294" s="86" t="str">
        <f>IFERROR(INDEX(EquipmentTBL!$H:$H,MATCH(Table5[[#This Row],[Unit'#]],EquipmentTBL!$A:$A,0)),"NONE")</f>
        <v>2HSCUAPR88C657099</v>
      </c>
      <c r="O294" s="86" t="str">
        <f>IFERROR(INDEX(EquipmentTBL!$C:$C,MATCH(Table5[[#This Row],[Unit'#]],EquipmentTBL!$A:$A,0)),"NONE")</f>
        <v>International</v>
      </c>
      <c r="P294" s="86">
        <f>IFERROR(INDEX(EquipmentTBL!$B:$B,MATCH(Table5[[#This Row],[Unit'#]],EquipmentTBL!$A:$A,0)),"NONE")</f>
        <v>2008</v>
      </c>
      <c r="Q294" s="86" t="str">
        <f>IFERROR(INDEX(EquipmentTBL!$D:$D,MATCH(Table5[[#This Row],[Unit'#]],EquipmentTBL!$A:$A,0)),"NONE")</f>
        <v>Prostar Eagle</v>
      </c>
      <c r="R294" s="26">
        <f>(5-WEEKDAY(A294,2))+A294</f>
        <v>42559</v>
      </c>
      <c r="S294" s="172">
        <f>((5-WEEKDAY(A294,2))+A294)+7</f>
        <v>42566</v>
      </c>
      <c r="T294" s="150">
        <f>MONTH(A294)</f>
        <v>7</v>
      </c>
      <c r="U294" s="150">
        <f>YEAR(R294)</f>
        <v>2016</v>
      </c>
      <c r="Z294"/>
      <c r="AA294"/>
      <c r="AB294"/>
      <c r="AC294"/>
      <c r="AD294"/>
      <c r="AE294"/>
    </row>
    <row r="295" spans="1:31">
      <c r="A295" s="146">
        <v>42564</v>
      </c>
      <c r="B295" s="146" t="s">
        <v>4311</v>
      </c>
      <c r="C295" s="65" t="s">
        <v>4002</v>
      </c>
      <c r="D295" s="145" t="s">
        <v>4312</v>
      </c>
      <c r="E295" s="298" t="s">
        <v>3980</v>
      </c>
      <c r="F295" s="298" t="s">
        <v>4004</v>
      </c>
      <c r="G295" s="298" t="s">
        <v>4291</v>
      </c>
      <c r="H295" s="15"/>
      <c r="I295" s="65">
        <v>1</v>
      </c>
      <c r="J295" s="54">
        <v>5.16</v>
      </c>
      <c r="K295" s="54" t="s">
        <v>3983</v>
      </c>
      <c r="L295" s="59" t="s">
        <v>3839</v>
      </c>
      <c r="M295" s="145" t="s">
        <v>4310</v>
      </c>
      <c r="N295" s="86" t="str">
        <f>IFERROR(INDEX(EquipmentTBL!$H:$H,MATCH(Table5[[#This Row],[Unit'#]],EquipmentTBL!$A:$A,0)),"NONE")</f>
        <v>NONE</v>
      </c>
      <c r="O295" s="86" t="str">
        <f>IFERROR(INDEX(EquipmentTBL!$C:$C,MATCH(Table5[[#This Row],[Unit'#]],EquipmentTBL!$A:$A,0)),"NONE")</f>
        <v>NONE</v>
      </c>
      <c r="P295" s="86" t="str">
        <f>IFERROR(INDEX(EquipmentTBL!$B:$B,MATCH(Table5[[#This Row],[Unit'#]],EquipmentTBL!$A:$A,0)),"NONE")</f>
        <v>NONE</v>
      </c>
      <c r="Q295" s="86" t="str">
        <f>IFERROR(INDEX(EquipmentTBL!$D:$D,MATCH(Table5[[#This Row],[Unit'#]],EquipmentTBL!$A:$A,0)),"NONE")</f>
        <v>NONE</v>
      </c>
      <c r="R295" s="26">
        <f>(5-WEEKDAY(A295,2))+A295</f>
        <v>42566</v>
      </c>
      <c r="S295" s="172">
        <f>((5-WEEKDAY(A295,2))+A295)+7</f>
        <v>42573</v>
      </c>
      <c r="T295" s="150">
        <f>MONTH(A295)</f>
        <v>7</v>
      </c>
      <c r="U295" s="150">
        <f>YEAR(R295)</f>
        <v>2016</v>
      </c>
      <c r="Z295"/>
      <c r="AA295"/>
      <c r="AB295"/>
      <c r="AC295"/>
      <c r="AD295"/>
      <c r="AE295"/>
    </row>
    <row r="296" spans="1:31">
      <c r="A296" s="146">
        <v>42565</v>
      </c>
      <c r="B296" s="146" t="s">
        <v>3978</v>
      </c>
      <c r="C296" s="65" t="s">
        <v>3979</v>
      </c>
      <c r="D296" s="145">
        <v>2111328</v>
      </c>
      <c r="E296" s="298" t="s">
        <v>3980</v>
      </c>
      <c r="F296" s="298" t="s">
        <v>4200</v>
      </c>
      <c r="G296" s="298" t="s">
        <v>4050</v>
      </c>
      <c r="H296" s="15"/>
      <c r="I296" s="571" t="s">
        <v>123</v>
      </c>
      <c r="J296" s="54">
        <v>34.950000000000003</v>
      </c>
      <c r="K296" s="54" t="s">
        <v>3983</v>
      </c>
      <c r="L296" s="59" t="s">
        <v>3984</v>
      </c>
      <c r="M296" s="145" t="s">
        <v>3985</v>
      </c>
      <c r="N296" s="86" t="str">
        <f>IFERROR(INDEX(EquipmentTBL!$H:$H,MATCH(Table5[[#This Row],[Unit'#]],EquipmentTBL!$A:$A,0)),"NONE")</f>
        <v>NONE</v>
      </c>
      <c r="O296" s="86" t="str">
        <f>IFERROR(INDEX(EquipmentTBL!$C:$C,MATCH(Table5[[#This Row],[Unit'#]],EquipmentTBL!$A:$A,0)),"NONE")</f>
        <v>NONE</v>
      </c>
      <c r="P296" s="86" t="str">
        <f>IFERROR(INDEX(EquipmentTBL!$B:$B,MATCH(Table5[[#This Row],[Unit'#]],EquipmentTBL!$A:$A,0)),"NONE")</f>
        <v>NONE</v>
      </c>
      <c r="Q296" s="86" t="str">
        <f>IFERROR(INDEX(EquipmentTBL!$D:$D,MATCH(Table5[[#This Row],[Unit'#]],EquipmentTBL!$A:$A,0)),"NONE")</f>
        <v>NONE</v>
      </c>
      <c r="R296" s="26">
        <f>(5-WEEKDAY(A296,2))+A296</f>
        <v>42566</v>
      </c>
      <c r="S296" s="172">
        <f>((5-WEEKDAY(A296,2))+A296)+7</f>
        <v>42573</v>
      </c>
      <c r="T296" s="150">
        <f>MONTH(A296)</f>
        <v>7</v>
      </c>
      <c r="U296" s="150">
        <f>YEAR(R296)</f>
        <v>2016</v>
      </c>
      <c r="Z296"/>
      <c r="AA296"/>
      <c r="AB296"/>
      <c r="AC296"/>
      <c r="AD296"/>
      <c r="AE296"/>
    </row>
    <row r="297" spans="1:31">
      <c r="A297" s="146">
        <v>42565</v>
      </c>
      <c r="B297" s="146" t="s">
        <v>3978</v>
      </c>
      <c r="C297" s="65" t="s">
        <v>3979</v>
      </c>
      <c r="D297" s="145"/>
      <c r="E297" s="298" t="s">
        <v>3980</v>
      </c>
      <c r="F297" s="298" t="s">
        <v>4197</v>
      </c>
      <c r="G297" s="298" t="s">
        <v>4052</v>
      </c>
      <c r="H297" s="15"/>
      <c r="I297" s="571" t="s">
        <v>123</v>
      </c>
      <c r="J297" s="54">
        <v>15</v>
      </c>
      <c r="K297" s="54" t="s">
        <v>3983</v>
      </c>
      <c r="L297" s="59" t="s">
        <v>3984</v>
      </c>
      <c r="M297" s="145" t="s">
        <v>3985</v>
      </c>
      <c r="N297" s="86" t="str">
        <f>IFERROR(INDEX(EquipmentTBL!$H:$H,MATCH(Table5[[#This Row],[Unit'#]],EquipmentTBL!$A:$A,0)),"NONE")</f>
        <v>NONE</v>
      </c>
      <c r="O297" s="86" t="str">
        <f>IFERROR(INDEX(EquipmentTBL!$C:$C,MATCH(Table5[[#This Row],[Unit'#]],EquipmentTBL!$A:$A,0)),"NONE")</f>
        <v>NONE</v>
      </c>
      <c r="P297" s="86" t="str">
        <f>IFERROR(INDEX(EquipmentTBL!$B:$B,MATCH(Table5[[#This Row],[Unit'#]],EquipmentTBL!$A:$A,0)),"NONE")</f>
        <v>NONE</v>
      </c>
      <c r="Q297" s="86" t="str">
        <f>IFERROR(INDEX(EquipmentTBL!$D:$D,MATCH(Table5[[#This Row],[Unit'#]],EquipmentTBL!$A:$A,0)),"NONE")</f>
        <v>NONE</v>
      </c>
      <c r="R297" s="26">
        <f>(5-WEEKDAY(A297,2))+A297</f>
        <v>42566</v>
      </c>
      <c r="S297" s="172">
        <f>((5-WEEKDAY(A297,2))+A297)+7</f>
        <v>42573</v>
      </c>
      <c r="T297" s="150">
        <f>MONTH(A297)</f>
        <v>7</v>
      </c>
      <c r="U297" s="150">
        <f>YEAR(R297)</f>
        <v>2016</v>
      </c>
      <c r="Z297"/>
      <c r="AA297"/>
      <c r="AB297"/>
      <c r="AC297"/>
      <c r="AD297"/>
      <c r="AE297"/>
    </row>
    <row r="298" spans="1:31">
      <c r="A298" s="146">
        <v>42565</v>
      </c>
      <c r="B298" s="146" t="s">
        <v>4001</v>
      </c>
      <c r="C298" s="65" t="s">
        <v>4002</v>
      </c>
      <c r="D298" s="145">
        <v>28228</v>
      </c>
      <c r="E298" s="298" t="s">
        <v>4028</v>
      </c>
      <c r="F298" s="298" t="s">
        <v>4029</v>
      </c>
      <c r="G298" s="298" t="s">
        <v>4686</v>
      </c>
      <c r="H298" s="15"/>
      <c r="I298" s="65">
        <v>1</v>
      </c>
      <c r="J298" s="54">
        <v>232.81</v>
      </c>
      <c r="K298" s="54" t="s">
        <v>3983</v>
      </c>
      <c r="L298" s="59" t="s">
        <v>4214</v>
      </c>
      <c r="M298" s="145" t="s">
        <v>3985</v>
      </c>
      <c r="N298" s="86" t="str">
        <f>IFERROR(INDEX(EquipmentTBL!$H:$H,MATCH(Table5[[#This Row],[Unit'#]],EquipmentTBL!$A:$A,0)),"NONE")</f>
        <v>1JJV532V3BL370658</v>
      </c>
      <c r="O298" s="86" t="str">
        <f>IFERROR(INDEX(EquipmentTBL!$C:$C,MATCH(Table5[[#This Row],[Unit'#]],EquipmentTBL!$A:$A,0)),"NONE")</f>
        <v>Wabash</v>
      </c>
      <c r="P298" s="86">
        <f>IFERROR(INDEX(EquipmentTBL!$B:$B,MATCH(Table5[[#This Row],[Unit'#]],EquipmentTBL!$A:$A,0)),"NONE")</f>
        <v>2011</v>
      </c>
      <c r="Q298" s="86" t="str">
        <f>IFERROR(INDEX(EquipmentTBL!$D:$D,MATCH(Table5[[#This Row],[Unit'#]],EquipmentTBL!$A:$A,0)),"NONE")</f>
        <v>DryVan</v>
      </c>
      <c r="R298" s="26">
        <f>(5-WEEKDAY(A298,2))+A298</f>
        <v>42566</v>
      </c>
      <c r="S298" s="172">
        <f>((5-WEEKDAY(A298,2))+A298)+7</f>
        <v>42573</v>
      </c>
      <c r="T298" s="150">
        <f>MONTH(A298)</f>
        <v>7</v>
      </c>
      <c r="U298" s="150">
        <f>YEAR(R298)</f>
        <v>2016</v>
      </c>
      <c r="Z298"/>
      <c r="AA298"/>
      <c r="AB298"/>
      <c r="AC298"/>
      <c r="AD298"/>
      <c r="AE298"/>
    </row>
    <row r="299" spans="1:31">
      <c r="A299" s="146">
        <v>42566</v>
      </c>
      <c r="B299" s="146" t="s">
        <v>4427</v>
      </c>
      <c r="C299" s="65" t="s">
        <v>4002</v>
      </c>
      <c r="D299" s="145">
        <v>28264</v>
      </c>
      <c r="E299" s="298" t="s">
        <v>4028</v>
      </c>
      <c r="F299" s="298" t="s">
        <v>4695</v>
      </c>
      <c r="G299" s="298" t="s">
        <v>4686</v>
      </c>
      <c r="H299" s="15"/>
      <c r="I299" s="65">
        <v>1</v>
      </c>
      <c r="J299" s="54">
        <v>145.96</v>
      </c>
      <c r="K299" s="54" t="s">
        <v>3983</v>
      </c>
      <c r="L299" s="59" t="s">
        <v>4214</v>
      </c>
      <c r="M299" s="145" t="s">
        <v>3985</v>
      </c>
      <c r="N299" s="86" t="str">
        <f>IFERROR(INDEX(EquipmentTBL!$H:$H,MATCH(Table5[[#This Row],[Unit'#]],EquipmentTBL!$A:$A,0)),"NONE")</f>
        <v>NONE</v>
      </c>
      <c r="O299" s="86" t="str">
        <f>IFERROR(INDEX(EquipmentTBL!$C:$C,MATCH(Table5[[#This Row],[Unit'#]],EquipmentTBL!$A:$A,0)),"NONE")</f>
        <v>NONE</v>
      </c>
      <c r="P299" s="86" t="str">
        <f>IFERROR(INDEX(EquipmentTBL!$B:$B,MATCH(Table5[[#This Row],[Unit'#]],EquipmentTBL!$A:$A,0)),"NONE")</f>
        <v>NONE</v>
      </c>
      <c r="Q299" s="86" t="str">
        <f>IFERROR(INDEX(EquipmentTBL!$D:$D,MATCH(Table5[[#This Row],[Unit'#]],EquipmentTBL!$A:$A,0)),"NONE")</f>
        <v>NONE</v>
      </c>
      <c r="R299" s="26">
        <f>(5-WEEKDAY(A299,2))+A299</f>
        <v>42566</v>
      </c>
      <c r="S299" s="172">
        <f>((5-WEEKDAY(A299,2))+A299)+7</f>
        <v>42573</v>
      </c>
      <c r="T299" s="150">
        <f>MONTH(A299)</f>
        <v>7</v>
      </c>
      <c r="U299" s="150">
        <f>YEAR(R299)</f>
        <v>2016</v>
      </c>
      <c r="Z299"/>
      <c r="AA299"/>
      <c r="AB299"/>
      <c r="AC299"/>
      <c r="AD299"/>
      <c r="AE299"/>
    </row>
    <row r="300" spans="1:31">
      <c r="A300" s="146">
        <v>42567</v>
      </c>
      <c r="B300" s="146" t="s">
        <v>3956</v>
      </c>
      <c r="C300" s="65" t="s">
        <v>3979</v>
      </c>
      <c r="D300" s="145">
        <v>387317</v>
      </c>
      <c r="E300" s="298" t="s">
        <v>3980</v>
      </c>
      <c r="F300" s="298" t="s">
        <v>4023</v>
      </c>
      <c r="G300" s="298" t="s">
        <v>4314</v>
      </c>
      <c r="H300" s="15"/>
      <c r="I300" s="65">
        <v>1</v>
      </c>
      <c r="J300" s="54">
        <v>10</v>
      </c>
      <c r="K300" s="54" t="s">
        <v>3983</v>
      </c>
      <c r="L300" s="59" t="s">
        <v>4085</v>
      </c>
      <c r="M300" s="145" t="s">
        <v>3985</v>
      </c>
      <c r="N300" s="86">
        <f>IFERROR(INDEX(EquipmentTBL!$H:$H,MATCH(Table5[[#This Row],[Unit'#]],EquipmentTBL!$A:$A,0)),"NONE")</f>
        <v>0</v>
      </c>
      <c r="O300" s="86">
        <f>IFERROR(INDEX(EquipmentTBL!$C:$C,MATCH(Table5[[#This Row],[Unit'#]],EquipmentTBL!$A:$A,0)),"NONE")</f>
        <v>0</v>
      </c>
      <c r="P300" s="86">
        <f>IFERROR(INDEX(EquipmentTBL!$B:$B,MATCH(Table5[[#This Row],[Unit'#]],EquipmentTBL!$A:$A,0)),"NONE")</f>
        <v>0</v>
      </c>
      <c r="Q300" s="86">
        <f>IFERROR(INDEX(EquipmentTBL!$D:$D,MATCH(Table5[[#This Row],[Unit'#]],EquipmentTBL!$A:$A,0)),"NONE")</f>
        <v>0</v>
      </c>
      <c r="R300" s="26">
        <f>(5-WEEKDAY(A300,2))+A300</f>
        <v>42566</v>
      </c>
      <c r="S300" s="172">
        <f>((5-WEEKDAY(A300,2))+A300)+7</f>
        <v>42573</v>
      </c>
      <c r="T300" s="150">
        <f>MONTH(A300)</f>
        <v>7</v>
      </c>
      <c r="U300" s="150">
        <f>YEAR(R300)</f>
        <v>2016</v>
      </c>
      <c r="Z300"/>
      <c r="AA300"/>
      <c r="AB300"/>
      <c r="AC300"/>
      <c r="AD300"/>
      <c r="AE300"/>
    </row>
    <row r="301" spans="1:31">
      <c r="A301" s="146">
        <v>42568</v>
      </c>
      <c r="B301" s="146" t="s">
        <v>4030</v>
      </c>
      <c r="C301" s="65" t="s">
        <v>4002</v>
      </c>
      <c r="D301" s="145">
        <v>1721035728</v>
      </c>
      <c r="E301" s="298" t="s">
        <v>4028</v>
      </c>
      <c r="F301" s="298" t="s">
        <v>4687</v>
      </c>
      <c r="G301" s="298" t="s">
        <v>4688</v>
      </c>
      <c r="H301" s="15"/>
      <c r="I301" s="65">
        <v>1</v>
      </c>
      <c r="J301" s="54">
        <v>42.09</v>
      </c>
      <c r="K301" s="54" t="s">
        <v>3983</v>
      </c>
      <c r="L301" s="59" t="s">
        <v>3984</v>
      </c>
      <c r="M301" s="145" t="s">
        <v>3985</v>
      </c>
      <c r="N301" s="86" t="str">
        <f>IFERROR(INDEX(EquipmentTBL!$H:$H,MATCH(Table5[[#This Row],[Unit'#]],EquipmentTBL!$A:$A,0)),"NONE")</f>
        <v>1GRAA0625XB130354</v>
      </c>
      <c r="O301" s="86" t="str">
        <f>IFERROR(INDEX(EquipmentTBL!$C:$C,MATCH(Table5[[#This Row],[Unit'#]],EquipmentTBL!$A:$A,0)),"NONE")</f>
        <v>Grate Dane</v>
      </c>
      <c r="P301" s="86">
        <f>IFERROR(INDEX(EquipmentTBL!$B:$B,MATCH(Table5[[#This Row],[Unit'#]],EquipmentTBL!$A:$A,0)),"NONE")</f>
        <v>1999</v>
      </c>
      <c r="Q301" s="86" t="str">
        <f>IFERROR(INDEX(EquipmentTBL!$D:$D,MATCH(Table5[[#This Row],[Unit'#]],EquipmentTBL!$A:$A,0)),"NONE")</f>
        <v>DryVan</v>
      </c>
      <c r="R301" s="26">
        <f>(5-WEEKDAY(A301,2))+A301</f>
        <v>42566</v>
      </c>
      <c r="S301" s="172">
        <f>((5-WEEKDAY(A301,2))+A301)+7</f>
        <v>42573</v>
      </c>
      <c r="T301" s="150">
        <f>MONTH(A301)</f>
        <v>7</v>
      </c>
      <c r="U301" s="150">
        <f>YEAR(R301)</f>
        <v>2016</v>
      </c>
      <c r="Z301"/>
      <c r="AA301"/>
      <c r="AB301"/>
      <c r="AC301"/>
      <c r="AD301"/>
      <c r="AE301"/>
    </row>
    <row r="302" spans="1:31">
      <c r="A302" s="146">
        <v>42568</v>
      </c>
      <c r="B302" s="146" t="s">
        <v>3863</v>
      </c>
      <c r="C302" s="65" t="s">
        <v>4002</v>
      </c>
      <c r="D302" s="145">
        <v>3204</v>
      </c>
      <c r="E302" s="298" t="s">
        <v>3980</v>
      </c>
      <c r="F302" s="298" t="s">
        <v>4010</v>
      </c>
      <c r="G302" s="298" t="s">
        <v>4689</v>
      </c>
      <c r="H302" s="15"/>
      <c r="I302" s="65">
        <v>1</v>
      </c>
      <c r="J302" s="54">
        <v>30</v>
      </c>
      <c r="K302" s="54" t="s">
        <v>3983</v>
      </c>
      <c r="L302" s="59" t="s">
        <v>3984</v>
      </c>
      <c r="M302" s="145" t="s">
        <v>3985</v>
      </c>
      <c r="N302" s="86" t="str">
        <f>IFERROR(INDEX(EquipmentTBL!$H:$H,MATCH(Table5[[#This Row],[Unit'#]],EquipmentTBL!$A:$A,0)),"NONE")</f>
        <v>2HSCUAPR88C657099</v>
      </c>
      <c r="O302" s="86" t="str">
        <f>IFERROR(INDEX(EquipmentTBL!$C:$C,MATCH(Table5[[#This Row],[Unit'#]],EquipmentTBL!$A:$A,0)),"NONE")</f>
        <v>International</v>
      </c>
      <c r="P302" s="86">
        <f>IFERROR(INDEX(EquipmentTBL!$B:$B,MATCH(Table5[[#This Row],[Unit'#]],EquipmentTBL!$A:$A,0)),"NONE")</f>
        <v>2008</v>
      </c>
      <c r="Q302" s="86" t="str">
        <f>IFERROR(INDEX(EquipmentTBL!$D:$D,MATCH(Table5[[#This Row],[Unit'#]],EquipmentTBL!$A:$A,0)),"NONE")</f>
        <v>Prostar Eagle</v>
      </c>
      <c r="R302" s="26">
        <f>(5-WEEKDAY(A302,2))+A302</f>
        <v>42566</v>
      </c>
      <c r="S302" s="172">
        <f>((5-WEEKDAY(A302,2))+A302)+7</f>
        <v>42573</v>
      </c>
      <c r="T302" s="150">
        <f>MONTH(A302)</f>
        <v>7</v>
      </c>
      <c r="U302" s="150">
        <f>YEAR(R302)</f>
        <v>2016</v>
      </c>
      <c r="Z302"/>
      <c r="AA302"/>
      <c r="AB302"/>
      <c r="AC302"/>
      <c r="AD302"/>
      <c r="AE302"/>
    </row>
    <row r="303" spans="1:31">
      <c r="A303" s="146">
        <v>42568</v>
      </c>
      <c r="B303" s="146" t="s">
        <v>3978</v>
      </c>
      <c r="C303" s="65" t="s">
        <v>3990</v>
      </c>
      <c r="D303" s="145"/>
      <c r="E303" s="298" t="s">
        <v>3980</v>
      </c>
      <c r="F303" s="298" t="s">
        <v>4696</v>
      </c>
      <c r="G303" s="298" t="s">
        <v>4026</v>
      </c>
      <c r="H303" s="15"/>
      <c r="I303" s="65">
        <v>1</v>
      </c>
      <c r="J303" s="54">
        <v>3.48</v>
      </c>
      <c r="K303" s="54" t="s">
        <v>3983</v>
      </c>
      <c r="L303" s="59" t="s">
        <v>3839</v>
      </c>
      <c r="M303" s="145" t="s">
        <v>4310</v>
      </c>
      <c r="N303" s="86" t="str">
        <f>IFERROR(INDEX(EquipmentTBL!$H:$H,MATCH(Table5[[#This Row],[Unit'#]],EquipmentTBL!$A:$A,0)),"NONE")</f>
        <v>NONE</v>
      </c>
      <c r="O303" s="86" t="str">
        <f>IFERROR(INDEX(EquipmentTBL!$C:$C,MATCH(Table5[[#This Row],[Unit'#]],EquipmentTBL!$A:$A,0)),"NONE")</f>
        <v>NONE</v>
      </c>
      <c r="P303" s="86" t="str">
        <f>IFERROR(INDEX(EquipmentTBL!$B:$B,MATCH(Table5[[#This Row],[Unit'#]],EquipmentTBL!$A:$A,0)),"NONE")</f>
        <v>NONE</v>
      </c>
      <c r="Q303" s="86" t="str">
        <f>IFERROR(INDEX(EquipmentTBL!$D:$D,MATCH(Table5[[#This Row],[Unit'#]],EquipmentTBL!$A:$A,0)),"NONE")</f>
        <v>NONE</v>
      </c>
      <c r="R303" s="26">
        <f>(5-WEEKDAY(A303,2))+A303</f>
        <v>42566</v>
      </c>
      <c r="S303" s="172">
        <f>((5-WEEKDAY(A303,2))+A303)+7</f>
        <v>42573</v>
      </c>
      <c r="T303" s="150">
        <f>MONTH(A303)</f>
        <v>7</v>
      </c>
      <c r="U303" s="150">
        <f>YEAR(R303)</f>
        <v>2016</v>
      </c>
      <c r="Z303"/>
      <c r="AA303"/>
      <c r="AB303"/>
      <c r="AC303"/>
      <c r="AD303"/>
      <c r="AE303"/>
    </row>
    <row r="304" spans="1:31">
      <c r="A304" s="146">
        <v>42568</v>
      </c>
      <c r="B304" s="146" t="s">
        <v>3978</v>
      </c>
      <c r="C304" s="65" t="s">
        <v>3990</v>
      </c>
      <c r="D304" s="145">
        <v>53722</v>
      </c>
      <c r="E304" s="298" t="s">
        <v>3980</v>
      </c>
      <c r="F304" s="298" t="s">
        <v>4709</v>
      </c>
      <c r="G304" s="298" t="s">
        <v>4710</v>
      </c>
      <c r="H304" s="15"/>
      <c r="I304" s="65">
        <v>1</v>
      </c>
      <c r="J304" s="54">
        <v>14.03</v>
      </c>
      <c r="K304" s="54" t="s">
        <v>3983</v>
      </c>
      <c r="L304" s="59" t="s">
        <v>3839</v>
      </c>
      <c r="M304" s="145" t="s">
        <v>3985</v>
      </c>
      <c r="N304" s="86" t="str">
        <f>IFERROR(INDEX(EquipmentTBL!$H:$H,MATCH(Table5[[#This Row],[Unit'#]],EquipmentTBL!$A:$A,0)),"NONE")</f>
        <v>NONE</v>
      </c>
      <c r="O304" s="86" t="str">
        <f>IFERROR(INDEX(EquipmentTBL!$C:$C,MATCH(Table5[[#This Row],[Unit'#]],EquipmentTBL!$A:$A,0)),"NONE")</f>
        <v>NONE</v>
      </c>
      <c r="P304" s="86" t="str">
        <f>IFERROR(INDEX(EquipmentTBL!$B:$B,MATCH(Table5[[#This Row],[Unit'#]],EquipmentTBL!$A:$A,0)),"NONE")</f>
        <v>NONE</v>
      </c>
      <c r="Q304" s="86" t="str">
        <f>IFERROR(INDEX(EquipmentTBL!$D:$D,MATCH(Table5[[#This Row],[Unit'#]],EquipmentTBL!$A:$A,0)),"NONE")</f>
        <v>NONE</v>
      </c>
      <c r="R304" s="26">
        <f>(5-WEEKDAY(A304,2))+A304</f>
        <v>42566</v>
      </c>
      <c r="S304" s="172">
        <f>((5-WEEKDAY(A304,2))+A304)+7</f>
        <v>42573</v>
      </c>
      <c r="T304" s="150">
        <f>MONTH(A304)</f>
        <v>7</v>
      </c>
      <c r="U304" s="150">
        <f>YEAR(R304)</f>
        <v>2016</v>
      </c>
      <c r="Z304"/>
      <c r="AA304"/>
      <c r="AB304"/>
      <c r="AC304"/>
      <c r="AD304"/>
      <c r="AE304"/>
    </row>
    <row r="305" spans="1:31">
      <c r="A305" s="146">
        <v>42570</v>
      </c>
      <c r="B305" s="146" t="s">
        <v>3863</v>
      </c>
      <c r="C305" s="65" t="s">
        <v>4002</v>
      </c>
      <c r="D305" s="145">
        <v>16700</v>
      </c>
      <c r="E305" s="298" t="s">
        <v>4028</v>
      </c>
      <c r="F305" s="298" t="s">
        <v>4704</v>
      </c>
      <c r="G305" s="298" t="s">
        <v>4705</v>
      </c>
      <c r="H305" s="15"/>
      <c r="I305" s="65">
        <v>1</v>
      </c>
      <c r="J305" s="54">
        <v>958.12</v>
      </c>
      <c r="K305" s="54" t="s">
        <v>3983</v>
      </c>
      <c r="L305" s="59" t="s">
        <v>4214</v>
      </c>
      <c r="M305" s="145" t="s">
        <v>3985</v>
      </c>
      <c r="N305" s="86" t="str">
        <f>IFERROR(INDEX(EquipmentTBL!$H:$H,MATCH(Table5[[#This Row],[Unit'#]],EquipmentTBL!$A:$A,0)),"NONE")</f>
        <v>2HSCUAPR88C657099</v>
      </c>
      <c r="O305" s="86" t="str">
        <f>IFERROR(INDEX(EquipmentTBL!$C:$C,MATCH(Table5[[#This Row],[Unit'#]],EquipmentTBL!$A:$A,0)),"NONE")</f>
        <v>International</v>
      </c>
      <c r="P305" s="86">
        <f>IFERROR(INDEX(EquipmentTBL!$B:$B,MATCH(Table5[[#This Row],[Unit'#]],EquipmentTBL!$A:$A,0)),"NONE")</f>
        <v>2008</v>
      </c>
      <c r="Q305" s="86" t="str">
        <f>IFERROR(INDEX(EquipmentTBL!$D:$D,MATCH(Table5[[#This Row],[Unit'#]],EquipmentTBL!$A:$A,0)),"NONE")</f>
        <v>Prostar Eagle</v>
      </c>
      <c r="R305" s="26">
        <f>(5-WEEKDAY(A305,2))+A305</f>
        <v>42573</v>
      </c>
      <c r="S305" s="172">
        <f>((5-WEEKDAY(A305,2))+A305)+7</f>
        <v>42580</v>
      </c>
      <c r="T305" s="150">
        <f>MONTH(A305)</f>
        <v>7</v>
      </c>
      <c r="U305" s="150">
        <f>YEAR(R305)</f>
        <v>2016</v>
      </c>
      <c r="Z305"/>
      <c r="AA305"/>
      <c r="AB305"/>
      <c r="AC305"/>
      <c r="AD305"/>
      <c r="AE305"/>
    </row>
    <row r="306" spans="1:31">
      <c r="A306" s="146">
        <v>42570</v>
      </c>
      <c r="B306" s="146" t="s">
        <v>3863</v>
      </c>
      <c r="C306" s="65" t="s">
        <v>4002</v>
      </c>
      <c r="D306" s="145" t="s">
        <v>4706</v>
      </c>
      <c r="E306" s="298" t="s">
        <v>4028</v>
      </c>
      <c r="F306" s="298" t="s">
        <v>4707</v>
      </c>
      <c r="G306" s="298" t="s">
        <v>4708</v>
      </c>
      <c r="H306" s="15"/>
      <c r="I306" s="65">
        <v>1</v>
      </c>
      <c r="J306" s="54">
        <v>42.18</v>
      </c>
      <c r="K306" s="54" t="s">
        <v>3983</v>
      </c>
      <c r="L306" s="59" t="s">
        <v>4214</v>
      </c>
      <c r="M306" s="145" t="s">
        <v>3985</v>
      </c>
      <c r="N306" s="86" t="str">
        <f>IFERROR(INDEX(EquipmentTBL!$H:$H,MATCH(Table5[[#This Row],[Unit'#]],EquipmentTBL!$A:$A,0)),"NONE")</f>
        <v>2HSCUAPR88C657099</v>
      </c>
      <c r="O306" s="86" t="str">
        <f>IFERROR(INDEX(EquipmentTBL!$C:$C,MATCH(Table5[[#This Row],[Unit'#]],EquipmentTBL!$A:$A,0)),"NONE")</f>
        <v>International</v>
      </c>
      <c r="P306" s="86">
        <f>IFERROR(INDEX(EquipmentTBL!$B:$B,MATCH(Table5[[#This Row],[Unit'#]],EquipmentTBL!$A:$A,0)),"NONE")</f>
        <v>2008</v>
      </c>
      <c r="Q306" s="86" t="str">
        <f>IFERROR(INDEX(EquipmentTBL!$D:$D,MATCH(Table5[[#This Row],[Unit'#]],EquipmentTBL!$A:$A,0)),"NONE")</f>
        <v>Prostar Eagle</v>
      </c>
      <c r="R306" s="26">
        <f>(5-WEEKDAY(A306,2))+A306</f>
        <v>42573</v>
      </c>
      <c r="S306" s="172">
        <f>((5-WEEKDAY(A306,2))+A306)+7</f>
        <v>42580</v>
      </c>
      <c r="T306" s="150">
        <f>MONTH(A306)</f>
        <v>7</v>
      </c>
      <c r="U306" s="150">
        <f>YEAR(R306)</f>
        <v>2016</v>
      </c>
      <c r="Z306"/>
      <c r="AA306"/>
      <c r="AB306"/>
      <c r="AC306"/>
      <c r="AD306"/>
      <c r="AE306"/>
    </row>
    <row r="307" spans="1:31">
      <c r="A307" s="146">
        <v>42571</v>
      </c>
      <c r="B307" s="146" t="s">
        <v>3863</v>
      </c>
      <c r="C307" s="65" t="s">
        <v>4002</v>
      </c>
      <c r="D307" s="145" t="s">
        <v>4697</v>
      </c>
      <c r="E307" s="298" t="s">
        <v>4028</v>
      </c>
      <c r="F307" s="298" t="s">
        <v>4703</v>
      </c>
      <c r="G307" s="298" t="s">
        <v>4242</v>
      </c>
      <c r="H307" s="15"/>
      <c r="I307" s="65">
        <v>1</v>
      </c>
      <c r="J307" s="54">
        <v>706</v>
      </c>
      <c r="K307" s="54" t="s">
        <v>3983</v>
      </c>
      <c r="L307" s="59" t="s">
        <v>4214</v>
      </c>
      <c r="M307" s="145" t="s">
        <v>3985</v>
      </c>
      <c r="N307" s="86" t="str">
        <f>IFERROR(INDEX(EquipmentTBL!$H:$H,MATCH(Table5[[#This Row],[Unit'#]],EquipmentTBL!$A:$A,0)),"NONE")</f>
        <v>2HSCUAPR88C657099</v>
      </c>
      <c r="O307" s="86" t="str">
        <f>IFERROR(INDEX(EquipmentTBL!$C:$C,MATCH(Table5[[#This Row],[Unit'#]],EquipmentTBL!$A:$A,0)),"NONE")</f>
        <v>International</v>
      </c>
      <c r="P307" s="86">
        <f>IFERROR(INDEX(EquipmentTBL!$B:$B,MATCH(Table5[[#This Row],[Unit'#]],EquipmentTBL!$A:$A,0)),"NONE")</f>
        <v>2008</v>
      </c>
      <c r="Q307" s="86" t="str">
        <f>IFERROR(INDEX(EquipmentTBL!$D:$D,MATCH(Table5[[#This Row],[Unit'#]],EquipmentTBL!$A:$A,0)),"NONE")</f>
        <v>Prostar Eagle</v>
      </c>
      <c r="R307" s="26">
        <f>(5-WEEKDAY(A307,2))+A307</f>
        <v>42573</v>
      </c>
      <c r="S307" s="172">
        <f>((5-WEEKDAY(A307,2))+A307)+7</f>
        <v>42580</v>
      </c>
      <c r="T307" s="150">
        <f>MONTH(A307)</f>
        <v>7</v>
      </c>
      <c r="U307" s="150">
        <f>YEAR(R307)</f>
        <v>2016</v>
      </c>
      <c r="Z307"/>
      <c r="AA307"/>
      <c r="AB307"/>
      <c r="AC307"/>
      <c r="AD307"/>
      <c r="AE307"/>
    </row>
    <row r="308" spans="1:31">
      <c r="A308" s="146">
        <v>42571</v>
      </c>
      <c r="B308" s="146" t="s">
        <v>4001</v>
      </c>
      <c r="C308" s="65" t="s">
        <v>4002</v>
      </c>
      <c r="D308" s="145" t="s">
        <v>4697</v>
      </c>
      <c r="E308" s="298" t="s">
        <v>4028</v>
      </c>
      <c r="F308" s="298" t="s">
        <v>4698</v>
      </c>
      <c r="G308" s="298" t="s">
        <v>4242</v>
      </c>
      <c r="H308" s="15"/>
      <c r="I308" s="65">
        <v>1</v>
      </c>
      <c r="J308" s="54">
        <v>70</v>
      </c>
      <c r="K308" s="54" t="s">
        <v>3983</v>
      </c>
      <c r="L308" s="59" t="s">
        <v>4214</v>
      </c>
      <c r="M308" s="145" t="s">
        <v>3985</v>
      </c>
      <c r="N308" s="86" t="str">
        <f>IFERROR(INDEX(EquipmentTBL!$H:$H,MATCH(Table5[[#This Row],[Unit'#]],EquipmentTBL!$A:$A,0)),"NONE")</f>
        <v>1JJV532V3BL370658</v>
      </c>
      <c r="O308" s="86" t="str">
        <f>IFERROR(INDEX(EquipmentTBL!$C:$C,MATCH(Table5[[#This Row],[Unit'#]],EquipmentTBL!$A:$A,0)),"NONE")</f>
        <v>Wabash</v>
      </c>
      <c r="P308" s="86">
        <f>IFERROR(INDEX(EquipmentTBL!$B:$B,MATCH(Table5[[#This Row],[Unit'#]],EquipmentTBL!$A:$A,0)),"NONE")</f>
        <v>2011</v>
      </c>
      <c r="Q308" s="86" t="str">
        <f>IFERROR(INDEX(EquipmentTBL!$D:$D,MATCH(Table5[[#This Row],[Unit'#]],EquipmentTBL!$A:$A,0)),"NONE")</f>
        <v>DryVan</v>
      </c>
      <c r="R308" s="26">
        <f>(5-WEEKDAY(A308,2))+A308</f>
        <v>42573</v>
      </c>
      <c r="S308" s="172">
        <f>((5-WEEKDAY(A308,2))+A308)+7</f>
        <v>42580</v>
      </c>
      <c r="T308" s="150">
        <f>MONTH(A308)</f>
        <v>7</v>
      </c>
      <c r="U308" s="150">
        <f>YEAR(R308)</f>
        <v>2016</v>
      </c>
      <c r="Z308"/>
      <c r="AA308"/>
      <c r="AB308"/>
      <c r="AC308"/>
      <c r="AD308"/>
      <c r="AE308"/>
    </row>
    <row r="309" spans="1:31">
      <c r="A309" s="146">
        <v>42572</v>
      </c>
      <c r="B309" s="146" t="s">
        <v>3863</v>
      </c>
      <c r="C309" s="65" t="s">
        <v>4002</v>
      </c>
      <c r="D309" s="145" t="s">
        <v>4690</v>
      </c>
      <c r="E309" s="298" t="s">
        <v>4028</v>
      </c>
      <c r="F309" s="298" t="s">
        <v>4691</v>
      </c>
      <c r="G309" s="298" t="s">
        <v>4692</v>
      </c>
      <c r="H309" s="15"/>
      <c r="I309" s="65">
        <v>6</v>
      </c>
      <c r="J309" s="54">
        <v>78.55</v>
      </c>
      <c r="K309" s="54" t="s">
        <v>3983</v>
      </c>
      <c r="L309" s="59" t="s">
        <v>3984</v>
      </c>
      <c r="M309" s="145" t="s">
        <v>3985</v>
      </c>
      <c r="N309" s="86" t="str">
        <f>IFERROR(INDEX(EquipmentTBL!$H:$H,MATCH(Table5[[#This Row],[Unit'#]],EquipmentTBL!$A:$A,0)),"NONE")</f>
        <v>2HSCUAPR88C657099</v>
      </c>
      <c r="O309" s="86" t="str">
        <f>IFERROR(INDEX(EquipmentTBL!$C:$C,MATCH(Table5[[#This Row],[Unit'#]],EquipmentTBL!$A:$A,0)),"NONE")</f>
        <v>International</v>
      </c>
      <c r="P309" s="86">
        <f>IFERROR(INDEX(EquipmentTBL!$B:$B,MATCH(Table5[[#This Row],[Unit'#]],EquipmentTBL!$A:$A,0)),"NONE")</f>
        <v>2008</v>
      </c>
      <c r="Q309" s="86" t="str">
        <f>IFERROR(INDEX(EquipmentTBL!$D:$D,MATCH(Table5[[#This Row],[Unit'#]],EquipmentTBL!$A:$A,0)),"NONE")</f>
        <v>Prostar Eagle</v>
      </c>
      <c r="R309" s="26">
        <f>(5-WEEKDAY(A309,2))+A309</f>
        <v>42573</v>
      </c>
      <c r="S309" s="172">
        <f>((5-WEEKDAY(A309,2))+A309)+7</f>
        <v>42580</v>
      </c>
      <c r="T309" s="150">
        <f>MONTH(A309)</f>
        <v>7</v>
      </c>
      <c r="U309" s="150">
        <f>YEAR(R309)</f>
        <v>2016</v>
      </c>
      <c r="Z309"/>
      <c r="AA309"/>
      <c r="AB309"/>
      <c r="AC309"/>
      <c r="AD309"/>
      <c r="AE309"/>
    </row>
    <row r="310" spans="1:31">
      <c r="A310" s="146">
        <v>42572</v>
      </c>
      <c r="B310" s="146" t="s">
        <v>3863</v>
      </c>
      <c r="C310" s="65" t="s">
        <v>4002</v>
      </c>
      <c r="D310" s="145"/>
      <c r="E310" s="298" t="s">
        <v>4028</v>
      </c>
      <c r="F310" s="298" t="s">
        <v>4699</v>
      </c>
      <c r="G310" s="298" t="s">
        <v>4700</v>
      </c>
      <c r="H310" s="15"/>
      <c r="I310" s="65">
        <v>2</v>
      </c>
      <c r="J310" s="54">
        <v>13.95</v>
      </c>
      <c r="K310" s="54" t="s">
        <v>3983</v>
      </c>
      <c r="L310" s="59" t="s">
        <v>4214</v>
      </c>
      <c r="M310" s="145" t="s">
        <v>3985</v>
      </c>
      <c r="N310" s="86" t="str">
        <f>IFERROR(INDEX(EquipmentTBL!$H:$H,MATCH(Table5[[#This Row],[Unit'#]],EquipmentTBL!$A:$A,0)),"NONE")</f>
        <v>2HSCUAPR88C657099</v>
      </c>
      <c r="O310" s="86" t="str">
        <f>IFERROR(INDEX(EquipmentTBL!$C:$C,MATCH(Table5[[#This Row],[Unit'#]],EquipmentTBL!$A:$A,0)),"NONE")</f>
        <v>International</v>
      </c>
      <c r="P310" s="86">
        <f>IFERROR(INDEX(EquipmentTBL!$B:$B,MATCH(Table5[[#This Row],[Unit'#]],EquipmentTBL!$A:$A,0)),"NONE")</f>
        <v>2008</v>
      </c>
      <c r="Q310" s="86" t="str">
        <f>IFERROR(INDEX(EquipmentTBL!$D:$D,MATCH(Table5[[#This Row],[Unit'#]],EquipmentTBL!$A:$A,0)),"NONE")</f>
        <v>Prostar Eagle</v>
      </c>
      <c r="R310" s="26">
        <f>(5-WEEKDAY(A310,2))+A310</f>
        <v>42573</v>
      </c>
      <c r="S310" s="172">
        <f>((5-WEEKDAY(A310,2))+A310)+7</f>
        <v>42580</v>
      </c>
      <c r="T310" s="150">
        <f>MONTH(A310)</f>
        <v>7</v>
      </c>
      <c r="U310" s="150">
        <f>YEAR(R310)</f>
        <v>2016</v>
      </c>
      <c r="Z310"/>
      <c r="AA310"/>
      <c r="AB310"/>
      <c r="AC310"/>
      <c r="AD310"/>
      <c r="AE310"/>
    </row>
    <row r="311" spans="1:31">
      <c r="A311" s="146">
        <v>42572</v>
      </c>
      <c r="B311" s="146" t="s">
        <v>3863</v>
      </c>
      <c r="C311" s="65" t="s">
        <v>4002</v>
      </c>
      <c r="D311" s="145" t="s">
        <v>4701</v>
      </c>
      <c r="E311" s="298" t="s">
        <v>4028</v>
      </c>
      <c r="F311" s="298" t="s">
        <v>4702</v>
      </c>
      <c r="G311" s="298" t="s">
        <v>4291</v>
      </c>
      <c r="H311" s="15"/>
      <c r="I311" s="65">
        <v>1</v>
      </c>
      <c r="J311" s="54">
        <v>18</v>
      </c>
      <c r="K311" s="54" t="s">
        <v>3983</v>
      </c>
      <c r="L311" s="59" t="s">
        <v>4214</v>
      </c>
      <c r="M311" s="145" t="s">
        <v>3985</v>
      </c>
      <c r="N311" s="86" t="str">
        <f>IFERROR(INDEX(EquipmentTBL!$H:$H,MATCH(Table5[[#This Row],[Unit'#]],EquipmentTBL!$A:$A,0)),"NONE")</f>
        <v>2HSCUAPR88C657099</v>
      </c>
      <c r="O311" s="86" t="str">
        <f>IFERROR(INDEX(EquipmentTBL!$C:$C,MATCH(Table5[[#This Row],[Unit'#]],EquipmentTBL!$A:$A,0)),"NONE")</f>
        <v>International</v>
      </c>
      <c r="P311" s="86">
        <f>IFERROR(INDEX(EquipmentTBL!$B:$B,MATCH(Table5[[#This Row],[Unit'#]],EquipmentTBL!$A:$A,0)),"NONE")</f>
        <v>2008</v>
      </c>
      <c r="Q311" s="86" t="str">
        <f>IFERROR(INDEX(EquipmentTBL!$D:$D,MATCH(Table5[[#This Row],[Unit'#]],EquipmentTBL!$A:$A,0)),"NONE")</f>
        <v>Prostar Eagle</v>
      </c>
      <c r="R311" s="26">
        <f>(5-WEEKDAY(A311,2))+A311</f>
        <v>42573</v>
      </c>
      <c r="S311" s="172">
        <f>((5-WEEKDAY(A311,2))+A311)+7</f>
        <v>42580</v>
      </c>
      <c r="T311" s="150">
        <f>MONTH(A311)</f>
        <v>7</v>
      </c>
      <c r="U311" s="150">
        <f>YEAR(R311)</f>
        <v>2016</v>
      </c>
      <c r="Z311"/>
      <c r="AA311"/>
      <c r="AB311"/>
      <c r="AC311"/>
      <c r="AD311"/>
      <c r="AE311"/>
    </row>
    <row r="312" spans="1:31">
      <c r="A312" s="146">
        <v>42573</v>
      </c>
      <c r="B312" s="146" t="s">
        <v>3978</v>
      </c>
      <c r="C312" s="65" t="s">
        <v>3990</v>
      </c>
      <c r="D312" s="145">
        <v>4851</v>
      </c>
      <c r="E312" s="298" t="s">
        <v>3980</v>
      </c>
      <c r="F312" s="298" t="s">
        <v>4694</v>
      </c>
      <c r="G312" s="298" t="s">
        <v>4693</v>
      </c>
      <c r="H312" s="15"/>
      <c r="I312" s="65">
        <v>2</v>
      </c>
      <c r="J312" s="54">
        <v>53</v>
      </c>
      <c r="K312" s="54" t="s">
        <v>3983</v>
      </c>
      <c r="L312" s="59" t="s">
        <v>3984</v>
      </c>
      <c r="M312" s="145" t="s">
        <v>3985</v>
      </c>
      <c r="N312" s="86" t="str">
        <f>IFERROR(INDEX(EquipmentTBL!$H:$H,MATCH(Table5[[#This Row],[Unit'#]],EquipmentTBL!$A:$A,0)),"NONE")</f>
        <v>NONE</v>
      </c>
      <c r="O312" s="86" t="str">
        <f>IFERROR(INDEX(EquipmentTBL!$C:$C,MATCH(Table5[[#This Row],[Unit'#]],EquipmentTBL!$A:$A,0)),"NONE")</f>
        <v>NONE</v>
      </c>
      <c r="P312" s="86" t="str">
        <f>IFERROR(INDEX(EquipmentTBL!$B:$B,MATCH(Table5[[#This Row],[Unit'#]],EquipmentTBL!$A:$A,0)),"NONE")</f>
        <v>NONE</v>
      </c>
      <c r="Q312" s="86" t="str">
        <f>IFERROR(INDEX(EquipmentTBL!$D:$D,MATCH(Table5[[#This Row],[Unit'#]],EquipmentTBL!$A:$A,0)),"NONE")</f>
        <v>NONE</v>
      </c>
      <c r="R312" s="26">
        <f>(5-WEEKDAY(A312,2))+A312</f>
        <v>42573</v>
      </c>
      <c r="S312" s="172">
        <f>((5-WEEKDAY(A312,2))+A312)+7</f>
        <v>42580</v>
      </c>
      <c r="T312" s="150">
        <f>MONTH(A312)</f>
        <v>7</v>
      </c>
      <c r="U312" s="150">
        <f>YEAR(R312)</f>
        <v>2016</v>
      </c>
      <c r="Z312"/>
      <c r="AA312"/>
      <c r="AB312"/>
      <c r="AC312"/>
      <c r="AD312"/>
      <c r="AE312"/>
    </row>
    <row r="313" spans="1:31">
      <c r="A313" s="146">
        <v>42574</v>
      </c>
      <c r="B313" s="146" t="s">
        <v>3956</v>
      </c>
      <c r="C313" s="65" t="s">
        <v>4002</v>
      </c>
      <c r="D313" s="145" t="s">
        <v>4714</v>
      </c>
      <c r="E313" s="298" t="s">
        <v>3980</v>
      </c>
      <c r="F313" s="298" t="s">
        <v>4715</v>
      </c>
      <c r="G313" s="298" t="s">
        <v>4291</v>
      </c>
      <c r="H313" s="15"/>
      <c r="I313" s="65">
        <v>1</v>
      </c>
      <c r="J313" s="54">
        <v>38.950000000000003</v>
      </c>
      <c r="K313" s="54" t="s">
        <v>3983</v>
      </c>
      <c r="L313" s="59" t="s">
        <v>3984</v>
      </c>
      <c r="M313" s="145" t="s">
        <v>3985</v>
      </c>
      <c r="N313" s="86">
        <f>IFERROR(INDEX(EquipmentTBL!$H:$H,MATCH(Table5[[#This Row],[Unit'#]],EquipmentTBL!$A:$A,0)),"NONE")</f>
        <v>0</v>
      </c>
      <c r="O313" s="86">
        <f>IFERROR(INDEX(EquipmentTBL!$C:$C,MATCH(Table5[[#This Row],[Unit'#]],EquipmentTBL!$A:$A,0)),"NONE")</f>
        <v>0</v>
      </c>
      <c r="P313" s="86">
        <f>IFERROR(INDEX(EquipmentTBL!$B:$B,MATCH(Table5[[#This Row],[Unit'#]],EquipmentTBL!$A:$A,0)),"NONE")</f>
        <v>0</v>
      </c>
      <c r="Q313" s="86">
        <f>IFERROR(INDEX(EquipmentTBL!$D:$D,MATCH(Table5[[#This Row],[Unit'#]],EquipmentTBL!$A:$A,0)),"NONE")</f>
        <v>0</v>
      </c>
      <c r="R313" s="26">
        <f>(5-WEEKDAY(A313,2))+A313</f>
        <v>42573</v>
      </c>
      <c r="S313" s="172">
        <f>((5-WEEKDAY(A313,2))+A313)+7</f>
        <v>42580</v>
      </c>
      <c r="T313" s="150">
        <f>MONTH(A313)</f>
        <v>7</v>
      </c>
      <c r="U313" s="150">
        <f>YEAR(R313)</f>
        <v>2016</v>
      </c>
      <c r="Z313"/>
      <c r="AA313"/>
      <c r="AB313"/>
      <c r="AC313"/>
      <c r="AD313"/>
      <c r="AE313"/>
    </row>
    <row r="314" spans="1:31">
      <c r="A314" s="146">
        <v>42574</v>
      </c>
      <c r="B314" s="146" t="s">
        <v>3960</v>
      </c>
      <c r="C314" s="65" t="s">
        <v>4002</v>
      </c>
      <c r="D314" s="145" t="s">
        <v>4714</v>
      </c>
      <c r="E314" s="298" t="s">
        <v>3980</v>
      </c>
      <c r="F314" s="298" t="s">
        <v>4715</v>
      </c>
      <c r="G314" s="298" t="s">
        <v>4291</v>
      </c>
      <c r="H314" s="15"/>
      <c r="I314" s="65">
        <v>1</v>
      </c>
      <c r="J314" s="54">
        <v>38.950000000000003</v>
      </c>
      <c r="K314" s="54" t="s">
        <v>3983</v>
      </c>
      <c r="L314" s="59" t="s">
        <v>3984</v>
      </c>
      <c r="M314" s="145" t="s">
        <v>3985</v>
      </c>
      <c r="N314" s="86">
        <f>IFERROR(INDEX(EquipmentTBL!$H:$H,MATCH(Table5[[#This Row],[Unit'#]],EquipmentTBL!$A:$A,0)),"NONE")</f>
        <v>0</v>
      </c>
      <c r="O314" s="86">
        <f>IFERROR(INDEX(EquipmentTBL!$C:$C,MATCH(Table5[[#This Row],[Unit'#]],EquipmentTBL!$A:$A,0)),"NONE")</f>
        <v>0</v>
      </c>
      <c r="P314" s="86">
        <f>IFERROR(INDEX(EquipmentTBL!$B:$B,MATCH(Table5[[#This Row],[Unit'#]],EquipmentTBL!$A:$A,0)),"NONE")</f>
        <v>0</v>
      </c>
      <c r="Q314" s="86">
        <f>IFERROR(INDEX(EquipmentTBL!$D:$D,MATCH(Table5[[#This Row],[Unit'#]],EquipmentTBL!$A:$A,0)),"NONE")</f>
        <v>0</v>
      </c>
      <c r="R314" s="26">
        <f>(5-WEEKDAY(A314,2))+A314</f>
        <v>42573</v>
      </c>
      <c r="S314" s="172">
        <f>((5-WEEKDAY(A314,2))+A314)+7</f>
        <v>42580</v>
      </c>
      <c r="T314" s="150">
        <f>MONTH(A314)</f>
        <v>7</v>
      </c>
      <c r="U314" s="150">
        <f>YEAR(R314)</f>
        <v>2016</v>
      </c>
      <c r="Z314"/>
      <c r="AA314"/>
      <c r="AB314"/>
      <c r="AC314"/>
      <c r="AD314"/>
      <c r="AE314"/>
    </row>
    <row r="315" spans="1:31">
      <c r="A315" s="146">
        <v>42574</v>
      </c>
      <c r="B315" s="146" t="s">
        <v>3978</v>
      </c>
      <c r="C315" s="65" t="s">
        <v>3979</v>
      </c>
      <c r="D315" s="145" t="s">
        <v>4716</v>
      </c>
      <c r="E315" s="298" t="s">
        <v>3980</v>
      </c>
      <c r="F315" s="298" t="s">
        <v>4717</v>
      </c>
      <c r="G315" s="298" t="s">
        <v>4196</v>
      </c>
      <c r="H315" s="15"/>
      <c r="I315" s="65">
        <v>1</v>
      </c>
      <c r="J315" s="54">
        <v>150</v>
      </c>
      <c r="K315" s="54" t="s">
        <v>3983</v>
      </c>
      <c r="L315" s="59" t="s">
        <v>3984</v>
      </c>
      <c r="M315" s="145" t="s">
        <v>3985</v>
      </c>
      <c r="N315" s="86" t="str">
        <f>IFERROR(INDEX(EquipmentTBL!$H:$H,MATCH(Table5[[#This Row],[Unit'#]],EquipmentTBL!$A:$A,0)),"NONE")</f>
        <v>NONE</v>
      </c>
      <c r="O315" s="86" t="str">
        <f>IFERROR(INDEX(EquipmentTBL!$C:$C,MATCH(Table5[[#This Row],[Unit'#]],EquipmentTBL!$A:$A,0)),"NONE")</f>
        <v>NONE</v>
      </c>
      <c r="P315" s="86" t="str">
        <f>IFERROR(INDEX(EquipmentTBL!$B:$B,MATCH(Table5[[#This Row],[Unit'#]],EquipmentTBL!$A:$A,0)),"NONE")</f>
        <v>NONE</v>
      </c>
      <c r="Q315" s="86" t="str">
        <f>IFERROR(INDEX(EquipmentTBL!$D:$D,MATCH(Table5[[#This Row],[Unit'#]],EquipmentTBL!$A:$A,0)),"NONE")</f>
        <v>NONE</v>
      </c>
      <c r="R315" s="26">
        <f>(5-WEEKDAY(A315,2))+A315</f>
        <v>42573</v>
      </c>
      <c r="S315" s="172">
        <f>((5-WEEKDAY(A315,2))+A315)+7</f>
        <v>42580</v>
      </c>
      <c r="T315" s="150">
        <f>MONTH(A315)</f>
        <v>7</v>
      </c>
      <c r="U315" s="150">
        <f>YEAR(R315)</f>
        <v>2016</v>
      </c>
      <c r="Z315"/>
      <c r="AA315"/>
      <c r="AB315"/>
      <c r="AC315"/>
      <c r="AD315"/>
      <c r="AE315"/>
    </row>
    <row r="316" spans="1:31">
      <c r="Z316"/>
      <c r="AA316"/>
      <c r="AB316"/>
      <c r="AC316"/>
      <c r="AD316"/>
      <c r="AE316"/>
    </row>
    <row r="317" spans="1:31">
      <c r="Z317"/>
      <c r="AA317"/>
      <c r="AB317"/>
      <c r="AC317"/>
      <c r="AD317"/>
      <c r="AE317"/>
    </row>
    <row r="318" spans="1:31">
      <c r="Z318"/>
      <c r="AA318"/>
      <c r="AB318"/>
      <c r="AC318"/>
      <c r="AD318"/>
      <c r="AE318"/>
    </row>
    <row r="319" spans="1:31">
      <c r="Z319"/>
      <c r="AA319"/>
      <c r="AB319"/>
      <c r="AC319"/>
      <c r="AD319"/>
      <c r="AE319"/>
    </row>
    <row r="320" spans="1:31">
      <c r="Z320"/>
      <c r="AA320"/>
      <c r="AB320"/>
      <c r="AC320"/>
      <c r="AD320"/>
      <c r="AE320"/>
    </row>
    <row r="321" spans="26:31">
      <c r="Z321"/>
      <c r="AA321"/>
      <c r="AB321"/>
      <c r="AC321"/>
      <c r="AD321"/>
      <c r="AE321"/>
    </row>
    <row r="322" spans="26:31">
      <c r="Z322"/>
      <c r="AA322"/>
      <c r="AB322"/>
      <c r="AC322"/>
      <c r="AD322"/>
      <c r="AE322"/>
    </row>
    <row r="323" spans="26:31">
      <c r="Z323"/>
      <c r="AA323"/>
      <c r="AB323"/>
      <c r="AC323"/>
      <c r="AD323"/>
      <c r="AE323"/>
    </row>
    <row r="324" spans="26:31">
      <c r="Z324"/>
      <c r="AA324"/>
      <c r="AB324"/>
      <c r="AC324"/>
      <c r="AD324"/>
      <c r="AE324"/>
    </row>
    <row r="325" spans="26:31">
      <c r="Z325"/>
      <c r="AA325"/>
      <c r="AB325"/>
      <c r="AC325"/>
      <c r="AD325"/>
      <c r="AE325"/>
    </row>
    <row r="326" spans="26:31">
      <c r="Z326"/>
      <c r="AA326"/>
      <c r="AB326"/>
      <c r="AC326"/>
      <c r="AD326"/>
      <c r="AE326"/>
    </row>
    <row r="327" spans="26:31">
      <c r="Z327"/>
      <c r="AA327"/>
      <c r="AB327"/>
      <c r="AC327"/>
      <c r="AD327"/>
      <c r="AE327"/>
    </row>
    <row r="328" spans="26:31">
      <c r="Z328"/>
      <c r="AA328"/>
      <c r="AB328"/>
      <c r="AC328"/>
      <c r="AD328"/>
      <c r="AE328"/>
    </row>
    <row r="329" spans="26:31">
      <c r="Z329"/>
      <c r="AA329"/>
      <c r="AB329"/>
      <c r="AC329"/>
      <c r="AD329"/>
      <c r="AE329"/>
    </row>
    <row r="330" spans="26:31">
      <c r="Z330"/>
      <c r="AA330"/>
      <c r="AB330"/>
      <c r="AC330"/>
      <c r="AD330"/>
      <c r="AE330"/>
    </row>
    <row r="331" spans="26:31">
      <c r="Z331"/>
      <c r="AA331"/>
      <c r="AB331"/>
      <c r="AC331"/>
      <c r="AD331"/>
      <c r="AE331"/>
    </row>
    <row r="332" spans="26:31">
      <c r="Z332"/>
      <c r="AA332"/>
      <c r="AB332"/>
      <c r="AC332"/>
      <c r="AD332"/>
      <c r="AE332"/>
    </row>
    <row r="333" spans="26:31">
      <c r="Z333"/>
      <c r="AA333"/>
      <c r="AB333"/>
      <c r="AC333"/>
      <c r="AD333"/>
      <c r="AE333"/>
    </row>
    <row r="334" spans="26:31">
      <c r="Z334"/>
      <c r="AA334"/>
      <c r="AB334"/>
      <c r="AC334"/>
      <c r="AD334"/>
      <c r="AE334"/>
    </row>
    <row r="335" spans="26:31">
      <c r="Z335"/>
      <c r="AA335"/>
      <c r="AB335"/>
      <c r="AC335"/>
      <c r="AD335"/>
      <c r="AE335"/>
    </row>
    <row r="336" spans="26:31">
      <c r="Z336"/>
      <c r="AA336"/>
      <c r="AB336"/>
      <c r="AC336"/>
      <c r="AD336"/>
      <c r="AE336"/>
    </row>
    <row r="337" spans="26:31">
      <c r="Z337"/>
      <c r="AA337"/>
      <c r="AB337"/>
      <c r="AC337"/>
      <c r="AD337"/>
      <c r="AE337"/>
    </row>
    <row r="338" spans="26:31">
      <c r="Z338"/>
      <c r="AA338"/>
      <c r="AB338"/>
      <c r="AC338"/>
      <c r="AD338"/>
      <c r="AE338"/>
    </row>
    <row r="339" spans="26:31">
      <c r="Z339"/>
      <c r="AA339"/>
      <c r="AB339"/>
      <c r="AC339"/>
      <c r="AD339"/>
      <c r="AE339"/>
    </row>
    <row r="340" spans="26:31">
      <c r="Z340"/>
      <c r="AA340"/>
      <c r="AB340"/>
      <c r="AC340"/>
      <c r="AD340"/>
      <c r="AE340"/>
    </row>
    <row r="341" spans="26:31">
      <c r="Z341"/>
      <c r="AA341"/>
      <c r="AB341"/>
      <c r="AC341"/>
      <c r="AD341"/>
      <c r="AE341"/>
    </row>
    <row r="342" spans="26:31">
      <c r="Z342"/>
      <c r="AA342"/>
      <c r="AB342"/>
      <c r="AC342"/>
      <c r="AD342"/>
      <c r="AE342"/>
    </row>
    <row r="343" spans="26:31">
      <c r="Z343"/>
      <c r="AA343"/>
      <c r="AB343"/>
      <c r="AC343"/>
      <c r="AD343"/>
      <c r="AE343"/>
    </row>
    <row r="344" spans="26:31">
      <c r="Z344"/>
      <c r="AA344"/>
      <c r="AB344"/>
      <c r="AC344"/>
      <c r="AD344"/>
      <c r="AE344"/>
    </row>
    <row r="345" spans="26:31">
      <c r="Z345"/>
      <c r="AA345"/>
      <c r="AB345"/>
      <c r="AC345"/>
      <c r="AD345"/>
      <c r="AE345"/>
    </row>
    <row r="346" spans="26:31">
      <c r="Z346"/>
      <c r="AA346"/>
      <c r="AB346"/>
      <c r="AC346"/>
      <c r="AD346"/>
      <c r="AE346"/>
    </row>
    <row r="347" spans="26:31">
      <c r="Z347"/>
      <c r="AA347"/>
      <c r="AB347"/>
      <c r="AC347"/>
      <c r="AD347"/>
      <c r="AE347"/>
    </row>
    <row r="348" spans="26:31">
      <c r="Z348"/>
      <c r="AA348"/>
      <c r="AB348"/>
      <c r="AC348"/>
      <c r="AD348"/>
      <c r="AE348"/>
    </row>
    <row r="349" spans="26:31">
      <c r="Z349"/>
      <c r="AA349"/>
      <c r="AB349"/>
      <c r="AC349"/>
      <c r="AD349"/>
      <c r="AE349"/>
    </row>
    <row r="350" spans="26:31">
      <c r="Z350"/>
      <c r="AA350"/>
      <c r="AB350"/>
      <c r="AC350"/>
      <c r="AD350"/>
      <c r="AE350"/>
    </row>
    <row r="351" spans="26:31">
      <c r="Z351"/>
      <c r="AA351"/>
      <c r="AB351"/>
      <c r="AC351"/>
      <c r="AD351"/>
      <c r="AE351"/>
    </row>
    <row r="352" spans="26:31">
      <c r="Z352"/>
      <c r="AA352"/>
      <c r="AB352"/>
      <c r="AC352"/>
      <c r="AD352"/>
      <c r="AE352"/>
    </row>
    <row r="353" spans="26:31">
      <c r="Z353"/>
      <c r="AA353"/>
      <c r="AB353"/>
      <c r="AC353"/>
      <c r="AD353"/>
      <c r="AE353"/>
    </row>
    <row r="354" spans="26:31">
      <c r="Z354"/>
      <c r="AA354"/>
      <c r="AB354"/>
      <c r="AC354"/>
      <c r="AD354"/>
      <c r="AE354"/>
    </row>
    <row r="355" spans="26:31">
      <c r="Z355"/>
      <c r="AA355"/>
      <c r="AB355"/>
      <c r="AC355"/>
      <c r="AD355"/>
      <c r="AE355"/>
    </row>
    <row r="356" spans="26:31">
      <c r="Z356"/>
      <c r="AA356"/>
      <c r="AB356"/>
      <c r="AC356"/>
      <c r="AD356"/>
      <c r="AE356"/>
    </row>
    <row r="357" spans="26:31">
      <c r="Z357"/>
      <c r="AA357"/>
      <c r="AB357"/>
      <c r="AC357"/>
      <c r="AD357"/>
      <c r="AE357"/>
    </row>
    <row r="358" spans="26:31">
      <c r="Z358"/>
      <c r="AA358"/>
      <c r="AB358"/>
      <c r="AC358"/>
      <c r="AD358"/>
      <c r="AE358"/>
    </row>
    <row r="359" spans="26:31">
      <c r="Z359"/>
      <c r="AA359"/>
      <c r="AB359"/>
      <c r="AC359"/>
      <c r="AD359"/>
      <c r="AE359"/>
    </row>
    <row r="360" spans="26:31">
      <c r="Z360"/>
      <c r="AA360"/>
      <c r="AB360"/>
      <c r="AC360"/>
      <c r="AD360"/>
      <c r="AE360"/>
    </row>
    <row r="361" spans="26:31">
      <c r="Z361"/>
      <c r="AA361"/>
      <c r="AB361"/>
      <c r="AC361"/>
      <c r="AD361"/>
      <c r="AE361"/>
    </row>
    <row r="362" spans="26:31">
      <c r="Z362"/>
      <c r="AA362"/>
      <c r="AB362"/>
      <c r="AC362"/>
      <c r="AD362"/>
      <c r="AE362"/>
    </row>
    <row r="363" spans="26:31">
      <c r="Z363"/>
      <c r="AA363"/>
      <c r="AB363"/>
      <c r="AC363"/>
      <c r="AD363"/>
      <c r="AE363"/>
    </row>
    <row r="364" spans="26:31">
      <c r="Z364"/>
      <c r="AA364"/>
      <c r="AB364"/>
      <c r="AC364"/>
      <c r="AD364"/>
      <c r="AE364"/>
    </row>
    <row r="365" spans="26:31">
      <c r="Z365"/>
      <c r="AA365"/>
      <c r="AB365"/>
      <c r="AC365"/>
      <c r="AD365"/>
      <c r="AE365"/>
    </row>
    <row r="366" spans="26:31">
      <c r="Z366"/>
      <c r="AA366"/>
      <c r="AB366"/>
      <c r="AC366"/>
      <c r="AD366"/>
      <c r="AE366"/>
    </row>
    <row r="367" spans="26:31">
      <c r="Z367"/>
      <c r="AA367"/>
      <c r="AB367"/>
      <c r="AC367"/>
      <c r="AD367"/>
      <c r="AE367"/>
    </row>
    <row r="368" spans="26:31">
      <c r="Z368"/>
      <c r="AA368"/>
      <c r="AB368"/>
      <c r="AC368"/>
      <c r="AD368"/>
      <c r="AE368"/>
    </row>
    <row r="369" spans="26:31">
      <c r="Z369"/>
      <c r="AA369"/>
      <c r="AB369"/>
      <c r="AC369"/>
      <c r="AD369"/>
      <c r="AE369"/>
    </row>
    <row r="370" spans="26:31">
      <c r="Z370"/>
      <c r="AA370"/>
      <c r="AB370"/>
      <c r="AC370"/>
      <c r="AD370"/>
      <c r="AE370"/>
    </row>
    <row r="371" spans="26:31">
      <c r="Z371"/>
      <c r="AA371"/>
      <c r="AB371"/>
      <c r="AC371"/>
      <c r="AD371"/>
      <c r="AE371"/>
    </row>
    <row r="372" spans="26:31">
      <c r="Z372"/>
      <c r="AA372"/>
      <c r="AB372"/>
      <c r="AC372"/>
      <c r="AD372"/>
      <c r="AE372"/>
    </row>
    <row r="373" spans="26:31">
      <c r="Z373"/>
      <c r="AA373"/>
      <c r="AB373"/>
      <c r="AC373"/>
      <c r="AD373"/>
      <c r="AE373"/>
    </row>
    <row r="374" spans="26:31">
      <c r="Z374"/>
      <c r="AA374"/>
      <c r="AB374"/>
      <c r="AC374"/>
      <c r="AD374"/>
      <c r="AE374"/>
    </row>
    <row r="375" spans="26:31">
      <c r="Z375"/>
      <c r="AA375"/>
      <c r="AB375"/>
      <c r="AC375"/>
      <c r="AD375"/>
      <c r="AE375"/>
    </row>
    <row r="376" spans="26:31">
      <c r="Z376"/>
      <c r="AA376"/>
      <c r="AB376"/>
      <c r="AC376"/>
      <c r="AD376"/>
      <c r="AE376"/>
    </row>
    <row r="377" spans="26:31">
      <c r="Z377"/>
      <c r="AA377"/>
      <c r="AB377"/>
      <c r="AC377"/>
      <c r="AD377"/>
      <c r="AE377"/>
    </row>
    <row r="378" spans="26:31">
      <c r="Z378"/>
      <c r="AA378"/>
      <c r="AB378"/>
      <c r="AC378"/>
      <c r="AD378"/>
      <c r="AE378"/>
    </row>
    <row r="379" spans="26:31">
      <c r="Z379"/>
      <c r="AA379"/>
      <c r="AB379"/>
      <c r="AC379"/>
      <c r="AD379"/>
      <c r="AE379"/>
    </row>
    <row r="380" spans="26:31">
      <c r="Z380"/>
      <c r="AA380"/>
      <c r="AB380"/>
      <c r="AC380"/>
      <c r="AD380"/>
      <c r="AE380"/>
    </row>
    <row r="381" spans="26:31">
      <c r="Z381"/>
      <c r="AA381"/>
      <c r="AB381"/>
      <c r="AC381"/>
      <c r="AD381"/>
      <c r="AE381"/>
    </row>
    <row r="382" spans="26:31">
      <c r="Z382"/>
      <c r="AA382"/>
      <c r="AB382"/>
      <c r="AC382"/>
      <c r="AD382"/>
      <c r="AE382"/>
    </row>
    <row r="383" spans="26:31">
      <c r="Z383"/>
      <c r="AA383"/>
      <c r="AB383"/>
      <c r="AC383"/>
      <c r="AD383"/>
      <c r="AE383"/>
    </row>
    <row r="384" spans="26:31">
      <c r="Z384"/>
      <c r="AA384"/>
      <c r="AB384"/>
      <c r="AC384"/>
      <c r="AD384"/>
      <c r="AE384"/>
    </row>
    <row r="385" spans="26:31">
      <c r="Z385"/>
      <c r="AA385"/>
      <c r="AB385"/>
      <c r="AC385"/>
      <c r="AD385"/>
      <c r="AE385"/>
    </row>
    <row r="386" spans="26:31">
      <c r="Z386"/>
      <c r="AA386"/>
      <c r="AB386"/>
      <c r="AC386"/>
      <c r="AD386"/>
      <c r="AE386"/>
    </row>
    <row r="387" spans="26:31">
      <c r="Z387"/>
      <c r="AA387"/>
      <c r="AB387"/>
      <c r="AC387"/>
      <c r="AD387"/>
      <c r="AE387"/>
    </row>
    <row r="388" spans="26:31">
      <c r="Z388"/>
      <c r="AA388"/>
      <c r="AB388"/>
      <c r="AC388"/>
      <c r="AD388"/>
      <c r="AE388"/>
    </row>
    <row r="389" spans="26:31">
      <c r="Z389"/>
      <c r="AA389"/>
      <c r="AB389"/>
      <c r="AC389"/>
      <c r="AD389"/>
      <c r="AE389"/>
    </row>
    <row r="390" spans="26:31">
      <c r="Z390"/>
      <c r="AA390"/>
      <c r="AB390"/>
      <c r="AC390"/>
      <c r="AD390"/>
      <c r="AE390"/>
    </row>
    <row r="391" spans="26:31">
      <c r="Z391"/>
      <c r="AA391"/>
      <c r="AB391"/>
      <c r="AC391"/>
      <c r="AD391"/>
      <c r="AE391"/>
    </row>
    <row r="392" spans="26:31">
      <c r="Z392"/>
      <c r="AA392"/>
      <c r="AB392"/>
      <c r="AC392"/>
      <c r="AD392"/>
      <c r="AE392"/>
    </row>
    <row r="393" spans="26:31">
      <c r="Z393"/>
      <c r="AA393"/>
      <c r="AB393"/>
      <c r="AC393"/>
      <c r="AD393"/>
      <c r="AE393"/>
    </row>
    <row r="394" spans="26:31">
      <c r="Z394"/>
      <c r="AA394"/>
      <c r="AB394"/>
      <c r="AC394"/>
      <c r="AD394"/>
      <c r="AE394"/>
    </row>
    <row r="395" spans="26:31">
      <c r="Z395"/>
      <c r="AA395"/>
      <c r="AB395"/>
      <c r="AC395"/>
      <c r="AD395"/>
      <c r="AE395"/>
    </row>
    <row r="396" spans="26:31">
      <c r="Z396"/>
      <c r="AA396"/>
      <c r="AB396"/>
      <c r="AC396"/>
      <c r="AD396"/>
      <c r="AE396"/>
    </row>
    <row r="397" spans="26:31">
      <c r="Z397"/>
      <c r="AA397"/>
      <c r="AB397"/>
      <c r="AC397"/>
      <c r="AD397"/>
      <c r="AE397"/>
    </row>
    <row r="398" spans="26:31">
      <c r="Z398"/>
      <c r="AA398"/>
      <c r="AB398"/>
      <c r="AC398"/>
      <c r="AD398"/>
      <c r="AE398"/>
    </row>
    <row r="399" spans="26:31">
      <c r="Z399"/>
      <c r="AA399"/>
      <c r="AB399"/>
      <c r="AC399"/>
      <c r="AD399"/>
      <c r="AE399"/>
    </row>
    <row r="400" spans="26:31">
      <c r="Z400"/>
      <c r="AA400"/>
      <c r="AB400"/>
      <c r="AC400"/>
      <c r="AD400"/>
      <c r="AE400"/>
    </row>
    <row r="401" spans="26:31">
      <c r="Z401"/>
      <c r="AA401"/>
      <c r="AB401"/>
      <c r="AC401"/>
      <c r="AD401"/>
      <c r="AE401"/>
    </row>
    <row r="402" spans="26:31">
      <c r="Z402"/>
      <c r="AA402"/>
      <c r="AB402"/>
      <c r="AC402"/>
      <c r="AD402"/>
      <c r="AE402"/>
    </row>
    <row r="403" spans="26:31">
      <c r="Z403"/>
      <c r="AA403"/>
      <c r="AB403"/>
      <c r="AC403"/>
      <c r="AD403"/>
      <c r="AE403"/>
    </row>
    <row r="404" spans="26:31">
      <c r="Z404"/>
      <c r="AA404"/>
      <c r="AB404"/>
      <c r="AC404"/>
      <c r="AD404"/>
      <c r="AE404"/>
    </row>
    <row r="405" spans="26:31">
      <c r="Z405"/>
      <c r="AA405"/>
      <c r="AB405"/>
      <c r="AC405"/>
      <c r="AD405"/>
      <c r="AE405"/>
    </row>
    <row r="406" spans="26:31">
      <c r="Z406"/>
      <c r="AA406"/>
      <c r="AB406"/>
      <c r="AC406"/>
      <c r="AD406"/>
      <c r="AE406"/>
    </row>
    <row r="407" spans="26:31">
      <c r="Z407"/>
      <c r="AA407"/>
      <c r="AB407"/>
      <c r="AC407"/>
      <c r="AD407"/>
      <c r="AE407"/>
    </row>
    <row r="408" spans="26:31">
      <c r="Z408"/>
      <c r="AA408"/>
      <c r="AB408"/>
      <c r="AC408"/>
      <c r="AD408"/>
      <c r="AE408"/>
    </row>
    <row r="409" spans="26:31">
      <c r="Z409"/>
      <c r="AA409"/>
      <c r="AB409"/>
      <c r="AC409"/>
      <c r="AD409"/>
      <c r="AE409"/>
    </row>
    <row r="410" spans="26:31">
      <c r="Z410"/>
      <c r="AA410"/>
      <c r="AB410"/>
      <c r="AC410"/>
      <c r="AD410"/>
      <c r="AE410"/>
    </row>
    <row r="411" spans="26:31">
      <c r="Z411"/>
      <c r="AA411"/>
      <c r="AB411"/>
      <c r="AC411"/>
      <c r="AD411"/>
      <c r="AE411"/>
    </row>
    <row r="412" spans="26:31">
      <c r="Z412"/>
      <c r="AA412"/>
      <c r="AB412"/>
      <c r="AC412"/>
      <c r="AD412"/>
      <c r="AE412"/>
    </row>
    <row r="413" spans="26:31">
      <c r="Z413"/>
      <c r="AA413"/>
      <c r="AB413"/>
      <c r="AC413"/>
      <c r="AD413"/>
      <c r="AE413"/>
    </row>
    <row r="414" spans="26:31">
      <c r="Z414"/>
      <c r="AA414"/>
      <c r="AB414"/>
      <c r="AC414"/>
      <c r="AD414"/>
      <c r="AE414"/>
    </row>
    <row r="415" spans="26:31">
      <c r="Z415"/>
      <c r="AA415"/>
      <c r="AB415"/>
      <c r="AC415"/>
      <c r="AD415"/>
      <c r="AE415"/>
    </row>
    <row r="416" spans="26:31">
      <c r="Z416"/>
      <c r="AA416"/>
      <c r="AB416"/>
      <c r="AC416"/>
      <c r="AD416"/>
      <c r="AE416"/>
    </row>
    <row r="417" spans="26:31">
      <c r="Z417"/>
      <c r="AA417"/>
      <c r="AB417"/>
      <c r="AC417"/>
      <c r="AD417"/>
      <c r="AE417"/>
    </row>
    <row r="418" spans="26:31">
      <c r="Z418"/>
      <c r="AA418"/>
      <c r="AB418"/>
      <c r="AC418"/>
      <c r="AD418"/>
      <c r="AE418"/>
    </row>
    <row r="419" spans="26:31">
      <c r="Z419"/>
      <c r="AA419"/>
      <c r="AB419"/>
      <c r="AC419"/>
      <c r="AD419"/>
      <c r="AE419"/>
    </row>
    <row r="420" spans="26:31">
      <c r="Z420"/>
      <c r="AA420"/>
      <c r="AB420"/>
      <c r="AC420"/>
      <c r="AD420"/>
      <c r="AE420"/>
    </row>
    <row r="421" spans="26:31">
      <c r="Z421"/>
      <c r="AA421"/>
      <c r="AB421"/>
      <c r="AC421"/>
      <c r="AD421"/>
      <c r="AE421"/>
    </row>
    <row r="422" spans="26:31">
      <c r="Z422"/>
      <c r="AA422"/>
      <c r="AB422"/>
      <c r="AC422"/>
      <c r="AD422"/>
      <c r="AE422"/>
    </row>
    <row r="423" spans="26:31">
      <c r="Z423"/>
      <c r="AA423"/>
      <c r="AB423"/>
      <c r="AC423"/>
      <c r="AD423"/>
      <c r="AE423"/>
    </row>
    <row r="424" spans="26:31">
      <c r="Z424"/>
      <c r="AA424"/>
      <c r="AB424"/>
      <c r="AC424"/>
      <c r="AD424"/>
      <c r="AE424"/>
    </row>
    <row r="425" spans="26:31">
      <c r="Z425"/>
      <c r="AA425"/>
      <c r="AB425"/>
      <c r="AC425"/>
      <c r="AD425"/>
      <c r="AE425"/>
    </row>
    <row r="426" spans="26:31">
      <c r="Z426"/>
      <c r="AA426"/>
      <c r="AB426"/>
      <c r="AC426"/>
      <c r="AD426"/>
      <c r="AE426"/>
    </row>
    <row r="427" spans="26:31">
      <c r="Z427"/>
      <c r="AA427"/>
      <c r="AB427"/>
      <c r="AC427"/>
      <c r="AD427"/>
      <c r="AE427"/>
    </row>
    <row r="428" spans="26:31">
      <c r="Z428"/>
      <c r="AA428"/>
      <c r="AB428"/>
      <c r="AC428"/>
      <c r="AD428"/>
      <c r="AE428"/>
    </row>
    <row r="429" spans="26:31">
      <c r="Z429"/>
      <c r="AA429"/>
      <c r="AB429"/>
      <c r="AC429"/>
      <c r="AD429"/>
      <c r="AE429"/>
    </row>
    <row r="430" spans="26:31">
      <c r="Z430"/>
      <c r="AA430"/>
      <c r="AB430"/>
      <c r="AC430"/>
      <c r="AD430"/>
      <c r="AE430"/>
    </row>
    <row r="431" spans="26:31">
      <c r="Z431"/>
      <c r="AA431"/>
      <c r="AB431"/>
      <c r="AC431"/>
      <c r="AD431"/>
      <c r="AE431"/>
    </row>
    <row r="432" spans="26:31">
      <c r="Z432"/>
      <c r="AA432"/>
      <c r="AB432"/>
      <c r="AC432"/>
      <c r="AD432"/>
      <c r="AE432"/>
    </row>
    <row r="433" spans="26:31">
      <c r="Z433"/>
      <c r="AA433"/>
      <c r="AB433"/>
      <c r="AC433"/>
      <c r="AD433"/>
      <c r="AE433"/>
    </row>
    <row r="434" spans="26:31">
      <c r="Z434"/>
      <c r="AA434"/>
      <c r="AB434"/>
      <c r="AC434"/>
      <c r="AD434"/>
      <c r="AE434"/>
    </row>
    <row r="435" spans="26:31">
      <c r="Z435"/>
      <c r="AA435"/>
      <c r="AB435"/>
      <c r="AC435"/>
      <c r="AD435"/>
      <c r="AE435"/>
    </row>
    <row r="436" spans="26:31">
      <c r="Z436"/>
      <c r="AA436"/>
      <c r="AB436"/>
      <c r="AC436"/>
      <c r="AD436"/>
      <c r="AE436"/>
    </row>
    <row r="437" spans="26:31">
      <c r="Z437"/>
      <c r="AA437"/>
      <c r="AB437"/>
      <c r="AC437"/>
      <c r="AD437"/>
      <c r="AE437"/>
    </row>
    <row r="438" spans="26:31">
      <c r="Z438"/>
      <c r="AA438"/>
      <c r="AB438"/>
      <c r="AC438"/>
      <c r="AD438"/>
      <c r="AE438"/>
    </row>
    <row r="439" spans="26:31">
      <c r="Z439"/>
      <c r="AA439"/>
      <c r="AB439"/>
      <c r="AC439"/>
      <c r="AD439"/>
      <c r="AE439"/>
    </row>
    <row r="440" spans="26:31">
      <c r="Z440"/>
      <c r="AA440"/>
      <c r="AB440"/>
      <c r="AC440"/>
      <c r="AD440"/>
      <c r="AE440"/>
    </row>
    <row r="441" spans="26:31">
      <c r="Z441"/>
      <c r="AA441"/>
      <c r="AB441"/>
      <c r="AC441"/>
      <c r="AD441"/>
      <c r="AE441"/>
    </row>
    <row r="442" spans="26:31">
      <c r="Z442"/>
      <c r="AA442"/>
      <c r="AB442"/>
      <c r="AC442"/>
      <c r="AD442"/>
      <c r="AE442"/>
    </row>
    <row r="443" spans="26:31">
      <c r="Z443"/>
      <c r="AA443"/>
      <c r="AB443"/>
      <c r="AC443"/>
      <c r="AD443"/>
      <c r="AE443"/>
    </row>
    <row r="444" spans="26:31">
      <c r="Z444"/>
      <c r="AA444"/>
      <c r="AB444"/>
      <c r="AC444"/>
      <c r="AD444"/>
      <c r="AE444"/>
    </row>
    <row r="445" spans="26:31">
      <c r="Z445"/>
      <c r="AA445"/>
      <c r="AB445"/>
      <c r="AC445"/>
      <c r="AD445"/>
      <c r="AE445"/>
    </row>
    <row r="446" spans="26:31">
      <c r="Z446"/>
      <c r="AA446"/>
      <c r="AB446"/>
      <c r="AC446"/>
      <c r="AD446"/>
      <c r="AE446"/>
    </row>
    <row r="447" spans="26:31">
      <c r="Z447"/>
      <c r="AA447"/>
      <c r="AB447"/>
      <c r="AC447"/>
      <c r="AD447"/>
      <c r="AE447"/>
    </row>
    <row r="448" spans="26:31">
      <c r="Z448"/>
      <c r="AA448"/>
      <c r="AB448"/>
      <c r="AC448"/>
      <c r="AD448"/>
      <c r="AE448"/>
    </row>
    <row r="449" spans="26:31">
      <c r="Z449"/>
      <c r="AA449"/>
      <c r="AB449"/>
      <c r="AC449"/>
      <c r="AD449"/>
      <c r="AE449"/>
    </row>
    <row r="450" spans="26:31">
      <c r="Z450"/>
      <c r="AA450"/>
      <c r="AB450"/>
      <c r="AC450"/>
      <c r="AD450"/>
      <c r="AE450"/>
    </row>
    <row r="451" spans="26:31">
      <c r="Z451"/>
      <c r="AA451"/>
      <c r="AB451"/>
      <c r="AC451"/>
      <c r="AD451"/>
      <c r="AE451"/>
    </row>
    <row r="452" spans="26:31">
      <c r="Z452"/>
      <c r="AA452"/>
      <c r="AB452"/>
      <c r="AC452"/>
      <c r="AD452"/>
      <c r="AE452"/>
    </row>
    <row r="453" spans="26:31">
      <c r="Z453"/>
      <c r="AA453"/>
      <c r="AB453"/>
      <c r="AC453"/>
      <c r="AD453"/>
      <c r="AE453"/>
    </row>
    <row r="454" spans="26:31">
      <c r="Z454"/>
      <c r="AA454"/>
      <c r="AB454"/>
      <c r="AC454"/>
      <c r="AD454"/>
      <c r="AE454"/>
    </row>
    <row r="455" spans="26:31">
      <c r="Z455"/>
      <c r="AA455"/>
      <c r="AB455"/>
      <c r="AC455"/>
      <c r="AD455"/>
      <c r="AE455"/>
    </row>
    <row r="456" spans="26:31">
      <c r="Z456"/>
      <c r="AA456"/>
      <c r="AB456"/>
      <c r="AC456"/>
      <c r="AD456"/>
      <c r="AE456"/>
    </row>
    <row r="457" spans="26:31">
      <c r="Z457"/>
      <c r="AA457"/>
      <c r="AB457"/>
      <c r="AC457"/>
      <c r="AD457"/>
      <c r="AE457"/>
    </row>
    <row r="458" spans="26:31">
      <c r="Z458"/>
      <c r="AA458"/>
      <c r="AB458"/>
      <c r="AC458"/>
      <c r="AD458"/>
      <c r="AE458"/>
    </row>
    <row r="459" spans="26:31">
      <c r="Z459"/>
      <c r="AA459"/>
      <c r="AB459"/>
      <c r="AC459"/>
      <c r="AD459"/>
      <c r="AE459"/>
    </row>
    <row r="460" spans="26:31">
      <c r="Z460"/>
      <c r="AA460"/>
      <c r="AB460"/>
      <c r="AC460"/>
      <c r="AD460"/>
      <c r="AE460"/>
    </row>
    <row r="461" spans="26:31">
      <c r="Z461"/>
      <c r="AA461"/>
      <c r="AB461"/>
      <c r="AC461"/>
      <c r="AD461"/>
      <c r="AE461"/>
    </row>
    <row r="462" spans="26:31">
      <c r="Z462"/>
      <c r="AA462"/>
      <c r="AB462"/>
      <c r="AC462"/>
      <c r="AD462"/>
      <c r="AE462"/>
    </row>
    <row r="463" spans="26:31">
      <c r="Z463"/>
      <c r="AA463"/>
      <c r="AB463"/>
      <c r="AC463"/>
      <c r="AD463"/>
      <c r="AE463"/>
    </row>
    <row r="464" spans="26:31">
      <c r="Z464"/>
      <c r="AA464"/>
      <c r="AB464"/>
      <c r="AC464"/>
      <c r="AD464"/>
      <c r="AE464"/>
    </row>
    <row r="465" spans="26:31">
      <c r="Z465"/>
      <c r="AA465"/>
      <c r="AB465"/>
      <c r="AC465"/>
      <c r="AD465"/>
      <c r="AE465"/>
    </row>
    <row r="466" spans="26:31">
      <c r="Z466"/>
      <c r="AA466"/>
      <c r="AB466"/>
      <c r="AC466"/>
      <c r="AD466"/>
      <c r="AE466"/>
    </row>
    <row r="467" spans="26:31">
      <c r="Z467"/>
      <c r="AA467"/>
      <c r="AB467"/>
      <c r="AC467"/>
      <c r="AD467"/>
      <c r="AE467"/>
    </row>
    <row r="468" spans="26:31">
      <c r="Z468"/>
      <c r="AA468"/>
      <c r="AB468"/>
      <c r="AC468"/>
      <c r="AD468"/>
      <c r="AE468"/>
    </row>
    <row r="469" spans="26:31">
      <c r="Z469"/>
      <c r="AA469"/>
      <c r="AB469"/>
      <c r="AC469"/>
      <c r="AD469"/>
      <c r="AE469"/>
    </row>
    <row r="470" spans="26:31">
      <c r="Z470"/>
      <c r="AA470"/>
      <c r="AB470"/>
      <c r="AC470"/>
      <c r="AD470"/>
      <c r="AE470"/>
    </row>
    <row r="471" spans="26:31">
      <c r="Z471"/>
      <c r="AA471"/>
      <c r="AB471"/>
      <c r="AC471"/>
      <c r="AD471"/>
      <c r="AE471"/>
    </row>
    <row r="472" spans="26:31">
      <c r="Z472"/>
      <c r="AA472"/>
      <c r="AB472"/>
      <c r="AC472"/>
      <c r="AD472"/>
      <c r="AE472"/>
    </row>
    <row r="473" spans="26:31">
      <c r="Z473"/>
      <c r="AA473"/>
      <c r="AB473"/>
      <c r="AC473"/>
      <c r="AD473"/>
      <c r="AE473"/>
    </row>
    <row r="474" spans="26:31">
      <c r="Z474"/>
      <c r="AA474"/>
      <c r="AB474"/>
      <c r="AC474"/>
      <c r="AD474"/>
      <c r="AE474"/>
    </row>
    <row r="475" spans="26:31">
      <c r="Z475"/>
      <c r="AA475"/>
      <c r="AB475"/>
      <c r="AC475"/>
      <c r="AD475"/>
      <c r="AE475"/>
    </row>
    <row r="476" spans="26:31">
      <c r="Z476"/>
      <c r="AA476"/>
      <c r="AB476"/>
      <c r="AC476"/>
      <c r="AD476"/>
      <c r="AE476"/>
    </row>
    <row r="477" spans="26:31">
      <c r="Z477"/>
      <c r="AA477"/>
      <c r="AB477"/>
      <c r="AC477"/>
      <c r="AD477"/>
      <c r="AE477"/>
    </row>
    <row r="478" spans="26:31">
      <c r="Z478"/>
      <c r="AA478"/>
      <c r="AB478"/>
      <c r="AC478"/>
      <c r="AD478"/>
      <c r="AE478"/>
    </row>
    <row r="479" spans="26:31">
      <c r="Z479"/>
      <c r="AA479"/>
      <c r="AB479"/>
      <c r="AC479"/>
      <c r="AD479"/>
      <c r="AE479"/>
    </row>
    <row r="480" spans="26:31">
      <c r="Z480"/>
      <c r="AA480"/>
      <c r="AB480"/>
      <c r="AC480"/>
      <c r="AD480"/>
      <c r="AE480"/>
    </row>
    <row r="481" spans="26:31">
      <c r="Z481"/>
      <c r="AA481"/>
      <c r="AB481"/>
      <c r="AC481"/>
      <c r="AD481"/>
      <c r="AE481"/>
    </row>
    <row r="482" spans="26:31">
      <c r="Z482"/>
      <c r="AA482"/>
      <c r="AB482"/>
      <c r="AC482"/>
      <c r="AD482"/>
      <c r="AE482"/>
    </row>
    <row r="483" spans="26:31">
      <c r="Z483"/>
      <c r="AA483"/>
      <c r="AB483"/>
      <c r="AC483"/>
      <c r="AD483"/>
      <c r="AE483"/>
    </row>
    <row r="484" spans="26:31">
      <c r="Z484"/>
      <c r="AA484"/>
      <c r="AB484"/>
      <c r="AC484"/>
      <c r="AD484"/>
      <c r="AE484"/>
    </row>
    <row r="485" spans="26:31">
      <c r="Z485"/>
      <c r="AA485"/>
      <c r="AB485"/>
      <c r="AC485"/>
      <c r="AD485"/>
      <c r="AE485"/>
    </row>
    <row r="486" spans="26:31">
      <c r="Z486"/>
      <c r="AA486"/>
      <c r="AB486"/>
      <c r="AC486"/>
      <c r="AD486"/>
      <c r="AE486"/>
    </row>
    <row r="487" spans="26:31">
      <c r="Z487"/>
      <c r="AA487"/>
      <c r="AB487"/>
      <c r="AC487"/>
      <c r="AD487"/>
      <c r="AE487"/>
    </row>
    <row r="488" spans="26:31">
      <c r="Z488"/>
      <c r="AA488"/>
      <c r="AB488"/>
      <c r="AC488"/>
      <c r="AD488"/>
      <c r="AE488"/>
    </row>
    <row r="489" spans="26:31">
      <c r="Z489"/>
      <c r="AA489"/>
      <c r="AB489"/>
      <c r="AC489"/>
      <c r="AD489"/>
      <c r="AE489"/>
    </row>
    <row r="490" spans="26:31">
      <c r="Z490"/>
      <c r="AA490"/>
      <c r="AB490"/>
      <c r="AC490"/>
      <c r="AD490"/>
      <c r="AE490"/>
    </row>
    <row r="491" spans="26:31">
      <c r="Z491"/>
      <c r="AA491"/>
      <c r="AB491"/>
      <c r="AC491"/>
      <c r="AD491"/>
      <c r="AE491"/>
    </row>
    <row r="492" spans="26:31">
      <c r="Z492"/>
      <c r="AA492"/>
      <c r="AB492"/>
      <c r="AC492"/>
      <c r="AD492"/>
      <c r="AE492"/>
    </row>
    <row r="493" spans="26:31">
      <c r="Z493"/>
      <c r="AA493"/>
      <c r="AB493"/>
      <c r="AC493"/>
      <c r="AD493"/>
      <c r="AE493"/>
    </row>
    <row r="494" spans="26:31">
      <c r="Z494"/>
      <c r="AA494"/>
      <c r="AB494"/>
      <c r="AC494"/>
      <c r="AD494"/>
      <c r="AE494"/>
    </row>
    <row r="495" spans="26:31">
      <c r="Z495"/>
      <c r="AA495"/>
      <c r="AB495"/>
      <c r="AC495"/>
      <c r="AD495"/>
      <c r="AE495"/>
    </row>
    <row r="496" spans="26:31">
      <c r="Z496"/>
      <c r="AA496"/>
      <c r="AB496"/>
      <c r="AC496"/>
      <c r="AD496"/>
      <c r="AE496"/>
    </row>
    <row r="497" spans="26:31">
      <c r="Z497"/>
      <c r="AA497"/>
      <c r="AB497"/>
      <c r="AC497"/>
      <c r="AD497"/>
      <c r="AE497"/>
    </row>
    <row r="498" spans="26:31">
      <c r="Z498"/>
      <c r="AA498"/>
      <c r="AB498"/>
      <c r="AC498"/>
      <c r="AD498"/>
      <c r="AE498"/>
    </row>
    <row r="499" spans="26:31">
      <c r="Z499"/>
      <c r="AA499"/>
      <c r="AB499"/>
      <c r="AC499"/>
      <c r="AD499"/>
      <c r="AE499"/>
    </row>
    <row r="500" spans="26:31">
      <c r="Z500"/>
      <c r="AA500"/>
      <c r="AB500"/>
      <c r="AC500"/>
      <c r="AD500"/>
      <c r="AE500"/>
    </row>
    <row r="501" spans="26:31">
      <c r="Z501"/>
      <c r="AA501"/>
      <c r="AB501"/>
      <c r="AC501"/>
      <c r="AD501"/>
      <c r="AE501"/>
    </row>
    <row r="502" spans="26:31">
      <c r="Z502"/>
      <c r="AA502"/>
      <c r="AB502"/>
      <c r="AC502"/>
      <c r="AD502"/>
      <c r="AE502"/>
    </row>
    <row r="503" spans="26:31">
      <c r="Z503"/>
      <c r="AA503"/>
      <c r="AB503"/>
      <c r="AC503"/>
      <c r="AD503"/>
      <c r="AE503"/>
    </row>
    <row r="504" spans="26:31">
      <c r="Z504"/>
      <c r="AA504"/>
      <c r="AB504"/>
      <c r="AC504"/>
      <c r="AD504"/>
      <c r="AE504"/>
    </row>
    <row r="505" spans="26:31">
      <c r="Z505"/>
      <c r="AA505"/>
      <c r="AB505"/>
      <c r="AC505"/>
      <c r="AD505"/>
      <c r="AE505"/>
    </row>
    <row r="506" spans="26:31">
      <c r="Z506"/>
      <c r="AA506"/>
      <c r="AB506"/>
      <c r="AC506"/>
      <c r="AD506"/>
      <c r="AE506"/>
    </row>
    <row r="507" spans="26:31">
      <c r="Z507"/>
      <c r="AA507"/>
      <c r="AB507"/>
      <c r="AC507"/>
      <c r="AD507"/>
      <c r="AE507"/>
    </row>
    <row r="508" spans="26:31">
      <c r="Z508"/>
      <c r="AA508"/>
      <c r="AB508"/>
      <c r="AC508"/>
      <c r="AD508"/>
      <c r="AE508"/>
    </row>
    <row r="509" spans="26:31">
      <c r="Z509"/>
      <c r="AA509"/>
      <c r="AB509"/>
      <c r="AC509"/>
      <c r="AD509"/>
      <c r="AE509"/>
    </row>
    <row r="510" spans="26:31">
      <c r="Z510"/>
      <c r="AA510"/>
      <c r="AB510"/>
      <c r="AC510"/>
      <c r="AD510"/>
      <c r="AE510"/>
    </row>
    <row r="511" spans="26:31">
      <c r="Z511"/>
      <c r="AA511"/>
      <c r="AB511"/>
      <c r="AC511"/>
      <c r="AD511"/>
      <c r="AE511"/>
    </row>
    <row r="512" spans="26:31">
      <c r="Z512"/>
      <c r="AA512"/>
      <c r="AB512"/>
      <c r="AC512"/>
      <c r="AD512"/>
      <c r="AE512"/>
    </row>
    <row r="513" spans="26:31">
      <c r="Z513"/>
      <c r="AA513"/>
      <c r="AB513"/>
      <c r="AC513"/>
      <c r="AD513"/>
      <c r="AE513"/>
    </row>
    <row r="514" spans="26:31">
      <c r="Z514"/>
      <c r="AA514"/>
      <c r="AB514"/>
      <c r="AC514"/>
      <c r="AD514"/>
      <c r="AE514"/>
    </row>
    <row r="515" spans="26:31">
      <c r="Z515"/>
      <c r="AA515"/>
      <c r="AB515"/>
      <c r="AC515"/>
      <c r="AD515"/>
      <c r="AE515"/>
    </row>
    <row r="516" spans="26:31">
      <c r="Z516"/>
      <c r="AA516"/>
      <c r="AB516"/>
      <c r="AC516"/>
      <c r="AD516"/>
      <c r="AE516"/>
    </row>
    <row r="517" spans="26:31">
      <c r="Z517"/>
      <c r="AA517"/>
      <c r="AB517"/>
      <c r="AC517"/>
      <c r="AD517"/>
      <c r="AE517"/>
    </row>
    <row r="518" spans="26:31">
      <c r="Z518"/>
      <c r="AA518"/>
      <c r="AB518"/>
      <c r="AC518"/>
      <c r="AD518"/>
      <c r="AE518"/>
    </row>
    <row r="519" spans="26:31">
      <c r="Z519"/>
      <c r="AA519"/>
      <c r="AB519"/>
      <c r="AC519"/>
      <c r="AD519"/>
      <c r="AE519"/>
    </row>
    <row r="520" spans="26:31">
      <c r="Z520"/>
      <c r="AA520"/>
      <c r="AB520"/>
      <c r="AC520"/>
      <c r="AD520"/>
      <c r="AE520"/>
    </row>
    <row r="521" spans="26:31">
      <c r="Z521"/>
      <c r="AA521"/>
      <c r="AB521"/>
      <c r="AC521"/>
      <c r="AD521"/>
      <c r="AE521"/>
    </row>
    <row r="522" spans="26:31">
      <c r="Z522"/>
      <c r="AA522"/>
      <c r="AB522"/>
      <c r="AC522"/>
      <c r="AD522"/>
      <c r="AE522"/>
    </row>
    <row r="523" spans="26:31">
      <c r="Z523"/>
      <c r="AA523"/>
      <c r="AB523"/>
      <c r="AC523"/>
      <c r="AD523"/>
      <c r="AE523"/>
    </row>
    <row r="524" spans="26:31">
      <c r="Z524"/>
      <c r="AA524"/>
      <c r="AB524"/>
      <c r="AC524"/>
      <c r="AD524"/>
      <c r="AE524"/>
    </row>
    <row r="525" spans="26:31">
      <c r="Z525"/>
      <c r="AA525"/>
      <c r="AB525"/>
      <c r="AC525"/>
      <c r="AD525"/>
      <c r="AE525"/>
    </row>
    <row r="526" spans="26:31">
      <c r="Z526"/>
      <c r="AA526"/>
      <c r="AB526"/>
      <c r="AC526"/>
      <c r="AD526"/>
      <c r="AE526"/>
    </row>
    <row r="527" spans="26:31">
      <c r="Z527"/>
      <c r="AA527"/>
      <c r="AB527"/>
      <c r="AC527"/>
      <c r="AD527"/>
      <c r="AE527"/>
    </row>
    <row r="528" spans="26:31">
      <c r="Z528"/>
      <c r="AA528"/>
      <c r="AB528"/>
      <c r="AC528"/>
      <c r="AD528"/>
      <c r="AE528"/>
    </row>
    <row r="529" spans="26:31">
      <c r="Z529"/>
      <c r="AA529"/>
      <c r="AB529"/>
      <c r="AC529"/>
      <c r="AD529"/>
      <c r="AE529"/>
    </row>
    <row r="530" spans="26:31">
      <c r="Z530"/>
      <c r="AA530"/>
      <c r="AB530"/>
      <c r="AC530"/>
      <c r="AD530"/>
      <c r="AE530"/>
    </row>
    <row r="531" spans="26:31">
      <c r="Z531"/>
      <c r="AA531"/>
      <c r="AB531"/>
      <c r="AC531"/>
      <c r="AD531"/>
      <c r="AE531"/>
    </row>
    <row r="532" spans="26:31">
      <c r="Z532"/>
      <c r="AA532"/>
      <c r="AB532"/>
      <c r="AC532"/>
      <c r="AD532"/>
      <c r="AE532"/>
    </row>
    <row r="533" spans="26:31">
      <c r="Z533"/>
      <c r="AA533"/>
      <c r="AB533"/>
      <c r="AC533"/>
      <c r="AD533"/>
      <c r="AE533"/>
    </row>
    <row r="534" spans="26:31">
      <c r="Z534"/>
      <c r="AA534"/>
      <c r="AB534"/>
      <c r="AC534"/>
      <c r="AD534"/>
      <c r="AE534"/>
    </row>
    <row r="535" spans="26:31">
      <c r="Z535"/>
      <c r="AA535"/>
      <c r="AB535"/>
      <c r="AC535"/>
      <c r="AD535"/>
      <c r="AE535"/>
    </row>
    <row r="536" spans="26:31">
      <c r="Z536"/>
      <c r="AA536"/>
      <c r="AB536"/>
      <c r="AC536"/>
      <c r="AD536"/>
      <c r="AE536"/>
    </row>
    <row r="537" spans="26:31">
      <c r="Z537"/>
      <c r="AA537"/>
      <c r="AB537"/>
      <c r="AC537"/>
      <c r="AD537"/>
      <c r="AE537"/>
    </row>
    <row r="538" spans="26:31">
      <c r="Z538"/>
      <c r="AA538"/>
      <c r="AB538"/>
      <c r="AC538"/>
      <c r="AD538"/>
      <c r="AE538"/>
    </row>
    <row r="539" spans="26:31">
      <c r="Z539"/>
      <c r="AA539"/>
      <c r="AB539"/>
      <c r="AC539"/>
      <c r="AD539"/>
      <c r="AE539"/>
    </row>
    <row r="540" spans="26:31">
      <c r="Z540"/>
      <c r="AA540"/>
      <c r="AB540"/>
      <c r="AC540"/>
      <c r="AD540"/>
      <c r="AE540"/>
    </row>
    <row r="541" spans="26:31">
      <c r="Z541"/>
      <c r="AA541"/>
      <c r="AB541"/>
      <c r="AC541"/>
      <c r="AD541"/>
      <c r="AE541"/>
    </row>
    <row r="542" spans="26:31">
      <c r="Z542"/>
      <c r="AA542"/>
      <c r="AB542"/>
      <c r="AC542"/>
      <c r="AD542"/>
      <c r="AE542"/>
    </row>
    <row r="543" spans="26:31">
      <c r="Z543"/>
      <c r="AA543"/>
      <c r="AB543"/>
      <c r="AC543"/>
      <c r="AD543"/>
      <c r="AE543"/>
    </row>
    <row r="544" spans="26:31">
      <c r="Z544"/>
      <c r="AA544"/>
      <c r="AB544"/>
      <c r="AC544"/>
      <c r="AD544"/>
      <c r="AE544"/>
    </row>
    <row r="545" spans="26:31">
      <c r="Z545"/>
      <c r="AA545"/>
      <c r="AB545"/>
      <c r="AC545"/>
      <c r="AD545"/>
      <c r="AE545"/>
    </row>
    <row r="546" spans="26:31">
      <c r="Z546"/>
      <c r="AA546"/>
      <c r="AB546"/>
      <c r="AC546"/>
      <c r="AD546"/>
      <c r="AE546"/>
    </row>
    <row r="547" spans="26:31">
      <c r="Z547"/>
      <c r="AA547"/>
      <c r="AB547"/>
      <c r="AC547"/>
      <c r="AD547"/>
      <c r="AE547"/>
    </row>
    <row r="548" spans="26:31">
      <c r="Z548"/>
      <c r="AA548"/>
      <c r="AB548"/>
      <c r="AC548"/>
      <c r="AD548"/>
      <c r="AE548"/>
    </row>
    <row r="549" spans="26:31">
      <c r="Z549"/>
      <c r="AA549"/>
      <c r="AB549"/>
      <c r="AC549"/>
      <c r="AD549"/>
      <c r="AE549"/>
    </row>
    <row r="550" spans="26:31">
      <c r="Z550"/>
      <c r="AA550"/>
      <c r="AB550"/>
      <c r="AC550"/>
      <c r="AD550"/>
      <c r="AE550"/>
    </row>
    <row r="551" spans="26:31">
      <c r="Z551"/>
      <c r="AA551"/>
      <c r="AB551"/>
      <c r="AC551"/>
      <c r="AD551"/>
      <c r="AE551"/>
    </row>
    <row r="552" spans="26:31">
      <c r="Z552"/>
      <c r="AA552"/>
      <c r="AB552"/>
      <c r="AC552"/>
      <c r="AD552"/>
      <c r="AE552"/>
    </row>
  </sheetData>
  <conditionalFormatting sqref="M2:M315">
    <cfRule type="containsText" dxfId="84" priority="2" operator="containsText" text="Not Settled">
      <formula>NOT(ISERROR(SEARCH("Not Settled",M2)))</formula>
    </cfRule>
  </conditionalFormatting>
  <conditionalFormatting sqref="M314">
    <cfRule type="containsText" dxfId="83" priority="1" operator="containsText" text="Not Settled">
      <formula>NOT(ISERROR(SEARCH("Not Settled",M314)))</formula>
    </cfRule>
  </conditionalFormatting>
  <pageMargins left="0.7" right="0.7" top="0.75" bottom="0.75" header="0.3" footer="0.3"/>
  <pageSetup orientation="portrait" r:id="rId2"/>
  <drawing r:id="rId3"/>
  <tableParts count="1">
    <tablePart r:id="rId4"/>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ReferenceTBL!$A$2:$A$6</xm:f>
          </x14:formula1>
          <xm:sqref>C2:C315</xm:sqref>
        </x14:dataValidation>
        <x14:dataValidation type="list" allowBlank="1" showInputMessage="1" showErrorMessage="1">
          <x14:formula1>
            <xm:f>ReferenceTBL!$E$2:$E$3</xm:f>
          </x14:formula1>
          <xm:sqref>K2:K315</xm:sqref>
        </x14:dataValidation>
      </x14:dataValidations>
    </ex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249977111117893"/>
  </sheetPr>
  <dimension ref="A1:CW488"/>
  <sheetViews>
    <sheetView workbookViewId="0">
      <pane ySplit="1" topLeftCell="A2" activePane="bottomLeft" state="frozen"/>
      <selection activeCell="H36" sqref="H36"/>
      <selection pane="bottomLeft" activeCell="A23" sqref="A23"/>
    </sheetView>
  </sheetViews>
  <sheetFormatPr defaultColWidth="11.7109375" defaultRowHeight="15"/>
  <cols>
    <col min="1" max="1" width="20.28515625" style="7" bestFit="1" customWidth="1"/>
    <col min="2" max="2" width="28" style="7" bestFit="1" customWidth="1"/>
    <col min="3" max="3" width="15.7109375" bestFit="1" customWidth="1"/>
    <col min="4" max="4" width="24.28515625" bestFit="1" customWidth="1"/>
    <col min="5" max="5" width="10.7109375" style="7" bestFit="1" customWidth="1"/>
    <col min="6" max="6" width="9.85546875" style="7" bestFit="1" customWidth="1"/>
    <col min="7" max="7" width="6.7109375" style="7" bestFit="1" customWidth="1"/>
    <col min="8" max="8" width="8.140625" style="7" bestFit="1" customWidth="1"/>
    <col min="9" max="9" width="8.85546875" style="7" bestFit="1" customWidth="1"/>
    <col min="10" max="10" width="17.28515625" style="7" bestFit="1" customWidth="1"/>
    <col min="11" max="11" width="19.7109375" style="119" bestFit="1" customWidth="1"/>
    <col min="12" max="12" width="24" style="519" bestFit="1" customWidth="1"/>
    <col min="13" max="13" width="19.140625" style="7" bestFit="1" customWidth="1"/>
    <col min="14" max="14" width="11.7109375" style="7" bestFit="1" customWidth="1"/>
    <col min="15" max="15" width="11" style="7" bestFit="1" customWidth="1"/>
    <col min="16" max="16" width="9.140625" style="7" bestFit="1" customWidth="1"/>
    <col min="17" max="17" width="13.5703125" style="7" bestFit="1" customWidth="1"/>
    <col min="18" max="18" width="28.85546875" style="7" bestFit="1" customWidth="1"/>
    <col min="19" max="19" width="11.42578125" style="7" bestFit="1" customWidth="1"/>
    <col min="20" max="20" width="17.5703125" style="7" bestFit="1" customWidth="1"/>
    <col min="21" max="21" width="20.85546875" style="7" bestFit="1" customWidth="1"/>
    <col min="22" max="22" width="21.140625" style="7" bestFit="1" customWidth="1"/>
    <col min="23" max="23" width="18.140625" style="7" bestFit="1" customWidth="1"/>
    <col min="24" max="24" width="14.140625" style="8" bestFit="1" customWidth="1"/>
    <col min="25" max="25" width="18" style="7" bestFit="1" customWidth="1"/>
    <col min="26" max="26" width="18.7109375" style="7" bestFit="1" customWidth="1"/>
    <col min="27" max="27" width="23.85546875" style="6" bestFit="1" customWidth="1"/>
    <col min="28" max="28" width="18.42578125" style="7" bestFit="1" customWidth="1"/>
    <col min="29" max="29" width="23.7109375" style="7" bestFit="1" customWidth="1"/>
    <col min="30" max="30" width="19.28515625" style="7" bestFit="1" customWidth="1"/>
    <col min="31" max="31" width="10" style="7" bestFit="1" customWidth="1"/>
    <col min="32" max="32" width="10.7109375" style="7" bestFit="1" customWidth="1"/>
    <col min="33" max="33" width="10.42578125" style="7" bestFit="1" customWidth="1"/>
    <col min="34" max="34" width="28.28515625" style="7" bestFit="1" customWidth="1"/>
    <col min="35" max="35" width="22.5703125" style="7" bestFit="1" customWidth="1"/>
    <col min="36" max="36" width="19.5703125" style="7" bestFit="1" customWidth="1"/>
    <col min="37" max="37" width="25.28515625" style="7" bestFit="1" customWidth="1"/>
    <col min="38" max="38" width="26.85546875" style="19" bestFit="1" customWidth="1"/>
    <col min="39" max="39" width="16.42578125" style="17" bestFit="1" customWidth="1"/>
    <col min="40" max="40" width="26.28515625" bestFit="1" customWidth="1"/>
    <col min="41" max="41" width="14.140625" style="6" bestFit="1" customWidth="1"/>
    <col min="42" max="42" width="20.5703125" style="17" bestFit="1" customWidth="1"/>
    <col min="43" max="43" width="24.7109375" style="8" bestFit="1" customWidth="1"/>
    <col min="44" max="44" width="27" style="7" bestFit="1" customWidth="1"/>
    <col min="47" max="47" width="10.42578125" style="7" bestFit="1" customWidth="1"/>
    <col min="48" max="48" width="12.7109375" style="7" bestFit="1" customWidth="1"/>
    <col min="49" max="50" width="11.7109375" style="7"/>
    <col min="51" max="51" width="14.28515625" style="7" bestFit="1" customWidth="1"/>
    <col min="52" max="53" width="14.140625" style="7" bestFit="1" customWidth="1"/>
    <col min="54" max="97" width="11.7109375" style="7"/>
    <col min="98" max="98" width="10" style="7" bestFit="1" customWidth="1"/>
    <col min="99" max="99" width="3" style="7" bestFit="1" customWidth="1"/>
    <col min="100" max="100" width="2" style="7" bestFit="1" customWidth="1"/>
    <col min="101" max="16384" width="11.7109375" style="7"/>
  </cols>
  <sheetData>
    <row r="1" spans="1:96" s="118" customFormat="1" ht="15.75" thickBot="1">
      <c r="A1" s="116" t="s">
        <v>39</v>
      </c>
      <c r="B1" s="116" t="s">
        <v>38</v>
      </c>
      <c r="C1" s="115" t="s">
        <v>40</v>
      </c>
      <c r="D1" s="115" t="s">
        <v>41</v>
      </c>
      <c r="E1" s="120" t="s">
        <v>45</v>
      </c>
      <c r="F1" s="251" t="s">
        <v>46</v>
      </c>
      <c r="G1" s="117" t="s">
        <v>4315</v>
      </c>
      <c r="H1" s="117" t="s">
        <v>4316</v>
      </c>
      <c r="I1" s="117" t="s">
        <v>4317</v>
      </c>
      <c r="J1" s="353" t="s">
        <v>4318</v>
      </c>
      <c r="K1" s="115" t="s">
        <v>47</v>
      </c>
      <c r="L1" s="516" t="s">
        <v>4319</v>
      </c>
      <c r="M1" s="115" t="s">
        <v>48</v>
      </c>
      <c r="N1" s="115" t="s">
        <v>49</v>
      </c>
      <c r="O1" s="115" t="s">
        <v>50</v>
      </c>
      <c r="P1" s="115" t="s">
        <v>51</v>
      </c>
      <c r="Q1" s="115" t="s">
        <v>52</v>
      </c>
      <c r="R1" s="115" t="s">
        <v>53</v>
      </c>
      <c r="S1" s="115" t="s">
        <v>4320</v>
      </c>
      <c r="T1" s="115" t="s">
        <v>4321</v>
      </c>
      <c r="U1" s="115" t="s">
        <v>4322</v>
      </c>
      <c r="V1" s="115" t="s">
        <v>4323</v>
      </c>
      <c r="W1" s="115" t="s">
        <v>4324</v>
      </c>
      <c r="X1" s="115" t="s">
        <v>42</v>
      </c>
      <c r="Y1" s="115" t="s">
        <v>43</v>
      </c>
      <c r="Z1" s="251" t="s">
        <v>44</v>
      </c>
      <c r="AA1" s="115" t="s">
        <v>4325</v>
      </c>
      <c r="AB1" s="115" t="s">
        <v>4326</v>
      </c>
      <c r="AC1" s="377" t="s">
        <v>4327</v>
      </c>
      <c r="AD1" s="378" t="s">
        <v>55</v>
      </c>
      <c r="AE1" s="379" t="s">
        <v>56</v>
      </c>
      <c r="AF1" s="379" t="s">
        <v>57</v>
      </c>
      <c r="AG1" s="379" t="s">
        <v>4328</v>
      </c>
      <c r="AH1" s="379" t="s">
        <v>59</v>
      </c>
      <c r="AI1" s="379" t="s">
        <v>60</v>
      </c>
      <c r="AJ1" s="379" t="s">
        <v>61</v>
      </c>
      <c r="AK1" s="380" t="s">
        <v>4329</v>
      </c>
      <c r="AL1" s="381" t="s">
        <v>4330</v>
      </c>
      <c r="AM1" s="382" t="s">
        <v>4331</v>
      </c>
      <c r="AN1" s="383" t="s">
        <v>4332</v>
      </c>
      <c r="AO1" s="380" t="s">
        <v>4333</v>
      </c>
      <c r="AP1" s="380" t="s">
        <v>4334</v>
      </c>
      <c r="AQ1" s="515" t="s">
        <v>4335</v>
      </c>
    </row>
    <row r="2" spans="1:96">
      <c r="A2" s="9" t="s">
        <v>130</v>
      </c>
      <c r="B2" s="9" t="s">
        <v>4336</v>
      </c>
      <c r="C2" s="7" t="s">
        <v>4337</v>
      </c>
      <c r="D2" s="7" t="s">
        <v>4338</v>
      </c>
      <c r="E2" s="119">
        <v>24917</v>
      </c>
      <c r="F2" s="22">
        <f t="shared" ref="F2:F12" ca="1" si="0">IFERROR((TODAY()-E2)/365,"MISSING")</f>
        <v>48.38082191780822</v>
      </c>
      <c r="G2" s="7">
        <v>1</v>
      </c>
      <c r="H2" s="7">
        <v>21597</v>
      </c>
      <c r="I2" s="7" t="s">
        <v>123</v>
      </c>
      <c r="J2" s="7" t="s">
        <v>4339</v>
      </c>
      <c r="K2" s="7" t="s">
        <v>4340</v>
      </c>
      <c r="L2" s="517" t="s">
        <v>123</v>
      </c>
      <c r="M2" s="7" t="s">
        <v>4341</v>
      </c>
      <c r="N2" s="7" t="s">
        <v>531</v>
      </c>
      <c r="O2" s="7" t="s">
        <v>2206</v>
      </c>
      <c r="P2" s="7">
        <v>94577</v>
      </c>
      <c r="Q2" s="7" t="s">
        <v>2207</v>
      </c>
      <c r="R2" s="93" t="s">
        <v>4342</v>
      </c>
      <c r="S2" s="7">
        <v>710941698</v>
      </c>
      <c r="T2" s="7" t="s">
        <v>4343</v>
      </c>
      <c r="U2" s="7">
        <v>121000358</v>
      </c>
      <c r="V2" s="8">
        <v>487123742</v>
      </c>
      <c r="W2" s="7" t="s">
        <v>4344</v>
      </c>
      <c r="X2" s="7" t="s">
        <v>4345</v>
      </c>
      <c r="Y2" s="6">
        <v>42814</v>
      </c>
      <c r="Z2" s="11" t="str">
        <f t="shared" ref="Z2:Z8" ca="1" si="1">IF(Y2&gt;(TODAY()),"GOOD","EXPIRED")</f>
        <v>GOOD</v>
      </c>
      <c r="AA2" s="9" t="s">
        <v>4346</v>
      </c>
      <c r="AB2" s="250" t="s">
        <v>1309</v>
      </c>
      <c r="AC2" s="6" t="s">
        <v>1309</v>
      </c>
      <c r="AD2" s="7" t="str">
        <f ca="1">IF(Table10[[#This Row],[DriverMedicalExpireDate]]="Missing","MISSING",IF(Table10[[#This Row],[DriverMedicalExpireDate]]&gt;=TODAY(),"PASS","EXPIRED"))</f>
        <v>MISSING</v>
      </c>
      <c r="AE2" s="7">
        <v>692221</v>
      </c>
      <c r="AF2" s="7">
        <v>1943696</v>
      </c>
      <c r="AG2" s="250" t="s">
        <v>1309</v>
      </c>
      <c r="AH2" s="7" t="s">
        <v>4347</v>
      </c>
      <c r="AI2" s="7" t="s">
        <v>4348</v>
      </c>
      <c r="AJ2" s="6">
        <v>42279</v>
      </c>
      <c r="AK2" s="9">
        <f t="shared" ref="AK2:AK12" ca="1" si="2">IFERROR(AJ2-(TODAY()),"Missing")</f>
        <v>-297</v>
      </c>
      <c r="AL2" s="25">
        <v>42170</v>
      </c>
      <c r="AM2" s="25">
        <v>42170</v>
      </c>
      <c r="AN2" s="25">
        <f>Table10[[#This Row],[ContractSignDate]]+90</f>
        <v>42260</v>
      </c>
      <c r="AO2" s="25" t="str">
        <f t="shared" ref="AO2:AO12" si="3">C2</f>
        <v>Marco A Ponse</v>
      </c>
      <c r="AP2" s="9" t="str">
        <f ca="1">IF(Table10[[#This Row],[EquipToDriverStat]]="UnAssigned","NotActive",Table10[[#This Row],[ContractorToBeRenewedOn]]-TODAY())</f>
        <v>NotActive</v>
      </c>
      <c r="AQ2" s="9" t="str">
        <f t="shared" ref="AQ2:AQ12" ca="1" si="4">IF(J2="UnAssigned","NotActive",IF(AN2&lt;TODAY(),"Expired","Good"))</f>
        <v>NotActive</v>
      </c>
      <c r="AS2" s="7"/>
      <c r="AT2" s="7"/>
    </row>
    <row r="3" spans="1:96">
      <c r="A3" s="2" t="s">
        <v>148</v>
      </c>
      <c r="B3" s="2" t="s">
        <v>4349</v>
      </c>
      <c r="C3" s="2" t="s">
        <v>4350</v>
      </c>
      <c r="D3" s="2" t="s">
        <v>4351</v>
      </c>
      <c r="E3" s="121">
        <v>26070</v>
      </c>
      <c r="F3" s="22">
        <f t="shared" ca="1" si="0"/>
        <v>45.221917808219175</v>
      </c>
      <c r="G3" s="7">
        <v>738</v>
      </c>
      <c r="H3" s="7">
        <v>8823</v>
      </c>
      <c r="I3" s="7" t="s">
        <v>123</v>
      </c>
      <c r="J3" s="7" t="s">
        <v>4339</v>
      </c>
      <c r="K3" s="2" t="s">
        <v>4352</v>
      </c>
      <c r="L3" s="48" t="s">
        <v>123</v>
      </c>
      <c r="M3" s="2" t="s">
        <v>4353</v>
      </c>
      <c r="N3" s="2" t="s">
        <v>818</v>
      </c>
      <c r="O3" s="2" t="s">
        <v>2293</v>
      </c>
      <c r="P3" s="2">
        <v>95953</v>
      </c>
      <c r="Q3" s="2" t="s">
        <v>2207</v>
      </c>
      <c r="R3" s="24" t="s">
        <v>4354</v>
      </c>
      <c r="S3" s="2">
        <v>622718767</v>
      </c>
      <c r="T3" s="2" t="s">
        <v>4355</v>
      </c>
      <c r="U3" s="2">
        <v>121141398</v>
      </c>
      <c r="V3" s="2">
        <v>2329859</v>
      </c>
      <c r="W3" s="2" t="s">
        <v>4344</v>
      </c>
      <c r="X3" s="2" t="s">
        <v>4356</v>
      </c>
      <c r="Y3" s="16">
        <v>42232</v>
      </c>
      <c r="Z3" s="11" t="str">
        <f t="shared" ca="1" si="1"/>
        <v>EXPIRED</v>
      </c>
      <c r="AA3" s="9" t="s">
        <v>4346</v>
      </c>
      <c r="AB3" s="250" t="s">
        <v>1309</v>
      </c>
      <c r="AC3" s="6" t="s">
        <v>1309</v>
      </c>
      <c r="AD3" s="7" t="str">
        <f ca="1">IF(Table10[[#This Row],[DriverMedicalExpireDate]]="Missing","MISSING",IF(Table10[[#This Row],[DriverMedicalExpireDate]]&gt;=TODAY(),"PASS","EXPIRED"))</f>
        <v>MISSING</v>
      </c>
      <c r="AE3" s="2">
        <v>898021</v>
      </c>
      <c r="AF3" s="2">
        <v>2570177</v>
      </c>
      <c r="AG3" s="250" t="s">
        <v>1309</v>
      </c>
      <c r="AH3" s="2" t="s">
        <v>4357</v>
      </c>
      <c r="AI3" s="2" t="s">
        <v>4358</v>
      </c>
      <c r="AJ3" s="16">
        <v>42378</v>
      </c>
      <c r="AK3" s="9">
        <f t="shared" ca="1" si="2"/>
        <v>-198</v>
      </c>
      <c r="AL3" s="25">
        <v>42177</v>
      </c>
      <c r="AM3" s="25">
        <v>42177</v>
      </c>
      <c r="AN3" s="25">
        <f>Table10[[#This Row],[ContractSignDate]]+90</f>
        <v>42267</v>
      </c>
      <c r="AO3" s="25" t="str">
        <f t="shared" si="3"/>
        <v>Karamjeet</v>
      </c>
      <c r="AP3" s="9" t="str">
        <f ca="1">IF(Table10[[#This Row],[EquipToDriverStat]]="UnAssigned","NotActive",Table10[[#This Row],[ContractorToBeRenewedOn]]-TODAY())</f>
        <v>NotActive</v>
      </c>
      <c r="AQ3" s="9" t="str">
        <f t="shared" ca="1" si="4"/>
        <v>NotActive</v>
      </c>
      <c r="AS3" s="7"/>
      <c r="AT3" s="7"/>
    </row>
    <row r="4" spans="1:96" s="17" customFormat="1">
      <c r="A4" s="17" t="s">
        <v>162</v>
      </c>
      <c r="B4" s="17" t="s">
        <v>4359</v>
      </c>
      <c r="C4" s="18" t="s">
        <v>4360</v>
      </c>
      <c r="D4" s="17" t="s">
        <v>4361</v>
      </c>
      <c r="E4" s="253" t="s">
        <v>4362</v>
      </c>
      <c r="F4" s="254" t="str">
        <f t="shared" ca="1" si="0"/>
        <v>MISSING</v>
      </c>
      <c r="G4" s="17">
        <v>84</v>
      </c>
      <c r="H4" s="17">
        <v>47213</v>
      </c>
      <c r="I4" s="7" t="s">
        <v>123</v>
      </c>
      <c r="J4" s="7" t="s">
        <v>4339</v>
      </c>
      <c r="K4" s="17" t="s">
        <v>4363</v>
      </c>
      <c r="L4" s="21" t="s">
        <v>123</v>
      </c>
      <c r="M4" s="17" t="s">
        <v>4364</v>
      </c>
      <c r="N4" s="17" t="s">
        <v>3212</v>
      </c>
      <c r="O4" s="17" t="s">
        <v>2206</v>
      </c>
      <c r="P4" s="17">
        <v>95380</v>
      </c>
      <c r="Q4" s="17" t="s">
        <v>2207</v>
      </c>
      <c r="R4" s="94" t="s">
        <v>4365</v>
      </c>
      <c r="S4" s="17">
        <v>300045837</v>
      </c>
      <c r="T4" s="2" t="s">
        <v>4366</v>
      </c>
      <c r="U4" s="2">
        <v>121100782</v>
      </c>
      <c r="V4" s="2">
        <v>391053881</v>
      </c>
      <c r="W4" s="2" t="s">
        <v>4344</v>
      </c>
      <c r="X4" s="2" t="s">
        <v>4367</v>
      </c>
      <c r="Y4" s="16">
        <v>42415</v>
      </c>
      <c r="Z4" s="11" t="str">
        <f t="shared" ca="1" si="1"/>
        <v>EXPIRED</v>
      </c>
      <c r="AA4" s="9" t="s">
        <v>4346</v>
      </c>
      <c r="AB4" s="250" t="s">
        <v>1309</v>
      </c>
      <c r="AC4" s="6" t="s">
        <v>1309</v>
      </c>
      <c r="AD4" s="7" t="str">
        <f ca="1">IF(Table10[[#This Row],[DriverMedicalExpireDate]]="Missing","MISSING",IF(Table10[[#This Row],[DriverMedicalExpireDate]]&gt;=TODAY(),"PASS","EXPIRED"))</f>
        <v>MISSING</v>
      </c>
      <c r="AE4" s="2">
        <v>748016</v>
      </c>
      <c r="AF4" s="17">
        <v>1978408</v>
      </c>
      <c r="AG4" s="250" t="s">
        <v>1309</v>
      </c>
      <c r="AH4" s="17" t="s">
        <v>4368</v>
      </c>
      <c r="AI4" s="17" t="s">
        <v>4369</v>
      </c>
      <c r="AJ4" s="19">
        <v>42479</v>
      </c>
      <c r="AK4" s="9">
        <f t="shared" ca="1" si="2"/>
        <v>-97</v>
      </c>
      <c r="AL4" s="25">
        <v>42177</v>
      </c>
      <c r="AM4" s="25">
        <v>42177</v>
      </c>
      <c r="AN4" s="25">
        <f>Table10[[#This Row],[ContractSignDate]]+90</f>
        <v>42267</v>
      </c>
      <c r="AO4" s="25" t="str">
        <f t="shared" si="3"/>
        <v>Satnam</v>
      </c>
      <c r="AP4" s="9" t="str">
        <f ca="1">IF(Table10[[#This Row],[EquipToDriverStat]]="UnAssigned","NotActive",Table10[[#This Row],[ContractorToBeRenewedOn]]-TODAY())</f>
        <v>NotActive</v>
      </c>
      <c r="AQ4" s="9" t="str">
        <f t="shared" ca="1" si="4"/>
        <v>NotActive</v>
      </c>
      <c r="AU4" s="7"/>
    </row>
    <row r="5" spans="1:96">
      <c r="A5" s="7" t="s">
        <v>192</v>
      </c>
      <c r="B5" s="7" t="s">
        <v>3881</v>
      </c>
      <c r="C5" s="7" t="s">
        <v>3839</v>
      </c>
      <c r="D5" s="7" t="s">
        <v>4370</v>
      </c>
      <c r="E5" s="119">
        <v>22314</v>
      </c>
      <c r="F5" s="22">
        <f t="shared" ca="1" si="0"/>
        <v>55.512328767123286</v>
      </c>
      <c r="G5" s="7" t="s">
        <v>4371</v>
      </c>
      <c r="H5" s="7" t="s">
        <v>4067</v>
      </c>
      <c r="I5" s="7" t="s">
        <v>123</v>
      </c>
      <c r="J5" s="7" t="s">
        <v>4372</v>
      </c>
      <c r="K5" s="7" t="s">
        <v>4373</v>
      </c>
      <c r="L5" s="517" t="s">
        <v>123</v>
      </c>
      <c r="M5" s="7" t="s">
        <v>4374</v>
      </c>
      <c r="N5" s="7" t="s">
        <v>380</v>
      </c>
      <c r="O5" s="7" t="s">
        <v>2206</v>
      </c>
      <c r="P5" s="7">
        <v>95377</v>
      </c>
      <c r="Q5" s="7" t="s">
        <v>2207</v>
      </c>
      <c r="R5" s="93" t="s">
        <v>4375</v>
      </c>
      <c r="S5" s="7" t="s">
        <v>4376</v>
      </c>
      <c r="T5" s="7" t="s">
        <v>4377</v>
      </c>
      <c r="U5" s="7">
        <v>121042882</v>
      </c>
      <c r="V5" s="8">
        <v>1084840337</v>
      </c>
      <c r="W5" s="2" t="s">
        <v>4344</v>
      </c>
      <c r="X5" s="7" t="s">
        <v>4378</v>
      </c>
      <c r="Y5" s="6">
        <v>42402</v>
      </c>
      <c r="Z5" s="11" t="str">
        <f t="shared" ca="1" si="1"/>
        <v>EXPIRED</v>
      </c>
      <c r="AA5" s="7" t="s">
        <v>4379</v>
      </c>
      <c r="AB5" s="6">
        <v>42167</v>
      </c>
      <c r="AC5" s="6" t="s">
        <v>1309</v>
      </c>
      <c r="AD5" s="7" t="str">
        <f ca="1">IF(Table10[[#This Row],[DriverMedicalExpireDate]]="Missing","MISSING",IF(Table10[[#This Row],[DriverMedicalExpireDate]]&gt;=TODAY(),"PASS","EXPIRED"))</f>
        <v>MISSING</v>
      </c>
      <c r="AE5" s="7">
        <v>913971</v>
      </c>
      <c r="AF5" s="7">
        <v>2627544</v>
      </c>
      <c r="AG5" s="7">
        <v>466133</v>
      </c>
      <c r="AH5" s="7" t="s">
        <v>4665</v>
      </c>
      <c r="AI5" s="7" t="s">
        <v>4380</v>
      </c>
      <c r="AJ5" s="6">
        <v>42778</v>
      </c>
      <c r="AK5" s="9">
        <f t="shared" ca="1" si="2"/>
        <v>202</v>
      </c>
      <c r="AL5" s="25">
        <v>42167</v>
      </c>
      <c r="AM5" s="6">
        <v>42167</v>
      </c>
      <c r="AN5" s="25">
        <f>Table10[[#This Row],[ContractSignDate]]+90</f>
        <v>42257</v>
      </c>
      <c r="AO5" s="6" t="str">
        <f t="shared" si="3"/>
        <v>Albel</v>
      </c>
      <c r="AP5" s="9">
        <f ca="1">IF(Table10[[#This Row],[EquipToDriverStat]]="UnAssigned","NotActive",Table10[[#This Row],[ContractorToBeRenewedOn]]-TODAY())</f>
        <v>-319</v>
      </c>
      <c r="AQ5" s="9" t="str">
        <f t="shared" ca="1" si="4"/>
        <v>Expired</v>
      </c>
      <c r="AS5" s="7"/>
      <c r="AT5" s="7"/>
      <c r="CM5" s="17"/>
    </row>
    <row r="6" spans="1:96">
      <c r="A6" s="7" t="s">
        <v>663</v>
      </c>
      <c r="B6" s="7" t="s">
        <v>3881</v>
      </c>
      <c r="C6" s="7" t="s">
        <v>4381</v>
      </c>
      <c r="D6" s="7" t="s">
        <v>4382</v>
      </c>
      <c r="E6" s="119">
        <v>25306</v>
      </c>
      <c r="F6" s="22">
        <f t="shared" ca="1" si="0"/>
        <v>47.315068493150683</v>
      </c>
      <c r="G6" s="7" t="s">
        <v>3863</v>
      </c>
      <c r="H6" s="7" t="s">
        <v>4001</v>
      </c>
      <c r="I6" s="7">
        <v>2</v>
      </c>
      <c r="J6" s="7" t="s">
        <v>4339</v>
      </c>
      <c r="K6" s="7" t="s">
        <v>4383</v>
      </c>
      <c r="L6" s="517" t="s">
        <v>123</v>
      </c>
      <c r="M6" s="7" t="s">
        <v>4384</v>
      </c>
      <c r="N6" s="7" t="s">
        <v>184</v>
      </c>
      <c r="O6" s="7" t="s">
        <v>2206</v>
      </c>
      <c r="P6" s="7">
        <v>95219</v>
      </c>
      <c r="Q6" s="7" t="s">
        <v>2207</v>
      </c>
      <c r="R6" s="93" t="s">
        <v>4385</v>
      </c>
      <c r="S6" s="7">
        <v>545671726</v>
      </c>
      <c r="T6" s="7" t="s">
        <v>4386</v>
      </c>
      <c r="U6" s="7">
        <v>124303120</v>
      </c>
      <c r="V6" s="8" t="s">
        <v>4387</v>
      </c>
      <c r="W6" s="7" t="s">
        <v>4344</v>
      </c>
      <c r="X6" s="7" t="s">
        <v>4388</v>
      </c>
      <c r="Y6" s="6">
        <v>43568</v>
      </c>
      <c r="Z6" s="7" t="str">
        <f t="shared" ca="1" si="1"/>
        <v>GOOD</v>
      </c>
      <c r="AA6" s="9" t="s">
        <v>4346</v>
      </c>
      <c r="AB6" s="6">
        <v>42231</v>
      </c>
      <c r="AC6" s="6" t="s">
        <v>1309</v>
      </c>
      <c r="AD6" s="7" t="str">
        <f ca="1">IF(Table10[[#This Row],[DriverMedicalExpireDate]]="Missing","MISSING",IF(Table10[[#This Row],[DriverMedicalExpireDate]]&gt;=TODAY(),"PASS","EXPIRED"))</f>
        <v>MISSING</v>
      </c>
      <c r="AE6" s="7">
        <v>913971</v>
      </c>
      <c r="AF6" s="7">
        <v>2627544</v>
      </c>
      <c r="AG6" s="7">
        <v>466133</v>
      </c>
      <c r="AH6" s="7" t="s">
        <v>4665</v>
      </c>
      <c r="AI6" s="7" t="s">
        <v>4380</v>
      </c>
      <c r="AJ6" s="6">
        <v>42778</v>
      </c>
      <c r="AK6" s="9">
        <f t="shared" ca="1" si="2"/>
        <v>202</v>
      </c>
      <c r="AL6" s="25">
        <v>42231</v>
      </c>
      <c r="AM6" s="6">
        <v>42231</v>
      </c>
      <c r="AN6" s="25">
        <f>Table10[[#This Row],[ContractSignDate]]+90</f>
        <v>42321</v>
      </c>
      <c r="AO6" s="6" t="str">
        <f t="shared" si="3"/>
        <v>Christopher J.</v>
      </c>
      <c r="AP6" s="9" t="str">
        <f ca="1">IF(Table10[[#This Row],[EquipToDriverStat]]="UnAssigned","NotActive",Table10[[#This Row],[ContractorToBeRenewedOn]]-TODAY())</f>
        <v>NotActive</v>
      </c>
      <c r="AQ6" s="9" t="str">
        <f t="shared" ca="1" si="4"/>
        <v>NotActive</v>
      </c>
      <c r="AS6" s="7"/>
      <c r="AT6" s="7"/>
      <c r="CM6" s="17"/>
    </row>
    <row r="7" spans="1:96">
      <c r="A7" s="7" t="s">
        <v>948</v>
      </c>
      <c r="B7" s="7" t="s">
        <v>3881</v>
      </c>
      <c r="C7" s="9" t="s">
        <v>3883</v>
      </c>
      <c r="D7" s="9" t="s">
        <v>4389</v>
      </c>
      <c r="E7" s="122">
        <v>31405</v>
      </c>
      <c r="F7" s="22">
        <f t="shared" ca="1" si="0"/>
        <v>30.605479452054794</v>
      </c>
      <c r="G7" s="7" t="s">
        <v>3863</v>
      </c>
      <c r="H7" s="7" t="s">
        <v>4001</v>
      </c>
      <c r="I7" s="7">
        <v>3</v>
      </c>
      <c r="J7" s="7" t="s">
        <v>4339</v>
      </c>
      <c r="K7" s="9" t="s">
        <v>4390</v>
      </c>
      <c r="L7" s="21" t="s">
        <v>123</v>
      </c>
      <c r="M7" s="9" t="s">
        <v>4391</v>
      </c>
      <c r="N7" s="9" t="s">
        <v>184</v>
      </c>
      <c r="O7" s="9" t="s">
        <v>2206</v>
      </c>
      <c r="P7" s="9">
        <v>95207</v>
      </c>
      <c r="Q7" s="9" t="s">
        <v>2207</v>
      </c>
      <c r="R7" s="24" t="s">
        <v>4392</v>
      </c>
      <c r="S7" s="9" t="s">
        <v>4393</v>
      </c>
      <c r="T7" s="9" t="s">
        <v>123</v>
      </c>
      <c r="U7" s="9" t="s">
        <v>123</v>
      </c>
      <c r="V7" s="9" t="s">
        <v>123</v>
      </c>
      <c r="W7" s="9" t="s">
        <v>123</v>
      </c>
      <c r="X7" s="9" t="s">
        <v>4394</v>
      </c>
      <c r="Y7" s="25">
        <v>43458</v>
      </c>
      <c r="Z7" s="11" t="str">
        <f t="shared" ca="1" si="1"/>
        <v>GOOD</v>
      </c>
      <c r="AA7" s="9" t="s">
        <v>4346</v>
      </c>
      <c r="AB7" s="6">
        <v>42271</v>
      </c>
      <c r="AC7" s="6" t="s">
        <v>1309</v>
      </c>
      <c r="AD7" s="7" t="str">
        <f ca="1">IF(Table10[[#This Row],[DriverMedicalExpireDate]]="Missing","MISSING",IF(Table10[[#This Row],[DriverMedicalExpireDate]]&gt;=TODAY(),"PASS","EXPIRED"))</f>
        <v>MISSING</v>
      </c>
      <c r="AE7" s="7">
        <v>913971</v>
      </c>
      <c r="AF7" s="7">
        <v>2627544</v>
      </c>
      <c r="AG7" s="7">
        <v>466133</v>
      </c>
      <c r="AH7" s="7" t="s">
        <v>4665</v>
      </c>
      <c r="AI7" s="7" t="s">
        <v>4380</v>
      </c>
      <c r="AJ7" s="6">
        <v>42778</v>
      </c>
      <c r="AK7" s="9">
        <f t="shared" ca="1" si="2"/>
        <v>202</v>
      </c>
      <c r="AL7" s="25">
        <v>42271</v>
      </c>
      <c r="AM7" s="6">
        <v>42271</v>
      </c>
      <c r="AN7" s="25">
        <f>Table10[[#This Row],[ContractSignDate]]+90</f>
        <v>42361</v>
      </c>
      <c r="AO7" s="6" t="str">
        <f t="shared" si="3"/>
        <v>Wesley</v>
      </c>
      <c r="AP7" s="9" t="str">
        <f ca="1">IF(Table10[[#This Row],[EquipToDriverStat]]="UnAssigned","NotActive",Table10[[#This Row],[ContractorToBeRenewedOn]]-TODAY())</f>
        <v>NotActive</v>
      </c>
      <c r="AQ7" s="9" t="str">
        <f t="shared" ca="1" si="4"/>
        <v>NotActive</v>
      </c>
      <c r="AS7" s="7"/>
      <c r="AT7" s="7"/>
      <c r="CM7" s="17"/>
    </row>
    <row r="8" spans="1:96">
      <c r="A8" s="7" t="s">
        <v>1409</v>
      </c>
      <c r="B8" s="7" t="s">
        <v>3881</v>
      </c>
      <c r="C8" s="65" t="s">
        <v>3836</v>
      </c>
      <c r="D8" s="65" t="s">
        <v>4395</v>
      </c>
      <c r="E8" s="123">
        <v>21198</v>
      </c>
      <c r="F8" s="22">
        <f t="shared" ca="1" si="0"/>
        <v>58.56986301369863</v>
      </c>
      <c r="G8" s="7" t="s">
        <v>3896</v>
      </c>
      <c r="H8" s="7" t="s">
        <v>4030</v>
      </c>
      <c r="I8" s="7">
        <v>1</v>
      </c>
      <c r="J8" s="7" t="s">
        <v>4372</v>
      </c>
      <c r="K8" s="65" t="s">
        <v>4396</v>
      </c>
      <c r="L8" s="54">
        <v>250</v>
      </c>
      <c r="M8" s="65" t="s">
        <v>4397</v>
      </c>
      <c r="N8" s="65" t="s">
        <v>889</v>
      </c>
      <c r="O8" s="7" t="s">
        <v>2206</v>
      </c>
      <c r="P8" s="65">
        <v>95361</v>
      </c>
      <c r="Q8" s="65" t="s">
        <v>2207</v>
      </c>
      <c r="R8" s="93" t="s">
        <v>4398</v>
      </c>
      <c r="S8" s="65" t="s">
        <v>4399</v>
      </c>
      <c r="T8" s="65" t="s">
        <v>4343</v>
      </c>
      <c r="U8" s="65">
        <v>121000358</v>
      </c>
      <c r="V8" s="8">
        <v>404870969</v>
      </c>
      <c r="W8" s="7" t="s">
        <v>4344</v>
      </c>
      <c r="X8" s="7" t="s">
        <v>4400</v>
      </c>
      <c r="Y8" s="6">
        <v>43843</v>
      </c>
      <c r="Z8" s="7" t="str">
        <f t="shared" ca="1" si="1"/>
        <v>GOOD</v>
      </c>
      <c r="AA8" s="7" t="s">
        <v>4346</v>
      </c>
      <c r="AB8" s="6">
        <v>42334</v>
      </c>
      <c r="AC8" s="6" t="s">
        <v>1309</v>
      </c>
      <c r="AD8" s="7" t="str">
        <f ca="1">IF(Table10[[#This Row],[DriverMedicalExpireDate]]="Missing","MISSING",IF(Table10[[#This Row],[DriverMedicalExpireDate]]&gt;=TODAY(),"PASS","EXPIRED"))</f>
        <v>MISSING</v>
      </c>
      <c r="AE8" s="7">
        <v>913971</v>
      </c>
      <c r="AF8" s="7">
        <v>2627544</v>
      </c>
      <c r="AG8" s="7">
        <v>466133</v>
      </c>
      <c r="AH8" s="7" t="s">
        <v>4665</v>
      </c>
      <c r="AI8" s="7" t="s">
        <v>4380</v>
      </c>
      <c r="AJ8" s="6">
        <v>42778</v>
      </c>
      <c r="AK8" s="9">
        <f t="shared" ca="1" si="2"/>
        <v>202</v>
      </c>
      <c r="AL8" s="25">
        <v>42334</v>
      </c>
      <c r="AM8" s="6">
        <v>42334</v>
      </c>
      <c r="AN8" s="25">
        <f>Table10[[#This Row],[ContractSignDate]]+90</f>
        <v>42424</v>
      </c>
      <c r="AO8" s="6" t="str">
        <f t="shared" si="3"/>
        <v>Miguel Jaime</v>
      </c>
      <c r="AP8" s="9">
        <f ca="1">IF(Table10[[#This Row],[EquipToDriverStat]]="UnAssigned","NotActive",Table10[[#This Row],[ContractorToBeRenewedOn]]-TODAY())</f>
        <v>-152</v>
      </c>
      <c r="AQ8" s="9" t="str">
        <f t="shared" ca="1" si="4"/>
        <v>Expired</v>
      </c>
      <c r="AS8" s="7"/>
      <c r="AT8" s="7"/>
      <c r="CM8" s="17"/>
    </row>
    <row r="9" spans="1:96">
      <c r="A9" s="7" t="s">
        <v>1769</v>
      </c>
      <c r="B9" s="7" t="s">
        <v>4181</v>
      </c>
      <c r="C9" s="7" t="s">
        <v>4401</v>
      </c>
      <c r="D9" s="7" t="s">
        <v>4351</v>
      </c>
      <c r="E9" s="119">
        <v>23217</v>
      </c>
      <c r="F9" s="22">
        <f t="shared" ca="1" si="0"/>
        <v>53.038356164383565</v>
      </c>
      <c r="G9" s="7">
        <v>265</v>
      </c>
      <c r="H9" s="7">
        <v>533</v>
      </c>
      <c r="I9" s="7" t="s">
        <v>123</v>
      </c>
      <c r="J9" s="7" t="s">
        <v>4339</v>
      </c>
      <c r="K9" s="7" t="s">
        <v>4402</v>
      </c>
      <c r="L9" s="517" t="s">
        <v>123</v>
      </c>
      <c r="M9" s="7" t="s">
        <v>4403</v>
      </c>
      <c r="N9" s="7" t="s">
        <v>1713</v>
      </c>
      <c r="O9" s="7" t="s">
        <v>2206</v>
      </c>
      <c r="P9" s="7">
        <v>95337</v>
      </c>
      <c r="Q9" s="7" t="s">
        <v>2207</v>
      </c>
      <c r="R9" s="95" t="s">
        <v>4404</v>
      </c>
      <c r="S9" s="7" t="s">
        <v>4405</v>
      </c>
      <c r="T9" s="7" t="s">
        <v>4406</v>
      </c>
      <c r="U9" s="7">
        <v>322271627</v>
      </c>
      <c r="V9" s="8">
        <v>205227287</v>
      </c>
      <c r="W9" s="7" t="s">
        <v>4344</v>
      </c>
      <c r="X9" s="7" t="s">
        <v>4407</v>
      </c>
      <c r="Y9" s="6">
        <v>42576</v>
      </c>
      <c r="Z9" s="7" t="str">
        <f t="shared" ref="Z9:Z14" ca="1" si="5">IF(Y9&gt;(TODAY()),"GOOD","EXPIRED")</f>
        <v>EXPIRED</v>
      </c>
      <c r="AA9" s="7" t="s">
        <v>4346</v>
      </c>
      <c r="AB9" s="6">
        <v>42271</v>
      </c>
      <c r="AC9" s="6" t="s">
        <v>1309</v>
      </c>
      <c r="AD9" s="7" t="str">
        <f ca="1">IF(Table10[[#This Row],[DriverMedicalExpireDate]]="Missing","MISSING",IF(Table10[[#This Row],[DriverMedicalExpireDate]]&gt;=TODAY(),"PASS","EXPIRED"))</f>
        <v>MISSING</v>
      </c>
      <c r="AE9" s="7">
        <v>789222</v>
      </c>
      <c r="AF9" s="7">
        <v>2311783</v>
      </c>
      <c r="AG9" s="250" t="s">
        <v>1309</v>
      </c>
      <c r="AH9" s="7" t="s">
        <v>4408</v>
      </c>
      <c r="AI9" s="7" t="s">
        <v>4409</v>
      </c>
      <c r="AJ9" s="250" t="s">
        <v>1309</v>
      </c>
      <c r="AK9" s="9" t="str">
        <f t="shared" ca="1" si="2"/>
        <v>Missing</v>
      </c>
      <c r="AL9" s="25">
        <v>42271</v>
      </c>
      <c r="AM9" s="6">
        <v>42271</v>
      </c>
      <c r="AN9" s="25">
        <f>Table10[[#This Row],[ContractSignDate]]+90</f>
        <v>42361</v>
      </c>
      <c r="AO9" s="6" t="str">
        <f t="shared" si="3"/>
        <v>Manjit</v>
      </c>
      <c r="AP9" s="9" t="str">
        <f ca="1">IF(Table10[[#This Row],[EquipToDriverStat]]="UnAssigned","NotActive",Table10[[#This Row],[ContractorToBeRenewedOn]]-TODAY())</f>
        <v>NotActive</v>
      </c>
      <c r="AQ9" s="9" t="str">
        <f t="shared" ca="1" si="4"/>
        <v>NotActive</v>
      </c>
      <c r="AS9" s="7"/>
      <c r="AT9" s="7"/>
      <c r="CM9" s="17"/>
    </row>
    <row r="10" spans="1:96">
      <c r="A10" s="7" t="s">
        <v>2149</v>
      </c>
      <c r="B10" s="7" t="s">
        <v>3881</v>
      </c>
      <c r="C10" s="7" t="s">
        <v>4410</v>
      </c>
      <c r="D10" s="7" t="s">
        <v>4351</v>
      </c>
      <c r="E10" s="119">
        <v>29114</v>
      </c>
      <c r="F10" s="22">
        <f t="shared" ca="1" si="0"/>
        <v>36.88219178082192</v>
      </c>
      <c r="G10" s="7" t="s">
        <v>3896</v>
      </c>
      <c r="H10" s="7" t="s">
        <v>4030</v>
      </c>
      <c r="I10" s="7" t="s">
        <v>123</v>
      </c>
      <c r="J10" s="7" t="s">
        <v>4339</v>
      </c>
      <c r="K10" s="7" t="s">
        <v>4411</v>
      </c>
      <c r="L10" s="517" t="s">
        <v>123</v>
      </c>
      <c r="M10" s="7" t="s">
        <v>1309</v>
      </c>
      <c r="N10" s="7" t="s">
        <v>1713</v>
      </c>
      <c r="O10" s="7" t="s">
        <v>2206</v>
      </c>
      <c r="P10" s="7">
        <v>95337</v>
      </c>
      <c r="Q10" s="7" t="s">
        <v>2207</v>
      </c>
      <c r="R10" s="93" t="s">
        <v>4412</v>
      </c>
      <c r="S10" s="249" t="s">
        <v>1309</v>
      </c>
      <c r="T10" s="7" t="s">
        <v>123</v>
      </c>
      <c r="U10" s="7" t="s">
        <v>123</v>
      </c>
      <c r="V10" s="8" t="s">
        <v>123</v>
      </c>
      <c r="W10" s="7" t="s">
        <v>123</v>
      </c>
      <c r="X10" s="7" t="s">
        <v>4413</v>
      </c>
      <c r="Y10" s="6">
        <v>42629</v>
      </c>
      <c r="Z10" s="7" t="str">
        <f t="shared" ca="1" si="5"/>
        <v>GOOD</v>
      </c>
      <c r="AA10" s="7" t="s">
        <v>4346</v>
      </c>
      <c r="AB10" s="6">
        <v>42413</v>
      </c>
      <c r="AC10" s="6" t="s">
        <v>1309</v>
      </c>
      <c r="AD10" s="7" t="str">
        <f ca="1">IF(Table10[[#This Row],[DriverMedicalExpireDate]]="Missing","MISSING",IF(Table10[[#This Row],[DriverMedicalExpireDate]]&gt;=TODAY(),"PASS","EXPIRED"))</f>
        <v>MISSING</v>
      </c>
      <c r="AE10" s="7">
        <v>913971</v>
      </c>
      <c r="AF10" s="7">
        <v>2627544</v>
      </c>
      <c r="AG10" s="7">
        <v>466133</v>
      </c>
      <c r="AH10" s="7" t="s">
        <v>4665</v>
      </c>
      <c r="AI10" s="7" t="s">
        <v>4380</v>
      </c>
      <c r="AJ10" s="6">
        <v>42778</v>
      </c>
      <c r="AK10" s="9">
        <f t="shared" ca="1" si="2"/>
        <v>202</v>
      </c>
      <c r="AL10" s="25">
        <v>42413</v>
      </c>
      <c r="AM10" s="6">
        <v>42413</v>
      </c>
      <c r="AN10" s="25">
        <f>Table10[[#This Row],[ContractSignDate]]+90</f>
        <v>42503</v>
      </c>
      <c r="AO10" s="6" t="str">
        <f t="shared" si="3"/>
        <v>Sukhpal</v>
      </c>
      <c r="AP10" s="9" t="str">
        <f ca="1">IF(Table10[[#This Row],[EquipToDriverStat]]="UnAssigned","NotActive",Table10[[#This Row],[ContractorToBeRenewedOn]]-TODAY())</f>
        <v>NotActive</v>
      </c>
      <c r="AQ10" s="9" t="str">
        <f t="shared" ca="1" si="4"/>
        <v>NotActive</v>
      </c>
      <c r="AS10" s="7"/>
      <c r="AT10" s="7"/>
      <c r="CM10" s="17"/>
    </row>
    <row r="11" spans="1:96">
      <c r="A11" s="7" t="s">
        <v>2234</v>
      </c>
      <c r="B11" s="7" t="s">
        <v>3881</v>
      </c>
      <c r="C11" s="7" t="s">
        <v>3831</v>
      </c>
      <c r="D11" s="96" t="s">
        <v>4414</v>
      </c>
      <c r="E11" s="119">
        <v>24782</v>
      </c>
      <c r="F11" s="22">
        <f t="shared" ca="1" si="0"/>
        <v>48.750684931506846</v>
      </c>
      <c r="G11" s="7" t="s">
        <v>3960</v>
      </c>
      <c r="H11" s="7" t="s">
        <v>4001</v>
      </c>
      <c r="I11" s="7">
        <v>3</v>
      </c>
      <c r="J11" s="7" t="s">
        <v>4372</v>
      </c>
      <c r="K11" s="7" t="s">
        <v>4415</v>
      </c>
      <c r="L11" s="517">
        <v>189</v>
      </c>
      <c r="M11" s="7" t="s">
        <v>4416</v>
      </c>
      <c r="N11" s="7" t="s">
        <v>4417</v>
      </c>
      <c r="O11" s="7" t="s">
        <v>2206</v>
      </c>
      <c r="P11" s="7">
        <v>95307</v>
      </c>
      <c r="Q11" s="7" t="s">
        <v>2207</v>
      </c>
      <c r="R11" s="93" t="s">
        <v>4418</v>
      </c>
      <c r="S11" s="249" t="s">
        <v>1309</v>
      </c>
      <c r="T11" s="7" t="s">
        <v>123</v>
      </c>
      <c r="U11" s="7" t="s">
        <v>123</v>
      </c>
      <c r="V11" s="8" t="s">
        <v>123</v>
      </c>
      <c r="W11" s="7" t="s">
        <v>123</v>
      </c>
      <c r="X11" s="7" t="s">
        <v>4419</v>
      </c>
      <c r="Y11" s="6">
        <v>43410</v>
      </c>
      <c r="Z11" s="7" t="str">
        <f t="shared" ca="1" si="5"/>
        <v>GOOD</v>
      </c>
      <c r="AA11" s="7" t="s">
        <v>4346</v>
      </c>
      <c r="AB11" s="6">
        <v>42418</v>
      </c>
      <c r="AC11" s="6" t="s">
        <v>1309</v>
      </c>
      <c r="AD11" s="7" t="str">
        <f ca="1">IF(Table10[[#This Row],[DriverMedicalExpireDate]]="Missing","MISSING",IF(Table10[[#This Row],[DriverMedicalExpireDate]]&gt;=TODAY(),"PASS","EXPIRED"))</f>
        <v>MISSING</v>
      </c>
      <c r="AE11" s="7">
        <v>913971</v>
      </c>
      <c r="AF11" s="7">
        <v>2627544</v>
      </c>
      <c r="AG11" s="7">
        <v>466133</v>
      </c>
      <c r="AH11" s="7" t="s">
        <v>4665</v>
      </c>
      <c r="AI11" s="7" t="s">
        <v>4380</v>
      </c>
      <c r="AJ11" s="6">
        <v>42778</v>
      </c>
      <c r="AK11" s="9">
        <f t="shared" ca="1" si="2"/>
        <v>202</v>
      </c>
      <c r="AL11" s="25">
        <v>42418</v>
      </c>
      <c r="AM11" s="6">
        <v>42418</v>
      </c>
      <c r="AN11" s="25">
        <f>Table10[[#This Row],[ContractSignDate]]+90</f>
        <v>42508</v>
      </c>
      <c r="AO11" s="6" t="str">
        <f t="shared" si="3"/>
        <v>Arturo</v>
      </c>
      <c r="AP11" s="9">
        <f ca="1">IF(Table10[[#This Row],[EquipToDriverStat]]="UnAssigned","NotActive",Table10[[#This Row],[ContractorToBeRenewedOn]]-TODAY())</f>
        <v>-68</v>
      </c>
      <c r="AQ11" s="9" t="str">
        <f t="shared" ca="1" si="4"/>
        <v>Expired</v>
      </c>
      <c r="AS11" s="7"/>
      <c r="AT11" s="7"/>
      <c r="CM11" s="17"/>
    </row>
    <row r="12" spans="1:96">
      <c r="A12" s="7" t="s">
        <v>2337</v>
      </c>
      <c r="B12" s="7" t="s">
        <v>3881</v>
      </c>
      <c r="C12" s="7" t="s">
        <v>3905</v>
      </c>
      <c r="D12" s="96" t="s">
        <v>4420</v>
      </c>
      <c r="E12" s="119">
        <v>22891</v>
      </c>
      <c r="F12" s="22">
        <f t="shared" ca="1" si="0"/>
        <v>53.93150684931507</v>
      </c>
      <c r="G12" s="7" t="s">
        <v>3896</v>
      </c>
      <c r="H12" s="7" t="s">
        <v>4030</v>
      </c>
      <c r="I12" s="7">
        <v>1</v>
      </c>
      <c r="J12" s="7" t="s">
        <v>4339</v>
      </c>
      <c r="K12" s="7" t="s">
        <v>4421</v>
      </c>
      <c r="L12" s="517" t="s">
        <v>123</v>
      </c>
      <c r="M12" s="7" t="s">
        <v>4422</v>
      </c>
      <c r="N12" s="7" t="s">
        <v>4423</v>
      </c>
      <c r="O12" s="7" t="s">
        <v>2647</v>
      </c>
      <c r="P12" s="7">
        <v>76012</v>
      </c>
      <c r="Q12" s="7" t="s">
        <v>2207</v>
      </c>
      <c r="R12" s="124" t="s">
        <v>4424</v>
      </c>
      <c r="S12" s="249" t="s">
        <v>1309</v>
      </c>
      <c r="T12" s="7" t="s">
        <v>123</v>
      </c>
      <c r="U12" s="7" t="s">
        <v>123</v>
      </c>
      <c r="V12" s="8" t="s">
        <v>123</v>
      </c>
      <c r="W12" s="7" t="s">
        <v>123</v>
      </c>
      <c r="X12" s="7">
        <v>29063559</v>
      </c>
      <c r="Y12" s="6">
        <v>44441</v>
      </c>
      <c r="Z12" s="7" t="str">
        <f t="shared" ca="1" si="5"/>
        <v>GOOD</v>
      </c>
      <c r="AA12" s="7" t="s">
        <v>4346</v>
      </c>
      <c r="AB12" s="250" t="s">
        <v>1309</v>
      </c>
      <c r="AC12" s="6" t="s">
        <v>1309</v>
      </c>
      <c r="AD12" s="7" t="str">
        <f ca="1">IF(Table10[[#This Row],[DriverMedicalExpireDate]]="Missing","MISSING",IF(Table10[[#This Row],[DriverMedicalExpireDate]]&gt;=TODAY(),"PASS","EXPIRED"))</f>
        <v>MISSING</v>
      </c>
      <c r="AE12" s="7">
        <v>913971</v>
      </c>
      <c r="AF12" s="7">
        <v>2627544</v>
      </c>
      <c r="AG12" s="7">
        <v>466133</v>
      </c>
      <c r="AH12" s="7" t="s">
        <v>4665</v>
      </c>
      <c r="AI12" s="7" t="s">
        <v>4380</v>
      </c>
      <c r="AJ12" s="6">
        <v>42778</v>
      </c>
      <c r="AK12" s="9">
        <f t="shared" ca="1" si="2"/>
        <v>202</v>
      </c>
      <c r="AL12" s="25">
        <v>42432</v>
      </c>
      <c r="AM12" s="25">
        <v>42432</v>
      </c>
      <c r="AN12" s="25">
        <f>Table10[[#This Row],[ContractSignDate]]+90</f>
        <v>42522</v>
      </c>
      <c r="AO12" s="25" t="str">
        <f t="shared" si="3"/>
        <v>Asim</v>
      </c>
      <c r="AP12" s="9" t="str">
        <f ca="1">IF(Table10[[#This Row],[EquipToDriverStat]]="UnAssigned","NotActive",Table10[[#This Row],[ContractorToBeRenewedOn]]-TODAY())</f>
        <v>NotActive</v>
      </c>
      <c r="AQ12" s="9" t="str">
        <f t="shared" ca="1" si="4"/>
        <v>NotActive</v>
      </c>
      <c r="AS12" s="7"/>
      <c r="AT12" s="7"/>
      <c r="CM12" s="17"/>
    </row>
    <row r="13" spans="1:96">
      <c r="A13" s="443" t="s">
        <v>3427</v>
      </c>
      <c r="B13" s="443" t="s">
        <v>3881</v>
      </c>
      <c r="C13" s="443" t="s">
        <v>4425</v>
      </c>
      <c r="D13" t="s">
        <v>4426</v>
      </c>
      <c r="E13" s="119">
        <v>32371</v>
      </c>
      <c r="F13" s="444">
        <f ca="1">IFERROR((TODAY()-E13)/365,"MISSING")</f>
        <v>27.958904109589042</v>
      </c>
      <c r="G13" s="444" t="s">
        <v>3863</v>
      </c>
      <c r="H13" s="444" t="s">
        <v>4427</v>
      </c>
      <c r="I13" s="443">
        <v>4</v>
      </c>
      <c r="J13" s="443" t="s">
        <v>4372</v>
      </c>
      <c r="K13" s="445" t="s">
        <v>4428</v>
      </c>
      <c r="L13" s="518">
        <v>220</v>
      </c>
      <c r="M13" s="443" t="s">
        <v>4429</v>
      </c>
      <c r="N13" s="443" t="s">
        <v>184</v>
      </c>
      <c r="O13" s="443" t="s">
        <v>2206</v>
      </c>
      <c r="P13" s="443">
        <v>95206</v>
      </c>
      <c r="Q13" s="443" t="s">
        <v>2207</v>
      </c>
      <c r="R13" s="124" t="s">
        <v>4430</v>
      </c>
      <c r="S13" s="443" t="s">
        <v>4431</v>
      </c>
      <c r="T13" s="443" t="s">
        <v>123</v>
      </c>
      <c r="U13" s="443" t="s">
        <v>123</v>
      </c>
      <c r="V13" s="447" t="s">
        <v>123</v>
      </c>
      <c r="W13" s="443" t="s">
        <v>123</v>
      </c>
      <c r="X13" s="447" t="s">
        <v>4432</v>
      </c>
      <c r="Y13" s="445">
        <v>42963</v>
      </c>
      <c r="Z13" s="443" t="str">
        <f t="shared" ca="1" si="5"/>
        <v>GOOD</v>
      </c>
      <c r="AA13" s="7" t="s">
        <v>4346</v>
      </c>
      <c r="AB13" s="445">
        <v>42562</v>
      </c>
      <c r="AC13" s="6">
        <v>43264</v>
      </c>
      <c r="AD13" s="7" t="str">
        <f ca="1">IF(Table10[[#This Row],[DriverMedicalExpireDate]]="Missing","MISSING",IF(Table10[[#This Row],[DriverMedicalExpireDate]]&gt;=TODAY(),"PASS","EXPIRED"))</f>
        <v>PASS</v>
      </c>
      <c r="AE13" s="443">
        <v>913971</v>
      </c>
      <c r="AF13" s="443">
        <v>2627544</v>
      </c>
      <c r="AG13" s="443">
        <v>466133</v>
      </c>
      <c r="AH13" s="7" t="s">
        <v>4665</v>
      </c>
      <c r="AI13" s="7" t="s">
        <v>4380</v>
      </c>
      <c r="AJ13" s="6">
        <v>42778</v>
      </c>
      <c r="AK13" s="9">
        <f t="shared" ref="AK13:AK14" ca="1" si="6">IFERROR(AJ13-(TODAY()),"Missing")</f>
        <v>202</v>
      </c>
      <c r="AL13" s="25">
        <v>42562</v>
      </c>
      <c r="AM13" s="25">
        <v>42562</v>
      </c>
      <c r="AN13" s="25">
        <f>Table10[[#This Row],[ContractSignDate]]+90</f>
        <v>42652</v>
      </c>
      <c r="AO13" s="25" t="str">
        <f t="shared" ref="AO13" si="7">C13</f>
        <v>Anthony</v>
      </c>
      <c r="AP13" s="9">
        <f ca="1">IF(Table10[[#This Row],[EquipToDriverStat]]="UnAssigned","NotActive",Table10[[#This Row],[ContractorToBeRenewedOn]]-TODAY())</f>
        <v>76</v>
      </c>
      <c r="AQ13" s="9" t="str">
        <f t="shared" ref="AQ13" ca="1" si="8">IF(J13="UnAssigned","NotActive",IF(AN13&lt;TODAY(),"Expired","Good"))</f>
        <v>Good</v>
      </c>
      <c r="AY13"/>
      <c r="CR13" s="17"/>
    </row>
    <row r="14" spans="1:96">
      <c r="A14" s="443" t="s">
        <v>3511</v>
      </c>
      <c r="B14" s="443" t="s">
        <v>3881</v>
      </c>
      <c r="C14" s="443" t="s">
        <v>4433</v>
      </c>
      <c r="D14" t="s">
        <v>4434</v>
      </c>
      <c r="E14" s="119">
        <v>27543</v>
      </c>
      <c r="F14" s="444">
        <f ca="1">IFERROR((TODAY()-E14)/365,"MISSING")</f>
        <v>41.186301369863017</v>
      </c>
      <c r="G14" s="444" t="s">
        <v>3956</v>
      </c>
      <c r="H14" s="444" t="s">
        <v>4435</v>
      </c>
      <c r="I14" s="443">
        <v>5</v>
      </c>
      <c r="J14" s="443" t="s">
        <v>4372</v>
      </c>
      <c r="K14" s="250" t="s">
        <v>1309</v>
      </c>
      <c r="L14" s="518">
        <v>210</v>
      </c>
      <c r="M14" s="443" t="s">
        <v>4436</v>
      </c>
      <c r="N14" s="443" t="s">
        <v>345</v>
      </c>
      <c r="O14" s="443" t="s">
        <v>2206</v>
      </c>
      <c r="P14" s="443">
        <v>93635</v>
      </c>
      <c r="Q14" s="443" t="s">
        <v>2207</v>
      </c>
      <c r="R14" s="446" t="s">
        <v>1309</v>
      </c>
      <c r="S14" s="249" t="s">
        <v>1309</v>
      </c>
      <c r="T14" s="443" t="s">
        <v>123</v>
      </c>
      <c r="U14" s="443" t="s">
        <v>123</v>
      </c>
      <c r="V14" s="447" t="s">
        <v>123</v>
      </c>
      <c r="W14" s="443" t="s">
        <v>123</v>
      </c>
      <c r="X14" s="447" t="s">
        <v>4437</v>
      </c>
      <c r="Y14" s="445">
        <v>43614</v>
      </c>
      <c r="Z14" s="443" t="str">
        <f t="shared" ca="1" si="5"/>
        <v>GOOD</v>
      </c>
      <c r="AA14" s="445" t="s">
        <v>4346</v>
      </c>
      <c r="AB14" s="445">
        <v>42562</v>
      </c>
      <c r="AC14" s="6" t="s">
        <v>1309</v>
      </c>
      <c r="AD14" s="447" t="str">
        <f ca="1">IF(Table10[[#This Row],[DriverMedicalExpireDate]]="Missing","MISSING",IF(Table10[[#This Row],[DriverMedicalExpireDate]]&gt;=TODAY(),"PASS","EXPIRED"))</f>
        <v>MISSING</v>
      </c>
      <c r="AE14" s="443">
        <v>913971</v>
      </c>
      <c r="AF14" s="443">
        <v>2627544</v>
      </c>
      <c r="AG14" s="443">
        <v>466133</v>
      </c>
      <c r="AH14" s="7" t="s">
        <v>4665</v>
      </c>
      <c r="AI14" s="7" t="s">
        <v>4380</v>
      </c>
      <c r="AJ14" s="6">
        <v>42778</v>
      </c>
      <c r="AK14" s="9">
        <f t="shared" ca="1" si="6"/>
        <v>202</v>
      </c>
      <c r="AL14" s="449">
        <v>42569</v>
      </c>
      <c r="AM14" s="449">
        <v>42569</v>
      </c>
      <c r="AN14" s="449">
        <f>Table10[[#This Row],[ContractSignDate]]+90</f>
        <v>42659</v>
      </c>
      <c r="AO14" s="449" t="str">
        <f>C14</f>
        <v>Aaron</v>
      </c>
      <c r="AP14" s="448">
        <f ca="1">IF(Table10[[#This Row],[EquipToDriverStat]]="UnAssigned","NotActive",Table10[[#This Row],[ContractorToBeRenewedOn]]-TODAY())</f>
        <v>83</v>
      </c>
      <c r="AQ14" s="447" t="str">
        <f ca="1">IF(J14="UnAssigned","NotActive",IF(AN14&lt;TODAY(),"Expired","Good"))</f>
        <v>Good</v>
      </c>
      <c r="AY14"/>
      <c r="CR14" s="17"/>
    </row>
    <row r="15" spans="1:96">
      <c r="C15" s="7"/>
      <c r="AY15"/>
      <c r="CR15" s="17"/>
    </row>
    <row r="16" spans="1:96">
      <c r="C16" s="7"/>
      <c r="AY16"/>
      <c r="CR16" s="17"/>
    </row>
    <row r="17" spans="3:96">
      <c r="C17" s="7"/>
      <c r="AY17"/>
      <c r="CR17" s="17"/>
    </row>
    <row r="18" spans="3:96">
      <c r="C18" s="7"/>
      <c r="AY18"/>
      <c r="CR18" s="17"/>
    </row>
    <row r="19" spans="3:96">
      <c r="C19" s="7"/>
      <c r="AY19"/>
      <c r="CR19" s="17"/>
    </row>
    <row r="20" spans="3:96">
      <c r="C20" s="7"/>
      <c r="AY20"/>
      <c r="CR20" s="17"/>
    </row>
    <row r="21" spans="3:96">
      <c r="C21" s="7"/>
      <c r="AY21"/>
      <c r="CR21" s="17"/>
    </row>
    <row r="22" spans="3:96">
      <c r="C22" s="7"/>
      <c r="AY22"/>
      <c r="CR22" s="17"/>
    </row>
    <row r="23" spans="3:96">
      <c r="C23" s="7"/>
      <c r="AY23"/>
      <c r="CR23" s="17"/>
    </row>
    <row r="24" spans="3:96">
      <c r="C24" s="7"/>
      <c r="AY24"/>
      <c r="CR24" s="17"/>
    </row>
    <row r="25" spans="3:96">
      <c r="C25" s="7"/>
      <c r="AY25"/>
      <c r="CR25" s="17"/>
    </row>
    <row r="26" spans="3:96">
      <c r="C26" s="7"/>
      <c r="AY26"/>
      <c r="CR26" s="17"/>
    </row>
    <row r="27" spans="3:96">
      <c r="C27" s="7"/>
      <c r="AY27"/>
      <c r="CR27" s="17"/>
    </row>
    <row r="28" spans="3:96">
      <c r="C28" s="7"/>
      <c r="AY28"/>
      <c r="CR28" s="17"/>
    </row>
    <row r="29" spans="3:96">
      <c r="C29" s="7"/>
      <c r="AY29"/>
      <c r="CR29" s="17"/>
    </row>
    <row r="30" spans="3:96">
      <c r="C30" s="7"/>
      <c r="AY30"/>
      <c r="CR30" s="17"/>
    </row>
    <row r="31" spans="3:96">
      <c r="C31" s="7"/>
      <c r="AY31"/>
      <c r="CR31" s="17"/>
    </row>
    <row r="32" spans="3:96">
      <c r="C32" s="7"/>
      <c r="AY32"/>
      <c r="CR32" s="17"/>
    </row>
    <row r="33" spans="3:96">
      <c r="C33" s="7"/>
      <c r="AY33"/>
      <c r="CR33" s="17"/>
    </row>
    <row r="34" spans="3:96">
      <c r="C34" s="7"/>
      <c r="AY34"/>
      <c r="CR34" s="17"/>
    </row>
    <row r="35" spans="3:96">
      <c r="C35" s="7"/>
      <c r="AY35"/>
      <c r="CR35" s="17"/>
    </row>
    <row r="36" spans="3:96">
      <c r="C36" s="7"/>
      <c r="AY36"/>
      <c r="CR36" s="17"/>
    </row>
    <row r="37" spans="3:96">
      <c r="C37" s="7"/>
      <c r="AY37"/>
      <c r="CR37" s="17"/>
    </row>
    <row r="38" spans="3:96">
      <c r="C38" s="7"/>
      <c r="AY38"/>
      <c r="CR38" s="17"/>
    </row>
    <row r="39" spans="3:96">
      <c r="C39" s="7"/>
      <c r="AY39"/>
      <c r="CR39" s="17"/>
    </row>
    <row r="40" spans="3:96">
      <c r="C40" s="7"/>
      <c r="AY40"/>
      <c r="CR40" s="17"/>
    </row>
    <row r="41" spans="3:96">
      <c r="C41" s="7"/>
      <c r="AY41"/>
      <c r="CR41" s="17"/>
    </row>
    <row r="42" spans="3:96">
      <c r="C42" s="7"/>
      <c r="AY42"/>
      <c r="CR42" s="17"/>
    </row>
    <row r="43" spans="3:96">
      <c r="C43" s="7"/>
      <c r="AY43"/>
      <c r="CR43" s="17"/>
    </row>
    <row r="44" spans="3:96">
      <c r="C44" s="7"/>
      <c r="AY44"/>
      <c r="CR44" s="17"/>
    </row>
    <row r="45" spans="3:96">
      <c r="C45" s="7"/>
      <c r="AY45"/>
      <c r="CR45" s="17"/>
    </row>
    <row r="46" spans="3:96">
      <c r="C46" s="7"/>
      <c r="AY46"/>
      <c r="CR46" s="17"/>
    </row>
    <row r="47" spans="3:96">
      <c r="C47" s="7"/>
      <c r="AY47"/>
      <c r="CR47" s="17"/>
    </row>
    <row r="48" spans="3:96">
      <c r="C48" s="7"/>
      <c r="AY48"/>
      <c r="CR48" s="17"/>
    </row>
    <row r="49" spans="3:96">
      <c r="C49" s="7"/>
      <c r="AY49"/>
      <c r="CR49" s="17"/>
    </row>
    <row r="50" spans="3:96">
      <c r="C50" s="7"/>
      <c r="AY50"/>
      <c r="CR50" s="17"/>
    </row>
    <row r="51" spans="3:96">
      <c r="C51" s="7"/>
      <c r="AY51"/>
      <c r="CR51" s="17"/>
    </row>
    <row r="52" spans="3:96">
      <c r="C52" s="7"/>
      <c r="AY52"/>
      <c r="CR52" s="17"/>
    </row>
    <row r="53" spans="3:96">
      <c r="C53" s="7"/>
      <c r="AY53"/>
      <c r="CR53" s="17"/>
    </row>
    <row r="54" spans="3:96">
      <c r="C54" s="7"/>
      <c r="AY54"/>
      <c r="CR54" s="17"/>
    </row>
    <row r="55" spans="3:96">
      <c r="C55" s="7"/>
      <c r="AY55"/>
      <c r="CR55" s="17"/>
    </row>
    <row r="56" spans="3:96">
      <c r="C56" s="7"/>
      <c r="AY56"/>
      <c r="CR56" s="17"/>
    </row>
    <row r="57" spans="3:96">
      <c r="C57" s="7"/>
      <c r="AY57"/>
      <c r="CR57" s="17"/>
    </row>
    <row r="58" spans="3:96">
      <c r="C58" s="7"/>
      <c r="AY58"/>
      <c r="CR58" s="17"/>
    </row>
    <row r="59" spans="3:96">
      <c r="C59" s="7"/>
      <c r="AY59"/>
      <c r="CR59" s="17"/>
    </row>
    <row r="60" spans="3:96">
      <c r="C60" s="7"/>
      <c r="AY60"/>
      <c r="CR60" s="17"/>
    </row>
    <row r="61" spans="3:96">
      <c r="C61" s="7"/>
      <c r="AY61"/>
      <c r="CR61" s="17"/>
    </row>
    <row r="62" spans="3:96">
      <c r="C62" s="7"/>
      <c r="AY62"/>
      <c r="CR62" s="17"/>
    </row>
    <row r="63" spans="3:96">
      <c r="C63" s="7"/>
      <c r="AY63"/>
      <c r="CR63" s="17"/>
    </row>
    <row r="64" spans="3:96">
      <c r="C64" s="7"/>
      <c r="AY64"/>
      <c r="CR64" s="17"/>
    </row>
    <row r="65" spans="3:96">
      <c r="C65" s="7"/>
      <c r="AY65"/>
      <c r="CR65" s="17"/>
    </row>
    <row r="66" spans="3:96">
      <c r="C66" s="7"/>
      <c r="AY66"/>
      <c r="CR66" s="17"/>
    </row>
    <row r="67" spans="3:96">
      <c r="C67" s="7"/>
      <c r="AY67"/>
      <c r="CR67" s="17"/>
    </row>
    <row r="68" spans="3:96">
      <c r="C68" s="7"/>
      <c r="AY68"/>
      <c r="CR68" s="17"/>
    </row>
    <row r="69" spans="3:96">
      <c r="C69" s="7"/>
      <c r="AY69"/>
      <c r="CR69" s="17"/>
    </row>
    <row r="70" spans="3:96">
      <c r="C70" s="7"/>
      <c r="AY70"/>
      <c r="CR70" s="17"/>
    </row>
    <row r="71" spans="3:96">
      <c r="C71" s="7"/>
      <c r="AY71"/>
      <c r="CR71" s="17"/>
    </row>
    <row r="72" spans="3:96">
      <c r="C72" s="7"/>
      <c r="AY72"/>
      <c r="CR72" s="17"/>
    </row>
    <row r="73" spans="3:96">
      <c r="C73" s="7"/>
      <c r="AY73"/>
      <c r="CR73" s="17"/>
    </row>
    <row r="74" spans="3:96">
      <c r="C74" s="7"/>
      <c r="AY74"/>
      <c r="CR74" s="17"/>
    </row>
    <row r="75" spans="3:96">
      <c r="C75" s="7"/>
      <c r="AY75"/>
      <c r="CR75" s="17"/>
    </row>
    <row r="76" spans="3:96">
      <c r="C76" s="7"/>
      <c r="AY76"/>
      <c r="CR76" s="17"/>
    </row>
    <row r="77" spans="3:96">
      <c r="C77" s="7"/>
      <c r="AY77"/>
      <c r="CR77" s="17"/>
    </row>
    <row r="78" spans="3:96">
      <c r="C78" s="7"/>
      <c r="AY78"/>
      <c r="CR78" s="17"/>
    </row>
    <row r="79" spans="3:96">
      <c r="C79" s="7"/>
      <c r="AY79"/>
      <c r="CR79" s="17"/>
    </row>
    <row r="80" spans="3:96">
      <c r="C80" s="7"/>
      <c r="AY80"/>
      <c r="CR80" s="17"/>
    </row>
    <row r="81" spans="3:96">
      <c r="C81" s="7"/>
      <c r="AY81"/>
      <c r="CR81" s="17"/>
    </row>
    <row r="82" spans="3:96">
      <c r="C82" s="7"/>
      <c r="AY82"/>
      <c r="CR82" s="17"/>
    </row>
    <row r="83" spans="3:96">
      <c r="C83" s="7"/>
      <c r="AY83"/>
      <c r="CR83" s="17"/>
    </row>
    <row r="84" spans="3:96">
      <c r="C84" s="7"/>
      <c r="AY84"/>
      <c r="CR84" s="17"/>
    </row>
    <row r="85" spans="3:96">
      <c r="C85" s="7"/>
      <c r="AY85"/>
      <c r="CR85" s="17"/>
    </row>
    <row r="86" spans="3:96">
      <c r="C86" s="7"/>
      <c r="AY86"/>
      <c r="CR86" s="17"/>
    </row>
    <row r="87" spans="3:96">
      <c r="C87" s="7"/>
      <c r="AY87"/>
      <c r="CR87" s="17"/>
    </row>
    <row r="88" spans="3:96">
      <c r="C88" s="7"/>
      <c r="AY88"/>
      <c r="CR88" s="17"/>
    </row>
    <row r="89" spans="3:96">
      <c r="C89" s="7"/>
      <c r="AY89"/>
      <c r="CR89" s="17"/>
    </row>
    <row r="90" spans="3:96">
      <c r="C90" s="7"/>
      <c r="AY90"/>
      <c r="CR90" s="17"/>
    </row>
    <row r="91" spans="3:96">
      <c r="C91" s="7"/>
      <c r="AY91"/>
      <c r="CR91" s="17"/>
    </row>
    <row r="92" spans="3:96">
      <c r="C92" s="7"/>
      <c r="AY92"/>
      <c r="CR92" s="17"/>
    </row>
    <row r="93" spans="3:96">
      <c r="C93" s="7"/>
      <c r="AY93"/>
      <c r="CR93" s="17"/>
    </row>
    <row r="94" spans="3:96">
      <c r="C94" s="7"/>
      <c r="AY94"/>
      <c r="CR94" s="17"/>
    </row>
    <row r="95" spans="3:96">
      <c r="C95" s="7"/>
      <c r="AY95"/>
      <c r="CR95" s="17"/>
    </row>
    <row r="96" spans="3:96">
      <c r="C96" s="7"/>
      <c r="AY96"/>
      <c r="CR96" s="17"/>
    </row>
    <row r="97" spans="3:96">
      <c r="C97" s="7"/>
      <c r="AY97"/>
      <c r="CR97" s="17"/>
    </row>
    <row r="98" spans="3:96">
      <c r="C98" s="7"/>
      <c r="AY98"/>
      <c r="CR98" s="17"/>
    </row>
    <row r="99" spans="3:96">
      <c r="C99" s="7"/>
      <c r="AY99"/>
      <c r="CR99" s="17"/>
    </row>
    <row r="100" spans="3:96">
      <c r="C100" s="7"/>
      <c r="AY100"/>
      <c r="CR100" s="17"/>
    </row>
    <row r="101" spans="3:96">
      <c r="C101" s="7"/>
      <c r="AY101"/>
      <c r="CR101" s="17"/>
    </row>
    <row r="102" spans="3:96">
      <c r="C102" s="7"/>
      <c r="AY102"/>
      <c r="CR102" s="17"/>
    </row>
    <row r="103" spans="3:96">
      <c r="C103" s="7"/>
      <c r="AY103"/>
      <c r="CR103" s="17"/>
    </row>
    <row r="104" spans="3:96">
      <c r="C104" s="7"/>
      <c r="AY104"/>
      <c r="CR104" s="17"/>
    </row>
    <row r="105" spans="3:96">
      <c r="C105" s="7"/>
      <c r="AY105"/>
      <c r="CR105" s="17"/>
    </row>
    <row r="106" spans="3:96">
      <c r="C106" s="7"/>
      <c r="AY106"/>
      <c r="CR106" s="17"/>
    </row>
    <row r="107" spans="3:96">
      <c r="C107" s="7"/>
      <c r="AY107"/>
      <c r="CR107" s="17"/>
    </row>
    <row r="108" spans="3:96">
      <c r="C108" s="7"/>
      <c r="AY108"/>
      <c r="CR108" s="17"/>
    </row>
    <row r="109" spans="3:96">
      <c r="C109" s="7"/>
      <c r="AY109"/>
      <c r="CR109" s="17"/>
    </row>
    <row r="110" spans="3:96">
      <c r="C110" s="7"/>
      <c r="AY110"/>
      <c r="CR110" s="17"/>
    </row>
    <row r="111" spans="3:96">
      <c r="C111" s="7"/>
      <c r="AY111"/>
      <c r="CR111" s="17"/>
    </row>
    <row r="112" spans="3:96">
      <c r="C112" s="7"/>
      <c r="AY112"/>
      <c r="CR112" s="17"/>
    </row>
    <row r="113" spans="3:96">
      <c r="C113" s="7"/>
      <c r="AY113"/>
      <c r="CR113" s="17"/>
    </row>
    <row r="114" spans="3:96">
      <c r="C114" s="7"/>
      <c r="AY114"/>
      <c r="CR114" s="17"/>
    </row>
    <row r="115" spans="3:96">
      <c r="C115" s="7"/>
      <c r="AY115"/>
      <c r="CR115" s="17"/>
    </row>
    <row r="116" spans="3:96">
      <c r="C116" s="7"/>
      <c r="AY116"/>
      <c r="CR116" s="17"/>
    </row>
    <row r="117" spans="3:96">
      <c r="C117" s="7"/>
      <c r="AY117"/>
      <c r="CR117" s="17"/>
    </row>
    <row r="118" spans="3:96">
      <c r="C118" s="7"/>
      <c r="AY118"/>
      <c r="CR118" s="17"/>
    </row>
    <row r="119" spans="3:96">
      <c r="C119" s="7"/>
      <c r="AY119"/>
      <c r="CR119" s="17"/>
    </row>
    <row r="120" spans="3:96">
      <c r="C120" s="7"/>
      <c r="AY120"/>
      <c r="CR120" s="17"/>
    </row>
    <row r="121" spans="3:96">
      <c r="C121" s="7"/>
      <c r="AY121"/>
      <c r="CR121" s="17"/>
    </row>
    <row r="122" spans="3:96">
      <c r="C122" s="7"/>
      <c r="AY122"/>
      <c r="CR122" s="17"/>
    </row>
    <row r="123" spans="3:96">
      <c r="C123" s="7"/>
      <c r="AY123"/>
      <c r="CR123" s="17"/>
    </row>
    <row r="124" spans="3:96">
      <c r="C124" s="7"/>
      <c r="AY124"/>
      <c r="CR124" s="17"/>
    </row>
    <row r="125" spans="3:96">
      <c r="C125" s="7"/>
      <c r="AY125"/>
      <c r="CR125" s="17"/>
    </row>
    <row r="126" spans="3:96">
      <c r="C126" s="7"/>
      <c r="AY126"/>
      <c r="CR126" s="17"/>
    </row>
    <row r="127" spans="3:96">
      <c r="C127" s="7"/>
      <c r="AY127"/>
      <c r="CR127" s="17"/>
    </row>
    <row r="128" spans="3:96">
      <c r="C128" s="7"/>
      <c r="AY128"/>
      <c r="CR128" s="17"/>
    </row>
    <row r="129" spans="3:96">
      <c r="C129" s="7"/>
      <c r="AY129"/>
      <c r="CR129" s="17"/>
    </row>
    <row r="130" spans="3:96">
      <c r="C130" s="7"/>
      <c r="AY130"/>
      <c r="CR130" s="17"/>
    </row>
    <row r="131" spans="3:96">
      <c r="C131" s="7"/>
      <c r="AY131"/>
      <c r="CR131" s="17"/>
    </row>
    <row r="132" spans="3:96">
      <c r="C132" s="7"/>
      <c r="AY132"/>
      <c r="CR132" s="17"/>
    </row>
    <row r="133" spans="3:96">
      <c r="C133" s="7"/>
      <c r="AY133"/>
      <c r="CR133" s="17"/>
    </row>
    <row r="134" spans="3:96">
      <c r="C134" s="7"/>
      <c r="AY134"/>
      <c r="CR134" s="17"/>
    </row>
    <row r="135" spans="3:96">
      <c r="C135" s="7"/>
      <c r="AY135"/>
      <c r="CR135" s="17"/>
    </row>
    <row r="136" spans="3:96">
      <c r="C136" s="7"/>
      <c r="AY136"/>
      <c r="CR136" s="17"/>
    </row>
    <row r="137" spans="3:96">
      <c r="C137" s="7"/>
      <c r="AY137"/>
      <c r="CR137" s="17"/>
    </row>
    <row r="138" spans="3:96">
      <c r="C138" s="7"/>
      <c r="AY138"/>
      <c r="CR138" s="17"/>
    </row>
    <row r="139" spans="3:96">
      <c r="C139" s="7"/>
      <c r="AY139"/>
      <c r="CR139" s="17"/>
    </row>
    <row r="140" spans="3:96">
      <c r="C140" s="7"/>
      <c r="AY140"/>
      <c r="CR140" s="17"/>
    </row>
    <row r="141" spans="3:96">
      <c r="C141" s="7"/>
      <c r="AY141"/>
      <c r="CR141" s="17"/>
    </row>
    <row r="142" spans="3:96">
      <c r="C142" s="7"/>
      <c r="AY142"/>
      <c r="CR142" s="17"/>
    </row>
    <row r="143" spans="3:96">
      <c r="C143" s="7"/>
      <c r="AY143"/>
      <c r="CR143" s="17"/>
    </row>
    <row r="144" spans="3:96">
      <c r="C144" s="7"/>
      <c r="AY144"/>
      <c r="CR144" s="17"/>
    </row>
    <row r="145" spans="3:96">
      <c r="C145" s="7"/>
      <c r="AY145"/>
      <c r="CR145" s="17"/>
    </row>
    <row r="146" spans="3:96">
      <c r="C146" s="7"/>
      <c r="AY146"/>
      <c r="CR146" s="17"/>
    </row>
    <row r="147" spans="3:96">
      <c r="C147" s="7"/>
      <c r="AY147"/>
      <c r="CR147" s="17"/>
    </row>
    <row r="148" spans="3:96">
      <c r="C148" s="7"/>
      <c r="AY148"/>
      <c r="CR148" s="17"/>
    </row>
    <row r="149" spans="3:96">
      <c r="C149" s="7"/>
      <c r="AY149"/>
      <c r="CR149" s="17"/>
    </row>
    <row r="150" spans="3:96">
      <c r="C150" s="7"/>
      <c r="AY150"/>
      <c r="CR150" s="17"/>
    </row>
    <row r="151" spans="3:96">
      <c r="C151" s="7"/>
      <c r="AY151"/>
      <c r="CR151" s="17"/>
    </row>
    <row r="152" spans="3:96">
      <c r="C152" s="7"/>
      <c r="AY152"/>
      <c r="CR152" s="17"/>
    </row>
    <row r="153" spans="3:96">
      <c r="C153" s="7"/>
      <c r="AY153"/>
      <c r="CR153" s="17"/>
    </row>
    <row r="154" spans="3:96">
      <c r="C154" s="7"/>
      <c r="AY154"/>
      <c r="CR154" s="17"/>
    </row>
    <row r="155" spans="3:96">
      <c r="C155" s="7"/>
      <c r="AY155"/>
      <c r="CR155" s="17"/>
    </row>
    <row r="156" spans="3:96">
      <c r="C156" s="7"/>
      <c r="AY156"/>
      <c r="CR156" s="17"/>
    </row>
    <row r="157" spans="3:96">
      <c r="C157" s="7"/>
      <c r="AY157"/>
      <c r="CR157" s="17"/>
    </row>
    <row r="158" spans="3:96">
      <c r="C158" s="7"/>
      <c r="AY158"/>
      <c r="CR158" s="17"/>
    </row>
    <row r="159" spans="3:96">
      <c r="C159" s="7"/>
      <c r="AY159"/>
      <c r="CR159" s="17"/>
    </row>
    <row r="160" spans="3:96">
      <c r="C160" s="7"/>
      <c r="AY160"/>
      <c r="CR160" s="17"/>
    </row>
    <row r="161" spans="3:96">
      <c r="C161" s="7"/>
      <c r="AY161"/>
      <c r="CR161" s="17"/>
    </row>
    <row r="162" spans="3:96">
      <c r="C162" s="7"/>
      <c r="AY162"/>
      <c r="CR162" s="17"/>
    </row>
    <row r="163" spans="3:96">
      <c r="C163" s="7"/>
      <c r="AY163"/>
      <c r="CR163" s="17"/>
    </row>
    <row r="164" spans="3:96">
      <c r="C164" s="7"/>
      <c r="AY164"/>
      <c r="CR164" s="17"/>
    </row>
    <row r="165" spans="3:96">
      <c r="C165" s="7"/>
      <c r="AY165"/>
      <c r="CR165" s="17"/>
    </row>
    <row r="166" spans="3:96">
      <c r="C166" s="7"/>
      <c r="AY166"/>
      <c r="CR166" s="17"/>
    </row>
    <row r="167" spans="3:96">
      <c r="C167" s="7"/>
      <c r="AY167"/>
      <c r="CR167" s="17"/>
    </row>
    <row r="168" spans="3:96">
      <c r="C168" s="7"/>
      <c r="AY168"/>
      <c r="CR168" s="17"/>
    </row>
    <row r="169" spans="3:96">
      <c r="C169" s="7"/>
      <c r="AY169"/>
      <c r="CR169" s="17"/>
    </row>
    <row r="170" spans="3:96">
      <c r="C170" s="7"/>
      <c r="AY170"/>
      <c r="CR170" s="17"/>
    </row>
    <row r="171" spans="3:96">
      <c r="C171" s="7"/>
      <c r="AY171"/>
      <c r="CR171" s="17"/>
    </row>
    <row r="172" spans="3:96">
      <c r="C172" s="7"/>
      <c r="AY172"/>
      <c r="CR172" s="17"/>
    </row>
    <row r="173" spans="3:96">
      <c r="C173" s="7"/>
      <c r="AY173"/>
      <c r="CR173" s="17"/>
    </row>
    <row r="174" spans="3:96">
      <c r="C174" s="7"/>
      <c r="AY174"/>
      <c r="CR174" s="17"/>
    </row>
    <row r="175" spans="3:96">
      <c r="C175" s="7"/>
      <c r="AY175"/>
      <c r="CR175" s="17"/>
    </row>
    <row r="176" spans="3:96">
      <c r="C176" s="7"/>
      <c r="AY176"/>
      <c r="CR176" s="17"/>
    </row>
    <row r="177" spans="3:96">
      <c r="C177" s="7"/>
      <c r="AY177"/>
      <c r="CR177" s="17"/>
    </row>
    <row r="178" spans="3:96">
      <c r="C178" s="7"/>
      <c r="AY178"/>
      <c r="CR178" s="17"/>
    </row>
    <row r="179" spans="3:96">
      <c r="C179" s="7"/>
      <c r="AY179"/>
      <c r="CR179" s="17"/>
    </row>
    <row r="180" spans="3:96">
      <c r="C180" s="7"/>
      <c r="AY180"/>
      <c r="CR180" s="17"/>
    </row>
    <row r="181" spans="3:96">
      <c r="C181" s="7"/>
      <c r="AY181"/>
      <c r="CR181" s="17"/>
    </row>
    <row r="182" spans="3:96">
      <c r="C182" s="7"/>
      <c r="AY182"/>
      <c r="CR182" s="17"/>
    </row>
    <row r="183" spans="3:96">
      <c r="C183" s="7"/>
      <c r="AY183"/>
      <c r="CR183" s="17"/>
    </row>
    <row r="184" spans="3:96">
      <c r="C184" s="7"/>
      <c r="AY184"/>
      <c r="CR184" s="17"/>
    </row>
    <row r="185" spans="3:96">
      <c r="C185" s="7"/>
      <c r="AY185"/>
      <c r="CR185" s="17"/>
    </row>
    <row r="186" spans="3:96">
      <c r="C186" s="7"/>
      <c r="AY186"/>
      <c r="CR186" s="17"/>
    </row>
    <row r="187" spans="3:96">
      <c r="C187" s="7"/>
      <c r="AY187"/>
      <c r="CR187" s="17"/>
    </row>
    <row r="188" spans="3:96">
      <c r="C188" s="7"/>
      <c r="AY188"/>
      <c r="CR188" s="17"/>
    </row>
    <row r="189" spans="3:96">
      <c r="C189" s="7"/>
      <c r="AY189"/>
      <c r="CR189" s="17"/>
    </row>
    <row r="190" spans="3:96">
      <c r="C190" s="7"/>
      <c r="AY190"/>
      <c r="CR190" s="17"/>
    </row>
    <row r="191" spans="3:96">
      <c r="C191" s="7"/>
      <c r="AY191"/>
      <c r="CR191" s="17"/>
    </row>
    <row r="192" spans="3:96">
      <c r="C192" s="7"/>
      <c r="AY192"/>
      <c r="CR192" s="17"/>
    </row>
    <row r="193" spans="3:96">
      <c r="C193" s="7"/>
      <c r="AY193"/>
      <c r="CR193" s="17"/>
    </row>
    <row r="194" spans="3:96">
      <c r="C194" s="7"/>
      <c r="AY194"/>
      <c r="CR194" s="17"/>
    </row>
    <row r="195" spans="3:96">
      <c r="C195" s="7"/>
      <c r="AY195"/>
      <c r="CR195" s="17"/>
    </row>
    <row r="196" spans="3:96">
      <c r="C196" s="7"/>
      <c r="AY196"/>
      <c r="CR196" s="17"/>
    </row>
    <row r="197" spans="3:96">
      <c r="C197" s="7"/>
      <c r="AY197"/>
      <c r="CR197" s="17"/>
    </row>
    <row r="198" spans="3:96">
      <c r="C198" s="7"/>
      <c r="AY198"/>
      <c r="CR198" s="17"/>
    </row>
    <row r="199" spans="3:96">
      <c r="C199" s="7"/>
      <c r="AY199"/>
      <c r="CR199" s="17"/>
    </row>
    <row r="200" spans="3:96">
      <c r="C200" s="7"/>
      <c r="AY200"/>
      <c r="CR200" s="17"/>
    </row>
    <row r="201" spans="3:96">
      <c r="C201" s="7"/>
      <c r="AY201"/>
      <c r="CR201" s="17"/>
    </row>
    <row r="202" spans="3:96">
      <c r="C202" s="7"/>
      <c r="AY202"/>
      <c r="CR202" s="17"/>
    </row>
    <row r="203" spans="3:96">
      <c r="C203" s="7"/>
      <c r="AY203"/>
      <c r="CR203" s="17"/>
    </row>
    <row r="204" spans="3:96">
      <c r="C204" s="7"/>
      <c r="AY204"/>
      <c r="CR204" s="17"/>
    </row>
    <row r="205" spans="3:96">
      <c r="C205" s="7"/>
      <c r="AY205"/>
      <c r="CR205" s="17"/>
    </row>
    <row r="206" spans="3:96">
      <c r="C206" s="7"/>
      <c r="AY206"/>
      <c r="CR206" s="17"/>
    </row>
    <row r="207" spans="3:96">
      <c r="C207" s="7"/>
      <c r="AY207"/>
      <c r="CR207" s="17"/>
    </row>
    <row r="208" spans="3:96">
      <c r="C208" s="7"/>
      <c r="AY208"/>
      <c r="CR208" s="17"/>
    </row>
    <row r="209" spans="3:96">
      <c r="C209" s="7"/>
      <c r="AY209"/>
      <c r="CR209" s="17"/>
    </row>
    <row r="210" spans="3:96">
      <c r="C210" s="7"/>
      <c r="AY210"/>
      <c r="CR210" s="17"/>
    </row>
    <row r="211" spans="3:96">
      <c r="C211" s="7"/>
      <c r="AY211"/>
      <c r="CR211" s="17"/>
    </row>
    <row r="212" spans="3:96">
      <c r="C212" s="7"/>
      <c r="AY212"/>
      <c r="CR212" s="17"/>
    </row>
    <row r="213" spans="3:96">
      <c r="C213" s="7"/>
      <c r="AY213"/>
      <c r="CR213" s="17"/>
    </row>
    <row r="214" spans="3:96">
      <c r="C214" s="7"/>
      <c r="AY214"/>
      <c r="CR214" s="17"/>
    </row>
    <row r="215" spans="3:96">
      <c r="C215" s="7"/>
      <c r="AY215"/>
      <c r="CR215" s="17"/>
    </row>
    <row r="216" spans="3:96">
      <c r="C216" s="7"/>
      <c r="AY216"/>
      <c r="CR216" s="17"/>
    </row>
    <row r="217" spans="3:96">
      <c r="C217" s="7"/>
      <c r="AY217"/>
      <c r="CR217" s="17"/>
    </row>
    <row r="218" spans="3:96">
      <c r="C218" s="7"/>
      <c r="AY218"/>
      <c r="CR218" s="17"/>
    </row>
    <row r="219" spans="3:96">
      <c r="C219" s="7"/>
      <c r="AY219"/>
      <c r="CR219" s="17"/>
    </row>
    <row r="220" spans="3:96">
      <c r="C220" s="7"/>
      <c r="AY220"/>
      <c r="CR220" s="17"/>
    </row>
    <row r="221" spans="3:96">
      <c r="C221" s="7"/>
      <c r="AY221"/>
      <c r="CR221" s="17"/>
    </row>
    <row r="222" spans="3:96">
      <c r="C222" s="7"/>
      <c r="AY222"/>
      <c r="CR222" s="17"/>
    </row>
    <row r="223" spans="3:96">
      <c r="C223" s="7"/>
      <c r="AY223"/>
      <c r="CR223" s="17"/>
    </row>
    <row r="224" spans="3:96">
      <c r="C224" s="7"/>
      <c r="AY224"/>
      <c r="CR224" s="17"/>
    </row>
    <row r="225" spans="3:101">
      <c r="C225" s="7"/>
      <c r="AY225"/>
      <c r="CR225" s="17"/>
      <c r="CT225" s="57" t="s">
        <v>149</v>
      </c>
      <c r="CU225" s="57">
        <v>50</v>
      </c>
      <c r="CV225" s="57">
        <v>1</v>
      </c>
      <c r="CW225" s="57"/>
    </row>
    <row r="226" spans="3:101">
      <c r="C226" s="7"/>
      <c r="AY226"/>
      <c r="CR226" s="17"/>
    </row>
    <row r="227" spans="3:101">
      <c r="C227" s="7"/>
      <c r="AY227"/>
      <c r="CR227" s="17"/>
    </row>
    <row r="228" spans="3:101">
      <c r="C228" s="7"/>
      <c r="AY228"/>
      <c r="CR228" s="17"/>
    </row>
    <row r="229" spans="3:101">
      <c r="C229" s="7"/>
      <c r="AY229"/>
      <c r="CR229" s="17"/>
    </row>
    <row r="230" spans="3:101">
      <c r="C230" s="7"/>
      <c r="AY230"/>
      <c r="CR230" s="17"/>
    </row>
    <row r="231" spans="3:101">
      <c r="C231" s="7"/>
      <c r="AY231"/>
      <c r="CR231" s="17"/>
    </row>
    <row r="232" spans="3:101">
      <c r="C232" s="7"/>
      <c r="AY232"/>
      <c r="CR232" s="17"/>
    </row>
    <row r="233" spans="3:101">
      <c r="C233" s="7"/>
      <c r="AY233"/>
      <c r="CR233" s="17"/>
    </row>
    <row r="234" spans="3:101">
      <c r="C234" s="7"/>
      <c r="AY234"/>
      <c r="CR234" s="17"/>
    </row>
    <row r="235" spans="3:101">
      <c r="C235" s="7"/>
      <c r="AY235"/>
      <c r="CR235" s="17"/>
    </row>
    <row r="236" spans="3:101">
      <c r="C236" s="7"/>
      <c r="AY236"/>
      <c r="CR236" s="17"/>
    </row>
    <row r="237" spans="3:101">
      <c r="C237" s="7"/>
      <c r="AY237"/>
      <c r="CR237" s="17"/>
    </row>
    <row r="238" spans="3:101">
      <c r="C238" s="7"/>
      <c r="AY238"/>
      <c r="CR238" s="17"/>
    </row>
    <row r="239" spans="3:101">
      <c r="C239" s="7"/>
      <c r="AY239"/>
      <c r="CR239" s="17"/>
    </row>
    <row r="240" spans="3:101">
      <c r="C240" s="7"/>
      <c r="AY240"/>
      <c r="CR240" s="17"/>
    </row>
    <row r="241" spans="3:96">
      <c r="C241" s="7"/>
      <c r="AY241"/>
      <c r="CR241" s="17"/>
    </row>
    <row r="242" spans="3:96">
      <c r="C242" s="7"/>
      <c r="AY242"/>
      <c r="CR242" s="17"/>
    </row>
    <row r="243" spans="3:96">
      <c r="C243" s="7"/>
      <c r="AY243"/>
      <c r="CR243" s="17"/>
    </row>
    <row r="244" spans="3:96">
      <c r="C244" s="7"/>
      <c r="AY244"/>
      <c r="CR244" s="17"/>
    </row>
    <row r="245" spans="3:96">
      <c r="C245" s="7"/>
      <c r="AY245"/>
      <c r="CR245" s="17"/>
    </row>
    <row r="246" spans="3:96">
      <c r="C246" s="7"/>
      <c r="AY246"/>
      <c r="CR246" s="17"/>
    </row>
    <row r="247" spans="3:96">
      <c r="C247" s="7"/>
      <c r="AY247"/>
      <c r="CR247" s="17"/>
    </row>
    <row r="248" spans="3:96">
      <c r="C248" s="7"/>
      <c r="AY248"/>
      <c r="CR248" s="17"/>
    </row>
    <row r="249" spans="3:96">
      <c r="C249" s="7"/>
      <c r="AY249"/>
      <c r="CR249" s="17"/>
    </row>
    <row r="250" spans="3:96">
      <c r="C250" s="7"/>
      <c r="AY250"/>
      <c r="CR250" s="17"/>
    </row>
    <row r="251" spans="3:96">
      <c r="C251" s="7"/>
      <c r="AY251"/>
      <c r="CR251" s="17"/>
    </row>
    <row r="252" spans="3:96">
      <c r="C252" s="7"/>
      <c r="AY252"/>
      <c r="CR252" s="17"/>
    </row>
    <row r="253" spans="3:96">
      <c r="C253" s="7"/>
      <c r="AY253"/>
      <c r="CR253" s="17"/>
    </row>
    <row r="254" spans="3:96">
      <c r="C254" s="7"/>
      <c r="AY254"/>
      <c r="CR254" s="17"/>
    </row>
    <row r="255" spans="3:96">
      <c r="C255" s="7"/>
      <c r="AY255"/>
      <c r="CR255" s="17"/>
    </row>
    <row r="256" spans="3:96">
      <c r="C256" s="7"/>
      <c r="AY256"/>
      <c r="CR256" s="17"/>
    </row>
    <row r="257" spans="3:96">
      <c r="C257" s="7"/>
      <c r="AY257"/>
      <c r="CR257" s="17"/>
    </row>
    <row r="258" spans="3:96">
      <c r="C258" s="7"/>
      <c r="AY258"/>
      <c r="CR258" s="17"/>
    </row>
    <row r="259" spans="3:96">
      <c r="C259" s="7"/>
      <c r="AY259"/>
      <c r="CR259" s="17"/>
    </row>
    <row r="260" spans="3:96">
      <c r="C260" s="7"/>
      <c r="AY260"/>
      <c r="CR260" s="17"/>
    </row>
    <row r="261" spans="3:96">
      <c r="C261" s="7"/>
      <c r="AY261"/>
      <c r="CR261" s="17"/>
    </row>
    <row r="262" spans="3:96">
      <c r="C262" s="7"/>
      <c r="AY262"/>
      <c r="CR262" s="17"/>
    </row>
    <row r="263" spans="3:96">
      <c r="C263" s="7"/>
      <c r="AY263"/>
      <c r="CR263" s="17"/>
    </row>
    <row r="264" spans="3:96">
      <c r="C264" s="7"/>
      <c r="AY264"/>
      <c r="CR264" s="17"/>
    </row>
    <row r="265" spans="3:96">
      <c r="C265" s="7"/>
      <c r="AY265"/>
      <c r="CR265" s="17"/>
    </row>
    <row r="266" spans="3:96">
      <c r="C266" s="7"/>
      <c r="AY266"/>
      <c r="CR266" s="17"/>
    </row>
    <row r="267" spans="3:96">
      <c r="C267" s="7"/>
      <c r="AY267"/>
      <c r="CR267" s="17"/>
    </row>
    <row r="268" spans="3:96">
      <c r="C268" s="7"/>
      <c r="AY268"/>
      <c r="CR268" s="17"/>
    </row>
    <row r="269" spans="3:96">
      <c r="C269" s="7"/>
      <c r="AY269"/>
      <c r="CR269" s="17"/>
    </row>
    <row r="270" spans="3:96">
      <c r="C270" s="7"/>
      <c r="AY270"/>
      <c r="CR270" s="17"/>
    </row>
    <row r="271" spans="3:96">
      <c r="C271" s="7"/>
      <c r="AY271"/>
      <c r="CR271" s="17"/>
    </row>
    <row r="272" spans="3:96">
      <c r="C272" s="7"/>
      <c r="AY272"/>
      <c r="CR272" s="17"/>
    </row>
    <row r="273" spans="3:96">
      <c r="C273" s="7"/>
      <c r="AY273"/>
      <c r="CR273" s="17"/>
    </row>
    <row r="274" spans="3:96">
      <c r="C274" s="7"/>
      <c r="AY274"/>
      <c r="CR274" s="17"/>
    </row>
    <row r="275" spans="3:96">
      <c r="C275" s="7"/>
      <c r="AY275"/>
      <c r="CR275" s="17"/>
    </row>
    <row r="276" spans="3:96">
      <c r="C276" s="7"/>
      <c r="AY276"/>
      <c r="CR276" s="17"/>
    </row>
    <row r="277" spans="3:96">
      <c r="C277" s="7"/>
      <c r="AY277"/>
      <c r="CR277" s="17"/>
    </row>
    <row r="278" spans="3:96">
      <c r="C278" s="7"/>
      <c r="AY278"/>
      <c r="CR278" s="17"/>
    </row>
    <row r="279" spans="3:96">
      <c r="C279" s="7"/>
      <c r="AY279"/>
      <c r="CR279" s="17"/>
    </row>
    <row r="280" spans="3:96">
      <c r="C280" s="7"/>
      <c r="AY280"/>
      <c r="CR280" s="17"/>
    </row>
    <row r="281" spans="3:96">
      <c r="C281" s="7"/>
      <c r="AY281"/>
      <c r="CR281" s="17"/>
    </row>
    <row r="282" spans="3:96">
      <c r="C282" s="7"/>
      <c r="AY282"/>
      <c r="CR282" s="17"/>
    </row>
    <row r="283" spans="3:96">
      <c r="C283" s="7"/>
      <c r="AY283"/>
      <c r="CR283" s="17"/>
    </row>
    <row r="284" spans="3:96">
      <c r="C284" s="7"/>
      <c r="AY284"/>
      <c r="CR284" s="17"/>
    </row>
    <row r="285" spans="3:96">
      <c r="C285" s="7"/>
      <c r="AY285"/>
      <c r="CR285" s="17"/>
    </row>
    <row r="286" spans="3:96">
      <c r="C286" s="7"/>
      <c r="AY286"/>
      <c r="CR286" s="17"/>
    </row>
    <row r="287" spans="3:96">
      <c r="C287" s="7"/>
      <c r="AY287"/>
      <c r="CR287" s="17"/>
    </row>
    <row r="288" spans="3:96">
      <c r="C288" s="7"/>
      <c r="AY288"/>
      <c r="CR288" s="17"/>
    </row>
    <row r="289" spans="3:96">
      <c r="C289" s="7"/>
      <c r="AY289"/>
      <c r="CR289" s="17"/>
    </row>
    <row r="290" spans="3:96">
      <c r="C290" s="7"/>
      <c r="AY290"/>
      <c r="CR290" s="17"/>
    </row>
    <row r="291" spans="3:96">
      <c r="C291" s="7"/>
      <c r="AY291"/>
      <c r="CR291" s="17"/>
    </row>
    <row r="292" spans="3:96">
      <c r="C292" s="7"/>
      <c r="AY292"/>
      <c r="CR292" s="17"/>
    </row>
    <row r="293" spans="3:96">
      <c r="C293" s="7"/>
      <c r="AY293"/>
      <c r="CR293" s="17"/>
    </row>
    <row r="294" spans="3:96">
      <c r="C294" s="7"/>
      <c r="AY294"/>
      <c r="CR294" s="17"/>
    </row>
    <row r="295" spans="3:96">
      <c r="C295" s="7"/>
      <c r="AY295"/>
      <c r="CR295" s="17"/>
    </row>
    <row r="296" spans="3:96">
      <c r="C296" s="7"/>
      <c r="AY296"/>
      <c r="CR296" s="17"/>
    </row>
    <row r="297" spans="3:96">
      <c r="C297" s="7"/>
      <c r="AY297"/>
      <c r="CR297" s="17"/>
    </row>
    <row r="298" spans="3:96">
      <c r="C298" s="7"/>
      <c r="AY298"/>
      <c r="CR298" s="17"/>
    </row>
    <row r="299" spans="3:96">
      <c r="C299" s="7"/>
      <c r="AY299"/>
      <c r="CR299" s="17"/>
    </row>
    <row r="300" spans="3:96">
      <c r="C300" s="7"/>
      <c r="AY300"/>
      <c r="CR300" s="17"/>
    </row>
    <row r="301" spans="3:96">
      <c r="C301" s="7"/>
      <c r="AY301"/>
      <c r="CR301" s="17"/>
    </row>
    <row r="302" spans="3:96">
      <c r="C302" s="7"/>
      <c r="AY302"/>
      <c r="CR302" s="17"/>
    </row>
    <row r="303" spans="3:96">
      <c r="C303" s="7"/>
      <c r="AY303"/>
      <c r="CR303" s="17"/>
    </row>
    <row r="304" spans="3:96">
      <c r="C304" s="7"/>
      <c r="AY304"/>
      <c r="CR304" s="17"/>
    </row>
    <row r="305" spans="3:96">
      <c r="C305" s="7"/>
      <c r="AY305"/>
      <c r="CR305" s="17"/>
    </row>
    <row r="306" spans="3:96">
      <c r="C306" s="7"/>
      <c r="AY306"/>
      <c r="CR306" s="17"/>
    </row>
    <row r="307" spans="3:96">
      <c r="C307" s="7"/>
      <c r="AY307"/>
      <c r="CR307" s="17"/>
    </row>
    <row r="308" spans="3:96">
      <c r="C308" s="7"/>
      <c r="AY308"/>
      <c r="CR308" s="17"/>
    </row>
    <row r="309" spans="3:96">
      <c r="C309" s="7"/>
      <c r="AY309"/>
      <c r="CR309" s="17"/>
    </row>
    <row r="310" spans="3:96">
      <c r="C310" s="7"/>
      <c r="AY310"/>
      <c r="CR310" s="17"/>
    </row>
    <row r="311" spans="3:96">
      <c r="C311" s="7"/>
      <c r="AY311"/>
      <c r="CR311" s="17"/>
    </row>
    <row r="312" spans="3:96">
      <c r="C312" s="7"/>
      <c r="AY312"/>
      <c r="CR312" s="17"/>
    </row>
    <row r="313" spans="3:96">
      <c r="C313" s="7"/>
      <c r="AY313"/>
      <c r="CR313" s="17"/>
    </row>
    <row r="314" spans="3:96">
      <c r="C314" s="7"/>
      <c r="AY314"/>
      <c r="CR314" s="17"/>
    </row>
    <row r="315" spans="3:96">
      <c r="C315" s="7"/>
      <c r="AY315"/>
      <c r="CR315" s="17"/>
    </row>
    <row r="316" spans="3:96">
      <c r="C316" s="7"/>
      <c r="AY316"/>
      <c r="CR316" s="17"/>
    </row>
    <row r="317" spans="3:96">
      <c r="C317" s="7"/>
      <c r="AY317"/>
      <c r="CR317" s="17"/>
    </row>
    <row r="318" spans="3:96">
      <c r="C318" s="7"/>
      <c r="AY318"/>
      <c r="CR318" s="17"/>
    </row>
    <row r="319" spans="3:96">
      <c r="C319" s="7"/>
      <c r="AY319"/>
      <c r="CR319" s="17"/>
    </row>
    <row r="320" spans="3:96">
      <c r="C320" s="7"/>
      <c r="AY320"/>
      <c r="CR320" s="17"/>
    </row>
    <row r="321" spans="3:96">
      <c r="C321" s="7"/>
      <c r="AY321"/>
      <c r="CR321" s="17"/>
    </row>
    <row r="322" spans="3:96">
      <c r="C322" s="7"/>
      <c r="AY322"/>
      <c r="CR322" s="17"/>
    </row>
    <row r="323" spans="3:96">
      <c r="C323" s="7"/>
      <c r="AY323"/>
      <c r="CR323" s="17"/>
    </row>
    <row r="324" spans="3:96">
      <c r="C324" s="7"/>
      <c r="AY324"/>
      <c r="CR324" s="17"/>
    </row>
    <row r="325" spans="3:96">
      <c r="C325" s="7"/>
      <c r="AY325"/>
      <c r="CR325" s="17"/>
    </row>
    <row r="326" spans="3:96">
      <c r="C326" s="7"/>
      <c r="AY326"/>
      <c r="CR326" s="17"/>
    </row>
    <row r="327" spans="3:96">
      <c r="C327" s="7"/>
      <c r="AY327"/>
      <c r="CR327" s="17"/>
    </row>
    <row r="328" spans="3:96">
      <c r="C328" s="7"/>
      <c r="AY328"/>
      <c r="CR328" s="17"/>
    </row>
    <row r="329" spans="3:96">
      <c r="C329" s="7"/>
      <c r="AY329"/>
      <c r="CR329" s="17"/>
    </row>
    <row r="330" spans="3:96">
      <c r="C330" s="7"/>
      <c r="AY330"/>
      <c r="CR330" s="17"/>
    </row>
    <row r="331" spans="3:96">
      <c r="C331" s="7"/>
      <c r="AY331"/>
      <c r="CR331" s="17"/>
    </row>
    <row r="332" spans="3:96">
      <c r="C332" s="7"/>
      <c r="AY332"/>
      <c r="CR332" s="17"/>
    </row>
    <row r="333" spans="3:96">
      <c r="C333" s="7"/>
      <c r="AY333"/>
      <c r="CR333" s="17"/>
    </row>
    <row r="334" spans="3:96">
      <c r="C334" s="7"/>
      <c r="AY334"/>
      <c r="CR334" s="17"/>
    </row>
    <row r="335" spans="3:96">
      <c r="C335" s="7"/>
      <c r="AY335"/>
      <c r="CR335" s="17"/>
    </row>
    <row r="336" spans="3:96">
      <c r="C336" s="7"/>
      <c r="AY336"/>
      <c r="CR336" s="17"/>
    </row>
    <row r="337" spans="3:96">
      <c r="C337" s="7"/>
      <c r="AY337"/>
      <c r="CR337" s="17"/>
    </row>
    <row r="338" spans="3:96">
      <c r="C338" s="7"/>
      <c r="AY338"/>
      <c r="CR338" s="17"/>
    </row>
    <row r="339" spans="3:96">
      <c r="C339" s="7"/>
      <c r="AY339"/>
      <c r="CR339" s="17"/>
    </row>
    <row r="340" spans="3:96">
      <c r="C340" s="7"/>
      <c r="AY340"/>
      <c r="CR340" s="17"/>
    </row>
    <row r="341" spans="3:96">
      <c r="C341" s="7"/>
      <c r="AY341"/>
      <c r="CR341" s="17"/>
    </row>
    <row r="342" spans="3:96">
      <c r="C342" s="7"/>
      <c r="AY342"/>
      <c r="CR342" s="17"/>
    </row>
    <row r="343" spans="3:96">
      <c r="C343" s="7"/>
      <c r="AY343"/>
      <c r="CR343" s="17"/>
    </row>
    <row r="344" spans="3:96">
      <c r="C344" s="7"/>
      <c r="AY344"/>
      <c r="CR344" s="17"/>
    </row>
    <row r="345" spans="3:96">
      <c r="C345" s="7"/>
      <c r="AY345"/>
      <c r="CR345" s="17"/>
    </row>
    <row r="346" spans="3:96">
      <c r="C346" s="7"/>
      <c r="AY346"/>
      <c r="CR346" s="17"/>
    </row>
    <row r="347" spans="3:96">
      <c r="C347" s="7"/>
      <c r="AY347"/>
      <c r="CR347" s="17"/>
    </row>
    <row r="348" spans="3:96">
      <c r="C348" s="7"/>
      <c r="AY348"/>
      <c r="CR348" s="17"/>
    </row>
    <row r="349" spans="3:96">
      <c r="C349" s="7"/>
      <c r="AY349"/>
      <c r="CR349" s="17"/>
    </row>
    <row r="350" spans="3:96">
      <c r="C350" s="7"/>
      <c r="AY350"/>
      <c r="CR350" s="17"/>
    </row>
    <row r="351" spans="3:96">
      <c r="C351" s="7"/>
      <c r="AY351"/>
      <c r="CR351" s="17"/>
    </row>
    <row r="352" spans="3:96">
      <c r="C352" s="7"/>
      <c r="AY352"/>
      <c r="CR352" s="17"/>
    </row>
    <row r="353" spans="3:96">
      <c r="C353" s="7"/>
      <c r="AY353"/>
      <c r="CR353" s="17"/>
    </row>
    <row r="354" spans="3:96">
      <c r="C354" s="7"/>
      <c r="AY354"/>
      <c r="CR354" s="17"/>
    </row>
    <row r="355" spans="3:96">
      <c r="C355" s="7"/>
      <c r="AY355"/>
      <c r="CR355" s="17"/>
    </row>
    <row r="356" spans="3:96">
      <c r="C356" s="7"/>
      <c r="AY356"/>
      <c r="CR356" s="17"/>
    </row>
    <row r="357" spans="3:96">
      <c r="C357" s="7"/>
      <c r="AY357"/>
      <c r="CR357" s="17"/>
    </row>
    <row r="358" spans="3:96">
      <c r="C358" s="7"/>
      <c r="AY358"/>
      <c r="CR358" s="17"/>
    </row>
    <row r="359" spans="3:96">
      <c r="C359" s="7"/>
      <c r="AY359"/>
      <c r="CR359" s="17"/>
    </row>
    <row r="360" spans="3:96">
      <c r="C360" s="7"/>
      <c r="AY360"/>
      <c r="CR360" s="17"/>
    </row>
    <row r="361" spans="3:96">
      <c r="C361" s="7"/>
      <c r="AY361"/>
      <c r="CR361" s="17"/>
    </row>
    <row r="362" spans="3:96">
      <c r="C362" s="7"/>
      <c r="AY362"/>
      <c r="CR362" s="17"/>
    </row>
    <row r="363" spans="3:96">
      <c r="C363" s="7"/>
      <c r="AY363"/>
      <c r="CR363" s="17"/>
    </row>
    <row r="364" spans="3:96">
      <c r="C364" s="7"/>
      <c r="AY364"/>
      <c r="CR364" s="17"/>
    </row>
    <row r="365" spans="3:96">
      <c r="C365" s="7"/>
      <c r="AY365"/>
      <c r="CR365" s="17"/>
    </row>
    <row r="366" spans="3:96">
      <c r="C366" s="7"/>
      <c r="AY366"/>
      <c r="CR366" s="17"/>
    </row>
    <row r="367" spans="3:96">
      <c r="C367" s="7"/>
      <c r="AY367"/>
      <c r="CR367" s="17"/>
    </row>
    <row r="368" spans="3:96">
      <c r="C368" s="7"/>
      <c r="AY368"/>
      <c r="CR368" s="17"/>
    </row>
    <row r="369" spans="3:96">
      <c r="C369" s="7"/>
      <c r="AY369"/>
      <c r="CR369" s="17"/>
    </row>
    <row r="370" spans="3:96">
      <c r="C370" s="7"/>
      <c r="AY370"/>
      <c r="CR370" s="17"/>
    </row>
    <row r="371" spans="3:96">
      <c r="C371" s="7"/>
      <c r="AY371"/>
      <c r="CR371" s="17"/>
    </row>
    <row r="372" spans="3:96">
      <c r="C372" s="7"/>
      <c r="AY372"/>
      <c r="CR372" s="17"/>
    </row>
    <row r="373" spans="3:96">
      <c r="C373" s="7"/>
      <c r="AY373"/>
      <c r="CR373" s="17"/>
    </row>
    <row r="374" spans="3:96">
      <c r="C374" s="7"/>
      <c r="AY374"/>
      <c r="CR374" s="17"/>
    </row>
    <row r="375" spans="3:96">
      <c r="C375" s="7"/>
      <c r="AY375"/>
      <c r="CR375" s="17"/>
    </row>
    <row r="376" spans="3:96">
      <c r="C376" s="7"/>
      <c r="AY376"/>
      <c r="CR376" s="17"/>
    </row>
    <row r="377" spans="3:96">
      <c r="C377" s="7"/>
      <c r="AY377"/>
      <c r="CR377" s="17"/>
    </row>
    <row r="378" spans="3:96">
      <c r="C378" s="7"/>
      <c r="AY378"/>
      <c r="CR378" s="17"/>
    </row>
    <row r="379" spans="3:96">
      <c r="C379" s="7"/>
      <c r="AY379"/>
      <c r="CR379" s="17"/>
    </row>
    <row r="380" spans="3:96">
      <c r="C380" s="7"/>
      <c r="AY380"/>
      <c r="CR380" s="17"/>
    </row>
    <row r="381" spans="3:96">
      <c r="C381" s="7"/>
      <c r="AY381"/>
      <c r="CR381" s="17"/>
    </row>
    <row r="382" spans="3:96">
      <c r="C382" s="7"/>
      <c r="AY382"/>
      <c r="CR382" s="17"/>
    </row>
    <row r="383" spans="3:96">
      <c r="C383" s="7"/>
      <c r="AY383"/>
      <c r="CR383" s="17"/>
    </row>
    <row r="384" spans="3:96">
      <c r="C384" s="7"/>
      <c r="AY384"/>
      <c r="CR384" s="17"/>
    </row>
    <row r="385" spans="3:96">
      <c r="C385" s="7"/>
      <c r="AY385"/>
      <c r="CR385" s="17"/>
    </row>
    <row r="386" spans="3:96">
      <c r="C386" s="7"/>
      <c r="AY386"/>
      <c r="CR386" s="17"/>
    </row>
    <row r="387" spans="3:96">
      <c r="C387" s="7"/>
      <c r="AY387"/>
      <c r="CR387" s="17"/>
    </row>
    <row r="388" spans="3:96">
      <c r="C388" s="7"/>
      <c r="AY388"/>
      <c r="CR388" s="17"/>
    </row>
    <row r="389" spans="3:96">
      <c r="C389" s="7"/>
      <c r="AY389"/>
      <c r="CR389" s="17"/>
    </row>
    <row r="390" spans="3:96">
      <c r="C390" s="7"/>
      <c r="AY390"/>
      <c r="CR390" s="17"/>
    </row>
    <row r="391" spans="3:96">
      <c r="C391" s="7"/>
      <c r="AY391"/>
      <c r="CR391" s="17"/>
    </row>
    <row r="392" spans="3:96">
      <c r="C392" s="7"/>
      <c r="AY392"/>
      <c r="CR392" s="17"/>
    </row>
    <row r="393" spans="3:96">
      <c r="C393" s="7"/>
      <c r="AY393"/>
      <c r="CR393" s="17"/>
    </row>
    <row r="394" spans="3:96">
      <c r="C394" s="7"/>
      <c r="AY394"/>
      <c r="CR394" s="17"/>
    </row>
    <row r="395" spans="3:96">
      <c r="C395" s="7"/>
      <c r="AY395"/>
      <c r="CR395" s="17"/>
    </row>
    <row r="396" spans="3:96">
      <c r="C396" s="7"/>
      <c r="AY396"/>
      <c r="CR396" s="17"/>
    </row>
    <row r="397" spans="3:96">
      <c r="C397" s="7"/>
      <c r="AY397"/>
      <c r="CR397" s="17"/>
    </row>
    <row r="398" spans="3:96">
      <c r="C398" s="7"/>
      <c r="AY398"/>
      <c r="CR398" s="17"/>
    </row>
    <row r="399" spans="3:96">
      <c r="C399" s="7"/>
      <c r="AY399"/>
      <c r="CR399" s="17"/>
    </row>
    <row r="400" spans="3:96">
      <c r="C400" s="7"/>
      <c r="AY400"/>
      <c r="CR400" s="17"/>
    </row>
    <row r="401" spans="3:96">
      <c r="C401" s="7"/>
      <c r="AY401"/>
      <c r="CR401" s="17"/>
    </row>
    <row r="402" spans="3:96">
      <c r="C402" s="7"/>
      <c r="AY402"/>
      <c r="CR402" s="17"/>
    </row>
    <row r="403" spans="3:96">
      <c r="C403" s="7"/>
      <c r="AY403"/>
      <c r="CR403" s="17"/>
    </row>
    <row r="404" spans="3:96">
      <c r="C404" s="7"/>
      <c r="AY404"/>
      <c r="CR404" s="17"/>
    </row>
    <row r="405" spans="3:96">
      <c r="C405" s="7"/>
      <c r="AY405"/>
      <c r="CR405" s="17"/>
    </row>
    <row r="406" spans="3:96">
      <c r="C406" s="7"/>
      <c r="AY406"/>
      <c r="CR406" s="17"/>
    </row>
    <row r="407" spans="3:96">
      <c r="C407" s="7"/>
      <c r="AY407"/>
      <c r="CR407" s="17"/>
    </row>
    <row r="408" spans="3:96">
      <c r="C408" s="7"/>
      <c r="AY408"/>
      <c r="CR408" s="17"/>
    </row>
    <row r="409" spans="3:96">
      <c r="C409" s="7"/>
      <c r="AY409"/>
      <c r="CR409" s="17"/>
    </row>
    <row r="410" spans="3:96">
      <c r="C410" s="7"/>
      <c r="AY410"/>
      <c r="CR410" s="17"/>
    </row>
    <row r="411" spans="3:96">
      <c r="C411" s="7"/>
      <c r="AY411"/>
      <c r="CR411" s="17"/>
    </row>
    <row r="412" spans="3:96">
      <c r="C412" s="7"/>
      <c r="AY412"/>
      <c r="CR412" s="17"/>
    </row>
    <row r="413" spans="3:96">
      <c r="C413" s="7"/>
      <c r="AY413"/>
      <c r="CR413" s="17"/>
    </row>
    <row r="414" spans="3:96">
      <c r="C414" s="7"/>
      <c r="AY414"/>
      <c r="CR414" s="17"/>
    </row>
    <row r="415" spans="3:96">
      <c r="C415" s="7"/>
      <c r="AY415"/>
      <c r="CR415" s="17"/>
    </row>
    <row r="416" spans="3:96">
      <c r="C416" s="7"/>
      <c r="AY416"/>
      <c r="CR416" s="17"/>
    </row>
    <row r="417" spans="3:96">
      <c r="C417" s="7"/>
      <c r="AY417"/>
      <c r="CR417" s="17"/>
    </row>
    <row r="418" spans="3:96">
      <c r="C418" s="7"/>
      <c r="AY418"/>
      <c r="CR418" s="17"/>
    </row>
    <row r="419" spans="3:96">
      <c r="C419" s="7"/>
      <c r="AY419"/>
      <c r="CR419" s="17"/>
    </row>
    <row r="420" spans="3:96">
      <c r="C420" s="7"/>
      <c r="AY420"/>
      <c r="CR420" s="17"/>
    </row>
    <row r="421" spans="3:96">
      <c r="C421" s="7"/>
      <c r="AY421"/>
      <c r="CR421" s="17"/>
    </row>
    <row r="422" spans="3:96">
      <c r="C422" s="7"/>
      <c r="AY422"/>
      <c r="CR422" s="17"/>
    </row>
    <row r="423" spans="3:96">
      <c r="C423" s="7"/>
      <c r="AY423"/>
      <c r="CR423" s="17"/>
    </row>
    <row r="424" spans="3:96">
      <c r="C424" s="7"/>
      <c r="AY424"/>
      <c r="CR424" s="17"/>
    </row>
    <row r="425" spans="3:96">
      <c r="C425" s="7"/>
      <c r="AY425"/>
      <c r="CR425" s="17"/>
    </row>
    <row r="426" spans="3:96">
      <c r="C426" s="7"/>
      <c r="AY426"/>
      <c r="CR426" s="17"/>
    </row>
    <row r="427" spans="3:96">
      <c r="C427" s="7"/>
      <c r="AY427"/>
      <c r="CR427" s="17"/>
    </row>
    <row r="428" spans="3:96">
      <c r="C428" s="7"/>
      <c r="AY428"/>
      <c r="CR428" s="17"/>
    </row>
    <row r="429" spans="3:96">
      <c r="C429" s="7"/>
      <c r="AY429"/>
      <c r="CR429" s="17"/>
    </row>
    <row r="430" spans="3:96">
      <c r="C430" s="7"/>
      <c r="AY430"/>
      <c r="CR430" s="17"/>
    </row>
    <row r="431" spans="3:96">
      <c r="C431" s="7"/>
      <c r="AY431"/>
      <c r="CR431" s="17"/>
    </row>
    <row r="432" spans="3:96">
      <c r="C432" s="7"/>
      <c r="AY432"/>
      <c r="CR432" s="17"/>
    </row>
    <row r="433" spans="3:96">
      <c r="C433" s="7"/>
      <c r="AY433"/>
      <c r="CR433" s="17"/>
    </row>
    <row r="434" spans="3:96">
      <c r="C434" s="7"/>
      <c r="AY434"/>
      <c r="CR434" s="17"/>
    </row>
    <row r="435" spans="3:96">
      <c r="C435" s="7"/>
      <c r="AY435"/>
      <c r="CR435" s="17"/>
    </row>
    <row r="436" spans="3:96">
      <c r="C436" s="7"/>
      <c r="AY436"/>
      <c r="CR436" s="17"/>
    </row>
    <row r="437" spans="3:96">
      <c r="C437" s="7"/>
      <c r="AY437"/>
      <c r="CR437" s="17"/>
    </row>
    <row r="438" spans="3:96">
      <c r="C438" s="7"/>
      <c r="AY438"/>
      <c r="CR438" s="17"/>
    </row>
    <row r="439" spans="3:96">
      <c r="C439" s="7"/>
      <c r="AY439"/>
      <c r="CR439" s="17"/>
    </row>
    <row r="440" spans="3:96">
      <c r="C440" s="7"/>
      <c r="AY440"/>
      <c r="CR440" s="17"/>
    </row>
    <row r="441" spans="3:96">
      <c r="C441" s="7"/>
      <c r="AY441"/>
      <c r="CR441" s="17"/>
    </row>
    <row r="442" spans="3:96">
      <c r="C442" s="7"/>
      <c r="AY442"/>
      <c r="CR442" s="17"/>
    </row>
    <row r="443" spans="3:96">
      <c r="C443" s="7"/>
      <c r="AY443"/>
      <c r="CR443" s="17"/>
    </row>
    <row r="444" spans="3:96">
      <c r="C444" s="7"/>
      <c r="AY444"/>
      <c r="CR444" s="17"/>
    </row>
    <row r="445" spans="3:96">
      <c r="C445" s="7"/>
      <c r="AY445"/>
      <c r="CR445" s="17"/>
    </row>
    <row r="446" spans="3:96">
      <c r="C446" s="7"/>
      <c r="AY446"/>
      <c r="CR446" s="17"/>
    </row>
    <row r="447" spans="3:96">
      <c r="C447" s="7"/>
      <c r="AY447"/>
      <c r="CR447" s="17"/>
    </row>
    <row r="448" spans="3:96">
      <c r="C448" s="7"/>
      <c r="AY448"/>
      <c r="CR448" s="17"/>
    </row>
    <row r="449" spans="3:96">
      <c r="C449" s="7"/>
      <c r="AY449"/>
      <c r="CR449" s="17"/>
    </row>
    <row r="450" spans="3:96">
      <c r="C450" s="7"/>
      <c r="AY450"/>
      <c r="CR450" s="17"/>
    </row>
    <row r="451" spans="3:96">
      <c r="C451" s="7"/>
      <c r="AY451"/>
      <c r="CR451" s="17"/>
    </row>
    <row r="452" spans="3:96">
      <c r="C452" s="7"/>
      <c r="AY452"/>
      <c r="CR452" s="17"/>
    </row>
    <row r="453" spans="3:96">
      <c r="C453" s="7"/>
      <c r="AY453"/>
      <c r="CR453" s="17"/>
    </row>
    <row r="454" spans="3:96">
      <c r="C454" s="7"/>
      <c r="AY454"/>
      <c r="CR454" s="17"/>
    </row>
    <row r="455" spans="3:96">
      <c r="C455" s="7"/>
      <c r="AY455"/>
      <c r="CR455" s="17"/>
    </row>
    <row r="456" spans="3:96">
      <c r="C456" s="7"/>
      <c r="AY456"/>
      <c r="CR456" s="17"/>
    </row>
    <row r="457" spans="3:96">
      <c r="C457" s="7"/>
      <c r="AY457"/>
      <c r="CR457" s="17"/>
    </row>
    <row r="458" spans="3:96">
      <c r="C458" s="7"/>
      <c r="AY458"/>
      <c r="CR458" s="17"/>
    </row>
    <row r="459" spans="3:96">
      <c r="C459" s="7"/>
      <c r="AY459"/>
      <c r="CR459" s="17"/>
    </row>
    <row r="460" spans="3:96">
      <c r="C460" s="7"/>
      <c r="AY460"/>
      <c r="CR460" s="17"/>
    </row>
    <row r="461" spans="3:96">
      <c r="C461" s="7"/>
      <c r="AY461"/>
      <c r="CR461" s="17"/>
    </row>
    <row r="462" spans="3:96">
      <c r="C462" s="7"/>
      <c r="AY462"/>
      <c r="CR462" s="17"/>
    </row>
    <row r="463" spans="3:96">
      <c r="C463" s="7"/>
      <c r="AY463"/>
      <c r="CR463" s="17"/>
    </row>
    <row r="464" spans="3:96">
      <c r="C464" s="7"/>
      <c r="AY464"/>
      <c r="CR464" s="17"/>
    </row>
    <row r="465" spans="3:96">
      <c r="C465" s="7"/>
      <c r="AY465"/>
      <c r="CR465" s="17"/>
    </row>
    <row r="466" spans="3:96">
      <c r="C466" s="7"/>
      <c r="AY466"/>
      <c r="CR466" s="17"/>
    </row>
    <row r="467" spans="3:96">
      <c r="C467" s="7"/>
      <c r="AY467"/>
      <c r="CR467" s="17"/>
    </row>
    <row r="468" spans="3:96">
      <c r="C468" s="7"/>
      <c r="AY468"/>
      <c r="CR468" s="17"/>
    </row>
    <row r="469" spans="3:96">
      <c r="C469" s="7"/>
      <c r="AY469"/>
      <c r="CR469" s="17"/>
    </row>
    <row r="470" spans="3:96">
      <c r="C470" s="7"/>
      <c r="AY470"/>
      <c r="CR470" s="17"/>
    </row>
    <row r="471" spans="3:96">
      <c r="C471" s="7"/>
      <c r="AY471"/>
      <c r="CR471" s="17"/>
    </row>
    <row r="472" spans="3:96">
      <c r="C472" s="7"/>
      <c r="AY472"/>
      <c r="CR472" s="17"/>
    </row>
    <row r="473" spans="3:96">
      <c r="C473" s="7"/>
      <c r="AY473"/>
      <c r="CR473" s="17"/>
    </row>
    <row r="474" spans="3:96">
      <c r="C474" s="7"/>
      <c r="AY474"/>
      <c r="CR474" s="17"/>
    </row>
    <row r="475" spans="3:96">
      <c r="C475" s="7"/>
      <c r="AY475"/>
      <c r="CR475" s="17"/>
    </row>
    <row r="476" spans="3:96">
      <c r="C476" s="7"/>
      <c r="AY476"/>
      <c r="CR476" s="17"/>
    </row>
    <row r="477" spans="3:96">
      <c r="C477" s="7"/>
      <c r="AY477"/>
      <c r="CR477" s="17"/>
    </row>
    <row r="478" spans="3:96">
      <c r="C478" s="7"/>
      <c r="AY478"/>
      <c r="CR478" s="17"/>
    </row>
    <row r="479" spans="3:96">
      <c r="C479" s="7"/>
      <c r="AY479"/>
      <c r="CR479" s="17"/>
    </row>
    <row r="480" spans="3:96">
      <c r="C480" s="7"/>
      <c r="AY480"/>
      <c r="CR480" s="17"/>
    </row>
    <row r="481" spans="3:96">
      <c r="C481" s="7"/>
      <c r="AY481"/>
      <c r="CR481" s="17"/>
    </row>
    <row r="482" spans="3:96">
      <c r="C482" s="7"/>
      <c r="AY482"/>
      <c r="CR482" s="17"/>
    </row>
    <row r="483" spans="3:96">
      <c r="C483" s="7"/>
      <c r="AY483"/>
      <c r="CR483" s="17"/>
    </row>
    <row r="484" spans="3:96">
      <c r="C484" s="7"/>
      <c r="AY484"/>
      <c r="CR484" s="17"/>
    </row>
    <row r="485" spans="3:96">
      <c r="C485" s="7"/>
      <c r="AY485"/>
      <c r="CR485" s="17"/>
    </row>
    <row r="486" spans="3:96">
      <c r="C486" s="7"/>
    </row>
    <row r="487" spans="3:96">
      <c r="C487" s="7"/>
    </row>
    <row r="488" spans="3:96">
      <c r="C488" s="7"/>
    </row>
  </sheetData>
  <conditionalFormatting sqref="AK2:AK4">
    <cfRule type="cellIs" dxfId="82" priority="165" operator="between">
      <formula>10</formula>
      <formula>30</formula>
    </cfRule>
    <cfRule type="cellIs" dxfId="81" priority="166" operator="greaterThan">
      <formula>30</formula>
    </cfRule>
  </conditionalFormatting>
  <conditionalFormatting sqref="AK2:AK4">
    <cfRule type="cellIs" dxfId="80" priority="163" operator="lessThan">
      <formula>0</formula>
    </cfRule>
    <cfRule type="cellIs" dxfId="79" priority="164" operator="between">
      <formula>9</formula>
      <formula>1</formula>
    </cfRule>
  </conditionalFormatting>
  <conditionalFormatting sqref="AK5:AK6">
    <cfRule type="cellIs" dxfId="78" priority="143" operator="lessThan">
      <formula>0</formula>
    </cfRule>
    <cfRule type="cellIs" dxfId="77" priority="144" operator="between">
      <formula>9</formula>
      <formula>1</formula>
    </cfRule>
  </conditionalFormatting>
  <conditionalFormatting sqref="AK5:AK6">
    <cfRule type="cellIs" dxfId="76" priority="145" operator="between">
      <formula>10</formula>
      <formula>30</formula>
    </cfRule>
    <cfRule type="cellIs" dxfId="75" priority="146" operator="greaterThan">
      <formula>30</formula>
    </cfRule>
  </conditionalFormatting>
  <conditionalFormatting sqref="AK7">
    <cfRule type="cellIs" dxfId="74" priority="132" operator="lessThan">
      <formula>0</formula>
    </cfRule>
    <cfRule type="cellIs" dxfId="73" priority="133" operator="between">
      <formula>9</formula>
      <formula>1</formula>
    </cfRule>
  </conditionalFormatting>
  <conditionalFormatting sqref="AK7">
    <cfRule type="cellIs" dxfId="72" priority="134" operator="between">
      <formula>10</formula>
      <formula>30</formula>
    </cfRule>
    <cfRule type="cellIs" dxfId="71" priority="135" operator="greaterThan">
      <formula>30</formula>
    </cfRule>
  </conditionalFormatting>
  <conditionalFormatting sqref="AK8:AK11">
    <cfRule type="cellIs" dxfId="70" priority="123" operator="lessThan">
      <formula>0</formula>
    </cfRule>
    <cfRule type="cellIs" dxfId="69" priority="124" operator="between">
      <formula>9</formula>
      <formula>1</formula>
    </cfRule>
  </conditionalFormatting>
  <conditionalFormatting sqref="AK8:AK11">
    <cfRule type="cellIs" dxfId="68" priority="125" operator="between">
      <formula>10</formula>
      <formula>30</formula>
    </cfRule>
    <cfRule type="cellIs" dxfId="67" priority="126" operator="greaterThan">
      <formula>30</formula>
    </cfRule>
  </conditionalFormatting>
  <conditionalFormatting sqref="AD1:AD14 AF13 AF15:AF1048576">
    <cfRule type="containsText" dxfId="66" priority="99" operator="containsText" text="Missing">
      <formula>NOT(ISERROR(SEARCH("Missing",AD1)))</formula>
    </cfRule>
  </conditionalFormatting>
  <conditionalFormatting sqref="AK12">
    <cfRule type="cellIs" dxfId="65" priority="93" operator="lessThan">
      <formula>0</formula>
    </cfRule>
    <cfRule type="cellIs" dxfId="64" priority="94" operator="between">
      <formula>9</formula>
      <formula>1</formula>
    </cfRule>
  </conditionalFormatting>
  <conditionalFormatting sqref="AK12">
    <cfRule type="cellIs" dxfId="63" priority="95" operator="between">
      <formula>10</formula>
      <formula>30</formula>
    </cfRule>
    <cfRule type="cellIs" dxfId="62" priority="96" operator="greaterThan">
      <formula>30</formula>
    </cfRule>
  </conditionalFormatting>
  <conditionalFormatting sqref="AK9 G13:G1048576">
    <cfRule type="containsText" dxfId="61" priority="33" operator="containsText" text="Missing">
      <formula>NOT(ISERROR(SEARCH("Missing",G9)))</formula>
    </cfRule>
  </conditionalFormatting>
  <conditionalFormatting sqref="AD1:AD14 AE13 AE15:AE1048576">
    <cfRule type="containsText" dxfId="60" priority="31" operator="containsText" text="EXPIRED">
      <formula>NOT(ISERROR(SEARCH("EXPIRED",AD1)))</formula>
    </cfRule>
  </conditionalFormatting>
  <conditionalFormatting sqref="AH15:AH1048576 AG1:AG13">
    <cfRule type="containsText" dxfId="59" priority="27" operator="containsText" text="Missing">
      <formula>NOT(ISERROR(SEARCH("Missing",AG1)))</formula>
    </cfRule>
  </conditionalFormatting>
  <conditionalFormatting sqref="AR13:AR1048576">
    <cfRule type="cellIs" dxfId="58" priority="22" operator="equal">
      <formula>"Expired"</formula>
    </cfRule>
  </conditionalFormatting>
  <conditionalFormatting sqref="AP1:AP12">
    <cfRule type="cellIs" dxfId="57" priority="19" operator="lessThanOrEqual">
      <formula>1</formula>
    </cfRule>
    <cfRule type="cellIs" dxfId="56" priority="21" operator="between">
      <formula>1</formula>
      <formula>11</formula>
    </cfRule>
  </conditionalFormatting>
  <conditionalFormatting sqref="AQ1:AQ12 AQ14:AQ1048576">
    <cfRule type="containsText" dxfId="55" priority="17" operator="containsText" text="Good">
      <formula>NOT(ISERROR(SEARCH("Good",AQ1)))</formula>
    </cfRule>
    <cfRule type="containsText" dxfId="54" priority="18" operator="containsText" text="Expired">
      <formula>NOT(ISERROR(SEARCH("Expired",AQ1)))</formula>
    </cfRule>
  </conditionalFormatting>
  <conditionalFormatting sqref="Z2:Z14">
    <cfRule type="containsText" dxfId="53" priority="16" operator="containsText" text="EXPIRED">
      <formula>NOT(ISERROR(SEARCH("EXPIRED",Z2)))</formula>
    </cfRule>
  </conditionalFormatting>
  <conditionalFormatting sqref="AK13:AK14">
    <cfRule type="cellIs" dxfId="52" priority="12" operator="lessThan">
      <formula>0</formula>
    </cfRule>
    <cfRule type="cellIs" dxfId="51" priority="13" operator="between">
      <formula>9</formula>
      <formula>1</formula>
    </cfRule>
  </conditionalFormatting>
  <conditionalFormatting sqref="AK13:AK14">
    <cfRule type="cellIs" dxfId="50" priority="14" operator="between">
      <formula>10</formula>
      <formula>30</formula>
    </cfRule>
    <cfRule type="cellIs" dxfId="49" priority="15" operator="greaterThan">
      <formula>30</formula>
    </cfRule>
  </conditionalFormatting>
  <conditionalFormatting sqref="AJ13">
    <cfRule type="containsText" dxfId="48" priority="11" operator="containsText" text="Missing">
      <formula>NOT(ISERROR(SEARCH("Missing",AJ13)))</formula>
    </cfRule>
  </conditionalFormatting>
  <conditionalFormatting sqref="AP13">
    <cfRule type="cellIs" dxfId="47" priority="8" operator="lessThanOrEqual">
      <formula>1</formula>
    </cfRule>
    <cfRule type="cellIs" dxfId="46" priority="10" operator="between">
      <formula>1</formula>
      <formula>11</formula>
    </cfRule>
  </conditionalFormatting>
  <conditionalFormatting sqref="AQ13">
    <cfRule type="containsText" dxfId="45" priority="6" operator="containsText" text="Good">
      <formula>NOT(ISERROR(SEARCH("Good",AQ13)))</formula>
    </cfRule>
    <cfRule type="containsText" dxfId="44" priority="7" operator="containsText" text="Expired">
      <formula>NOT(ISERROR(SEARCH("Expired",AQ13)))</formula>
    </cfRule>
  </conditionalFormatting>
  <conditionalFormatting sqref="AD1:AD1048576">
    <cfRule type="containsText" dxfId="43" priority="5" operator="containsText" text="Pass">
      <formula>NOT(ISERROR(SEARCH("Pass",AD1)))</formula>
    </cfRule>
  </conditionalFormatting>
  <conditionalFormatting sqref="AJ14">
    <cfRule type="containsText" dxfId="42" priority="4" operator="containsText" text="Missing">
      <formula>NOT(ISERROR(SEARCH("Missing",AJ14)))</formula>
    </cfRule>
  </conditionalFormatting>
  <conditionalFormatting sqref="AF14">
    <cfRule type="containsText" dxfId="41" priority="3" operator="containsText" text="Missing">
      <formula>NOT(ISERROR(SEARCH("Missing",AF14)))</formula>
    </cfRule>
  </conditionalFormatting>
  <conditionalFormatting sqref="AE14">
    <cfRule type="containsText" dxfId="40" priority="2" operator="containsText" text="EXPIRED">
      <formula>NOT(ISERROR(SEARCH("EXPIRED",AE14)))</formula>
    </cfRule>
  </conditionalFormatting>
  <conditionalFormatting sqref="AG14">
    <cfRule type="containsText" dxfId="39" priority="1" operator="containsText" text="Missing">
      <formula>NOT(ISERROR(SEARCH("Missing",AG14)))</formula>
    </cfRule>
  </conditionalFormatting>
  <hyperlinks>
    <hyperlink ref="R2" r:id="rId1"/>
    <hyperlink ref="R3" r:id="rId2"/>
    <hyperlink ref="R4" r:id="rId3"/>
    <hyperlink ref="R5" r:id="rId4"/>
    <hyperlink ref="R7" r:id="rId5"/>
    <hyperlink ref="R8" r:id="rId6"/>
    <hyperlink ref="R9" r:id="rId7"/>
    <hyperlink ref="R10" r:id="rId8"/>
    <hyperlink ref="R11" r:id="rId9"/>
    <hyperlink ref="R12" r:id="rId10"/>
    <hyperlink ref="R13" r:id="rId11"/>
  </hyperlinks>
  <pageMargins left="0.7" right="0.7" top="0.75" bottom="0.75" header="0.3" footer="0.3"/>
  <pageSetup orientation="portrait" horizontalDpi="4294967293" r:id="rId12"/>
  <tableParts count="1">
    <tablePart r:id="rId1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249977111117893"/>
  </sheetPr>
  <dimension ref="A1:W13"/>
  <sheetViews>
    <sheetView workbookViewId="0">
      <pane ySplit="1" topLeftCell="A2" activePane="bottomLeft" state="frozen"/>
      <selection activeCell="E8" sqref="E8"/>
      <selection pane="bottomLeft" activeCell="B14" sqref="B14"/>
    </sheetView>
  </sheetViews>
  <sheetFormatPr defaultColWidth="9.140625" defaultRowHeight="15"/>
  <cols>
    <col min="1" max="1" width="9.7109375" style="60" bestFit="1" customWidth="1"/>
    <col min="2" max="2" width="7.28515625" style="60" bestFit="1" customWidth="1"/>
    <col min="3" max="3" width="13.140625" style="60" bestFit="1" customWidth="1"/>
    <col min="4" max="4" width="12.42578125" style="60" bestFit="1" customWidth="1"/>
    <col min="5" max="5" width="12.5703125" bestFit="1" customWidth="1"/>
    <col min="6" max="6" width="13.5703125" style="60" bestFit="1" customWidth="1"/>
    <col min="7" max="7" width="10.42578125" style="60" bestFit="1" customWidth="1"/>
    <col min="8" max="8" width="20.140625" style="60" bestFit="1" customWidth="1"/>
    <col min="9" max="9" width="16.28515625" bestFit="1" customWidth="1"/>
    <col min="10" max="10" width="19.85546875" bestFit="1" customWidth="1"/>
    <col min="11" max="11" width="19.85546875" style="256" bestFit="1" customWidth="1"/>
    <col min="12" max="12" width="16.28515625" customWidth="1"/>
    <col min="13" max="13" width="19.7109375" style="60" customWidth="1"/>
    <col min="14" max="14" width="19.7109375" bestFit="1" customWidth="1"/>
    <col min="15" max="15" width="13.5703125" style="60" customWidth="1"/>
    <col min="17" max="17" width="11.5703125" style="60" bestFit="1" customWidth="1"/>
    <col min="18" max="20" width="9.140625" style="60"/>
    <col min="21" max="21" width="13.140625" style="60" bestFit="1" customWidth="1"/>
    <col min="22" max="22" width="9" style="60" bestFit="1" customWidth="1"/>
    <col min="23" max="23" width="5" style="60" bestFit="1" customWidth="1"/>
    <col min="24" max="24" width="6.7109375" style="60" bestFit="1" customWidth="1"/>
    <col min="25" max="25" width="10.28515625" style="60" bestFit="1" customWidth="1"/>
    <col min="26" max="26" width="7.7109375" style="60" bestFit="1" customWidth="1"/>
    <col min="27" max="27" width="5" style="60" bestFit="1" customWidth="1"/>
    <col min="28" max="28" width="19.42578125" style="60" bestFit="1" customWidth="1"/>
    <col min="29" max="29" width="8.140625" style="60" bestFit="1" customWidth="1"/>
    <col min="30" max="16384" width="9.140625" style="60"/>
  </cols>
  <sheetData>
    <row r="1" spans="1:23" s="72" customFormat="1">
      <c r="A1" s="72" t="s">
        <v>4438</v>
      </c>
      <c r="B1" s="72" t="s">
        <v>109</v>
      </c>
      <c r="C1" s="72" t="s">
        <v>3975</v>
      </c>
      <c r="D1" s="72" t="s">
        <v>4439</v>
      </c>
      <c r="E1" s="72" t="s">
        <v>4440</v>
      </c>
      <c r="F1" s="72" t="s">
        <v>4441</v>
      </c>
      <c r="G1" s="72" t="s">
        <v>4442</v>
      </c>
      <c r="H1" s="72" t="s">
        <v>4443</v>
      </c>
      <c r="I1" s="72" t="s">
        <v>4444</v>
      </c>
      <c r="J1" s="276" t="s">
        <v>4445</v>
      </c>
      <c r="K1" s="72" t="s">
        <v>4446</v>
      </c>
    </row>
    <row r="2" spans="1:23">
      <c r="A2" s="544">
        <v>84</v>
      </c>
      <c r="B2" s="544">
        <v>2010</v>
      </c>
      <c r="C2" s="544" t="s">
        <v>4469</v>
      </c>
      <c r="D2" s="544" t="s">
        <v>4458</v>
      </c>
      <c r="E2" s="544" t="s">
        <v>4458</v>
      </c>
      <c r="F2" s="544" t="s">
        <v>4459</v>
      </c>
      <c r="G2" s="544" t="s">
        <v>123</v>
      </c>
      <c r="H2" s="544" t="s">
        <v>123</v>
      </c>
      <c r="I2" s="544" t="s">
        <v>123</v>
      </c>
      <c r="J2" s="544" t="s">
        <v>123</v>
      </c>
      <c r="K2" s="544" t="str">
        <f ca="1">IFERROR((Table4[[#This Row],[OregonExpireDate]]-TODAY()),"NA ")</f>
        <v xml:space="preserve">NA </v>
      </c>
      <c r="L2" s="544"/>
      <c r="M2" s="544"/>
      <c r="N2" s="544"/>
      <c r="O2" s="544"/>
      <c r="P2" s="544"/>
      <c r="Q2" s="544"/>
      <c r="R2" s="544"/>
      <c r="S2" s="544"/>
      <c r="T2" s="544"/>
      <c r="U2" s="544"/>
      <c r="V2" s="544"/>
      <c r="W2" s="544"/>
    </row>
    <row r="3" spans="1:23">
      <c r="A3" s="544">
        <v>738</v>
      </c>
      <c r="B3" s="544">
        <v>2011</v>
      </c>
      <c r="C3" s="544" t="s">
        <v>4470</v>
      </c>
      <c r="D3" s="544" t="s">
        <v>4471</v>
      </c>
      <c r="E3" s="544" t="s">
        <v>4458</v>
      </c>
      <c r="F3" s="544" t="s">
        <v>4459</v>
      </c>
      <c r="G3" s="544" t="s">
        <v>123</v>
      </c>
      <c r="H3" s="544" t="s">
        <v>123</v>
      </c>
      <c r="I3" s="544" t="s">
        <v>123</v>
      </c>
      <c r="J3" s="544" t="s">
        <v>123</v>
      </c>
      <c r="K3" s="544" t="str">
        <f ca="1">IFERROR((Table4[[#This Row],[OregonExpireDate]]-TODAY()),"NA ")</f>
        <v xml:space="preserve">NA </v>
      </c>
      <c r="L3" s="544"/>
      <c r="M3" s="544"/>
      <c r="N3" s="544"/>
      <c r="O3" s="544"/>
      <c r="P3" s="544"/>
      <c r="Q3" s="544"/>
      <c r="R3" s="544"/>
      <c r="S3" s="544"/>
      <c r="T3" s="544"/>
      <c r="U3" s="544"/>
      <c r="V3" s="544"/>
      <c r="W3" s="544"/>
    </row>
    <row r="4" spans="1:23">
      <c r="A4" s="544">
        <v>8823</v>
      </c>
      <c r="B4" s="544">
        <v>2015</v>
      </c>
      <c r="C4" s="544" t="s">
        <v>4452</v>
      </c>
      <c r="D4" s="544" t="s">
        <v>4474</v>
      </c>
      <c r="E4" s="544" t="s">
        <v>120</v>
      </c>
      <c r="F4" s="544" t="s">
        <v>4475</v>
      </c>
      <c r="G4" s="544" t="s">
        <v>123</v>
      </c>
      <c r="H4" s="544" t="s">
        <v>123</v>
      </c>
      <c r="I4" s="544" t="s">
        <v>123</v>
      </c>
      <c r="J4" s="544" t="s">
        <v>123</v>
      </c>
      <c r="K4" s="544" t="str">
        <f ca="1">IFERROR((Table4[[#This Row],[OregonExpireDate]]-TODAY()),"NA ")</f>
        <v xml:space="preserve">NA </v>
      </c>
      <c r="L4" s="544"/>
      <c r="M4" s="544"/>
      <c r="N4" s="544"/>
      <c r="O4" s="544"/>
      <c r="P4" s="544"/>
      <c r="Q4" s="544"/>
      <c r="R4" s="544"/>
      <c r="S4" s="544"/>
      <c r="T4" s="544"/>
      <c r="U4" s="544"/>
      <c r="V4" s="544"/>
      <c r="W4" s="544"/>
    </row>
    <row r="5" spans="1:23">
      <c r="A5" s="544">
        <v>47213</v>
      </c>
      <c r="B5" s="544">
        <v>2003</v>
      </c>
      <c r="C5" s="544" t="s">
        <v>4452</v>
      </c>
      <c r="D5" s="544" t="s">
        <v>4448</v>
      </c>
      <c r="E5" s="544" t="s">
        <v>120</v>
      </c>
      <c r="F5" s="544" t="s">
        <v>4449</v>
      </c>
      <c r="G5" s="544" t="s">
        <v>123</v>
      </c>
      <c r="H5" s="544" t="s">
        <v>123</v>
      </c>
      <c r="I5" s="544" t="s">
        <v>123</v>
      </c>
      <c r="J5" s="547" t="s">
        <v>123</v>
      </c>
      <c r="K5" s="544" t="str">
        <f ca="1">IFERROR((Table4[[#This Row],[OregonExpireDate]]-TODAY()),"NA ")</f>
        <v xml:space="preserve">NA </v>
      </c>
      <c r="L5" s="544"/>
      <c r="M5" s="544"/>
      <c r="N5" s="544"/>
      <c r="O5" s="71"/>
      <c r="P5" s="71"/>
      <c r="Q5" s="71"/>
      <c r="R5" s="71"/>
      <c r="S5" s="71"/>
      <c r="T5" s="71"/>
      <c r="U5" s="71"/>
      <c r="V5" s="71"/>
      <c r="W5" s="71"/>
    </row>
    <row r="6" spans="1:23">
      <c r="A6" s="544" t="s">
        <v>4371</v>
      </c>
      <c r="B6" s="544">
        <v>2009</v>
      </c>
      <c r="C6" s="544" t="s">
        <v>4463</v>
      </c>
      <c r="D6" s="544">
        <v>1086</v>
      </c>
      <c r="E6" s="544" t="s">
        <v>4458</v>
      </c>
      <c r="F6" s="544" t="s">
        <v>4459</v>
      </c>
      <c r="G6" s="275" t="s">
        <v>4464</v>
      </c>
      <c r="H6" s="544" t="s">
        <v>4465</v>
      </c>
      <c r="I6" s="275" t="s">
        <v>123</v>
      </c>
      <c r="J6" s="544" t="s">
        <v>123</v>
      </c>
      <c r="K6" s="3" t="str">
        <f ca="1">IFERROR((Table4[[#This Row],[OregonExpireDate]]-TODAY()),"NA ")</f>
        <v xml:space="preserve">NA </v>
      </c>
      <c r="L6" s="544"/>
      <c r="M6" s="544"/>
      <c r="N6" s="544"/>
      <c r="O6" s="544"/>
      <c r="P6" s="544"/>
      <c r="Q6" s="544"/>
      <c r="R6" s="544"/>
      <c r="S6" s="544"/>
      <c r="T6" s="544"/>
      <c r="U6" s="544"/>
      <c r="V6" s="544"/>
      <c r="W6" s="544"/>
    </row>
    <row r="7" spans="1:23">
      <c r="A7" s="544" t="s">
        <v>3863</v>
      </c>
      <c r="B7" s="544">
        <v>2008</v>
      </c>
      <c r="C7" s="544" t="s">
        <v>4456</v>
      </c>
      <c r="D7" s="544" t="s">
        <v>4457</v>
      </c>
      <c r="E7" s="544" t="s">
        <v>4458</v>
      </c>
      <c r="F7" s="544" t="s">
        <v>4459</v>
      </c>
      <c r="G7" s="544" t="s">
        <v>4460</v>
      </c>
      <c r="H7" s="544" t="s">
        <v>4461</v>
      </c>
      <c r="I7" s="544" t="s">
        <v>4462</v>
      </c>
      <c r="J7" s="297">
        <v>42735</v>
      </c>
      <c r="K7" s="544">
        <f ca="1">IFERROR((Table4[[#This Row],[OregonExpireDate]]-TODAY()),"NA ")</f>
        <v>159</v>
      </c>
      <c r="L7" s="544"/>
      <c r="M7" s="544"/>
      <c r="N7" s="544"/>
      <c r="O7" s="544"/>
      <c r="P7" s="544"/>
      <c r="Q7" s="544"/>
      <c r="R7" s="544"/>
      <c r="S7" s="544"/>
      <c r="T7" s="544"/>
      <c r="U7" s="544"/>
      <c r="V7" s="544"/>
      <c r="W7" s="544"/>
    </row>
    <row r="8" spans="1:23">
      <c r="A8" s="544" t="s">
        <v>3896</v>
      </c>
      <c r="B8" s="544">
        <v>2009</v>
      </c>
      <c r="C8" s="544" t="s">
        <v>4456</v>
      </c>
      <c r="D8" s="544" t="s">
        <v>4457</v>
      </c>
      <c r="E8" s="544" t="s">
        <v>4458</v>
      </c>
      <c r="F8" s="544" t="s">
        <v>4459</v>
      </c>
      <c r="G8" s="544" t="s">
        <v>4466</v>
      </c>
      <c r="H8" s="544" t="s">
        <v>4467</v>
      </c>
      <c r="I8" s="544" t="s">
        <v>4468</v>
      </c>
      <c r="J8" s="297">
        <v>42735</v>
      </c>
      <c r="K8" s="544">
        <f ca="1">IFERROR((Table4[[#This Row],[OregonExpireDate]]-TODAY()),"NA ")</f>
        <v>159</v>
      </c>
      <c r="L8" s="544"/>
      <c r="M8" s="544"/>
      <c r="N8" s="544"/>
      <c r="O8" s="544"/>
      <c r="P8" s="544"/>
      <c r="Q8" s="544"/>
      <c r="R8" s="544"/>
      <c r="S8" s="544"/>
      <c r="T8" s="544"/>
      <c r="U8" s="544"/>
      <c r="V8" s="544"/>
      <c r="W8" s="544"/>
    </row>
    <row r="9" spans="1:23">
      <c r="A9" s="544" t="s">
        <v>4067</v>
      </c>
      <c r="B9" s="544">
        <v>2005</v>
      </c>
      <c r="C9" s="544" t="s">
        <v>4453</v>
      </c>
      <c r="D9" s="544" t="s">
        <v>4448</v>
      </c>
      <c r="E9" s="544" t="s">
        <v>120</v>
      </c>
      <c r="F9" s="544" t="s">
        <v>4449</v>
      </c>
      <c r="G9" s="544" t="s">
        <v>4454</v>
      </c>
      <c r="H9" s="544" t="s">
        <v>4455</v>
      </c>
      <c r="I9" s="544" t="s">
        <v>123</v>
      </c>
      <c r="J9" s="544" t="s">
        <v>123</v>
      </c>
      <c r="K9" s="544" t="str">
        <f ca="1">IFERROR((Table4[[#This Row],[OregonExpireDate]]-TODAY()),"NA ")</f>
        <v xml:space="preserve">NA </v>
      </c>
      <c r="L9" s="544"/>
      <c r="M9" s="544"/>
      <c r="N9" s="544"/>
      <c r="O9" s="544"/>
      <c r="P9" s="544"/>
      <c r="Q9" s="544"/>
      <c r="R9" s="544"/>
      <c r="S9" s="544"/>
      <c r="T9" s="544"/>
      <c r="U9" s="544"/>
      <c r="V9" s="544"/>
      <c r="W9" s="544"/>
    </row>
    <row r="10" spans="1:23">
      <c r="A10" s="544" t="s">
        <v>4001</v>
      </c>
      <c r="B10" s="544">
        <v>2011</v>
      </c>
      <c r="C10" s="544" t="s">
        <v>4452</v>
      </c>
      <c r="D10" s="544" t="s">
        <v>4448</v>
      </c>
      <c r="E10" s="544" t="s">
        <v>120</v>
      </c>
      <c r="F10" s="544" t="s">
        <v>4449</v>
      </c>
      <c r="G10" s="544" t="s">
        <v>4472</v>
      </c>
      <c r="H10" s="544" t="s">
        <v>4473</v>
      </c>
      <c r="I10" s="544" t="s">
        <v>123</v>
      </c>
      <c r="J10" s="544" t="s">
        <v>123</v>
      </c>
      <c r="K10" s="544" t="str">
        <f ca="1">IFERROR((Table4[[#This Row],[OregonExpireDate]]-TODAY()),"NA ")</f>
        <v xml:space="preserve">NA </v>
      </c>
      <c r="L10" s="544"/>
      <c r="M10" s="544"/>
      <c r="N10" s="544"/>
      <c r="O10" s="544"/>
      <c r="P10" s="544"/>
      <c r="Q10" s="544"/>
      <c r="R10" s="544"/>
      <c r="S10" s="544"/>
      <c r="T10" s="544"/>
      <c r="U10" s="544"/>
      <c r="V10" s="544"/>
      <c r="W10" s="544"/>
    </row>
    <row r="11" spans="1:23">
      <c r="A11" s="544" t="s">
        <v>4030</v>
      </c>
      <c r="B11" s="544">
        <v>1999</v>
      </c>
      <c r="C11" s="544" t="s">
        <v>4447</v>
      </c>
      <c r="D11" s="544" t="s">
        <v>4448</v>
      </c>
      <c r="E11" s="544" t="s">
        <v>120</v>
      </c>
      <c r="F11" s="544" t="s">
        <v>4449</v>
      </c>
      <c r="G11" s="544" t="s">
        <v>4450</v>
      </c>
      <c r="H11" s="544" t="s">
        <v>4451</v>
      </c>
      <c r="I11" s="544" t="s">
        <v>123</v>
      </c>
      <c r="J11" s="544" t="s">
        <v>123</v>
      </c>
      <c r="K11" s="544" t="str">
        <f ca="1">IFERROR((Table4[[#This Row],[OregonExpireDate]]-TODAY()),"NA ")</f>
        <v xml:space="preserve">NA </v>
      </c>
      <c r="L11" s="544"/>
      <c r="M11" s="544"/>
      <c r="N11" s="544"/>
      <c r="O11" s="544"/>
      <c r="P11" s="544"/>
      <c r="Q11" s="544"/>
      <c r="R11" s="544"/>
      <c r="S11" s="544"/>
      <c r="T11" s="544"/>
      <c r="U11" s="544"/>
      <c r="V11" s="544"/>
      <c r="W11" s="544"/>
    </row>
    <row r="12" spans="1:23">
      <c r="A12" s="547" t="s">
        <v>3956</v>
      </c>
      <c r="B12" s="547"/>
      <c r="C12" s="547"/>
      <c r="D12" s="547"/>
      <c r="E12" s="547"/>
      <c r="F12" s="547"/>
      <c r="G12" s="547"/>
      <c r="H12" s="547"/>
      <c r="I12" s="547"/>
      <c r="J12" s="297"/>
      <c r="K12" s="3">
        <f ca="1">IFERROR((Table4[[#This Row],[OregonExpireDate]]-TODAY()),"NA ")</f>
        <v>-42576</v>
      </c>
    </row>
    <row r="13" spans="1:23">
      <c r="A13" s="547" t="s">
        <v>3960</v>
      </c>
      <c r="B13" s="547"/>
      <c r="C13" s="547"/>
      <c r="D13" s="547"/>
      <c r="E13" s="547"/>
      <c r="F13" s="547"/>
      <c r="G13" s="547"/>
      <c r="H13" s="547"/>
      <c r="I13" s="547"/>
      <c r="J13" s="297"/>
      <c r="K13" s="3">
        <f ca="1">IFERROR((Table4[[#This Row],[OregonExpireDate]]-TODAY()),"NA ")</f>
        <v>-42576</v>
      </c>
    </row>
  </sheetData>
  <conditionalFormatting sqref="K2:K13">
    <cfRule type="cellIs" dxfId="38" priority="2" operator="lessThanOrEqual">
      <formula>1</formula>
    </cfRule>
    <cfRule type="cellIs" dxfId="37" priority="4" operator="between">
      <formula>10</formula>
      <formula>1</formula>
    </cfRule>
  </conditionalFormatting>
  <conditionalFormatting sqref="K1:K1048576">
    <cfRule type="cellIs" dxfId="36" priority="1" operator="between">
      <formula>10</formula>
      <formula>400</formula>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249977111117893"/>
  </sheetPr>
  <dimension ref="A1:J71"/>
  <sheetViews>
    <sheetView zoomScale="90" zoomScaleNormal="90" workbookViewId="0">
      <pane ySplit="1" topLeftCell="A42" activePane="bottomLeft" state="frozen"/>
      <selection activeCell="E20" sqref="E20"/>
      <selection pane="bottomLeft" activeCell="D76" sqref="D76"/>
    </sheetView>
  </sheetViews>
  <sheetFormatPr defaultColWidth="9.140625" defaultRowHeight="15"/>
  <cols>
    <col min="1" max="1" width="15" style="296" bestFit="1" customWidth="1"/>
    <col min="2" max="2" width="11.42578125" style="296" bestFit="1" customWidth="1"/>
    <col min="3" max="3" width="8.7109375" style="296" bestFit="1" customWidth="1"/>
    <col min="4" max="4" width="21.7109375" style="296" bestFit="1" customWidth="1"/>
    <col min="5" max="5" width="18.85546875" style="389" bestFit="1" customWidth="1"/>
    <col min="6" max="6" width="14" style="297" bestFit="1" customWidth="1"/>
    <col min="7" max="7" width="10" style="3" bestFit="1" customWidth="1"/>
    <col min="8" max="8" width="7.28515625" style="3" bestFit="1" customWidth="1"/>
    <col min="9" max="9" width="8" style="65" bestFit="1" customWidth="1"/>
    <col min="10" max="10" width="10.5703125" style="54" bestFit="1" customWidth="1"/>
    <col min="11" max="16384" width="9.140625" style="296"/>
  </cols>
  <sheetData>
    <row r="1" spans="1:10" s="290" customFormat="1">
      <c r="A1" s="290" t="s">
        <v>107</v>
      </c>
      <c r="B1" s="290" t="s">
        <v>4476</v>
      </c>
      <c r="C1" s="290" t="s">
        <v>3851</v>
      </c>
      <c r="D1" s="290" t="s">
        <v>4477</v>
      </c>
      <c r="E1" s="295" t="s">
        <v>4478</v>
      </c>
      <c r="F1" s="291" t="s">
        <v>3859</v>
      </c>
      <c r="G1" s="292" t="s">
        <v>108</v>
      </c>
      <c r="H1" s="292" t="s">
        <v>4479</v>
      </c>
      <c r="I1" s="293" t="s">
        <v>109</v>
      </c>
      <c r="J1" s="294"/>
    </row>
    <row r="2" spans="1:10">
      <c r="A2" s="297">
        <v>42237</v>
      </c>
      <c r="B2" s="544" t="s">
        <v>3864</v>
      </c>
      <c r="C2" s="544" t="s">
        <v>3863</v>
      </c>
      <c r="D2" s="54">
        <v>243.25</v>
      </c>
      <c r="E2" s="389" t="str">
        <f>IF(Table9[[#This Row],[Insured]]="Christopher","243.25",IF(Table9[[#This Row],[Insured]]="Wesley","183","183"))</f>
        <v>243.25</v>
      </c>
      <c r="F2" s="387">
        <f>Table9[[#This Row],[Weekending]]+7</f>
        <v>42244</v>
      </c>
      <c r="G2" s="86">
        <f t="shared" ref="G2:G33" si="0">MONTH(A2)</f>
        <v>8</v>
      </c>
      <c r="H2" s="86">
        <f>DAY(Table9[[#This Row],[Weekending]])</f>
        <v>21</v>
      </c>
      <c r="I2" s="298">
        <f t="shared" ref="I2:I33" si="1">YEAR(A2)</f>
        <v>2015</v>
      </c>
      <c r="J2" s="59"/>
    </row>
    <row r="3" spans="1:10">
      <c r="A3" s="297">
        <v>42244</v>
      </c>
      <c r="B3" s="544" t="s">
        <v>3864</v>
      </c>
      <c r="C3" s="544" t="s">
        <v>3863</v>
      </c>
      <c r="D3" s="54">
        <v>243.25</v>
      </c>
      <c r="E3" s="389" t="str">
        <f>IF(Table9[[#This Row],[Insured]]="Christopher","243.25",IF(Table9[[#This Row],[Insured]]="Wesley","183","183"))</f>
        <v>243.25</v>
      </c>
      <c r="F3" s="387">
        <f>Table9[[#This Row],[Weekending]]+7</f>
        <v>42251</v>
      </c>
      <c r="G3" s="86">
        <f t="shared" si="0"/>
        <v>8</v>
      </c>
      <c r="H3" s="86">
        <f>DAY(Table9[[#This Row],[Weekending]])</f>
        <v>28</v>
      </c>
      <c r="I3" s="298">
        <f t="shared" si="1"/>
        <v>2015</v>
      </c>
      <c r="J3" s="59"/>
    </row>
    <row r="4" spans="1:10">
      <c r="A4" s="297">
        <v>42251</v>
      </c>
      <c r="B4" s="544" t="s">
        <v>3864</v>
      </c>
      <c r="C4" s="544" t="s">
        <v>3863</v>
      </c>
      <c r="D4" s="54">
        <v>243.25</v>
      </c>
      <c r="E4" s="389" t="str">
        <f>IF(Table9[[#This Row],[Insured]]="Christopher","243.25",IF(Table9[[#This Row],[Insured]]="Wesley","183","183"))</f>
        <v>243.25</v>
      </c>
      <c r="F4" s="387">
        <f>Table9[[#This Row],[Weekending]]+7</f>
        <v>42258</v>
      </c>
      <c r="G4" s="86">
        <f t="shared" si="0"/>
        <v>9</v>
      </c>
      <c r="H4" s="86">
        <f>DAY(Table9[[#This Row],[Weekending]])</f>
        <v>4</v>
      </c>
      <c r="I4" s="298">
        <f t="shared" si="1"/>
        <v>2015</v>
      </c>
      <c r="J4" s="59"/>
    </row>
    <row r="5" spans="1:10">
      <c r="A5" s="297">
        <v>42258</v>
      </c>
      <c r="B5" s="544" t="s">
        <v>3864</v>
      </c>
      <c r="C5" s="544" t="s">
        <v>3863</v>
      </c>
      <c r="D5" s="54">
        <v>243.25</v>
      </c>
      <c r="E5" s="389" t="str">
        <f>IF(Table9[[#This Row],[Insured]]="Christopher","243.25",IF(Table9[[#This Row],[Insured]]="Wesley","183","183"))</f>
        <v>243.25</v>
      </c>
      <c r="F5" s="387">
        <f>Table9[[#This Row],[Weekending]]+7</f>
        <v>42265</v>
      </c>
      <c r="G5" s="86">
        <f t="shared" si="0"/>
        <v>9</v>
      </c>
      <c r="H5" s="86">
        <f>DAY(Table9[[#This Row],[Weekending]])</f>
        <v>11</v>
      </c>
      <c r="I5" s="298">
        <f t="shared" si="1"/>
        <v>2015</v>
      </c>
      <c r="J5" s="59"/>
    </row>
    <row r="6" spans="1:10">
      <c r="A6" s="297">
        <v>42279</v>
      </c>
      <c r="B6" s="544" t="s">
        <v>3883</v>
      </c>
      <c r="C6" s="544" t="s">
        <v>3863</v>
      </c>
      <c r="D6" s="54">
        <v>159</v>
      </c>
      <c r="E6" s="389" t="str">
        <f>IF(Table9[[#This Row],[Insured]]="Christopher","243.25",IF(Table9[[#This Row],[Insured]]="Wesley","183","183"))</f>
        <v>183</v>
      </c>
      <c r="F6" s="387">
        <f>Table9[[#This Row],[Weekending]]+7</f>
        <v>42286</v>
      </c>
      <c r="G6" s="86">
        <f t="shared" si="0"/>
        <v>10</v>
      </c>
      <c r="H6" s="86">
        <f>DAY(Table9[[#This Row],[Weekending]])</f>
        <v>2</v>
      </c>
      <c r="I6" s="298">
        <f t="shared" si="1"/>
        <v>2015</v>
      </c>
    </row>
    <row r="7" spans="1:10">
      <c r="A7" s="297">
        <v>42286</v>
      </c>
      <c r="B7" s="544" t="s">
        <v>3883</v>
      </c>
      <c r="C7" s="544" t="s">
        <v>3863</v>
      </c>
      <c r="D7" s="54">
        <v>159</v>
      </c>
      <c r="E7" s="389" t="str">
        <f>IF(Table9[[#This Row],[Insured]]="Christopher","243.25",IF(Table9[[#This Row],[Insured]]="Wesley","183","183"))</f>
        <v>183</v>
      </c>
      <c r="F7" s="387">
        <f>Table9[[#This Row],[Weekending]]+7</f>
        <v>42293</v>
      </c>
      <c r="G7" s="86">
        <f t="shared" si="0"/>
        <v>10</v>
      </c>
      <c r="H7" s="86">
        <f>DAY(Table9[[#This Row],[Weekending]])</f>
        <v>9</v>
      </c>
      <c r="I7" s="298">
        <f t="shared" si="1"/>
        <v>2015</v>
      </c>
    </row>
    <row r="8" spans="1:10">
      <c r="A8" s="297">
        <v>42293</v>
      </c>
      <c r="B8" s="544" t="s">
        <v>3883</v>
      </c>
      <c r="C8" s="544" t="s">
        <v>3863</v>
      </c>
      <c r="D8" s="54">
        <v>159</v>
      </c>
      <c r="E8" s="389" t="str">
        <f>IF(Table9[[#This Row],[Insured]]="Christopher","243.25",IF(Table9[[#This Row],[Insured]]="Wesley","183","183"))</f>
        <v>183</v>
      </c>
      <c r="F8" s="387">
        <f>Table9[[#This Row],[Weekending]]+7</f>
        <v>42300</v>
      </c>
      <c r="G8" s="86">
        <f t="shared" si="0"/>
        <v>10</v>
      </c>
      <c r="H8" s="86">
        <f>DAY(Table9[[#This Row],[Weekending]])</f>
        <v>16</v>
      </c>
      <c r="I8" s="298">
        <f t="shared" si="1"/>
        <v>2015</v>
      </c>
    </row>
    <row r="9" spans="1:10">
      <c r="A9" s="297">
        <v>42300</v>
      </c>
      <c r="B9" s="544" t="s">
        <v>3883</v>
      </c>
      <c r="C9" s="544" t="s">
        <v>3863</v>
      </c>
      <c r="D9" s="54">
        <v>159</v>
      </c>
      <c r="E9" s="389" t="str">
        <f>IF(Table9[[#This Row],[Insured]]="Christopher","243.25",IF(Table9[[#This Row],[Insured]]="Wesley","183","183"))</f>
        <v>183</v>
      </c>
      <c r="F9" s="387">
        <f>Table9[[#This Row],[Weekending]]+7</f>
        <v>42307</v>
      </c>
      <c r="G9" s="86">
        <f t="shared" si="0"/>
        <v>10</v>
      </c>
      <c r="H9" s="86">
        <f>DAY(Table9[[#This Row],[Weekending]])</f>
        <v>23</v>
      </c>
      <c r="I9" s="298">
        <f t="shared" si="1"/>
        <v>2015</v>
      </c>
    </row>
    <row r="10" spans="1:10">
      <c r="A10" s="297">
        <v>42307</v>
      </c>
      <c r="B10" s="544" t="s">
        <v>3883</v>
      </c>
      <c r="C10" s="544" t="s">
        <v>3863</v>
      </c>
      <c r="D10" s="54">
        <v>159</v>
      </c>
      <c r="E10" s="389" t="str">
        <f>IF(Table9[[#This Row],[Insured]]="Christopher","243.25",IF(Table9[[#This Row],[Insured]]="Wesley","183","183"))</f>
        <v>183</v>
      </c>
      <c r="F10" s="387">
        <f>Table9[[#This Row],[Weekending]]+7</f>
        <v>42314</v>
      </c>
      <c r="G10" s="86">
        <f t="shared" si="0"/>
        <v>10</v>
      </c>
      <c r="H10" s="86">
        <f>DAY(Table9[[#This Row],[Weekending]])</f>
        <v>30</v>
      </c>
      <c r="I10" s="298">
        <f t="shared" si="1"/>
        <v>2015</v>
      </c>
    </row>
    <row r="11" spans="1:10">
      <c r="A11" s="297">
        <v>42314</v>
      </c>
      <c r="B11" s="544" t="s">
        <v>3883</v>
      </c>
      <c r="C11" s="544" t="s">
        <v>3863</v>
      </c>
      <c r="D11" s="54">
        <v>159</v>
      </c>
      <c r="E11" s="389" t="str">
        <f>IF(Table9[[#This Row],[Insured]]="Christopher","243.25",IF(Table9[[#This Row],[Insured]]="Wesley","183","183"))</f>
        <v>183</v>
      </c>
      <c r="F11" s="387">
        <f>Table9[[#This Row],[Weekending]]+7</f>
        <v>42321</v>
      </c>
      <c r="G11" s="86">
        <f t="shared" si="0"/>
        <v>11</v>
      </c>
      <c r="H11" s="86">
        <f>DAY(Table9[[#This Row],[Weekending]])</f>
        <v>6</v>
      </c>
      <c r="I11" s="298">
        <f t="shared" si="1"/>
        <v>2015</v>
      </c>
    </row>
    <row r="12" spans="1:10">
      <c r="A12" s="297">
        <v>42321</v>
      </c>
      <c r="B12" s="544" t="s">
        <v>3883</v>
      </c>
      <c r="C12" s="544" t="s">
        <v>3863</v>
      </c>
      <c r="D12" s="54">
        <v>159</v>
      </c>
      <c r="E12" s="389" t="str">
        <f>IF(Table9[[#This Row],[Insured]]="Christopher","243.25",IF(Table9[[#This Row],[Insured]]="Wesley","183","183"))</f>
        <v>183</v>
      </c>
      <c r="F12" s="387">
        <f>Table9[[#This Row],[Weekending]]+7</f>
        <v>42328</v>
      </c>
      <c r="G12" s="86">
        <f t="shared" si="0"/>
        <v>11</v>
      </c>
      <c r="H12" s="86">
        <f>DAY(Table9[[#This Row],[Weekending]])</f>
        <v>13</v>
      </c>
      <c r="I12" s="298">
        <f t="shared" si="1"/>
        <v>2015</v>
      </c>
    </row>
    <row r="13" spans="1:10">
      <c r="A13" s="297">
        <v>42328</v>
      </c>
      <c r="B13" s="544" t="s">
        <v>3883</v>
      </c>
      <c r="C13" s="544" t="s">
        <v>3863</v>
      </c>
      <c r="D13" s="54">
        <v>159</v>
      </c>
      <c r="E13" s="389" t="str">
        <f>IF(Table9[[#This Row],[Insured]]="Christopher","243.25",IF(Table9[[#This Row],[Insured]]="Wesley","183","183"))</f>
        <v>183</v>
      </c>
      <c r="F13" s="387">
        <f>Table9[[#This Row],[Weekending]]+7</f>
        <v>42335</v>
      </c>
      <c r="G13" s="86">
        <f t="shared" si="0"/>
        <v>11</v>
      </c>
      <c r="H13" s="86">
        <f>DAY(Table9[[#This Row],[Weekending]])</f>
        <v>20</v>
      </c>
      <c r="I13" s="298">
        <f t="shared" si="1"/>
        <v>2015</v>
      </c>
    </row>
    <row r="14" spans="1:10">
      <c r="A14" s="297">
        <v>42335</v>
      </c>
      <c r="B14" s="544" t="s">
        <v>3883</v>
      </c>
      <c r="C14" s="544" t="s">
        <v>3863</v>
      </c>
      <c r="D14" s="54">
        <v>169</v>
      </c>
      <c r="E14" s="389" t="str">
        <f>IF(Table9[[#This Row],[Insured]]="Christopher","243.25",IF(Table9[[#This Row],[Insured]]="Wesley","183","183"))</f>
        <v>183</v>
      </c>
      <c r="F14" s="387">
        <f>Table9[[#This Row],[Weekending]]+7</f>
        <v>42342</v>
      </c>
      <c r="G14" s="86">
        <f t="shared" si="0"/>
        <v>11</v>
      </c>
      <c r="H14" s="86">
        <f>DAY(Table9[[#This Row],[Weekending]])</f>
        <v>27</v>
      </c>
      <c r="I14" s="298">
        <f t="shared" si="1"/>
        <v>2015</v>
      </c>
    </row>
    <row r="15" spans="1:10">
      <c r="A15" s="297">
        <v>42342</v>
      </c>
      <c r="B15" s="544" t="s">
        <v>3897</v>
      </c>
      <c r="C15" s="544" t="s">
        <v>3896</v>
      </c>
      <c r="D15" s="54">
        <v>180</v>
      </c>
      <c r="E15" s="389" t="str">
        <f>IF(Table9[[#This Row],[Insured]]="Christopher","243.25",IF(Table9[[#This Row],[Insured]]="Wesley","183","183"))</f>
        <v>183</v>
      </c>
      <c r="F15" s="387">
        <f>Table9[[#This Row],[Weekending]]+7</f>
        <v>42349</v>
      </c>
      <c r="G15" s="86">
        <f t="shared" si="0"/>
        <v>12</v>
      </c>
      <c r="H15" s="86">
        <f>DAY(Table9[[#This Row],[Weekending]])</f>
        <v>4</v>
      </c>
      <c r="I15" s="298">
        <f t="shared" si="1"/>
        <v>2015</v>
      </c>
    </row>
    <row r="16" spans="1:10">
      <c r="A16" s="297">
        <v>42342</v>
      </c>
      <c r="B16" s="544" t="s">
        <v>3883</v>
      </c>
      <c r="C16" s="544" t="s">
        <v>3863</v>
      </c>
      <c r="D16" s="54">
        <v>180</v>
      </c>
      <c r="E16" s="389" t="str">
        <f>IF(Table9[[#This Row],[Insured]]="Christopher","243.25",IF(Table9[[#This Row],[Insured]]="Wesley","183","183"))</f>
        <v>183</v>
      </c>
      <c r="F16" s="387">
        <f>Table9[[#This Row],[Weekending]]+7</f>
        <v>42349</v>
      </c>
      <c r="G16" s="86">
        <f t="shared" si="0"/>
        <v>12</v>
      </c>
      <c r="H16" s="86">
        <f>DAY(Table9[[#This Row],[Weekending]])</f>
        <v>4</v>
      </c>
      <c r="I16" s="298">
        <f t="shared" si="1"/>
        <v>2015</v>
      </c>
    </row>
    <row r="17" spans="1:9">
      <c r="A17" s="297">
        <v>42349</v>
      </c>
      <c r="B17" s="544" t="s">
        <v>3897</v>
      </c>
      <c r="C17" s="544" t="s">
        <v>3896</v>
      </c>
      <c r="D17" s="54">
        <v>183</v>
      </c>
      <c r="E17" s="389" t="str">
        <f>IF(Table9[[#This Row],[Insured]]="Christopher","243.25",IF(Table9[[#This Row],[Insured]]="Wesley","183","183"))</f>
        <v>183</v>
      </c>
      <c r="F17" s="387">
        <f>Table9[[#This Row],[Weekending]]+7</f>
        <v>42356</v>
      </c>
      <c r="G17" s="86">
        <f t="shared" si="0"/>
        <v>12</v>
      </c>
      <c r="H17" s="86">
        <f>DAY(Table9[[#This Row],[Weekending]])</f>
        <v>11</v>
      </c>
      <c r="I17" s="298">
        <f t="shared" si="1"/>
        <v>2015</v>
      </c>
    </row>
    <row r="18" spans="1:9">
      <c r="A18" s="297">
        <v>42349</v>
      </c>
      <c r="B18" s="544" t="s">
        <v>3883</v>
      </c>
      <c r="C18" s="544" t="s">
        <v>3863</v>
      </c>
      <c r="D18" s="54">
        <v>183</v>
      </c>
      <c r="E18" s="389" t="str">
        <f>IF(Table9[[#This Row],[Insured]]="Christopher","243.25",IF(Table9[[#This Row],[Insured]]="Wesley","183","183"))</f>
        <v>183</v>
      </c>
      <c r="F18" s="387">
        <f>Table9[[#This Row],[Weekending]]+7</f>
        <v>42356</v>
      </c>
      <c r="G18" s="86">
        <f t="shared" si="0"/>
        <v>12</v>
      </c>
      <c r="H18" s="86">
        <f>DAY(Table9[[#This Row],[Weekending]])</f>
        <v>11</v>
      </c>
      <c r="I18" s="298">
        <f t="shared" si="1"/>
        <v>2015</v>
      </c>
    </row>
    <row r="19" spans="1:9">
      <c r="A19" s="297">
        <v>42356</v>
      </c>
      <c r="B19" s="544" t="s">
        <v>3897</v>
      </c>
      <c r="C19" s="544" t="s">
        <v>3896</v>
      </c>
      <c r="D19" s="54">
        <v>183</v>
      </c>
      <c r="E19" s="389" t="str">
        <f>IF(Table9[[#This Row],[Insured]]="Christopher","243.25",IF(Table9[[#This Row],[Insured]]="Wesley","183","183"))</f>
        <v>183</v>
      </c>
      <c r="F19" s="387">
        <f>Table9[[#This Row],[Weekending]]+7</f>
        <v>42363</v>
      </c>
      <c r="G19" s="86">
        <f t="shared" si="0"/>
        <v>12</v>
      </c>
      <c r="H19" s="86">
        <f>DAY(Table9[[#This Row],[Weekending]])</f>
        <v>18</v>
      </c>
      <c r="I19" s="298">
        <f t="shared" si="1"/>
        <v>2015</v>
      </c>
    </row>
    <row r="20" spans="1:9">
      <c r="A20" s="297">
        <v>42356</v>
      </c>
      <c r="B20" s="544" t="s">
        <v>3883</v>
      </c>
      <c r="C20" s="544" t="s">
        <v>3863</v>
      </c>
      <c r="D20" s="54">
        <v>183</v>
      </c>
      <c r="E20" s="389" t="str">
        <f>IF(Table9[[#This Row],[Insured]]="Christopher","243.25",IF(Table9[[#This Row],[Insured]]="Wesley","183","183"))</f>
        <v>183</v>
      </c>
      <c r="F20" s="387">
        <f>Table9[[#This Row],[Weekending]]+7</f>
        <v>42363</v>
      </c>
      <c r="G20" s="86">
        <f t="shared" si="0"/>
        <v>12</v>
      </c>
      <c r="H20" s="86">
        <f>DAY(Table9[[#This Row],[Weekending]])</f>
        <v>18</v>
      </c>
      <c r="I20" s="298">
        <f t="shared" si="1"/>
        <v>2015</v>
      </c>
    </row>
    <row r="21" spans="1:9">
      <c r="A21" s="297">
        <v>42363</v>
      </c>
      <c r="B21" s="544" t="s">
        <v>3897</v>
      </c>
      <c r="C21" s="544" t="s">
        <v>3896</v>
      </c>
      <c r="D21" s="54">
        <v>183</v>
      </c>
      <c r="E21" s="389" t="str">
        <f>IF(Table9[[#This Row],[Insured]]="Christopher","243.25",IF(Table9[[#This Row],[Insured]]="Wesley","183","183"))</f>
        <v>183</v>
      </c>
      <c r="F21" s="387">
        <f>Table9[[#This Row],[Weekending]]+7</f>
        <v>42370</v>
      </c>
      <c r="G21" s="86">
        <f t="shared" si="0"/>
        <v>12</v>
      </c>
      <c r="H21" s="86">
        <f>DAY(Table9[[#This Row],[Weekending]])</f>
        <v>25</v>
      </c>
      <c r="I21" s="298">
        <f t="shared" si="1"/>
        <v>2015</v>
      </c>
    </row>
    <row r="22" spans="1:9">
      <c r="A22" s="297">
        <v>42370</v>
      </c>
      <c r="B22" s="544" t="s">
        <v>3897</v>
      </c>
      <c r="C22" s="544" t="s">
        <v>3896</v>
      </c>
      <c r="D22" s="54">
        <v>183</v>
      </c>
      <c r="E22" s="389" t="str">
        <f>IF(Table9[[#This Row],[Insured]]="Christopher","243.25",IF(Table9[[#This Row],[Insured]]="Wesley","183","183"))</f>
        <v>183</v>
      </c>
      <c r="F22" s="387">
        <f>Table9[[#This Row],[Weekending]]+7</f>
        <v>42377</v>
      </c>
      <c r="G22" s="86">
        <f t="shared" si="0"/>
        <v>1</v>
      </c>
      <c r="H22" s="86">
        <f>DAY(Table9[[#This Row],[Weekending]])</f>
        <v>1</v>
      </c>
      <c r="I22" s="298">
        <f t="shared" si="1"/>
        <v>2016</v>
      </c>
    </row>
    <row r="23" spans="1:9">
      <c r="A23" s="297">
        <v>42370</v>
      </c>
      <c r="B23" s="544" t="s">
        <v>3883</v>
      </c>
      <c r="C23" s="544" t="s">
        <v>3863</v>
      </c>
      <c r="D23" s="54">
        <v>183</v>
      </c>
      <c r="E23" s="389" t="str">
        <f>IF(Table9[[#This Row],[Insured]]="Christopher","243.25",IF(Table9[[#This Row],[Insured]]="Wesley","183","183"))</f>
        <v>183</v>
      </c>
      <c r="F23" s="387">
        <f>Table9[[#This Row],[Weekending]]+7</f>
        <v>42377</v>
      </c>
      <c r="G23" s="86">
        <f t="shared" si="0"/>
        <v>1</v>
      </c>
      <c r="H23" s="86">
        <f>DAY(Table9[[#This Row],[Weekending]])</f>
        <v>1</v>
      </c>
      <c r="I23" s="298">
        <f t="shared" si="1"/>
        <v>2016</v>
      </c>
    </row>
    <row r="24" spans="1:9">
      <c r="A24" s="297">
        <v>42377</v>
      </c>
      <c r="B24" s="544" t="s">
        <v>3897</v>
      </c>
      <c r="C24" s="544" t="s">
        <v>3896</v>
      </c>
      <c r="D24" s="54">
        <v>183</v>
      </c>
      <c r="E24" s="389" t="str">
        <f>IF(Table9[[#This Row],[Insured]]="Christopher","243.25",IF(Table9[[#This Row],[Insured]]="Wesley","183","183"))</f>
        <v>183</v>
      </c>
      <c r="F24" s="387">
        <f>Table9[[#This Row],[Weekending]]+7</f>
        <v>42384</v>
      </c>
      <c r="G24" s="86">
        <f t="shared" si="0"/>
        <v>1</v>
      </c>
      <c r="H24" s="86">
        <f>DAY(Table9[[#This Row],[Weekending]])</f>
        <v>8</v>
      </c>
      <c r="I24" s="65">
        <f t="shared" si="1"/>
        <v>2016</v>
      </c>
    </row>
    <row r="25" spans="1:9">
      <c r="A25" s="297">
        <v>42377</v>
      </c>
      <c r="B25" s="544" t="s">
        <v>3883</v>
      </c>
      <c r="C25" s="544" t="s">
        <v>3863</v>
      </c>
      <c r="D25" s="54">
        <v>183</v>
      </c>
      <c r="E25" s="389" t="str">
        <f>IF(Table9[[#This Row],[Insured]]="Christopher","243.25",IF(Table9[[#This Row],[Insured]]="Wesley","183","183"))</f>
        <v>183</v>
      </c>
      <c r="F25" s="387">
        <f>Table9[[#This Row],[Weekending]]+7</f>
        <v>42384</v>
      </c>
      <c r="G25" s="86">
        <f t="shared" si="0"/>
        <v>1</v>
      </c>
      <c r="H25" s="86">
        <f>DAY(Table9[[#This Row],[Weekending]])</f>
        <v>8</v>
      </c>
      <c r="I25" s="65">
        <f t="shared" si="1"/>
        <v>2016</v>
      </c>
    </row>
    <row r="26" spans="1:9">
      <c r="A26" s="297">
        <v>42384</v>
      </c>
      <c r="B26" s="544" t="s">
        <v>3897</v>
      </c>
      <c r="C26" s="544" t="s">
        <v>3896</v>
      </c>
      <c r="D26" s="54">
        <v>183</v>
      </c>
      <c r="E26" s="389" t="str">
        <f>IF(Table9[[#This Row],[Insured]]="Christopher","243.25",IF(Table9[[#This Row],[Insured]]="Wesley","183","183"))</f>
        <v>183</v>
      </c>
      <c r="F26" s="387">
        <f>Table9[[#This Row],[Weekending]]+7</f>
        <v>42391</v>
      </c>
      <c r="G26" s="86">
        <f t="shared" si="0"/>
        <v>1</v>
      </c>
      <c r="H26" s="86">
        <f>DAY(Table9[[#This Row],[Weekending]])</f>
        <v>15</v>
      </c>
      <c r="I26" s="65">
        <f t="shared" si="1"/>
        <v>2016</v>
      </c>
    </row>
    <row r="27" spans="1:9">
      <c r="A27" s="297">
        <v>42384</v>
      </c>
      <c r="B27" s="544" t="s">
        <v>3883</v>
      </c>
      <c r="C27" s="544" t="s">
        <v>3863</v>
      </c>
      <c r="D27" s="54">
        <v>183</v>
      </c>
      <c r="E27" s="389" t="str">
        <f>IF(Table9[[#This Row],[Insured]]="Christopher","243.25",IF(Table9[[#This Row],[Insured]]="Wesley","183","183"))</f>
        <v>183</v>
      </c>
      <c r="F27" s="387">
        <f>Table9[[#This Row],[Weekending]]+7</f>
        <v>42391</v>
      </c>
      <c r="G27" s="86">
        <f t="shared" si="0"/>
        <v>1</v>
      </c>
      <c r="H27" s="86">
        <f>DAY(Table9[[#This Row],[Weekending]])</f>
        <v>15</v>
      </c>
      <c r="I27" s="65">
        <f t="shared" si="1"/>
        <v>2016</v>
      </c>
    </row>
    <row r="28" spans="1:9">
      <c r="A28" s="297">
        <v>42391</v>
      </c>
      <c r="B28" s="544" t="s">
        <v>3897</v>
      </c>
      <c r="C28" s="544" t="s">
        <v>3896</v>
      </c>
      <c r="D28" s="54">
        <v>183</v>
      </c>
      <c r="E28" s="389" t="str">
        <f>IF(Table9[[#This Row],[Insured]]="Christopher","243.25",IF(Table9[[#This Row],[Insured]]="Wesley","183","183"))</f>
        <v>183</v>
      </c>
      <c r="F28" s="387">
        <f>Table9[[#This Row],[Weekending]]+7</f>
        <v>42398</v>
      </c>
      <c r="G28" s="86">
        <f t="shared" si="0"/>
        <v>1</v>
      </c>
      <c r="H28" s="86">
        <f>DAY(Table9[[#This Row],[Weekending]])</f>
        <v>22</v>
      </c>
      <c r="I28" s="65">
        <f t="shared" si="1"/>
        <v>2016</v>
      </c>
    </row>
    <row r="29" spans="1:9">
      <c r="A29" s="297">
        <v>42391</v>
      </c>
      <c r="B29" s="544" t="s">
        <v>3883</v>
      </c>
      <c r="C29" s="544" t="s">
        <v>3863</v>
      </c>
      <c r="D29" s="54">
        <v>183</v>
      </c>
      <c r="E29" s="389" t="str">
        <f>IF(Table9[[#This Row],[Insured]]="Christopher","243.25",IF(Table9[[#This Row],[Insured]]="Wesley","183","183"))</f>
        <v>183</v>
      </c>
      <c r="F29" s="387">
        <f>Table9[[#This Row],[Weekending]]+7</f>
        <v>42398</v>
      </c>
      <c r="G29" s="86">
        <f t="shared" si="0"/>
        <v>1</v>
      </c>
      <c r="H29" s="86">
        <f>DAY(Table9[[#This Row],[Weekending]])</f>
        <v>22</v>
      </c>
      <c r="I29" s="65">
        <f t="shared" si="1"/>
        <v>2016</v>
      </c>
    </row>
    <row r="30" spans="1:9">
      <c r="A30" s="297">
        <v>42398</v>
      </c>
      <c r="B30" s="544" t="s">
        <v>3897</v>
      </c>
      <c r="C30" s="544" t="s">
        <v>3896</v>
      </c>
      <c r="D30" s="54">
        <v>183</v>
      </c>
      <c r="E30" s="389" t="str">
        <f>IF(Table9[[#This Row],[Insured]]="Christopher","243.25",IF(Table9[[#This Row],[Insured]]="Wesley","183","183"))</f>
        <v>183</v>
      </c>
      <c r="F30" s="387">
        <f>Table9[[#This Row],[Weekending]]+7</f>
        <v>42405</v>
      </c>
      <c r="G30" s="86">
        <f t="shared" si="0"/>
        <v>1</v>
      </c>
      <c r="H30" s="86">
        <f>DAY(Table9[[#This Row],[Weekending]])</f>
        <v>29</v>
      </c>
      <c r="I30" s="65">
        <f t="shared" si="1"/>
        <v>2016</v>
      </c>
    </row>
    <row r="31" spans="1:9">
      <c r="A31" s="297">
        <v>42398</v>
      </c>
      <c r="B31" s="544" t="s">
        <v>3883</v>
      </c>
      <c r="C31" s="544" t="s">
        <v>3863</v>
      </c>
      <c r="D31" s="54">
        <v>183</v>
      </c>
      <c r="E31" s="389" t="str">
        <f>IF(Table9[[#This Row],[Insured]]="Christopher","243.25",IF(Table9[[#This Row],[Insured]]="Wesley","183","183"))</f>
        <v>183</v>
      </c>
      <c r="F31" s="387">
        <f>Table9[[#This Row],[Weekending]]+7</f>
        <v>42405</v>
      </c>
      <c r="G31" s="86">
        <f t="shared" si="0"/>
        <v>1</v>
      </c>
      <c r="H31" s="86">
        <f>DAY(Table9[[#This Row],[Weekending]])</f>
        <v>29</v>
      </c>
      <c r="I31" s="65">
        <f t="shared" si="1"/>
        <v>2016</v>
      </c>
    </row>
    <row r="32" spans="1:9">
      <c r="A32" s="297">
        <v>42405</v>
      </c>
      <c r="B32" s="544" t="s">
        <v>3897</v>
      </c>
      <c r="C32" s="544" t="s">
        <v>3896</v>
      </c>
      <c r="D32" s="54">
        <v>183</v>
      </c>
      <c r="E32" s="389" t="str">
        <f>IF(Table9[[#This Row],[Insured]]="Christopher","243.25",IF(Table9[[#This Row],[Insured]]="Wesley","183","183"))</f>
        <v>183</v>
      </c>
      <c r="F32" s="387">
        <f>Table9[[#This Row],[Weekending]]+7</f>
        <v>42412</v>
      </c>
      <c r="G32" s="86">
        <f t="shared" si="0"/>
        <v>2</v>
      </c>
      <c r="H32" s="86">
        <f>DAY(Table9[[#This Row],[Weekending]])</f>
        <v>5</v>
      </c>
      <c r="I32" s="65">
        <f t="shared" si="1"/>
        <v>2016</v>
      </c>
    </row>
    <row r="33" spans="1:9">
      <c r="A33" s="297">
        <v>42405</v>
      </c>
      <c r="B33" s="544" t="s">
        <v>3883</v>
      </c>
      <c r="C33" s="544" t="s">
        <v>3863</v>
      </c>
      <c r="D33" s="54">
        <v>183</v>
      </c>
      <c r="E33" s="389" t="str">
        <f>IF(Table9[[#This Row],[Insured]]="Christopher","243.25",IF(Table9[[#This Row],[Insured]]="Wesley","183","183"))</f>
        <v>183</v>
      </c>
      <c r="F33" s="387">
        <f>Table9[[#This Row],[Weekending]]+7</f>
        <v>42412</v>
      </c>
      <c r="G33" s="86">
        <f t="shared" si="0"/>
        <v>2</v>
      </c>
      <c r="H33" s="86">
        <f>DAY(Table9[[#This Row],[Weekending]])</f>
        <v>5</v>
      </c>
      <c r="I33" s="65">
        <f t="shared" si="1"/>
        <v>2016</v>
      </c>
    </row>
    <row r="34" spans="1:9">
      <c r="A34" s="297">
        <v>42412</v>
      </c>
      <c r="B34" s="544" t="s">
        <v>3897</v>
      </c>
      <c r="C34" s="544" t="s">
        <v>3896</v>
      </c>
      <c r="D34" s="54">
        <v>183</v>
      </c>
      <c r="E34" s="389" t="str">
        <f>IF(Table9[[#This Row],[Insured]]="Christopher","243.25",IF(Table9[[#This Row],[Insured]]="Wesley","183","183"))</f>
        <v>183</v>
      </c>
      <c r="F34" s="387">
        <f>Table9[[#This Row],[Weekending]]+7</f>
        <v>42419</v>
      </c>
      <c r="G34" s="86">
        <f t="shared" ref="G34:G61" si="2">MONTH(A34)</f>
        <v>2</v>
      </c>
      <c r="H34" s="86">
        <f>DAY(Table9[[#This Row],[Weekending]])</f>
        <v>12</v>
      </c>
      <c r="I34" s="65">
        <f t="shared" ref="I34:I61" si="3">YEAR(A34)</f>
        <v>2016</v>
      </c>
    </row>
    <row r="35" spans="1:9">
      <c r="A35" s="297">
        <v>42412</v>
      </c>
      <c r="B35" s="544" t="s">
        <v>3883</v>
      </c>
      <c r="C35" s="544" t="s">
        <v>3863</v>
      </c>
      <c r="D35" s="54">
        <v>183</v>
      </c>
      <c r="E35" s="389" t="str">
        <f>IF(Table9[[#This Row],[Insured]]="Christopher","243.25",IF(Table9[[#This Row],[Insured]]="Wesley","183","183"))</f>
        <v>183</v>
      </c>
      <c r="F35" s="387">
        <f>Table9[[#This Row],[Weekending]]+7</f>
        <v>42419</v>
      </c>
      <c r="G35" s="86">
        <f t="shared" si="2"/>
        <v>2</v>
      </c>
      <c r="H35" s="86">
        <f>DAY(Table9[[#This Row],[Weekending]])</f>
        <v>12</v>
      </c>
      <c r="I35" s="65">
        <f t="shared" si="3"/>
        <v>2016</v>
      </c>
    </row>
    <row r="36" spans="1:9">
      <c r="A36" s="297">
        <v>42419</v>
      </c>
      <c r="B36" s="544" t="s">
        <v>3920</v>
      </c>
      <c r="C36" s="544" t="s">
        <v>3896</v>
      </c>
      <c r="D36" s="54">
        <v>183</v>
      </c>
      <c r="E36" s="389" t="str">
        <f>IF(Table9[[#This Row],[Insured]]="Christopher","243.25",IF(Table9[[#This Row],[Insured]]="Wesley","183","183"))</f>
        <v>183</v>
      </c>
      <c r="F36" s="387">
        <f>Table9[[#This Row],[Weekending]]+7</f>
        <v>42426</v>
      </c>
      <c r="G36" s="86">
        <f t="shared" si="2"/>
        <v>2</v>
      </c>
      <c r="H36" s="86">
        <f>DAY(Table9[[#This Row],[Weekending]])</f>
        <v>19</v>
      </c>
      <c r="I36" s="65">
        <f t="shared" si="3"/>
        <v>2016</v>
      </c>
    </row>
    <row r="37" spans="1:9">
      <c r="A37" s="297">
        <v>42419</v>
      </c>
      <c r="B37" s="544" t="s">
        <v>3883</v>
      </c>
      <c r="C37" s="544" t="s">
        <v>3863</v>
      </c>
      <c r="D37" s="54">
        <v>183</v>
      </c>
      <c r="E37" s="389" t="str">
        <f>IF(Table9[[#This Row],[Insured]]="Christopher","243.25",IF(Table9[[#This Row],[Insured]]="Wesley","183","183"))</f>
        <v>183</v>
      </c>
      <c r="F37" s="387">
        <f>Table9[[#This Row],[Weekending]]+7</f>
        <v>42426</v>
      </c>
      <c r="G37" s="86">
        <f t="shared" si="2"/>
        <v>2</v>
      </c>
      <c r="H37" s="86">
        <f>DAY(Table9[[#This Row],[Weekending]])</f>
        <v>19</v>
      </c>
      <c r="I37" s="65">
        <f t="shared" si="3"/>
        <v>2016</v>
      </c>
    </row>
    <row r="38" spans="1:9">
      <c r="A38" s="297">
        <v>42426</v>
      </c>
      <c r="B38" s="544" t="s">
        <v>3920</v>
      </c>
      <c r="C38" s="544" t="s">
        <v>3896</v>
      </c>
      <c r="D38" s="54">
        <v>183</v>
      </c>
      <c r="E38" s="389" t="str">
        <f>IF(Table9[[#This Row],[Insured]]="Christopher","243.25",IF(Table9[[#This Row],[Insured]]="Wesley","183","183"))</f>
        <v>183</v>
      </c>
      <c r="F38" s="387">
        <f>Table9[[#This Row],[Weekending]]+7</f>
        <v>42433</v>
      </c>
      <c r="G38" s="86">
        <f t="shared" si="2"/>
        <v>2</v>
      </c>
      <c r="H38" s="86">
        <f>DAY(Table9[[#This Row],[Weekending]])</f>
        <v>26</v>
      </c>
      <c r="I38" s="65">
        <f t="shared" si="3"/>
        <v>2016</v>
      </c>
    </row>
    <row r="39" spans="1:9">
      <c r="A39" s="297">
        <v>42426</v>
      </c>
      <c r="B39" s="544" t="s">
        <v>3831</v>
      </c>
      <c r="C39" s="544" t="s">
        <v>3863</v>
      </c>
      <c r="D39" s="54">
        <v>183</v>
      </c>
      <c r="E39" s="389" t="str">
        <f>IF(Table9[[#This Row],[Insured]]="Christopher","243.25",IF(Table9[[#This Row],[Insured]]="Wesley","183","183"))</f>
        <v>183</v>
      </c>
      <c r="F39" s="387">
        <f>Table9[[#This Row],[Weekending]]+7</f>
        <v>42433</v>
      </c>
      <c r="G39" s="86">
        <f t="shared" si="2"/>
        <v>2</v>
      </c>
      <c r="H39" s="86">
        <f>DAY(Table9[[#This Row],[Weekending]])</f>
        <v>26</v>
      </c>
      <c r="I39" s="65">
        <f t="shared" si="3"/>
        <v>2016</v>
      </c>
    </row>
    <row r="40" spans="1:9">
      <c r="A40" s="297">
        <v>42433</v>
      </c>
      <c r="B40" s="544" t="s">
        <v>3920</v>
      </c>
      <c r="C40" s="544" t="s">
        <v>3896</v>
      </c>
      <c r="D40" s="54">
        <v>183</v>
      </c>
      <c r="E40" s="389" t="str">
        <f>IF(Table9[[#This Row],[Insured]]="Christopher","243.25",IF(Table9[[#This Row],[Insured]]="Wesley","183","183"))</f>
        <v>183</v>
      </c>
      <c r="F40" s="387">
        <f>Table9[[#This Row],[Weekending]]+7</f>
        <v>42440</v>
      </c>
      <c r="G40" s="86">
        <f t="shared" si="2"/>
        <v>3</v>
      </c>
      <c r="H40" s="86">
        <f>DAY(Table9[[#This Row],[Weekending]])</f>
        <v>4</v>
      </c>
      <c r="I40" s="65">
        <f t="shared" si="3"/>
        <v>2016</v>
      </c>
    </row>
    <row r="41" spans="1:9">
      <c r="A41" s="297">
        <v>42433</v>
      </c>
      <c r="B41" s="544" t="s">
        <v>3831</v>
      </c>
      <c r="C41" s="544" t="s">
        <v>3863</v>
      </c>
      <c r="D41" s="54">
        <v>183</v>
      </c>
      <c r="E41" s="389" t="str">
        <f>IF(Table9[[#This Row],[Insured]]="Christopher","243.25",IF(Table9[[#This Row],[Insured]]="Wesley","183","183"))</f>
        <v>183</v>
      </c>
      <c r="F41" s="387">
        <f>Table9[[#This Row],[Weekending]]+7</f>
        <v>42440</v>
      </c>
      <c r="G41" s="86">
        <f t="shared" si="2"/>
        <v>3</v>
      </c>
      <c r="H41" s="86">
        <f>DAY(Table9[[#This Row],[Weekending]])</f>
        <v>4</v>
      </c>
      <c r="I41" s="65">
        <f t="shared" si="3"/>
        <v>2016</v>
      </c>
    </row>
    <row r="42" spans="1:9">
      <c r="A42" s="297">
        <v>42440</v>
      </c>
      <c r="B42" s="544" t="s">
        <v>3905</v>
      </c>
      <c r="C42" s="544" t="s">
        <v>3896</v>
      </c>
      <c r="D42" s="13">
        <v>183</v>
      </c>
      <c r="E42" s="390" t="str">
        <f>IF(Table9[[#This Row],[Insured]]="Christopher","243.25",IF(Table9[[#This Row],[Insured]]="Wesley","183","183"))</f>
        <v>183</v>
      </c>
      <c r="F42" s="388">
        <f>Table9[[#This Row],[Weekending]]+7</f>
        <v>42447</v>
      </c>
      <c r="G42" s="113">
        <f t="shared" si="2"/>
        <v>3</v>
      </c>
      <c r="H42" s="113">
        <f>DAY(Table9[[#This Row],[Weekending]])</f>
        <v>11</v>
      </c>
      <c r="I42" s="325">
        <f t="shared" si="3"/>
        <v>2016</v>
      </c>
    </row>
    <row r="43" spans="1:9">
      <c r="A43" s="297">
        <v>42440</v>
      </c>
      <c r="B43" s="544" t="s">
        <v>3831</v>
      </c>
      <c r="C43" s="544" t="s">
        <v>3863</v>
      </c>
      <c r="D43" s="13">
        <v>183</v>
      </c>
      <c r="E43" s="390" t="str">
        <f>IF(Table9[[#This Row],[Insured]]="Christopher","243.25",IF(Table9[[#This Row],[Insured]]="Wesley","183","183"))</f>
        <v>183</v>
      </c>
      <c r="F43" s="388">
        <f>Table9[[#This Row],[Weekending]]+7</f>
        <v>42447</v>
      </c>
      <c r="G43" s="113">
        <f t="shared" si="2"/>
        <v>3</v>
      </c>
      <c r="H43" s="113">
        <f>DAY(Table9[[#This Row],[Weekending]])</f>
        <v>11</v>
      </c>
      <c r="I43" s="325">
        <f t="shared" si="3"/>
        <v>2016</v>
      </c>
    </row>
    <row r="44" spans="1:9">
      <c r="A44" s="297">
        <v>42447</v>
      </c>
      <c r="B44" s="544" t="s">
        <v>3905</v>
      </c>
      <c r="C44" s="544" t="s">
        <v>3896</v>
      </c>
      <c r="D44" s="13">
        <v>183</v>
      </c>
      <c r="E44" s="390" t="str">
        <f>IF(Table9[[#This Row],[Insured]]="Christopher","243.25",IF(Table9[[#This Row],[Insured]]="Wesley","183","183"))</f>
        <v>183</v>
      </c>
      <c r="F44" s="387">
        <f>Table9[[#This Row],[Weekending]]+7</f>
        <v>42454</v>
      </c>
      <c r="G44" s="86">
        <f t="shared" si="2"/>
        <v>3</v>
      </c>
      <c r="H44" s="86">
        <f>DAY(Table9[[#This Row],[Weekending]])</f>
        <v>18</v>
      </c>
      <c r="I44" s="65">
        <f t="shared" si="3"/>
        <v>2016</v>
      </c>
    </row>
    <row r="45" spans="1:9">
      <c r="A45" s="297">
        <v>42447</v>
      </c>
      <c r="B45" s="544" t="s">
        <v>3831</v>
      </c>
      <c r="C45" s="544" t="s">
        <v>3863</v>
      </c>
      <c r="D45" s="13">
        <v>183</v>
      </c>
      <c r="E45" s="390" t="str">
        <f>IF(Table9[[#This Row],[Insured]]="Christopher","243.25",IF(Table9[[#This Row],[Insured]]="Wesley","183","183"))</f>
        <v>183</v>
      </c>
      <c r="F45" s="387">
        <f>Table9[[#This Row],[Weekending]]+7</f>
        <v>42454</v>
      </c>
      <c r="G45" s="86">
        <f t="shared" si="2"/>
        <v>3</v>
      </c>
      <c r="H45" s="86">
        <f>DAY(Table9[[#This Row],[Weekending]])</f>
        <v>18</v>
      </c>
      <c r="I45" s="65">
        <f t="shared" si="3"/>
        <v>2016</v>
      </c>
    </row>
    <row r="46" spans="1:9">
      <c r="A46" s="297">
        <v>42454</v>
      </c>
      <c r="B46" s="544" t="s">
        <v>3897</v>
      </c>
      <c r="C46" s="544" t="s">
        <v>3896</v>
      </c>
      <c r="D46" s="13">
        <v>183</v>
      </c>
      <c r="E46" s="390" t="str">
        <f>IF(Table9[[#This Row],[Insured]]="Christopher","243.25",IF(Table9[[#This Row],[Insured]]="Wesley","183","183"))</f>
        <v>183</v>
      </c>
      <c r="F46" s="387">
        <f>Table9[[#This Row],[Weekending]]+7</f>
        <v>42461</v>
      </c>
      <c r="G46" s="86">
        <f t="shared" si="2"/>
        <v>3</v>
      </c>
      <c r="H46" s="86">
        <f>DAY(Table9[[#This Row],[Weekending]])</f>
        <v>25</v>
      </c>
      <c r="I46" s="65">
        <f t="shared" si="3"/>
        <v>2016</v>
      </c>
    </row>
    <row r="47" spans="1:9">
      <c r="A47" s="297">
        <v>42454</v>
      </c>
      <c r="B47" s="544" t="s">
        <v>3831</v>
      </c>
      <c r="C47" s="544" t="s">
        <v>3863</v>
      </c>
      <c r="D47" s="13">
        <v>183</v>
      </c>
      <c r="E47" s="390" t="str">
        <f>IF(Table9[[#This Row],[Insured]]="Christopher","243.25",IF(Table9[[#This Row],[Insured]]="Wesley","183","183"))</f>
        <v>183</v>
      </c>
      <c r="F47" s="387">
        <f>Table9[[#This Row],[Weekending]]+7</f>
        <v>42461</v>
      </c>
      <c r="G47" s="86">
        <f t="shared" si="2"/>
        <v>3</v>
      </c>
      <c r="H47" s="86">
        <f>DAY(Table9[[#This Row],[Weekending]])</f>
        <v>25</v>
      </c>
      <c r="I47" s="65">
        <f t="shared" si="3"/>
        <v>2016</v>
      </c>
    </row>
    <row r="48" spans="1:9">
      <c r="A48" s="297">
        <v>42461</v>
      </c>
      <c r="B48" s="544" t="s">
        <v>3897</v>
      </c>
      <c r="C48" s="544" t="s">
        <v>3896</v>
      </c>
      <c r="D48" s="13">
        <v>183</v>
      </c>
      <c r="E48" s="390" t="str">
        <f>IF(Table9[[#This Row],[Insured]]="Christopher","243.25",IF(Table9[[#This Row],[Insured]]="Wesley","183","183"))</f>
        <v>183</v>
      </c>
      <c r="F48" s="387">
        <v>42468</v>
      </c>
      <c r="G48" s="86">
        <f t="shared" si="2"/>
        <v>4</v>
      </c>
      <c r="H48" s="86">
        <f>DAY(Table9[[#This Row],[Weekending]])</f>
        <v>1</v>
      </c>
      <c r="I48" s="65">
        <f t="shared" si="3"/>
        <v>2016</v>
      </c>
    </row>
    <row r="49" spans="1:9">
      <c r="A49" s="297">
        <v>42461</v>
      </c>
      <c r="B49" s="544" t="s">
        <v>3831</v>
      </c>
      <c r="C49" s="544" t="s">
        <v>3863</v>
      </c>
      <c r="D49" s="13">
        <v>183</v>
      </c>
      <c r="E49" s="390" t="str">
        <f>IF(Table9[[#This Row],[Insured]]="Christopher","243.25",IF(Table9[[#This Row],[Insured]]="Wesley","183","183"))</f>
        <v>183</v>
      </c>
      <c r="F49" s="387">
        <v>42468</v>
      </c>
      <c r="G49" s="86">
        <f t="shared" si="2"/>
        <v>4</v>
      </c>
      <c r="H49" s="86">
        <f>DAY(Table9[[#This Row],[Weekending]])</f>
        <v>1</v>
      </c>
      <c r="I49" s="65">
        <f t="shared" si="3"/>
        <v>2016</v>
      </c>
    </row>
    <row r="50" spans="1:9">
      <c r="A50" s="297">
        <v>42468</v>
      </c>
      <c r="B50" s="544" t="s">
        <v>3897</v>
      </c>
      <c r="C50" s="544" t="s">
        <v>3896</v>
      </c>
      <c r="D50" s="577">
        <v>183</v>
      </c>
      <c r="E50" s="390" t="str">
        <f>IF(Table9[[#This Row],[Insured]]="Christopher","243.25",IF(Table9[[#This Row],[Insured]]="Wesley","183","183"))</f>
        <v>183</v>
      </c>
      <c r="F50" s="581">
        <v>42468</v>
      </c>
      <c r="G50" s="578">
        <f t="shared" si="2"/>
        <v>4</v>
      </c>
      <c r="H50" s="578">
        <f>DAY(Table9[[#This Row],[Weekending]])</f>
        <v>8</v>
      </c>
      <c r="I50" s="576">
        <f t="shared" si="3"/>
        <v>2016</v>
      </c>
    </row>
    <row r="51" spans="1:9">
      <c r="A51" s="297">
        <v>42468</v>
      </c>
      <c r="B51" s="544" t="s">
        <v>3831</v>
      </c>
      <c r="C51" s="544" t="s">
        <v>3863</v>
      </c>
      <c r="D51" s="577">
        <v>183</v>
      </c>
      <c r="E51" s="390" t="str">
        <f>IF(Table9[[#This Row],[Insured]]="Christopher","243.25",IF(Table9[[#This Row],[Insured]]="Wesley","183","183"))</f>
        <v>183</v>
      </c>
      <c r="F51" s="581">
        <v>42468</v>
      </c>
      <c r="G51" s="578">
        <f t="shared" si="2"/>
        <v>4</v>
      </c>
      <c r="H51" s="578">
        <f>DAY(Table9[[#This Row],[Weekending]])</f>
        <v>8</v>
      </c>
      <c r="I51" s="576">
        <f t="shared" si="3"/>
        <v>2016</v>
      </c>
    </row>
    <row r="52" spans="1:9">
      <c r="A52" s="297">
        <v>42475</v>
      </c>
      <c r="B52" s="544" t="s">
        <v>3897</v>
      </c>
      <c r="C52" s="544" t="s">
        <v>3896</v>
      </c>
      <c r="D52" s="577">
        <v>183</v>
      </c>
      <c r="E52" s="390" t="str">
        <f>IF(Table9[[#This Row],[Insured]]="Christopher","243.25",IF(Table9[[#This Row],[Insured]]="Wesley","183","183"))</f>
        <v>183</v>
      </c>
      <c r="F52" s="581">
        <v>42468</v>
      </c>
      <c r="G52" s="578">
        <f t="shared" si="2"/>
        <v>4</v>
      </c>
      <c r="H52" s="578">
        <f>DAY(Table9[[#This Row],[Weekending]])</f>
        <v>15</v>
      </c>
      <c r="I52" s="576">
        <f t="shared" si="3"/>
        <v>2016</v>
      </c>
    </row>
    <row r="53" spans="1:9">
      <c r="A53" s="297">
        <v>42475</v>
      </c>
      <c r="B53" s="544" t="s">
        <v>3831</v>
      </c>
      <c r="C53" s="544" t="s">
        <v>3863</v>
      </c>
      <c r="D53" s="577">
        <v>183</v>
      </c>
      <c r="E53" s="390" t="str">
        <f>IF(Table9[[#This Row],[Insured]]="Christopher","243.25",IF(Table9[[#This Row],[Insured]]="Wesley","183","183"))</f>
        <v>183</v>
      </c>
      <c r="F53" s="581">
        <v>42468</v>
      </c>
      <c r="G53" s="578">
        <f t="shared" si="2"/>
        <v>4</v>
      </c>
      <c r="H53" s="578">
        <f>DAY(Table9[[#This Row],[Weekending]])</f>
        <v>15</v>
      </c>
      <c r="I53" s="576">
        <f t="shared" si="3"/>
        <v>2016</v>
      </c>
    </row>
    <row r="54" spans="1:9">
      <c r="A54" s="297">
        <v>42482</v>
      </c>
      <c r="B54" s="544" t="s">
        <v>3881</v>
      </c>
      <c r="C54" s="544" t="s">
        <v>3896</v>
      </c>
      <c r="D54" s="577">
        <v>183</v>
      </c>
      <c r="E54" s="390" t="str">
        <f>IF(Table9[[#This Row],[Insured]]="Christopher","243.25",IF(Table9[[#This Row],[Insured]]="Wesley","183","183"))</f>
        <v>183</v>
      </c>
      <c r="F54" s="581">
        <v>42468</v>
      </c>
      <c r="G54" s="578">
        <f t="shared" si="2"/>
        <v>4</v>
      </c>
      <c r="H54" s="578">
        <f>DAY(Table9[[#This Row],[Weekending]])</f>
        <v>22</v>
      </c>
      <c r="I54" s="576">
        <f t="shared" si="3"/>
        <v>2016</v>
      </c>
    </row>
    <row r="55" spans="1:9">
      <c r="A55" s="297">
        <v>42482</v>
      </c>
      <c r="B55" s="544" t="s">
        <v>3831</v>
      </c>
      <c r="C55" s="544" t="s">
        <v>3863</v>
      </c>
      <c r="D55" s="577">
        <v>183</v>
      </c>
      <c r="E55" s="390" t="str">
        <f>IF(Table9[[#This Row],[Insured]]="Christopher","243.25",IF(Table9[[#This Row],[Insured]]="Wesley","183","183"))</f>
        <v>183</v>
      </c>
      <c r="F55" s="581">
        <v>42468</v>
      </c>
      <c r="G55" s="578">
        <f t="shared" si="2"/>
        <v>4</v>
      </c>
      <c r="H55" s="578">
        <f>DAY(Table9[[#This Row],[Weekending]])</f>
        <v>22</v>
      </c>
      <c r="I55" s="576">
        <f t="shared" si="3"/>
        <v>2016</v>
      </c>
    </row>
    <row r="56" spans="1:9">
      <c r="A56" s="297">
        <v>42489</v>
      </c>
      <c r="B56" s="544" t="s">
        <v>3897</v>
      </c>
      <c r="C56" s="544" t="s">
        <v>3896</v>
      </c>
      <c r="D56" s="577">
        <v>250</v>
      </c>
      <c r="E56" s="390" t="str">
        <f>IF(Table9[[#This Row],[Insured]]="Christopher","243.25",IF(Table9[[#This Row],[Insured]]="Wesley","183","183"))</f>
        <v>183</v>
      </c>
      <c r="F56" s="581">
        <v>42468</v>
      </c>
      <c r="G56" s="578">
        <f t="shared" si="2"/>
        <v>4</v>
      </c>
      <c r="H56" s="578">
        <f>DAY(Table9[[#This Row],[Weekending]])</f>
        <v>29</v>
      </c>
      <c r="I56" s="576">
        <f t="shared" si="3"/>
        <v>2016</v>
      </c>
    </row>
    <row r="57" spans="1:9">
      <c r="A57" s="297">
        <v>42489</v>
      </c>
      <c r="B57" s="544" t="s">
        <v>3831</v>
      </c>
      <c r="C57" s="544" t="s">
        <v>3863</v>
      </c>
      <c r="D57" s="577">
        <v>183</v>
      </c>
      <c r="E57" s="390" t="str">
        <f>IF(Table9[[#This Row],[Insured]]="Christopher","243.25",IF(Table9[[#This Row],[Insured]]="Wesley","183","183"))</f>
        <v>183</v>
      </c>
      <c r="F57" s="581">
        <v>42468</v>
      </c>
      <c r="G57" s="578">
        <f t="shared" si="2"/>
        <v>4</v>
      </c>
      <c r="H57" s="578">
        <f>DAY(Table9[[#This Row],[Weekending]])</f>
        <v>29</v>
      </c>
      <c r="I57" s="576">
        <f t="shared" si="3"/>
        <v>2016</v>
      </c>
    </row>
    <row r="58" spans="1:9">
      <c r="A58" s="297">
        <v>42496</v>
      </c>
      <c r="B58" s="544" t="s">
        <v>3897</v>
      </c>
      <c r="C58" s="544" t="s">
        <v>3896</v>
      </c>
      <c r="D58" s="577">
        <v>250</v>
      </c>
      <c r="E58" s="390" t="str">
        <f>IF(Table9[[#This Row],[Insured]]="Christopher","243.25",IF(Table9[[#This Row],[Insured]]="Wesley","183","183"))</f>
        <v>183</v>
      </c>
      <c r="F58" s="387">
        <f>Table9[[#This Row],[Weekending]]+7</f>
        <v>42503</v>
      </c>
      <c r="G58" s="86">
        <f t="shared" si="2"/>
        <v>5</v>
      </c>
      <c r="H58" s="86">
        <f>DAY(Table9[[#This Row],[Weekending]])</f>
        <v>6</v>
      </c>
      <c r="I58" s="65">
        <f t="shared" si="3"/>
        <v>2016</v>
      </c>
    </row>
    <row r="59" spans="1:9">
      <c r="A59" s="297">
        <v>42496</v>
      </c>
      <c r="B59" s="544" t="s">
        <v>3831</v>
      </c>
      <c r="C59" s="544" t="s">
        <v>3863</v>
      </c>
      <c r="D59" s="577">
        <v>183</v>
      </c>
      <c r="E59" s="390" t="str">
        <f>IF(Table9[[#This Row],[Insured]]="Christopher","243.25",IF(Table9[[#This Row],[Insured]]="Wesley","183","183"))</f>
        <v>183</v>
      </c>
      <c r="F59" s="387">
        <f>Table9[[#This Row],[Weekending]]+7</f>
        <v>42503</v>
      </c>
      <c r="G59" s="86">
        <f t="shared" si="2"/>
        <v>5</v>
      </c>
      <c r="H59" s="86">
        <f>DAY(Table9[[#This Row],[Weekending]])</f>
        <v>6</v>
      </c>
      <c r="I59" s="65">
        <f t="shared" si="3"/>
        <v>2016</v>
      </c>
    </row>
    <row r="60" spans="1:9">
      <c r="A60" s="297">
        <v>42503</v>
      </c>
      <c r="B60" s="544" t="s">
        <v>3897</v>
      </c>
      <c r="C60" s="544" t="s">
        <v>3896</v>
      </c>
      <c r="D60" s="577">
        <v>250</v>
      </c>
      <c r="E60" s="390" t="str">
        <f>IF(Table9[[#This Row],[Insured]]="Christopher","243.25",IF(Table9[[#This Row],[Insured]]="Wesley","183","183"))</f>
        <v>183</v>
      </c>
      <c r="F60" s="387">
        <f>Table9[[#This Row],[Weekending]]+7</f>
        <v>42510</v>
      </c>
      <c r="G60" s="86">
        <f t="shared" si="2"/>
        <v>5</v>
      </c>
      <c r="H60" s="86">
        <f>DAY(Table9[[#This Row],[Weekending]])</f>
        <v>13</v>
      </c>
      <c r="I60" s="65">
        <f t="shared" si="3"/>
        <v>2016</v>
      </c>
    </row>
    <row r="61" spans="1:9">
      <c r="A61" s="297">
        <v>42503</v>
      </c>
      <c r="B61" s="544" t="s">
        <v>3831</v>
      </c>
      <c r="C61" s="544" t="s">
        <v>3863</v>
      </c>
      <c r="D61" s="577">
        <v>183</v>
      </c>
      <c r="E61" s="390" t="str">
        <f>IF(Table9[[#This Row],[Insured]]="Christopher","243.25",IF(Table9[[#This Row],[Insured]]="Wesley","183","183"))</f>
        <v>183</v>
      </c>
      <c r="F61" s="387">
        <f>Table9[[#This Row],[Weekending]]+7</f>
        <v>42510</v>
      </c>
      <c r="G61" s="86">
        <f t="shared" si="2"/>
        <v>5</v>
      </c>
      <c r="H61" s="86">
        <f>DAY(Table9[[#This Row],[Weekending]])</f>
        <v>13</v>
      </c>
      <c r="I61" s="65">
        <f t="shared" si="3"/>
        <v>2016</v>
      </c>
    </row>
    <row r="62" spans="1:9">
      <c r="A62" s="297">
        <v>42510</v>
      </c>
      <c r="B62" s="544" t="s">
        <v>3897</v>
      </c>
      <c r="C62" s="544" t="s">
        <v>3896</v>
      </c>
      <c r="D62" s="54">
        <v>250</v>
      </c>
      <c r="E62" s="389" t="str">
        <f>IF(Table9[[#This Row],[Insured]]="Christopher","243.25",IF(Table9[[#This Row],[Insured]]="Wesley","183","183"))</f>
        <v>183</v>
      </c>
      <c r="F62" s="387">
        <f>Table9[[#This Row],[Weekending]]+7</f>
        <v>42517</v>
      </c>
      <c r="G62" s="86">
        <f t="shared" ref="G62:G71" si="4">MONTH(A62)</f>
        <v>5</v>
      </c>
      <c r="H62" s="86">
        <f>DAY(Table9[[#This Row],[Weekending]])</f>
        <v>20</v>
      </c>
      <c r="I62" s="65">
        <f t="shared" ref="I62:I71" si="5">YEAR(A62)</f>
        <v>2016</v>
      </c>
    </row>
    <row r="63" spans="1:9">
      <c r="A63" s="297">
        <v>42510</v>
      </c>
      <c r="B63" s="544" t="s">
        <v>3831</v>
      </c>
      <c r="C63" s="544" t="s">
        <v>3863</v>
      </c>
      <c r="D63" s="54">
        <v>183</v>
      </c>
      <c r="E63" s="389" t="str">
        <f>IF(Table9[[#This Row],[Insured]]="Christopher","243.25",IF(Table9[[#This Row],[Insured]]="Wesley","183","183"))</f>
        <v>183</v>
      </c>
      <c r="F63" s="387">
        <f>Table9[[#This Row],[Weekending]]+7</f>
        <v>42517</v>
      </c>
      <c r="G63" s="86">
        <f t="shared" si="4"/>
        <v>5</v>
      </c>
      <c r="H63" s="86">
        <f>DAY(Table9[[#This Row],[Weekending]])</f>
        <v>20</v>
      </c>
      <c r="I63" s="65">
        <f t="shared" si="5"/>
        <v>2016</v>
      </c>
    </row>
    <row r="64" spans="1:9">
      <c r="A64" s="297">
        <v>42517</v>
      </c>
      <c r="B64" s="544" t="s">
        <v>3897</v>
      </c>
      <c r="C64" s="544" t="s">
        <v>3896</v>
      </c>
      <c r="D64" s="54">
        <v>250</v>
      </c>
      <c r="E64" s="389" t="str">
        <f>IF(Table9[[#This Row],[Insured]]="Christopher","243.25",IF(Table9[[#This Row],[Insured]]="Wesley","183","183"))</f>
        <v>183</v>
      </c>
      <c r="F64" s="387">
        <f>Table9[[#This Row],[Weekending]]+7</f>
        <v>42524</v>
      </c>
      <c r="G64" s="86">
        <f t="shared" si="4"/>
        <v>5</v>
      </c>
      <c r="H64" s="86">
        <f>DAY(Table9[[#This Row],[Weekending]])</f>
        <v>27</v>
      </c>
      <c r="I64" s="65">
        <f t="shared" si="5"/>
        <v>2016</v>
      </c>
    </row>
    <row r="65" spans="1:9">
      <c r="A65" s="297">
        <v>42517</v>
      </c>
      <c r="B65" s="544" t="s">
        <v>3831</v>
      </c>
      <c r="C65" s="544" t="s">
        <v>3863</v>
      </c>
      <c r="D65" s="54">
        <v>183</v>
      </c>
      <c r="E65" s="389" t="str">
        <f>IF(Table9[[#This Row],[Insured]]="Christopher","243.25",IF(Table9[[#This Row],[Insured]]="Wesley","183","183"))</f>
        <v>183</v>
      </c>
      <c r="F65" s="387">
        <f>Table9[[#This Row],[Weekending]]+7</f>
        <v>42524</v>
      </c>
      <c r="G65" s="86">
        <f t="shared" si="4"/>
        <v>5</v>
      </c>
      <c r="H65" s="86">
        <f>DAY(Table9[[#This Row],[Weekending]])</f>
        <v>27</v>
      </c>
      <c r="I65" s="65">
        <f t="shared" si="5"/>
        <v>2016</v>
      </c>
    </row>
    <row r="66" spans="1:9">
      <c r="A66" s="297">
        <v>42524</v>
      </c>
      <c r="B66" s="544" t="s">
        <v>3897</v>
      </c>
      <c r="C66" s="544" t="s">
        <v>3896</v>
      </c>
      <c r="D66" s="54">
        <v>250</v>
      </c>
      <c r="E66" s="389" t="str">
        <f>IF(Table9[[#This Row],[Insured]]="Christopher","243.25",IF(Table9[[#This Row],[Insured]]="Wesley","183","183"))</f>
        <v>183</v>
      </c>
      <c r="F66" s="387">
        <f>Table9[[#This Row],[Weekending]]+7</f>
        <v>42531</v>
      </c>
      <c r="G66" s="86">
        <f t="shared" si="4"/>
        <v>6</v>
      </c>
      <c r="H66" s="86">
        <f>DAY(Table9[[#This Row],[Weekending]])</f>
        <v>3</v>
      </c>
      <c r="I66" s="65">
        <f t="shared" si="5"/>
        <v>2016</v>
      </c>
    </row>
    <row r="67" spans="1:9">
      <c r="A67" s="297">
        <v>42524</v>
      </c>
      <c r="B67" s="544" t="s">
        <v>3831</v>
      </c>
      <c r="C67" s="544" t="s">
        <v>3863</v>
      </c>
      <c r="D67" s="54">
        <v>183</v>
      </c>
      <c r="E67" s="389" t="str">
        <f>IF(Table9[[#This Row],[Insured]]="Christopher","243.25",IF(Table9[[#This Row],[Insured]]="Wesley","183","183"))</f>
        <v>183</v>
      </c>
      <c r="F67" s="387">
        <f>Table9[[#This Row],[Weekending]]+7</f>
        <v>42531</v>
      </c>
      <c r="G67" s="86">
        <f t="shared" si="4"/>
        <v>6</v>
      </c>
      <c r="H67" s="86">
        <f>DAY(Table9[[#This Row],[Weekending]])</f>
        <v>3</v>
      </c>
      <c r="I67" s="65">
        <f t="shared" si="5"/>
        <v>2016</v>
      </c>
    </row>
    <row r="68" spans="1:9">
      <c r="A68" s="297">
        <v>42531</v>
      </c>
      <c r="B68" s="544" t="s">
        <v>3897</v>
      </c>
      <c r="C68" s="544" t="s">
        <v>3896</v>
      </c>
      <c r="D68" s="54">
        <v>250</v>
      </c>
      <c r="E68" s="389" t="str">
        <f>IF(Table9[[#This Row],[Insured]]="Christopher","243.25",IF(Table9[[#This Row],[Insured]]="Wesley","183","183"))</f>
        <v>183</v>
      </c>
      <c r="F68" s="387">
        <f>Table9[[#This Row],[Weekending]]+7</f>
        <v>42538</v>
      </c>
      <c r="G68" s="86">
        <f t="shared" si="4"/>
        <v>6</v>
      </c>
      <c r="H68" s="86">
        <f>DAY(Table9[[#This Row],[Weekending]])</f>
        <v>10</v>
      </c>
      <c r="I68" s="65">
        <f t="shared" si="5"/>
        <v>2016</v>
      </c>
    </row>
    <row r="69" spans="1:9">
      <c r="A69" s="297">
        <v>42531</v>
      </c>
      <c r="B69" s="544" t="s">
        <v>3831</v>
      </c>
      <c r="C69" s="544" t="s">
        <v>3863</v>
      </c>
      <c r="D69" s="54">
        <v>183</v>
      </c>
      <c r="E69" s="389" t="str">
        <f>IF(Table9[[#This Row],[Insured]]="Christopher","243.25",IF(Table9[[#This Row],[Insured]]="Wesley","183","183"))</f>
        <v>183</v>
      </c>
      <c r="F69" s="387">
        <f>Table9[[#This Row],[Weekending]]+7</f>
        <v>42538</v>
      </c>
      <c r="G69" s="86">
        <f t="shared" si="4"/>
        <v>6</v>
      </c>
      <c r="H69" s="86">
        <f>DAY(Table9[[#This Row],[Weekending]])</f>
        <v>10</v>
      </c>
      <c r="I69" s="65">
        <f t="shared" si="5"/>
        <v>2016</v>
      </c>
    </row>
    <row r="70" spans="1:9">
      <c r="A70" s="297">
        <v>42538</v>
      </c>
      <c r="B70" s="544" t="s">
        <v>3897</v>
      </c>
      <c r="C70" s="544" t="s">
        <v>3896</v>
      </c>
      <c r="D70" s="54">
        <v>250</v>
      </c>
      <c r="E70" s="389" t="str">
        <f>IF(Table9[[#This Row],[Insured]]="Christopher","243.25",IF(Table9[[#This Row],[Insured]]="Wesley","183","183"))</f>
        <v>183</v>
      </c>
      <c r="F70" s="387">
        <f>Table9[[#This Row],[Weekending]]+7</f>
        <v>42545</v>
      </c>
      <c r="G70" s="86">
        <f t="shared" si="4"/>
        <v>6</v>
      </c>
      <c r="H70" s="86">
        <f>DAY(Table9[[#This Row],[Weekending]])</f>
        <v>17</v>
      </c>
      <c r="I70" s="65">
        <f t="shared" si="5"/>
        <v>2016</v>
      </c>
    </row>
    <row r="71" spans="1:9">
      <c r="A71" s="297">
        <v>42538</v>
      </c>
      <c r="B71" s="544" t="s">
        <v>3831</v>
      </c>
      <c r="C71" s="544" t="s">
        <v>3863</v>
      </c>
      <c r="D71" s="54">
        <v>183</v>
      </c>
      <c r="E71" s="389" t="str">
        <f>IF(Table9[[#This Row],[Insured]]="Christopher","243.25",IF(Table9[[#This Row],[Insured]]="Wesley","183","183"))</f>
        <v>183</v>
      </c>
      <c r="F71" s="387">
        <f>Table9[[#This Row],[Weekending]]+7</f>
        <v>42545</v>
      </c>
      <c r="G71" s="86">
        <f t="shared" si="4"/>
        <v>6</v>
      </c>
      <c r="H71" s="86">
        <f>DAY(Table9[[#This Row],[Weekending]])</f>
        <v>17</v>
      </c>
      <c r="I71" s="65">
        <f t="shared" si="5"/>
        <v>2016</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4" tint="-0.249977111117893"/>
  </sheetPr>
  <dimension ref="A1:H73"/>
  <sheetViews>
    <sheetView zoomScale="90" zoomScaleNormal="90" workbookViewId="0">
      <pane ySplit="1" topLeftCell="A38" activePane="bottomLeft" state="frozen"/>
      <selection activeCell="E20" sqref="E20"/>
      <selection pane="bottomLeft" activeCell="B74" sqref="B74"/>
    </sheetView>
  </sheetViews>
  <sheetFormatPr defaultColWidth="9.140625" defaultRowHeight="15"/>
  <cols>
    <col min="1" max="1" width="15.140625" style="99" bestFit="1" customWidth="1"/>
    <col min="2" max="2" width="12.28515625" style="99" bestFit="1" customWidth="1"/>
    <col min="3" max="3" width="8.5703125" style="99" bestFit="1" customWidth="1"/>
    <col min="4" max="4" width="12.42578125" style="99" bestFit="1" customWidth="1"/>
    <col min="5" max="5" width="7.85546875" style="99" bestFit="1" customWidth="1"/>
    <col min="6" max="6" width="19.140625" style="101" bestFit="1" customWidth="1"/>
    <col min="7" max="7" width="9.85546875" style="99" bestFit="1" customWidth="1"/>
    <col min="8" max="8" width="8" style="99" bestFit="1" customWidth="1"/>
    <col min="9" max="9" width="8" style="99" customWidth="1"/>
    <col min="10" max="16384" width="9.140625" style="99"/>
  </cols>
  <sheetData>
    <row r="1" spans="1:8" s="102" customFormat="1">
      <c r="A1" s="102" t="s">
        <v>107</v>
      </c>
      <c r="B1" s="102" t="s">
        <v>4480</v>
      </c>
      <c r="C1" s="102" t="s">
        <v>4481</v>
      </c>
      <c r="D1" s="102" t="s">
        <v>3867</v>
      </c>
      <c r="E1" s="102" t="s">
        <v>4482</v>
      </c>
      <c r="F1" s="103" t="s">
        <v>4483</v>
      </c>
      <c r="G1" s="102" t="s">
        <v>108</v>
      </c>
      <c r="H1" s="102" t="s">
        <v>109</v>
      </c>
    </row>
    <row r="2" spans="1:8" hidden="1">
      <c r="A2" s="100">
        <v>42237</v>
      </c>
      <c r="B2" s="99" t="s">
        <v>3881</v>
      </c>
      <c r="C2" s="99" t="s">
        <v>4484</v>
      </c>
      <c r="D2" s="99" t="s">
        <v>3864</v>
      </c>
      <c r="E2" s="99" t="s">
        <v>3863</v>
      </c>
      <c r="F2" s="101">
        <v>529.36</v>
      </c>
      <c r="G2" s="99">
        <f t="shared" ref="G2:G33" si="0">MONTH(A2)</f>
        <v>8</v>
      </c>
      <c r="H2" s="99">
        <f t="shared" ref="H2:H33" si="1">YEAR(A2)</f>
        <v>2015</v>
      </c>
    </row>
    <row r="3" spans="1:8" hidden="1">
      <c r="A3" s="100">
        <v>42245</v>
      </c>
      <c r="B3" s="99" t="s">
        <v>3881</v>
      </c>
      <c r="C3" s="99" t="s">
        <v>4484</v>
      </c>
      <c r="D3" s="99" t="s">
        <v>3864</v>
      </c>
      <c r="E3" s="99" t="s">
        <v>3863</v>
      </c>
      <c r="F3" s="101">
        <v>788</v>
      </c>
      <c r="G3" s="99">
        <f t="shared" si="0"/>
        <v>8</v>
      </c>
      <c r="H3" s="99">
        <f t="shared" si="1"/>
        <v>2015</v>
      </c>
    </row>
    <row r="4" spans="1:8" hidden="1">
      <c r="A4" s="100">
        <v>42251</v>
      </c>
      <c r="B4" s="99" t="s">
        <v>3881</v>
      </c>
      <c r="C4" s="99" t="s">
        <v>4484</v>
      </c>
      <c r="D4" s="99" t="s">
        <v>3864</v>
      </c>
      <c r="E4" s="99" t="s">
        <v>3863</v>
      </c>
      <c r="F4" s="101">
        <v>1148.01</v>
      </c>
      <c r="G4" s="99">
        <f t="shared" si="0"/>
        <v>9</v>
      </c>
      <c r="H4" s="99">
        <f t="shared" si="1"/>
        <v>2015</v>
      </c>
    </row>
    <row r="5" spans="1:8" hidden="1">
      <c r="A5" s="100">
        <v>42258</v>
      </c>
      <c r="B5" s="99" t="s">
        <v>3881</v>
      </c>
      <c r="C5" s="99" t="s">
        <v>4484</v>
      </c>
      <c r="D5" s="99" t="s">
        <v>3864</v>
      </c>
      <c r="E5" s="99" t="s">
        <v>3863</v>
      </c>
      <c r="F5" s="101">
        <v>1188.23</v>
      </c>
      <c r="G5" s="99">
        <f t="shared" si="0"/>
        <v>9</v>
      </c>
      <c r="H5" s="99">
        <f t="shared" si="1"/>
        <v>2015</v>
      </c>
    </row>
    <row r="6" spans="1:8" hidden="1">
      <c r="A6" s="100">
        <v>42279</v>
      </c>
      <c r="B6" s="99" t="s">
        <v>3881</v>
      </c>
      <c r="C6" s="99" t="s">
        <v>4484</v>
      </c>
      <c r="D6" s="99" t="s">
        <v>3883</v>
      </c>
      <c r="E6" s="99" t="s">
        <v>3863</v>
      </c>
      <c r="F6" s="101">
        <v>1031.68</v>
      </c>
      <c r="G6" s="99">
        <f t="shared" si="0"/>
        <v>10</v>
      </c>
      <c r="H6" s="99">
        <f t="shared" si="1"/>
        <v>2015</v>
      </c>
    </row>
    <row r="7" spans="1:8" hidden="1">
      <c r="A7" s="100">
        <v>42286</v>
      </c>
      <c r="B7" s="99" t="s">
        <v>3881</v>
      </c>
      <c r="C7" s="99" t="s">
        <v>4484</v>
      </c>
      <c r="D7" s="99" t="s">
        <v>3883</v>
      </c>
      <c r="E7" s="99" t="s">
        <v>3863</v>
      </c>
      <c r="F7" s="101">
        <v>1227.77</v>
      </c>
      <c r="G7" s="99">
        <f t="shared" si="0"/>
        <v>10</v>
      </c>
      <c r="H7" s="99">
        <f t="shared" si="1"/>
        <v>2015</v>
      </c>
    </row>
    <row r="8" spans="1:8" hidden="1">
      <c r="A8" s="100">
        <v>42293</v>
      </c>
      <c r="B8" s="99" t="s">
        <v>3881</v>
      </c>
      <c r="C8" s="99" t="s">
        <v>4484</v>
      </c>
      <c r="D8" s="99" t="s">
        <v>3883</v>
      </c>
      <c r="E8" s="99" t="s">
        <v>3863</v>
      </c>
      <c r="F8" s="101">
        <v>1202.1600000000001</v>
      </c>
      <c r="G8" s="99">
        <f t="shared" si="0"/>
        <v>10</v>
      </c>
      <c r="H8" s="99">
        <f t="shared" si="1"/>
        <v>2015</v>
      </c>
    </row>
    <row r="9" spans="1:8" hidden="1">
      <c r="A9" s="100">
        <v>42300</v>
      </c>
      <c r="B9" s="99" t="s">
        <v>3881</v>
      </c>
      <c r="C9" s="99" t="s">
        <v>4484</v>
      </c>
      <c r="D9" s="99" t="s">
        <v>3883</v>
      </c>
      <c r="E9" s="99" t="s">
        <v>3863</v>
      </c>
      <c r="F9" s="101">
        <v>1049.03</v>
      </c>
      <c r="G9" s="99">
        <f t="shared" si="0"/>
        <v>10</v>
      </c>
      <c r="H9" s="99">
        <f t="shared" si="1"/>
        <v>2015</v>
      </c>
    </row>
    <row r="10" spans="1:8" hidden="1">
      <c r="A10" s="100">
        <v>42307</v>
      </c>
      <c r="B10" s="99" t="s">
        <v>3881</v>
      </c>
      <c r="C10" s="99" t="s">
        <v>4484</v>
      </c>
      <c r="D10" s="99" t="s">
        <v>3883</v>
      </c>
      <c r="E10" s="99" t="s">
        <v>3863</v>
      </c>
      <c r="F10" s="101">
        <v>888.23</v>
      </c>
      <c r="G10" s="99">
        <f t="shared" si="0"/>
        <v>10</v>
      </c>
      <c r="H10" s="99">
        <f t="shared" si="1"/>
        <v>2015</v>
      </c>
    </row>
    <row r="11" spans="1:8" hidden="1">
      <c r="A11" s="100">
        <v>42314</v>
      </c>
      <c r="B11" s="99" t="s">
        <v>3881</v>
      </c>
      <c r="C11" s="99" t="s">
        <v>4484</v>
      </c>
      <c r="D11" s="99" t="s">
        <v>3883</v>
      </c>
      <c r="E11" s="99" t="s">
        <v>3863</v>
      </c>
      <c r="F11" s="101">
        <v>923.47</v>
      </c>
      <c r="G11" s="99">
        <f t="shared" si="0"/>
        <v>11</v>
      </c>
      <c r="H11" s="99">
        <f t="shared" si="1"/>
        <v>2015</v>
      </c>
    </row>
    <row r="12" spans="1:8" hidden="1">
      <c r="A12" s="100">
        <v>42321</v>
      </c>
      <c r="B12" s="99" t="s">
        <v>3881</v>
      </c>
      <c r="C12" s="99" t="s">
        <v>4484</v>
      </c>
      <c r="D12" s="99" t="s">
        <v>3883</v>
      </c>
      <c r="E12" s="99" t="s">
        <v>3863</v>
      </c>
      <c r="F12" s="101">
        <v>1256.92</v>
      </c>
      <c r="G12" s="99">
        <f t="shared" si="0"/>
        <v>11</v>
      </c>
      <c r="H12" s="99">
        <f t="shared" si="1"/>
        <v>2015</v>
      </c>
    </row>
    <row r="13" spans="1:8" hidden="1">
      <c r="A13" s="100">
        <v>42328</v>
      </c>
      <c r="B13" s="99" t="s">
        <v>3881</v>
      </c>
      <c r="C13" s="99" t="s">
        <v>4484</v>
      </c>
      <c r="D13" s="99" t="s">
        <v>3883</v>
      </c>
      <c r="E13" s="99" t="s">
        <v>3863</v>
      </c>
      <c r="F13" s="101">
        <v>822.94</v>
      </c>
      <c r="G13" s="99">
        <f t="shared" si="0"/>
        <v>11</v>
      </c>
      <c r="H13" s="99">
        <f t="shared" si="1"/>
        <v>2015</v>
      </c>
    </row>
    <row r="14" spans="1:8" hidden="1">
      <c r="A14" s="100">
        <v>42335</v>
      </c>
      <c r="B14" s="99" t="s">
        <v>3881</v>
      </c>
      <c r="C14" s="99" t="s">
        <v>4484</v>
      </c>
      <c r="D14" s="99" t="s">
        <v>3883</v>
      </c>
      <c r="E14" s="99" t="s">
        <v>3863</v>
      </c>
      <c r="F14" s="101">
        <v>185.2</v>
      </c>
      <c r="G14" s="99">
        <f t="shared" si="0"/>
        <v>11</v>
      </c>
      <c r="H14" s="99">
        <f t="shared" si="1"/>
        <v>2015</v>
      </c>
    </row>
    <row r="15" spans="1:8" hidden="1">
      <c r="A15" s="100">
        <v>42342</v>
      </c>
      <c r="B15" s="99" t="s">
        <v>3881</v>
      </c>
      <c r="C15" s="99" t="s">
        <v>4484</v>
      </c>
      <c r="D15" s="99" t="s">
        <v>3883</v>
      </c>
      <c r="E15" s="99" t="s">
        <v>3863</v>
      </c>
      <c r="F15" s="101">
        <v>721.30000000000007</v>
      </c>
      <c r="G15" s="99">
        <f t="shared" si="0"/>
        <v>12</v>
      </c>
      <c r="H15" s="99">
        <f t="shared" si="1"/>
        <v>2015</v>
      </c>
    </row>
    <row r="16" spans="1:8" hidden="1">
      <c r="A16" s="100">
        <v>42342</v>
      </c>
      <c r="B16" s="99" t="s">
        <v>3881</v>
      </c>
      <c r="C16" s="99" t="s">
        <v>4484</v>
      </c>
      <c r="D16" s="99" t="s">
        <v>3897</v>
      </c>
      <c r="E16" s="99" t="s">
        <v>3896</v>
      </c>
      <c r="F16" s="101">
        <v>997.36500000000001</v>
      </c>
      <c r="G16" s="99">
        <f t="shared" si="0"/>
        <v>12</v>
      </c>
      <c r="H16" s="99">
        <f t="shared" si="1"/>
        <v>2015</v>
      </c>
    </row>
    <row r="17" spans="1:8" hidden="1">
      <c r="A17" s="100">
        <v>42349</v>
      </c>
      <c r="B17" s="99" t="s">
        <v>3881</v>
      </c>
      <c r="C17" s="99" t="s">
        <v>4484</v>
      </c>
      <c r="D17" s="99" t="s">
        <v>3883</v>
      </c>
      <c r="E17" s="99" t="s">
        <v>3863</v>
      </c>
      <c r="F17" s="101">
        <v>727.13000000000011</v>
      </c>
      <c r="G17" s="99">
        <f t="shared" si="0"/>
        <v>12</v>
      </c>
      <c r="H17" s="99">
        <f t="shared" si="1"/>
        <v>2015</v>
      </c>
    </row>
    <row r="18" spans="1:8" hidden="1">
      <c r="A18" s="100">
        <v>42349</v>
      </c>
      <c r="B18" s="99" t="s">
        <v>3881</v>
      </c>
      <c r="C18" s="99" t="s">
        <v>4484</v>
      </c>
      <c r="D18" s="99" t="s">
        <v>3897</v>
      </c>
      <c r="E18" s="99" t="s">
        <v>3896</v>
      </c>
      <c r="F18" s="101">
        <v>626.88</v>
      </c>
      <c r="G18" s="99">
        <f t="shared" si="0"/>
        <v>12</v>
      </c>
      <c r="H18" s="99">
        <f t="shared" si="1"/>
        <v>2015</v>
      </c>
    </row>
    <row r="19" spans="1:8" hidden="1">
      <c r="A19" s="100">
        <v>42356</v>
      </c>
      <c r="B19" s="99" t="s">
        <v>3881</v>
      </c>
      <c r="C19" s="99" t="s">
        <v>4484</v>
      </c>
      <c r="D19" s="99" t="s">
        <v>3883</v>
      </c>
      <c r="E19" s="99" t="s">
        <v>3863</v>
      </c>
      <c r="F19" s="101">
        <v>482.13499999999999</v>
      </c>
      <c r="G19" s="99">
        <f t="shared" si="0"/>
        <v>12</v>
      </c>
      <c r="H19" s="99">
        <f t="shared" si="1"/>
        <v>2015</v>
      </c>
    </row>
    <row r="20" spans="1:8" hidden="1">
      <c r="A20" s="100">
        <v>42356</v>
      </c>
      <c r="B20" s="99" t="s">
        <v>3881</v>
      </c>
      <c r="C20" s="99" t="s">
        <v>4484</v>
      </c>
      <c r="D20" s="99" t="s">
        <v>3897</v>
      </c>
      <c r="E20" s="99" t="s">
        <v>3896</v>
      </c>
      <c r="F20" s="101">
        <v>697.84500000000003</v>
      </c>
      <c r="G20" s="99">
        <f t="shared" si="0"/>
        <v>12</v>
      </c>
      <c r="H20" s="99">
        <f t="shared" si="1"/>
        <v>2015</v>
      </c>
    </row>
    <row r="21" spans="1:8" hidden="1">
      <c r="A21" s="100">
        <v>42363</v>
      </c>
      <c r="B21" s="99" t="s">
        <v>3881</v>
      </c>
      <c r="C21" s="99" t="s">
        <v>4484</v>
      </c>
      <c r="D21" s="99" t="s">
        <v>3897</v>
      </c>
      <c r="E21" s="99" t="s">
        <v>3896</v>
      </c>
      <c r="F21" s="101">
        <v>582.27</v>
      </c>
      <c r="G21" s="99">
        <f t="shared" si="0"/>
        <v>12</v>
      </c>
      <c r="H21" s="99">
        <f t="shared" si="1"/>
        <v>2015</v>
      </c>
    </row>
    <row r="22" spans="1:8">
      <c r="A22" s="100">
        <v>42370</v>
      </c>
      <c r="B22" s="99" t="s">
        <v>3881</v>
      </c>
      <c r="C22" s="99" t="s">
        <v>4484</v>
      </c>
      <c r="D22" s="99" t="s">
        <v>3883</v>
      </c>
      <c r="E22" s="99" t="s">
        <v>3863</v>
      </c>
      <c r="F22" s="101">
        <v>704.16500000000008</v>
      </c>
      <c r="G22" s="99">
        <f t="shared" si="0"/>
        <v>1</v>
      </c>
      <c r="H22" s="99">
        <f t="shared" si="1"/>
        <v>2016</v>
      </c>
    </row>
    <row r="23" spans="1:8">
      <c r="A23" s="100">
        <v>42370</v>
      </c>
      <c r="B23" s="99" t="s">
        <v>3881</v>
      </c>
      <c r="C23" s="99" t="s">
        <v>4484</v>
      </c>
      <c r="D23" s="99" t="s">
        <v>3897</v>
      </c>
      <c r="E23" s="99" t="s">
        <v>3896</v>
      </c>
      <c r="F23" s="101">
        <v>341.66999999999996</v>
      </c>
      <c r="G23" s="99">
        <f t="shared" si="0"/>
        <v>1</v>
      </c>
      <c r="H23" s="99">
        <f t="shared" si="1"/>
        <v>2016</v>
      </c>
    </row>
    <row r="24" spans="1:8">
      <c r="A24" s="100">
        <v>42377</v>
      </c>
      <c r="B24" s="99" t="s">
        <v>3881</v>
      </c>
      <c r="C24" s="99" t="s">
        <v>4484</v>
      </c>
      <c r="D24" s="99" t="s">
        <v>3897</v>
      </c>
      <c r="E24" s="99" t="s">
        <v>3896</v>
      </c>
      <c r="F24" s="101">
        <v>993.36500000000001</v>
      </c>
      <c r="G24" s="99">
        <f t="shared" si="0"/>
        <v>1</v>
      </c>
      <c r="H24" s="99">
        <f t="shared" si="1"/>
        <v>2016</v>
      </c>
    </row>
    <row r="25" spans="1:8">
      <c r="A25" s="100">
        <v>42377</v>
      </c>
      <c r="B25" s="99" t="s">
        <v>3881</v>
      </c>
      <c r="C25" s="99" t="s">
        <v>4484</v>
      </c>
      <c r="D25" s="99" t="s">
        <v>3883</v>
      </c>
      <c r="E25" s="99" t="s">
        <v>3863</v>
      </c>
      <c r="F25" s="101">
        <v>676.39499999999998</v>
      </c>
      <c r="G25" s="99">
        <f t="shared" si="0"/>
        <v>1</v>
      </c>
      <c r="H25" s="99">
        <f t="shared" si="1"/>
        <v>2016</v>
      </c>
    </row>
    <row r="26" spans="1:8">
      <c r="A26" s="100">
        <v>42384</v>
      </c>
      <c r="B26" s="99" t="s">
        <v>3881</v>
      </c>
      <c r="C26" s="99" t="s">
        <v>4484</v>
      </c>
      <c r="D26" s="99" t="s">
        <v>3897</v>
      </c>
      <c r="E26" s="99" t="s">
        <v>3896</v>
      </c>
      <c r="F26" s="101">
        <v>939.68</v>
      </c>
      <c r="G26" s="99">
        <f t="shared" si="0"/>
        <v>1</v>
      </c>
      <c r="H26" s="99">
        <f t="shared" si="1"/>
        <v>2016</v>
      </c>
    </row>
    <row r="27" spans="1:8">
      <c r="A27" s="100">
        <v>42384</v>
      </c>
      <c r="B27" s="99" t="s">
        <v>3881</v>
      </c>
      <c r="C27" s="99" t="s">
        <v>4484</v>
      </c>
      <c r="D27" s="99" t="s">
        <v>3883</v>
      </c>
      <c r="E27" s="99" t="s">
        <v>3863</v>
      </c>
      <c r="F27" s="101">
        <v>602.27</v>
      </c>
      <c r="G27" s="99">
        <f t="shared" si="0"/>
        <v>1</v>
      </c>
      <c r="H27" s="99">
        <f t="shared" si="1"/>
        <v>2016</v>
      </c>
    </row>
    <row r="28" spans="1:8">
      <c r="A28" s="100">
        <v>42391</v>
      </c>
      <c r="B28" s="99" t="s">
        <v>3881</v>
      </c>
      <c r="C28" s="99" t="s">
        <v>4484</v>
      </c>
      <c r="D28" s="99" t="s">
        <v>3883</v>
      </c>
      <c r="E28" s="99" t="s">
        <v>3863</v>
      </c>
      <c r="F28" s="101">
        <v>901.46</v>
      </c>
      <c r="G28" s="99">
        <f t="shared" si="0"/>
        <v>1</v>
      </c>
      <c r="H28" s="99">
        <f t="shared" si="1"/>
        <v>2016</v>
      </c>
    </row>
    <row r="29" spans="1:8">
      <c r="A29" s="100">
        <v>42391</v>
      </c>
      <c r="B29" s="99" t="s">
        <v>3881</v>
      </c>
      <c r="C29" s="99" t="s">
        <v>4484</v>
      </c>
      <c r="D29" s="99" t="s">
        <v>3897</v>
      </c>
      <c r="E29" s="99" t="s">
        <v>3896</v>
      </c>
      <c r="F29" s="101">
        <v>699.22</v>
      </c>
      <c r="G29" s="99">
        <f t="shared" si="0"/>
        <v>1</v>
      </c>
      <c r="H29" s="99">
        <f t="shared" si="1"/>
        <v>2016</v>
      </c>
    </row>
    <row r="30" spans="1:8">
      <c r="A30" s="100">
        <v>42398</v>
      </c>
      <c r="B30" s="99" t="s">
        <v>3881</v>
      </c>
      <c r="C30" s="99" t="s">
        <v>4484</v>
      </c>
      <c r="D30" s="99" t="s">
        <v>3883</v>
      </c>
      <c r="E30" s="99" t="s">
        <v>3863</v>
      </c>
      <c r="F30" s="101">
        <v>746.05500000000006</v>
      </c>
      <c r="G30" s="99">
        <f t="shared" si="0"/>
        <v>1</v>
      </c>
      <c r="H30" s="99">
        <f t="shared" si="1"/>
        <v>2016</v>
      </c>
    </row>
    <row r="31" spans="1:8">
      <c r="A31" s="100">
        <v>42398</v>
      </c>
      <c r="B31" s="99" t="s">
        <v>3881</v>
      </c>
      <c r="C31" s="99" t="s">
        <v>4484</v>
      </c>
      <c r="D31" s="99" t="s">
        <v>3897</v>
      </c>
      <c r="E31" s="99" t="s">
        <v>3896</v>
      </c>
      <c r="F31" s="101">
        <v>147.41999999999999</v>
      </c>
      <c r="G31" s="99">
        <f t="shared" si="0"/>
        <v>1</v>
      </c>
      <c r="H31" s="99">
        <f t="shared" si="1"/>
        <v>2016</v>
      </c>
    </row>
    <row r="32" spans="1:8">
      <c r="A32" s="100">
        <v>42405</v>
      </c>
      <c r="B32" s="99" t="s">
        <v>3881</v>
      </c>
      <c r="C32" s="99" t="s">
        <v>4484</v>
      </c>
      <c r="D32" s="99" t="s">
        <v>3883</v>
      </c>
      <c r="E32" s="99" t="s">
        <v>3863</v>
      </c>
      <c r="F32" s="101">
        <v>648.40000000000009</v>
      </c>
      <c r="G32" s="99">
        <f t="shared" si="0"/>
        <v>2</v>
      </c>
      <c r="H32" s="99">
        <f t="shared" si="1"/>
        <v>2016</v>
      </c>
    </row>
    <row r="33" spans="1:8">
      <c r="A33" s="100">
        <v>42405</v>
      </c>
      <c r="B33" s="99" t="s">
        <v>3881</v>
      </c>
      <c r="C33" s="99" t="s">
        <v>4484</v>
      </c>
      <c r="D33" s="99" t="s">
        <v>3897</v>
      </c>
      <c r="E33" s="99" t="s">
        <v>3896</v>
      </c>
      <c r="F33" s="101">
        <v>580.28</v>
      </c>
      <c r="G33" s="99">
        <f t="shared" si="0"/>
        <v>2</v>
      </c>
      <c r="H33" s="99">
        <f t="shared" si="1"/>
        <v>2016</v>
      </c>
    </row>
    <row r="34" spans="1:8">
      <c r="A34" s="100">
        <v>42412</v>
      </c>
      <c r="B34" s="99" t="s">
        <v>3881</v>
      </c>
      <c r="C34" s="99" t="s">
        <v>4484</v>
      </c>
      <c r="D34" s="99" t="s">
        <v>3897</v>
      </c>
      <c r="E34" s="99" t="s">
        <v>3896</v>
      </c>
      <c r="F34" s="101">
        <v>-355.36</v>
      </c>
      <c r="G34" s="99">
        <f t="shared" ref="G34:G61" si="2">MONTH(A34)</f>
        <v>2</v>
      </c>
      <c r="H34" s="99">
        <f t="shared" ref="H34:H61" si="3">YEAR(A34)</f>
        <v>2016</v>
      </c>
    </row>
    <row r="35" spans="1:8">
      <c r="A35" s="100">
        <v>42412</v>
      </c>
      <c r="B35" s="99" t="s">
        <v>3881</v>
      </c>
      <c r="C35" s="99" t="s">
        <v>4484</v>
      </c>
      <c r="D35" s="99" t="s">
        <v>3883</v>
      </c>
      <c r="E35" s="99" t="s">
        <v>3863</v>
      </c>
      <c r="F35" s="101">
        <v>229.12</v>
      </c>
      <c r="G35" s="99">
        <f t="shared" si="2"/>
        <v>2</v>
      </c>
      <c r="H35" s="99">
        <f t="shared" si="3"/>
        <v>2016</v>
      </c>
    </row>
    <row r="36" spans="1:8">
      <c r="A36" s="100">
        <v>42419</v>
      </c>
      <c r="B36" s="99" t="s">
        <v>3881</v>
      </c>
      <c r="C36" s="99" t="s">
        <v>4484</v>
      </c>
      <c r="D36" s="99" t="s">
        <v>3883</v>
      </c>
      <c r="E36" s="99" t="s">
        <v>3863</v>
      </c>
      <c r="F36" s="101">
        <v>586.95000000000005</v>
      </c>
      <c r="G36" s="99">
        <f t="shared" si="2"/>
        <v>2</v>
      </c>
      <c r="H36" s="99">
        <f t="shared" si="3"/>
        <v>2016</v>
      </c>
    </row>
    <row r="37" spans="1:8">
      <c r="A37" s="100">
        <v>42419</v>
      </c>
      <c r="B37" s="99" t="s">
        <v>3881</v>
      </c>
      <c r="C37" s="99" t="s">
        <v>4484</v>
      </c>
      <c r="D37" s="99" t="s">
        <v>3831</v>
      </c>
      <c r="E37" s="99" t="s">
        <v>3863</v>
      </c>
      <c r="F37" s="101">
        <v>275</v>
      </c>
      <c r="G37" s="99">
        <f t="shared" si="2"/>
        <v>2</v>
      </c>
      <c r="H37" s="99">
        <f t="shared" si="3"/>
        <v>2016</v>
      </c>
    </row>
    <row r="38" spans="1:8">
      <c r="A38" s="100">
        <v>42419</v>
      </c>
      <c r="B38" s="99" t="s">
        <v>3881</v>
      </c>
      <c r="C38" s="99" t="s">
        <v>4484</v>
      </c>
      <c r="D38" s="99" t="s">
        <v>3920</v>
      </c>
      <c r="E38" s="99" t="s">
        <v>3896</v>
      </c>
      <c r="F38" s="101">
        <v>1070.155</v>
      </c>
      <c r="G38" s="99">
        <f t="shared" si="2"/>
        <v>2</v>
      </c>
      <c r="H38" s="99">
        <f t="shared" si="3"/>
        <v>2016</v>
      </c>
    </row>
    <row r="39" spans="1:8">
      <c r="A39" s="100">
        <v>42426</v>
      </c>
      <c r="B39" s="99" t="s">
        <v>3881</v>
      </c>
      <c r="C39" s="99" t="s">
        <v>4484</v>
      </c>
      <c r="D39" s="99" t="s">
        <v>3831</v>
      </c>
      <c r="E39" s="99" t="s">
        <v>3863</v>
      </c>
      <c r="F39" s="326">
        <v>980.37000000000012</v>
      </c>
      <c r="G39" s="99">
        <f t="shared" si="2"/>
        <v>2</v>
      </c>
      <c r="H39" s="99">
        <f t="shared" si="3"/>
        <v>2016</v>
      </c>
    </row>
    <row r="40" spans="1:8">
      <c r="A40" s="100">
        <v>42426</v>
      </c>
      <c r="B40" s="99" t="s">
        <v>3881</v>
      </c>
      <c r="C40" s="99" t="s">
        <v>4484</v>
      </c>
      <c r="D40" s="99" t="s">
        <v>3920</v>
      </c>
      <c r="E40" s="99" t="s">
        <v>3896</v>
      </c>
      <c r="F40" s="326">
        <v>536.25</v>
      </c>
      <c r="G40" s="99">
        <f t="shared" si="2"/>
        <v>2</v>
      </c>
      <c r="H40" s="99">
        <f t="shared" si="3"/>
        <v>2016</v>
      </c>
    </row>
    <row r="41" spans="1:8">
      <c r="A41" s="100">
        <v>42433</v>
      </c>
      <c r="B41" s="99" t="s">
        <v>3881</v>
      </c>
      <c r="C41" s="99" t="s">
        <v>4484</v>
      </c>
      <c r="D41" s="99" t="s">
        <v>3831</v>
      </c>
      <c r="E41" s="99" t="s">
        <v>3863</v>
      </c>
      <c r="F41" s="101">
        <v>742.73</v>
      </c>
      <c r="G41" s="99">
        <f t="shared" si="2"/>
        <v>3</v>
      </c>
      <c r="H41" s="99">
        <f t="shared" si="3"/>
        <v>2016</v>
      </c>
    </row>
    <row r="42" spans="1:8">
      <c r="A42" s="100">
        <v>42433</v>
      </c>
      <c r="B42" s="99" t="s">
        <v>3881</v>
      </c>
      <c r="C42" s="99" t="s">
        <v>4485</v>
      </c>
      <c r="D42" s="99" t="s">
        <v>132</v>
      </c>
      <c r="E42" s="99" t="s">
        <v>3896</v>
      </c>
      <c r="F42" s="101">
        <v>0</v>
      </c>
      <c r="G42" s="99">
        <f t="shared" si="2"/>
        <v>3</v>
      </c>
      <c r="H42" s="99">
        <f t="shared" si="3"/>
        <v>2016</v>
      </c>
    </row>
    <row r="43" spans="1:8">
      <c r="A43" s="100">
        <v>42440</v>
      </c>
      <c r="B43" s="99" t="s">
        <v>3881</v>
      </c>
      <c r="C43" s="99" t="s">
        <v>4484</v>
      </c>
      <c r="D43" s="99" t="s">
        <v>3831</v>
      </c>
      <c r="E43" s="99" t="s">
        <v>3863</v>
      </c>
      <c r="F43" s="326">
        <v>856.19</v>
      </c>
      <c r="G43" s="99">
        <f t="shared" si="2"/>
        <v>3</v>
      </c>
      <c r="H43" s="99">
        <f t="shared" si="3"/>
        <v>2016</v>
      </c>
    </row>
    <row r="44" spans="1:8">
      <c r="A44" s="100">
        <v>42440</v>
      </c>
      <c r="B44" s="99" t="s">
        <v>3881</v>
      </c>
      <c r="C44" s="99" t="s">
        <v>4484</v>
      </c>
      <c r="D44" s="99" t="s">
        <v>3905</v>
      </c>
      <c r="E44" s="99" t="s">
        <v>3896</v>
      </c>
      <c r="F44" s="326">
        <v>867</v>
      </c>
      <c r="G44" s="99">
        <f t="shared" si="2"/>
        <v>3</v>
      </c>
      <c r="H44" s="99">
        <f t="shared" si="3"/>
        <v>2016</v>
      </c>
    </row>
    <row r="45" spans="1:8">
      <c r="A45" s="100">
        <v>42447</v>
      </c>
      <c r="B45" s="99" t="s">
        <v>3881</v>
      </c>
      <c r="C45" s="99" t="s">
        <v>4484</v>
      </c>
      <c r="D45" s="99" t="s">
        <v>3831</v>
      </c>
      <c r="E45" s="99" t="s">
        <v>3863</v>
      </c>
      <c r="F45" s="101">
        <v>523.20000000000005</v>
      </c>
      <c r="G45" s="99">
        <f t="shared" si="2"/>
        <v>3</v>
      </c>
      <c r="H45" s="99">
        <f t="shared" si="3"/>
        <v>2016</v>
      </c>
    </row>
    <row r="46" spans="1:8">
      <c r="A46" s="100">
        <v>42447</v>
      </c>
      <c r="B46" s="99" t="s">
        <v>3881</v>
      </c>
      <c r="C46" s="99" t="s">
        <v>4485</v>
      </c>
      <c r="D46" s="99" t="s">
        <v>132</v>
      </c>
      <c r="E46" s="99" t="s">
        <v>3896</v>
      </c>
      <c r="F46" s="101">
        <v>0</v>
      </c>
      <c r="G46" s="99">
        <f t="shared" si="2"/>
        <v>3</v>
      </c>
      <c r="H46" s="99">
        <f t="shared" si="3"/>
        <v>2016</v>
      </c>
    </row>
    <row r="47" spans="1:8">
      <c r="A47" s="100">
        <v>42454</v>
      </c>
      <c r="B47" s="99" t="s">
        <v>3881</v>
      </c>
      <c r="C47" s="99" t="s">
        <v>4484</v>
      </c>
      <c r="D47" s="99" t="s">
        <v>3897</v>
      </c>
      <c r="E47" s="99" t="s">
        <v>3896</v>
      </c>
      <c r="F47" s="101">
        <v>807.7</v>
      </c>
      <c r="G47" s="99">
        <f t="shared" si="2"/>
        <v>3</v>
      </c>
      <c r="H47" s="99">
        <f t="shared" si="3"/>
        <v>2016</v>
      </c>
    </row>
    <row r="48" spans="1:8">
      <c r="A48" s="100">
        <v>42454</v>
      </c>
      <c r="B48" s="99" t="s">
        <v>3881</v>
      </c>
      <c r="C48" s="99" t="s">
        <v>4484</v>
      </c>
      <c r="D48" s="99" t="s">
        <v>3831</v>
      </c>
      <c r="E48" s="99" t="s">
        <v>3863</v>
      </c>
      <c r="F48" s="101">
        <v>561.89</v>
      </c>
      <c r="G48" s="99">
        <f t="shared" si="2"/>
        <v>3</v>
      </c>
      <c r="H48" s="99">
        <f t="shared" si="3"/>
        <v>2016</v>
      </c>
    </row>
    <row r="49" spans="1:8">
      <c r="A49" s="100">
        <v>42461</v>
      </c>
      <c r="B49" s="99" t="s">
        <v>3881</v>
      </c>
      <c r="C49" s="99" t="s">
        <v>4484</v>
      </c>
      <c r="D49" s="99" t="s">
        <v>3897</v>
      </c>
      <c r="E49" s="99" t="s">
        <v>3896</v>
      </c>
      <c r="F49" s="101">
        <v>299.52999999999997</v>
      </c>
      <c r="G49" s="99">
        <f t="shared" si="2"/>
        <v>4</v>
      </c>
      <c r="H49" s="99">
        <f t="shared" si="3"/>
        <v>2016</v>
      </c>
    </row>
    <row r="50" spans="1:8">
      <c r="A50" s="100">
        <v>42461</v>
      </c>
      <c r="B50" s="99" t="s">
        <v>3881</v>
      </c>
      <c r="C50" s="99" t="s">
        <v>4484</v>
      </c>
      <c r="D50" s="99" t="s">
        <v>3831</v>
      </c>
      <c r="E50" s="99" t="s">
        <v>3863</v>
      </c>
      <c r="F50" s="582">
        <v>851</v>
      </c>
      <c r="G50" s="99">
        <f t="shared" si="2"/>
        <v>4</v>
      </c>
      <c r="H50" s="99">
        <f t="shared" si="3"/>
        <v>2016</v>
      </c>
    </row>
    <row r="51" spans="1:8">
      <c r="A51" s="100">
        <v>42468</v>
      </c>
      <c r="B51" s="99" t="s">
        <v>3881</v>
      </c>
      <c r="C51" s="99" t="s">
        <v>4484</v>
      </c>
      <c r="D51" s="99" t="s">
        <v>3897</v>
      </c>
      <c r="E51" s="99" t="s">
        <v>3896</v>
      </c>
      <c r="F51" s="101">
        <v>266.05</v>
      </c>
      <c r="G51" s="99">
        <f t="shared" si="2"/>
        <v>4</v>
      </c>
      <c r="H51" s="99">
        <f t="shared" si="3"/>
        <v>2016</v>
      </c>
    </row>
    <row r="52" spans="1:8">
      <c r="A52" s="100">
        <v>42468</v>
      </c>
      <c r="B52" s="99" t="s">
        <v>3881</v>
      </c>
      <c r="C52" s="99" t="s">
        <v>4484</v>
      </c>
      <c r="D52" s="99" t="s">
        <v>3831</v>
      </c>
      <c r="E52" s="99" t="s">
        <v>3863</v>
      </c>
      <c r="F52" s="582">
        <v>1082.71</v>
      </c>
      <c r="G52" s="99">
        <f t="shared" si="2"/>
        <v>4</v>
      </c>
      <c r="H52" s="99">
        <f t="shared" si="3"/>
        <v>2016</v>
      </c>
    </row>
    <row r="53" spans="1:8">
      <c r="A53" s="100">
        <v>42475</v>
      </c>
      <c r="B53" s="99" t="s">
        <v>3881</v>
      </c>
      <c r="C53" s="99" t="s">
        <v>4484</v>
      </c>
      <c r="D53" s="99" t="s">
        <v>3897</v>
      </c>
      <c r="E53" s="99" t="s">
        <v>3896</v>
      </c>
      <c r="F53" s="101">
        <v>94.5</v>
      </c>
      <c r="G53" s="99">
        <f t="shared" si="2"/>
        <v>4</v>
      </c>
      <c r="H53" s="99">
        <f t="shared" si="3"/>
        <v>2016</v>
      </c>
    </row>
    <row r="54" spans="1:8">
      <c r="A54" s="100">
        <v>42475</v>
      </c>
      <c r="B54" s="99" t="s">
        <v>3881</v>
      </c>
      <c r="C54" s="99" t="s">
        <v>4484</v>
      </c>
      <c r="D54" s="99" t="s">
        <v>3831</v>
      </c>
      <c r="E54" s="99" t="s">
        <v>3863</v>
      </c>
      <c r="F54" s="582">
        <v>619.26</v>
      </c>
      <c r="G54" s="99">
        <f t="shared" si="2"/>
        <v>4</v>
      </c>
      <c r="H54" s="99">
        <f t="shared" si="3"/>
        <v>2016</v>
      </c>
    </row>
    <row r="55" spans="1:8">
      <c r="A55" s="100">
        <v>42482</v>
      </c>
      <c r="B55" s="99" t="s">
        <v>3881</v>
      </c>
      <c r="C55" s="99" t="s">
        <v>4484</v>
      </c>
      <c r="D55" s="99" t="s">
        <v>3831</v>
      </c>
      <c r="E55" s="99" t="s">
        <v>3863</v>
      </c>
      <c r="F55" s="582">
        <v>743.09</v>
      </c>
      <c r="G55" s="99">
        <f t="shared" si="2"/>
        <v>4</v>
      </c>
      <c r="H55" s="99">
        <f t="shared" si="3"/>
        <v>2016</v>
      </c>
    </row>
    <row r="56" spans="1:8">
      <c r="A56" s="100">
        <v>42489</v>
      </c>
      <c r="B56" s="99" t="s">
        <v>3881</v>
      </c>
      <c r="C56" s="99" t="s">
        <v>4484</v>
      </c>
      <c r="D56" s="99" t="s">
        <v>3897</v>
      </c>
      <c r="E56" s="99" t="s">
        <v>3896</v>
      </c>
      <c r="F56" s="582">
        <v>1042</v>
      </c>
      <c r="G56" s="99">
        <f t="shared" si="2"/>
        <v>4</v>
      </c>
      <c r="H56" s="99">
        <f t="shared" si="3"/>
        <v>2016</v>
      </c>
    </row>
    <row r="57" spans="1:8">
      <c r="A57" s="100">
        <v>42489</v>
      </c>
      <c r="B57" s="99" t="s">
        <v>3881</v>
      </c>
      <c r="C57" s="99" t="s">
        <v>4484</v>
      </c>
      <c r="D57" s="99" t="s">
        <v>3831</v>
      </c>
      <c r="E57" s="99" t="s">
        <v>3863</v>
      </c>
      <c r="F57" s="582">
        <v>1188.9000000000001</v>
      </c>
      <c r="G57" s="99">
        <f t="shared" si="2"/>
        <v>4</v>
      </c>
      <c r="H57" s="99">
        <f t="shared" si="3"/>
        <v>2016</v>
      </c>
    </row>
    <row r="58" spans="1:8">
      <c r="A58" s="100">
        <v>42496</v>
      </c>
      <c r="B58" s="99" t="s">
        <v>3881</v>
      </c>
      <c r="C58" s="99" t="s">
        <v>4484</v>
      </c>
      <c r="D58" s="99" t="s">
        <v>3831</v>
      </c>
      <c r="E58" s="99" t="s">
        <v>3863</v>
      </c>
      <c r="F58" s="582">
        <v>666.13</v>
      </c>
      <c r="G58" s="99">
        <f t="shared" si="2"/>
        <v>5</v>
      </c>
      <c r="H58" s="99">
        <f t="shared" si="3"/>
        <v>2016</v>
      </c>
    </row>
    <row r="59" spans="1:8">
      <c r="A59" s="100">
        <v>42503</v>
      </c>
      <c r="B59" s="99" t="s">
        <v>3881</v>
      </c>
      <c r="C59" s="99" t="s">
        <v>4484</v>
      </c>
      <c r="D59" s="99" t="s">
        <v>3831</v>
      </c>
      <c r="E59" s="99" t="s">
        <v>3863</v>
      </c>
      <c r="F59" s="582">
        <v>1158.095</v>
      </c>
      <c r="G59" s="99">
        <f t="shared" si="2"/>
        <v>5</v>
      </c>
      <c r="H59" s="99">
        <f t="shared" si="3"/>
        <v>2016</v>
      </c>
    </row>
    <row r="60" spans="1:8">
      <c r="A60" s="100">
        <v>42496</v>
      </c>
      <c r="B60" s="99" t="s">
        <v>3881</v>
      </c>
      <c r="C60" s="99" t="s">
        <v>4484</v>
      </c>
      <c r="D60" s="99" t="s">
        <v>3897</v>
      </c>
      <c r="E60" s="99" t="s">
        <v>3896</v>
      </c>
      <c r="F60" s="582">
        <v>790.2</v>
      </c>
      <c r="G60" s="99">
        <f t="shared" si="2"/>
        <v>5</v>
      </c>
      <c r="H60" s="99">
        <f t="shared" si="3"/>
        <v>2016</v>
      </c>
    </row>
    <row r="61" spans="1:8">
      <c r="A61" s="100">
        <v>42503</v>
      </c>
      <c r="B61" s="99" t="s">
        <v>3881</v>
      </c>
      <c r="C61" s="99" t="s">
        <v>4484</v>
      </c>
      <c r="D61" s="99" t="s">
        <v>3897</v>
      </c>
      <c r="E61" s="99" t="s">
        <v>3896</v>
      </c>
      <c r="F61" s="582">
        <v>781.31500000000005</v>
      </c>
      <c r="G61" s="99">
        <f t="shared" si="2"/>
        <v>5</v>
      </c>
      <c r="H61" s="99">
        <f t="shared" si="3"/>
        <v>2016</v>
      </c>
    </row>
    <row r="62" spans="1:8">
      <c r="A62" s="100">
        <v>42510</v>
      </c>
      <c r="B62" s="99" t="s">
        <v>3881</v>
      </c>
      <c r="C62" s="99" t="s">
        <v>4484</v>
      </c>
      <c r="D62" s="99" t="s">
        <v>3831</v>
      </c>
      <c r="E62" s="99" t="s">
        <v>3863</v>
      </c>
      <c r="F62" s="101">
        <v>1125.8</v>
      </c>
      <c r="G62" s="99">
        <f>MONTH(A62)</f>
        <v>5</v>
      </c>
      <c r="H62" s="99">
        <f>YEAR(A62)</f>
        <v>2016</v>
      </c>
    </row>
    <row r="63" spans="1:8">
      <c r="A63" s="100">
        <v>42517</v>
      </c>
      <c r="B63" s="99" t="s">
        <v>3881</v>
      </c>
      <c r="C63" s="99" t="s">
        <v>4484</v>
      </c>
      <c r="D63" s="99" t="s">
        <v>3831</v>
      </c>
      <c r="E63" s="99" t="s">
        <v>3863</v>
      </c>
      <c r="F63" s="101">
        <v>559.77</v>
      </c>
      <c r="G63" s="99">
        <f>MONTH(A63)</f>
        <v>5</v>
      </c>
      <c r="H63" s="99">
        <f>YEAR(A63)</f>
        <v>2016</v>
      </c>
    </row>
    <row r="64" spans="1:8">
      <c r="A64" s="100">
        <v>42510</v>
      </c>
      <c r="B64" s="99" t="s">
        <v>3881</v>
      </c>
      <c r="C64" s="99" t="s">
        <v>4484</v>
      </c>
      <c r="D64" s="99" t="s">
        <v>3897</v>
      </c>
      <c r="E64" s="99" t="s">
        <v>3896</v>
      </c>
      <c r="F64" s="101">
        <v>1082</v>
      </c>
      <c r="G64" s="99">
        <f t="shared" ref="G64:G65" si="4">MONTH(A64)</f>
        <v>5</v>
      </c>
      <c r="H64" s="99">
        <f t="shared" ref="H64:H65" si="5">YEAR(A64)</f>
        <v>2016</v>
      </c>
    </row>
    <row r="65" spans="1:8">
      <c r="A65" s="100">
        <v>42517</v>
      </c>
      <c r="B65" s="99" t="s">
        <v>3881</v>
      </c>
      <c r="C65" s="99" t="s">
        <v>4484</v>
      </c>
      <c r="D65" s="99" t="s">
        <v>3897</v>
      </c>
      <c r="E65" s="99" t="s">
        <v>3896</v>
      </c>
      <c r="F65" s="101">
        <v>676.23</v>
      </c>
      <c r="G65" s="99">
        <f t="shared" si="4"/>
        <v>5</v>
      </c>
      <c r="H65" s="99">
        <f t="shared" si="5"/>
        <v>2016</v>
      </c>
    </row>
    <row r="66" spans="1:8">
      <c r="A66" s="100">
        <v>42524</v>
      </c>
      <c r="B66" s="99" t="s">
        <v>3881</v>
      </c>
      <c r="C66" s="99" t="s">
        <v>4484</v>
      </c>
      <c r="D66" s="99" t="s">
        <v>3897</v>
      </c>
      <c r="E66" s="99" t="s">
        <v>3896</v>
      </c>
      <c r="F66" s="101">
        <v>993.47</v>
      </c>
      <c r="G66" s="99">
        <f t="shared" ref="G66:G71" si="6">MONTH(A66)</f>
        <v>6</v>
      </c>
      <c r="H66" s="99">
        <f t="shared" ref="H66:H71" si="7">YEAR(A66)</f>
        <v>2016</v>
      </c>
    </row>
    <row r="67" spans="1:8">
      <c r="A67" s="100">
        <v>42524</v>
      </c>
      <c r="B67" s="99" t="s">
        <v>3881</v>
      </c>
      <c r="C67" s="99" t="s">
        <v>4484</v>
      </c>
      <c r="D67" s="99" t="s">
        <v>3831</v>
      </c>
      <c r="E67" s="99" t="s">
        <v>3863</v>
      </c>
      <c r="F67" s="101">
        <v>0</v>
      </c>
      <c r="G67" s="99">
        <f t="shared" si="6"/>
        <v>6</v>
      </c>
      <c r="H67" s="99">
        <f t="shared" si="7"/>
        <v>2016</v>
      </c>
    </row>
    <row r="68" spans="1:8">
      <c r="A68" s="100">
        <v>42531</v>
      </c>
      <c r="B68" s="99" t="s">
        <v>3881</v>
      </c>
      <c r="C68" s="99" t="s">
        <v>4484</v>
      </c>
      <c r="D68" s="99" t="s">
        <v>3897</v>
      </c>
      <c r="E68" s="99" t="s">
        <v>3896</v>
      </c>
      <c r="F68" s="101">
        <v>772.73</v>
      </c>
      <c r="G68" s="99">
        <f t="shared" si="6"/>
        <v>6</v>
      </c>
      <c r="H68" s="99">
        <f t="shared" si="7"/>
        <v>2016</v>
      </c>
    </row>
    <row r="69" spans="1:8">
      <c r="A69" s="100">
        <v>42531</v>
      </c>
      <c r="B69" s="99" t="s">
        <v>3881</v>
      </c>
      <c r="C69" s="99" t="s">
        <v>4484</v>
      </c>
      <c r="D69" s="99" t="s">
        <v>3831</v>
      </c>
      <c r="E69" s="99" t="s">
        <v>3863</v>
      </c>
      <c r="F69" s="101">
        <v>0</v>
      </c>
      <c r="G69" s="99">
        <f t="shared" si="6"/>
        <v>6</v>
      </c>
      <c r="H69" s="99">
        <f t="shared" si="7"/>
        <v>2016</v>
      </c>
    </row>
    <row r="70" spans="1:8">
      <c r="A70" s="100">
        <v>42538</v>
      </c>
      <c r="B70" s="99" t="s">
        <v>3881</v>
      </c>
      <c r="C70" s="99" t="s">
        <v>4484</v>
      </c>
      <c r="D70" s="99" t="s">
        <v>3897</v>
      </c>
      <c r="E70" s="99" t="s">
        <v>3896</v>
      </c>
      <c r="F70" s="101">
        <v>799.51</v>
      </c>
      <c r="G70" s="99">
        <f t="shared" si="6"/>
        <v>6</v>
      </c>
      <c r="H70" s="99">
        <f t="shared" si="7"/>
        <v>2016</v>
      </c>
    </row>
    <row r="71" spans="1:8">
      <c r="A71" s="100">
        <v>42538</v>
      </c>
      <c r="B71" s="99" t="s">
        <v>3881</v>
      </c>
      <c r="C71" s="99" t="s">
        <v>4484</v>
      </c>
      <c r="D71" s="99" t="s">
        <v>3831</v>
      </c>
      <c r="E71" s="99" t="s">
        <v>3863</v>
      </c>
      <c r="F71" s="101">
        <v>823.01</v>
      </c>
      <c r="G71" s="99">
        <f t="shared" si="6"/>
        <v>6</v>
      </c>
      <c r="H71" s="99">
        <f t="shared" si="7"/>
        <v>2016</v>
      </c>
    </row>
    <row r="72" spans="1:8">
      <c r="A72" s="100">
        <v>42545</v>
      </c>
      <c r="G72" s="99">
        <f>MONTH(A72)</f>
        <v>6</v>
      </c>
      <c r="H72" s="99">
        <f>YEAR(A72)</f>
        <v>2016</v>
      </c>
    </row>
    <row r="73" spans="1:8">
      <c r="A73" s="100">
        <v>42545</v>
      </c>
      <c r="G73" s="99">
        <f>MONTH(A73)</f>
        <v>6</v>
      </c>
      <c r="H73" s="99">
        <f>YEAR(A73)</f>
        <v>2016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LoadMaster</vt:lpstr>
      <vt:lpstr>BrokerTBL</vt:lpstr>
      <vt:lpstr>Broker_Driver_Payments</vt:lpstr>
      <vt:lpstr>FuelExpenseTBL</vt:lpstr>
      <vt:lpstr>MasterExpenseRepairTBL</vt:lpstr>
      <vt:lpstr>CarrierDriverTBL</vt:lpstr>
      <vt:lpstr>EquipmentTBL</vt:lpstr>
      <vt:lpstr>InsuranceTBL</vt:lpstr>
      <vt:lpstr>UBEarningWeeklyTBL</vt:lpstr>
      <vt:lpstr>UBMoneyIN</vt:lpstr>
      <vt:lpstr>YTD_SnapShot</vt:lpstr>
      <vt:lpstr>DriverPay1</vt:lpstr>
      <vt:lpstr>DriverPay2</vt:lpstr>
      <vt:lpstr>DriverPay3</vt:lpstr>
      <vt:lpstr>DipatchPay</vt:lpstr>
      <vt:lpstr>ReferenceTBL</vt:lpstr>
      <vt:lpstr>DipatchPay!Print_Area</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tejinder singh</dc:creator>
  <cp:lastModifiedBy>Tejinder Singh</cp:lastModifiedBy>
  <cp:revision/>
  <dcterms:created xsi:type="dcterms:W3CDTF">2015-02-15T02:42:01Z</dcterms:created>
  <dcterms:modified xsi:type="dcterms:W3CDTF">2016-07-25T23:43:45Z</dcterms:modified>
</cp:coreProperties>
</file>